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hidden" name="Sheet3" sheetId="3" r:id="rId5"/>
    <sheet state="visible" name="Active_Teachers" sheetId="4" r:id="rId6"/>
  </sheets>
  <definedNames>
    <definedName hidden="1" localSheetId="0" name="Z_7B84939B_EAC9_4FA6_A144_F917FDF77181_.wvu.FilterData">Sheet1!$A$1:$BJ$272</definedName>
    <definedName hidden="1" localSheetId="0" name="Z_D4CF8F64_92B5_4DC3_93A8_6FA6089FBFA5_.wvu.FilterData">Sheet1!$A$1:$BJ$272</definedName>
    <definedName hidden="1" localSheetId="0" name="Z_2F547FDA_C453_4EF9_A288_E761B0392CD9_.wvu.FilterData">Sheet1!$A$1:$BJ$272</definedName>
    <definedName hidden="1" localSheetId="0" name="Z_376BD382_EF75_46FA_AEBF_8DB60265E1AB_.wvu.FilterData">Sheet1!$A$1:$BJ$272</definedName>
    <definedName hidden="1" localSheetId="0" name="Z_F8DB7E59_F834_4FEE_A665_D53174BC185C_.wvu.FilterData">Sheet1!$A$1:$BJ$272</definedName>
    <definedName hidden="1" localSheetId="0" name="Z_F7D4EFB3_7423_47E7_9B03_375B0741E121_.wvu.FilterData">Sheet1!$A$1:$BJ$272</definedName>
    <definedName hidden="1" localSheetId="0" name="Z_5F7FB0F5_7B95_4690_9129_5779C032BBB2_.wvu.FilterData">Sheet1!$A$1:$BJ$272</definedName>
    <definedName hidden="1" localSheetId="0" name="Z_A5551389_35A1_4347_803D_F43BE228BE32_.wvu.FilterData">Sheet1!$A$1:$BJ$272</definedName>
    <definedName hidden="1" localSheetId="0" name="Z_5F9ED33E_E0AD_4752_8B04_D3A3D8822FF9_.wvu.FilterData">Sheet1!$A$2:$BJ$272</definedName>
    <definedName hidden="1" localSheetId="0" name="Z_20BC0155_6132_4BA0_89D8_81C062B40308_.wvu.FilterData">Sheet1!$B$273</definedName>
    <definedName hidden="1" localSheetId="0" name="Z_8D65A2F8_F5EE_4D5C_BEC1_00A6937EF61A_.wvu.FilterData">Sheet1!$A$1:$BJ$272</definedName>
    <definedName hidden="1" localSheetId="0" name="Z_F256E4D7_C759_49F7_8841_B3C6311D028F_.wvu.FilterData">Sheet1!$A$2:$BL$272</definedName>
    <definedName hidden="1" localSheetId="0" name="Z_4369FE5D_38BD_4A60_985F_5DC91E2253C4_.wvu.FilterData">Sheet1!$A$1:$BJ$272</definedName>
    <definedName hidden="1" localSheetId="0" name="Z_40B3E54F_86F6_4EFE_A969_D3961BB11780_.wvu.FilterData">Sheet1!$A$1:$BJ$272</definedName>
    <definedName hidden="1" localSheetId="0" name="Z_072ACADB_3391_4F56_8091_491BC196188A_.wvu.FilterData">Sheet1!$B$273</definedName>
    <definedName hidden="1" localSheetId="0" name="Z_E6E689F2_3E7E_4266_A012_F1D1D3DBDB94_.wvu.FilterData">Sheet1!$A$2:$BL$272</definedName>
    <definedName hidden="1" localSheetId="0" name="Z_77DC4EEB_9ABC_416B_8ADF_8DFBC2D6C5F5_.wvu.FilterData">Sheet1!$A$2:$BJ$272</definedName>
    <definedName hidden="1" localSheetId="0" name="Z_C8BFFCA9_3C8C_40AD_A799_4B929F863F37_.wvu.FilterData">Sheet1!$A$1:$BJ$272</definedName>
    <definedName hidden="1" localSheetId="0" name="Z_58E0480A_D6E6_47ED_AB7A_A81ACC9284EC_.wvu.FilterData">Sheet1!$A$2:$BM$287</definedName>
    <definedName hidden="1" localSheetId="0" name="Z_62340CA9_D4F5_438B_8E41_487CF76225BA_.wvu.FilterData">Sheet1!$A$1:$BJ$272</definedName>
    <definedName hidden="1" localSheetId="0" name="Z_DC898AA9_E5EF_47C3_96EA_9D7082797A84_.wvu.FilterData">Sheet1!$A$1:$BJ$272</definedName>
    <definedName hidden="1" localSheetId="0" name="Z_422CEE51_113E_4DA1_97B8_8A0D681D37D3_.wvu.FilterData">Sheet1!$A$1:$BJ$272</definedName>
    <definedName hidden="1" localSheetId="0" name="Z_C4CAA331_CF11_42D3_B156_D7B3EE29A38B_.wvu.FilterData">Sheet1!$A$1:$BJ$272</definedName>
    <definedName hidden="1" localSheetId="0" name="Z_6451AEBE_24B8_43D4_856E_2FF19F87FF5E_.wvu.FilterData">Sheet1!$A$1:$BJ$272</definedName>
    <definedName hidden="1" localSheetId="0" name="Z_3CC59E1C_344D_4E4F_BA21_4CE291B63CAF_.wvu.FilterData">Sheet1!$A$1:$BJ$272</definedName>
    <definedName hidden="1" localSheetId="0" name="Z_BFB8D08B_2AB8_473F_8286_DCFD52446AEB_.wvu.FilterData">Sheet1!$A$1:$BJ$272</definedName>
    <definedName hidden="1" localSheetId="0" name="Z_7F4A1DFB_5F01_4BEC_B296_F2A7BA2ADBEA_.wvu.FilterData">Sheet1!$A$2:$BM$272</definedName>
    <definedName hidden="1" localSheetId="0" name="Z_C862739C_045B_4ABB_B0FC_572071B50896_.wvu.FilterData">Sheet1!$A$1:$BJ$272</definedName>
    <definedName hidden="1" localSheetId="0" name="Z_9BF15CC5_DA84_4BA9_BED2_8EAB229E5E86_.wvu.FilterData">Sheet1!$A$2:$BM$287</definedName>
    <definedName hidden="1" localSheetId="0" name="Z_21DB75F3_8AC0_4736_8E12_679C456E43FC_.wvu.FilterData">Sheet1!$A$1:$BJ$272</definedName>
    <definedName hidden="1" localSheetId="0" name="Z_3D374A99_4299_43A0_8D11_03DFEAB859C4_.wvu.FilterData">Sheet1!$A$2:$BJ$272</definedName>
    <definedName hidden="1" localSheetId="0" name="Z_4D24B56A_5309_4B3A_9D0C_72112C9B5CD6_.wvu.FilterData">Sheet1!$A$1:$BJ$272</definedName>
    <definedName hidden="1" localSheetId="0" name="Z_6607C459_0C59_43DB_A12A_9A13CCBA58A4_.wvu.FilterData">Sheet1!$B$273</definedName>
    <definedName hidden="1" localSheetId="0" name="Z_32B31068_AEA8_4335_91F1_E18C5DFC6072_.wvu.FilterData">Sheet1!$A$1:$BJ$272</definedName>
    <definedName hidden="1" localSheetId="0" name="Z_1676362C_9E12_45D9_B8A1_9D8E57528BB6_.wvu.FilterData">Sheet1!$A$1:$BJ$272</definedName>
    <definedName hidden="1" localSheetId="0" name="Z_481B9354_D231_4F21_99DB_1CF3517AD8BF_.wvu.FilterData">Sheet1!$B$273</definedName>
    <definedName hidden="1" localSheetId="0" name="Z_04DE3381_393C_4EEA_BA5B_00350A82EF87_.wvu.FilterData">Sheet1!$A$1:$BJ$272</definedName>
    <definedName hidden="1" localSheetId="0" name="Z_0DBC12AD_7B51_4845_B850_BAA03BA0CDDA_.wvu.FilterData">Sheet1!$A$1:$BJ$272</definedName>
    <definedName hidden="1" localSheetId="0" name="Z_3B8DD201_C000_4ACF_8D87_D2B9AC5FC382_.wvu.FilterData">Sheet1!$A$2:$BJ$272</definedName>
    <definedName hidden="1" localSheetId="0" name="Z_C10D26C4_916C_483F_95D5_A7CBB80A8107_.wvu.FilterData">Sheet1!$A$1:$BJ$272</definedName>
    <definedName hidden="1" localSheetId="0" name="Z_3BEE8A91_F811_46F2_8EFE_796546F3BD3D_.wvu.FilterData">Sheet1!$A$1:$BJ$272</definedName>
    <definedName hidden="1" localSheetId="0" name="Z_46B0EE99_8E4C_4312_A60A_4ED3CCBE21F7_.wvu.FilterData">Sheet1!$A$2:$BM$272</definedName>
    <definedName hidden="1" localSheetId="0" name="Z_9F4FA4ED_E820_431C_8BB1_D55354DB80E4_.wvu.FilterData">Sheet1!$A$1:$BJ$272</definedName>
    <definedName hidden="1" localSheetId="0" name="Z_F931C38A_AD80_410B_A6D6_57DD431EE5EF_.wvu.FilterData">Sheet1!$A$1:$BJ$272</definedName>
    <definedName hidden="1" localSheetId="0" name="Z_3B88E4D0_86E1_4273_ADFE_2420EA3B8EEA_.wvu.FilterData">Sheet1!$A$1:$BJ$272</definedName>
    <definedName hidden="1" localSheetId="0" name="Z_05777BE4_34FB_4B46_AC0A_7B9D033BF748_.wvu.FilterData">Sheet1!$A$1:$BJ$272</definedName>
    <definedName hidden="1" localSheetId="0" name="Z_BEA96A2D_20AE_4697_8551_2900DC776ADB_.wvu.FilterData">Sheet1!$A$2:$BM$287</definedName>
    <definedName hidden="1" localSheetId="0" name="Z_72F49289_B21B_4A6B_8B4D_61D7B3990E50_.wvu.FilterData">Sheet1!$A$1:$BJ$272</definedName>
    <definedName hidden="1" localSheetId="0" name="Z_99E0E8A8_B1BC_4136_A2B3_91DD85BF53EE_.wvu.FilterData">Sheet1!$A$1:$BJ$272</definedName>
    <definedName hidden="1" localSheetId="0" name="Z_E2771C42_0D24_41D8_A539_F42438DAAA69_.wvu.FilterData">Sheet1!$A$1:$BJ$272</definedName>
    <definedName hidden="1" localSheetId="0" name="Z_A62DCD7F_DA65_4D15_A823_0B3F861D48AA_.wvu.FilterData">Sheet1!$A$1:$BJ$272</definedName>
    <definedName hidden="1" localSheetId="0" name="Z_885A3008_B4AF_46BA_B15F_E44CC7FA3032_.wvu.FilterData">Sheet1!$A$1:$BJ$272</definedName>
    <definedName hidden="1" localSheetId="0" name="Z_E2C5A3E9_D830_4729_A53B_56B01DE3A085_.wvu.FilterData">Sheet1!$A$1:$BJ$272</definedName>
    <definedName hidden="1" localSheetId="0" name="Z_581B5BA0_4D64_482F_BC70_2CB82A9871A1_.wvu.FilterData">Sheet1!$A$1:$BJ$272</definedName>
    <definedName hidden="1" localSheetId="0" name="Z_06219470_F303_4B21_A742_244DF103F74F_.wvu.FilterData">Sheet1!$A$1:$BJ$272</definedName>
    <definedName hidden="1" localSheetId="0" name="Z_EEE6F621_1FD4_4657_AB21_69E6DD2B44D6_.wvu.FilterData">Sheet1!$A$1:$BJ$272</definedName>
    <definedName hidden="1" localSheetId="0" name="Z_F6E3EAF5_2F97_4312_AF36_CD7913509DAB_.wvu.FilterData">Sheet1!$A$2:$BJ$272</definedName>
    <definedName hidden="1" localSheetId="0" name="Z_F9CD113E_4AC5_4BF9_B9AD_F8E5ED2544CD_.wvu.FilterData">Sheet1!$A$1:$BJ$272</definedName>
    <definedName hidden="1" localSheetId="0" name="Z_682B7555_5C61_446C_A7CD_7FC4900BDAB0_.wvu.FilterData">Sheet1!$A$1:$BJ$272</definedName>
    <definedName hidden="1" localSheetId="0" name="Z_CB15843D_64DD_4101_A09E_63B7F34D0BAE_.wvu.FilterData">Sheet1!$A$1:$BJ$272</definedName>
    <definedName hidden="1" localSheetId="0" name="Z_6C0F86A6_F591_4D83_B80D_84BD1FB47A7A_.wvu.FilterData">Sheet1!$A$1:$BJ$272</definedName>
    <definedName hidden="1" localSheetId="0" name="Z_AB4E9646_B64E_4F26_B1F1_2A62DC5AE966_.wvu.FilterData">Sheet1!$A$1:$BJ$272</definedName>
  </definedNames>
  <calcPr/>
  <customWorkbookViews>
    <customWorkbookView activeSheetId="0" maximized="1" tabRatio="600" windowHeight="0" windowWidth="0" guid="{32B31068-AEA8-4335-91F1-E18C5DFC6072}" name="Filter 33"/>
    <customWorkbookView activeSheetId="0" maximized="1" tabRatio="600" windowHeight="0" windowWidth="0" guid="{40B3E54F-86F6-4EFE-A969-D3961BB11780}" name="Filter 34"/>
    <customWorkbookView activeSheetId="0" maximized="1" tabRatio="600" windowHeight="0" windowWidth="0" guid="{CB15843D-64DD-4101-A09E-63B7F34D0BAE}" name="Filter 35"/>
    <customWorkbookView activeSheetId="0" maximized="1" tabRatio="600" windowHeight="0" windowWidth="0" guid="{682B7555-5C61-446C-A7CD-7FC4900BDAB0}" name="Filter 36"/>
    <customWorkbookView activeSheetId="0" maximized="1" tabRatio="600" windowHeight="0" windowWidth="0" guid="{E2C5A3E9-D830-4729-A53B-56B01DE3A085}" name="Filter 37"/>
    <customWorkbookView activeSheetId="0" maximized="1" tabRatio="600" windowHeight="0" windowWidth="0" guid="{5F9ED33E-E0AD-4752-8B04-D3A3D8822FF9}" name="Filter 38"/>
    <customWorkbookView activeSheetId="0" maximized="1" tabRatio="600" windowHeight="0" windowWidth="0" guid="{AB4E9646-B64E-4F26-B1F1-2A62DC5AE966}" name="Filter 39"/>
    <customWorkbookView activeSheetId="0" maximized="1" tabRatio="600" windowHeight="0" windowWidth="0" guid="{A62DCD7F-DA65-4D15-A823-0B3F861D48AA}" name="Filter 30"/>
    <customWorkbookView activeSheetId="0" maximized="1" tabRatio="600" windowHeight="0" windowWidth="0" guid="{3BEE8A91-F811-46F2-8EFE-796546F3BD3D}" name="Filter 31"/>
    <customWorkbookView activeSheetId="0" maximized="1" tabRatio="600" windowHeight="0" windowWidth="0" guid="{0DBC12AD-7B51-4845-B850-BAA03BA0CDDA}" name="Filter 32"/>
    <customWorkbookView activeSheetId="0" maximized="1" tabRatio="600" windowHeight="0" windowWidth="0" guid="{C862739C-045B-4ABB-B0FC-572071B50896}" name="Filter 22"/>
    <customWorkbookView activeSheetId="0" maximized="1" tabRatio="600" windowHeight="0" windowWidth="0" guid="{99E0E8A8-B1BC-4136-A2B3-91DD85BF53EE}" name="Filter 23"/>
    <customWorkbookView activeSheetId="0" maximized="1" tabRatio="600" windowHeight="0" windowWidth="0" guid="{BFB8D08B-2AB8-473F-8286-DCFD52446AEB}" name="Filter 24"/>
    <customWorkbookView activeSheetId="0" maximized="1" tabRatio="600" windowHeight="0" windowWidth="0" guid="{A5551389-35A1-4347-803D-F43BE228BE32}" name="Filter 25"/>
    <customWorkbookView activeSheetId="0" maximized="1" tabRatio="600" windowHeight="0" windowWidth="0" guid="{072ACADB-3391-4F56-8091-491BC196188A}" name="Filter 26"/>
    <customWorkbookView activeSheetId="0" maximized="1" tabRatio="600" windowHeight="0" windowWidth="0" guid="{422CEE51-113E-4DA1-97B8-8A0D681D37D3}" name="Filter 27"/>
    <customWorkbookView activeSheetId="0" maximized="1" tabRatio="600" windowHeight="0" windowWidth="0" guid="{3CC59E1C-344D-4E4F-BA21-4CE291B63CAF}" name="Filter 28"/>
    <customWorkbookView activeSheetId="0" maximized="1" tabRatio="600" windowHeight="0" windowWidth="0" guid="{62340CA9-D4F5-438B-8E41-487CF76225BA}" name="Filter 29"/>
    <customWorkbookView activeSheetId="0" maximized="1" tabRatio="600" windowHeight="0" windowWidth="0" guid="{9BF15CC5-DA84-4BA9-BED2-8EAB229E5E86}" name="Filter 60"/>
    <customWorkbookView activeSheetId="0" maximized="1" tabRatio="600" windowHeight="0" windowWidth="0" guid="{BEA96A2D-20AE-4697-8551-2900DC776ADB}" name="Filter 61"/>
    <customWorkbookView activeSheetId="0" maximized="1" tabRatio="600" windowHeight="0" windowWidth="0" guid="{58E0480A-D6E6-47ED-AB7A-A81ACC9284EC}" name="Filter 62"/>
    <customWorkbookView activeSheetId="0" maximized="1" tabRatio="600" windowHeight="0" windowWidth="0" guid="{06219470-F303-4B21-A742-244DF103F74F}" name="Filter 20"/>
    <customWorkbookView activeSheetId="0" maximized="1" tabRatio="600" windowHeight="0" windowWidth="0" guid="{3B88E4D0-86E1-4273-ADFE-2420EA3B8EEA}" name="Filter 21"/>
    <customWorkbookView activeSheetId="0" maximized="1" tabRatio="600" windowHeight="0" windowWidth="0" guid="{C4CAA331-CF11-42D3-B156-D7B3EE29A38B}" name="Filter 55"/>
    <customWorkbookView activeSheetId="0" maximized="1" tabRatio="600" windowHeight="0" windowWidth="0" guid="{4369FE5D-38BD-4A60-985F-5DC91E2253C4}" name="Filter 11"/>
    <customWorkbookView activeSheetId="0" maximized="1" tabRatio="600" windowHeight="0" windowWidth="0" guid="{F8DB7E59-F834-4FEE-A665-D53174BC185C}" name="Filter 12"/>
    <customWorkbookView activeSheetId="0" maximized="1" tabRatio="600" windowHeight="0" windowWidth="0" guid="{F256E4D7-C759-49F7-8841-B3C6311D028F}" name="Filter 56"/>
    <customWorkbookView activeSheetId="0" maximized="1" tabRatio="600" windowHeight="0" windowWidth="0" guid="{481B9354-D231-4F21-99DB-1CF3517AD8BF}" name="Filter 13"/>
    <customWorkbookView activeSheetId="0" maximized="1" tabRatio="600" windowHeight="0" windowWidth="0" guid="{E6E689F2-3E7E-4266-A012-F1D1D3DBDB94}" name="Filter 57"/>
    <customWorkbookView activeSheetId="0" maximized="1" tabRatio="600" windowHeight="0" windowWidth="0" guid="{46B0EE99-8E4C-4312-A60A-4ED3CCBE21F7}" name="Filter 58"/>
    <customWorkbookView activeSheetId="0" maximized="1" tabRatio="600" windowHeight="0" windowWidth="0" guid="{20BC0155-6132-4BA0-89D8-81C062B40308}" name="Filter 14"/>
    <customWorkbookView activeSheetId="0" maximized="1" tabRatio="600" windowHeight="0" windowWidth="0" guid="{7F4A1DFB-5F01-4BEC-B296-F2A7BA2ADBEA}" name="Filter 59"/>
    <customWorkbookView activeSheetId="0" maximized="1" tabRatio="600" windowHeight="0" windowWidth="0" guid="{6607C459-0C59-43DB-A12A-9A13CCBA58A4}" name="Filter 15"/>
    <customWorkbookView activeSheetId="0" maximized="1" tabRatio="600" windowHeight="0" windowWidth="0" guid="{D4CF8F64-92B5-4DC3-93A8-6FA6089FBFA5}" name="Filter 16"/>
    <customWorkbookView activeSheetId="0" maximized="1" tabRatio="600" windowHeight="0" windowWidth="0" guid="{885A3008-B4AF-46BA-B15F-E44CC7FA3032}" name="Filter 17"/>
    <customWorkbookView activeSheetId="0" maximized="1" tabRatio="600" windowHeight="0" windowWidth="0" guid="{7B84939B-EAC9-4FA6-A144-F917FDF77181}" name="Filter 18"/>
    <customWorkbookView activeSheetId="0" maximized="1" tabRatio="600" windowHeight="0" windowWidth="0" guid="{C8BFFCA9-3C8C-40AD-A799-4B929F863F37}" name="Filter 50"/>
    <customWorkbookView activeSheetId="0" maximized="1" tabRatio="600" windowHeight="0" windowWidth="0" guid="{5F7FB0F5-7B95-4690-9129-5779C032BBB2}" name="Filter 51"/>
    <customWorkbookView activeSheetId="0" maximized="1" tabRatio="600" windowHeight="0" windowWidth="0" guid="{F9CD113E-4AC5-4BF9-B9AD-F8E5ED2544CD}" name="Filter 52"/>
    <customWorkbookView activeSheetId="0" maximized="1" tabRatio="600" windowHeight="0" windowWidth="0" guid="{3D374A99-4299-43A0-8D11-03DFEAB859C4}" name="Filter 53"/>
    <customWorkbookView activeSheetId="0" maximized="1" tabRatio="600" windowHeight="0" windowWidth="0" guid="{9F4FA4ED-E820-431C-8BB1-D55354DB80E4}" name="Filter 10"/>
    <customWorkbookView activeSheetId="0" maximized="1" tabRatio="600" windowHeight="0" windowWidth="0" guid="{EEE6F621-1FD4-4657-AB21-69E6DD2B44D6}" name="Filter 54"/>
    <customWorkbookView activeSheetId="0" maximized="1" tabRatio="600" windowHeight="0" windowWidth="0" guid="{21DB75F3-8AC0-4736-8E12-679C456E43FC}" name="Filter 19"/>
    <customWorkbookView activeSheetId="0" maximized="1" tabRatio="600" windowHeight="0" windowWidth="0" guid="{04DE3381-393C-4EEA-BA5B-00350A82EF87}" name="Filter 44"/>
    <customWorkbookView activeSheetId="0" maximized="1" tabRatio="600" windowHeight="0" windowWidth="0" guid="{2F547FDA-C453-4EF9-A288-E761B0392CD9}" name="Filter 45"/>
    <customWorkbookView activeSheetId="0" maximized="1" tabRatio="600" windowHeight="0" windowWidth="0" guid="{581B5BA0-4D64-482F-BC70-2CB82A9871A1}" name="Filter 46"/>
    <customWorkbookView activeSheetId="0" maximized="1" tabRatio="600" windowHeight="0" windowWidth="0" guid="{F931C38A-AD80-410B-A6D6-57DD431EE5EF}" name="Filter 47"/>
    <customWorkbookView activeSheetId="0" maximized="1" tabRatio="600" windowHeight="0" windowWidth="0" guid="{05777BE4-34FB-4B46-AC0A-7B9D033BF748}" name="Filter 48"/>
    <customWorkbookView activeSheetId="0" maximized="1" tabRatio="600" windowHeight="0" windowWidth="0" guid="{77DC4EEB-9ABC-416B-8ADF-8DFBC2D6C5F5}" name="Filter 49"/>
    <customWorkbookView activeSheetId="0" maximized="1" tabRatio="600" windowHeight="0" windowWidth="0" guid="{6451AEBE-24B8-43D4-856E-2FF19F87FF5E}" name="Filter 40"/>
    <customWorkbookView activeSheetId="0" maximized="1" tabRatio="600" windowHeight="0" windowWidth="0" guid="{F7D4EFB3-7423-47E7-9B03-375B0741E121}" name="Filter 41"/>
    <customWorkbookView activeSheetId="0" maximized="1" tabRatio="600" windowHeight="0" windowWidth="0" guid="{E2771C42-0D24-41D8-A539-F42438DAAA69}" name="Filter 8"/>
    <customWorkbookView activeSheetId="0" maximized="1" tabRatio="600" windowHeight="0" windowWidth="0" guid="{F6E3EAF5-2F97-4312-AF36-CD7913509DAB}" name="Filter 42"/>
    <customWorkbookView activeSheetId="0" maximized="1" tabRatio="600" windowHeight="0" windowWidth="0" guid="{1676362C-9E12-45D9-B8A1-9D8E57528BB6}" name="Filter 9"/>
    <customWorkbookView activeSheetId="0" maximized="1" tabRatio="600" windowHeight="0" windowWidth="0" guid="{3B8DD201-C000-4ACF-8D87-D2B9AC5FC382}" name="Filter 43"/>
    <customWorkbookView activeSheetId="0" maximized="1" tabRatio="600" windowHeight="0" windowWidth="0" guid="{8D65A2F8-F5EE-4D5C-BEC1-00A6937EF61A}" name="Filter 6"/>
    <customWorkbookView activeSheetId="0" maximized="1" tabRatio="600" windowHeight="0" windowWidth="0" guid="{72F49289-B21B-4A6B-8B4D-61D7B3990E50}" name="Filter 7"/>
    <customWorkbookView activeSheetId="0" maximized="1" tabRatio="600" windowHeight="0" windowWidth="0" guid="{DC898AA9-E5EF-47C3-96EA-9D7082797A84}" name="Filter 4"/>
    <customWorkbookView activeSheetId="0" maximized="1" tabRatio="600" windowHeight="0" windowWidth="0" guid="{C10D26C4-916C-483F-95D5-A7CBB80A8107}" name="Filter 5"/>
    <customWorkbookView activeSheetId="0" maximized="1" tabRatio="600" windowHeight="0" windowWidth="0" guid="{4D24B56A-5309-4B3A-9D0C-72112C9B5CD6}" name="Filter 2"/>
    <customWorkbookView activeSheetId="0" maximized="1" tabRatio="600" windowHeight="0" windowWidth="0" guid="{6C0F86A6-F591-4D83-B80D-84BD1FB47A7A}" name="Filter 3"/>
    <customWorkbookView activeSheetId="0" maximized="1" tabRatio="600" windowHeight="0" windowWidth="0" guid="{376BD382-EF75-46FA-AEBF-8DB60265E1AB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A98">
      <text>
        <t xml:space="preserve">0112-7950-222</t>
      </text>
    </comment>
    <comment authorId="0" ref="B111">
      <text>
        <t xml:space="preserve">+201004205994</t>
      </text>
    </comment>
    <comment authorId="0" ref="B112">
      <text>
        <t xml:space="preserve">+201098218108</t>
      </text>
    </comment>
    <comment authorId="0" ref="B121">
      <text>
        <t xml:space="preserve">01021391286</t>
      </text>
    </comment>
    <comment authorId="0" ref="B122">
      <text>
        <t xml:space="preserve">01020426475</t>
      </text>
    </comment>
    <comment authorId="0" ref="B123">
      <text>
        <t xml:space="preserve">01030814002</t>
      </text>
    </comment>
    <comment authorId="0" ref="I97">
      <text>
        <t xml:space="preserve">aabdulkhaleq13@gmail.com
	-Salma Gaber</t>
      </text>
    </comment>
    <comment authorId="0" ref="L81">
      <text>
        <t xml:space="preserve">mbashat84
	-Salma Gaber</t>
      </text>
    </comment>
    <comment authorId="0" ref="L65">
      <text>
        <t xml:space="preserve">nour1992
	-Salma Gaber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80">
      <text>
        <t xml:space="preserve">678, 679 and 680 are brothers and sister their mom is Awaleena 682 she pays for them
</t>
      </text>
    </comment>
  </commentList>
</comments>
</file>

<file path=xl/sharedStrings.xml><?xml version="1.0" encoding="utf-8"?>
<sst xmlns="http://schemas.openxmlformats.org/spreadsheetml/2006/main" count="2775" uniqueCount="1075">
  <si>
    <t>Financial Status</t>
  </si>
  <si>
    <t>Attendance statistics</t>
  </si>
  <si>
    <t>HomeWork status</t>
  </si>
  <si>
    <t>Teacher Registeration Number</t>
  </si>
  <si>
    <t>Teacher Name</t>
  </si>
  <si>
    <t>Teacher Key</t>
  </si>
  <si>
    <t>Employment Status</t>
  </si>
  <si>
    <t>Gender</t>
  </si>
  <si>
    <t>Date Joined</t>
  </si>
  <si>
    <t>Date Left</t>
  </si>
  <si>
    <t>Retention Time (in Months)</t>
  </si>
  <si>
    <t>Email</t>
  </si>
  <si>
    <t>Phone number</t>
  </si>
  <si>
    <t>Zoom</t>
  </si>
  <si>
    <t>Zoom Password</t>
  </si>
  <si>
    <t>DOB</t>
  </si>
  <si>
    <t>Age</t>
  </si>
  <si>
    <t>Marital Status</t>
  </si>
  <si>
    <t>Read English</t>
  </si>
  <si>
    <t>Speak English</t>
  </si>
  <si>
    <t>Extra Languages</t>
  </si>
  <si>
    <t>Country</t>
  </si>
  <si>
    <t>City</t>
  </si>
  <si>
    <t>Time Zone</t>
  </si>
  <si>
    <t>Daylight Savings</t>
  </si>
  <si>
    <t>Place Of Birth</t>
  </si>
  <si>
    <t>Teacher Payment Status</t>
  </si>
  <si>
    <t>Course Type</t>
  </si>
  <si>
    <t>Payment Method</t>
  </si>
  <si>
    <t>Payment Phone no.</t>
  </si>
  <si>
    <t>Gross Salary</t>
  </si>
  <si>
    <t>Billable sessions</t>
  </si>
  <si>
    <t xml:space="preserve">Paid Sessions </t>
  </si>
  <si>
    <t>Penalties</t>
  </si>
  <si>
    <t>Session Balance</t>
  </si>
  <si>
    <t>Gross Due Amount</t>
  </si>
  <si>
    <t>AVG Session Duration</t>
  </si>
  <si>
    <t>Number Of Students</t>
  </si>
  <si>
    <t>Number Of Sessions</t>
  </si>
  <si>
    <t>Last attendance status</t>
  </si>
  <si>
    <t>Total sessions</t>
  </si>
  <si>
    <t>Total Active Sessions</t>
  </si>
  <si>
    <t>Total attended On Time</t>
  </si>
  <si>
    <t>Total Absent</t>
  </si>
  <si>
    <t>Total Late</t>
  </si>
  <si>
    <t>Total Rescheduled</t>
  </si>
  <si>
    <t xml:space="preserve">Total Attendance Not shown </t>
  </si>
  <si>
    <t>Percentage Atteneded In Time</t>
  </si>
  <si>
    <t>Percentage Absent</t>
  </si>
  <si>
    <t>Percentage Late</t>
  </si>
  <si>
    <t>Percentage Reschedued</t>
  </si>
  <si>
    <t>Percentage Attended No Show</t>
  </si>
  <si>
    <t xml:space="preserve">General Percentage Atteneded </t>
  </si>
  <si>
    <t>Total HomeWork Given</t>
  </si>
  <si>
    <t>Total Completed HomeWork</t>
  </si>
  <si>
    <t>Total Uncompleted HomeWork</t>
  </si>
  <si>
    <t>Total N/A HomeWork</t>
  </si>
  <si>
    <t>Homework Completed Percentage</t>
  </si>
  <si>
    <t>Total Incomplete Homework Percentage</t>
  </si>
  <si>
    <t>Total N/A Homework Percentage</t>
  </si>
  <si>
    <t xml:space="preserve">FeedBack </t>
  </si>
  <si>
    <t>Teacher Equipment</t>
  </si>
  <si>
    <t>Attitude</t>
  </si>
  <si>
    <t>Adherence To Policy</t>
  </si>
  <si>
    <t>Consecutive Sessions</t>
  </si>
  <si>
    <t>Break sessions</t>
  </si>
  <si>
    <t>State</t>
  </si>
  <si>
    <t>TEA001</t>
  </si>
  <si>
    <t>Ahlam Shedeed</t>
  </si>
  <si>
    <t>"15aTlsjt3H2eFgMliEP-SJwRm-qbbckuzxul17JcEv8s"</t>
  </si>
  <si>
    <t>Inactive</t>
  </si>
  <si>
    <t>Female</t>
  </si>
  <si>
    <t>charming_limo@yahoo.com</t>
  </si>
  <si>
    <t>0122-838-5477</t>
  </si>
  <si>
    <t>nour.ahlaam</t>
  </si>
  <si>
    <t>ahlam100</t>
  </si>
  <si>
    <t>Married</t>
  </si>
  <si>
    <t>Yes</t>
  </si>
  <si>
    <t>No</t>
  </si>
  <si>
    <t>Egypt</t>
  </si>
  <si>
    <t>Alexandria</t>
  </si>
  <si>
    <t>GMT +2</t>
  </si>
  <si>
    <t>Paid</t>
  </si>
  <si>
    <t>Recitation</t>
  </si>
  <si>
    <t>Cash</t>
  </si>
  <si>
    <t>Al Iskandarīyah</t>
  </si>
  <si>
    <t>TEA002</t>
  </si>
  <si>
    <t>Amira Ahmad</t>
  </si>
  <si>
    <t>"1yiB5eH5TmXRN_KISDuSBdwQoGb7ALhEwjboiB3FDYok"</t>
  </si>
  <si>
    <t xml:space="preserve">princessami83@gmail.com </t>
  </si>
  <si>
    <t>0096-5559-84839</t>
  </si>
  <si>
    <t>nour.amiraa</t>
  </si>
  <si>
    <t>amr311</t>
  </si>
  <si>
    <t>no</t>
  </si>
  <si>
    <t>Cairo</t>
  </si>
  <si>
    <t>Voluonteer</t>
  </si>
  <si>
    <t>Al Qāhirah</t>
  </si>
  <si>
    <t>TEA003</t>
  </si>
  <si>
    <t>Aya El Tobgy</t>
  </si>
  <si>
    <t>"1OvsqOTbDrldu8QzDeov0sMg3BweXRsRtmTL3pTvYywk"</t>
  </si>
  <si>
    <t xml:space="preserve">  ayatobgy@hotmail.com</t>
  </si>
  <si>
    <t>0100-2082-002</t>
  </si>
  <si>
    <t>nour.ayaeltobgy</t>
  </si>
  <si>
    <t>tobgy86</t>
  </si>
  <si>
    <t>Single</t>
  </si>
  <si>
    <t>French</t>
  </si>
  <si>
    <t>TEA004</t>
  </si>
  <si>
    <t>Lubna Morsy</t>
  </si>
  <si>
    <t>"1H57Ll34xiyRfJh58WKuEgNUMN33ionbTVqRoR4KwbWE"</t>
  </si>
  <si>
    <t>lubna_morsy1986@yahoo.com</t>
  </si>
  <si>
    <t>01111-586-079</t>
  </si>
  <si>
    <t>nour.lubna</t>
  </si>
  <si>
    <t>zxc987</t>
  </si>
  <si>
    <t>TEA005</t>
  </si>
  <si>
    <t>Salwa Al Baroody</t>
  </si>
  <si>
    <t>"19Uuk_W0X5ZMnBCiRPQNTwjd9ncN4bnbnAn03jyp6lDs"</t>
  </si>
  <si>
    <t>mohebelquraan_ketabelaah@yahoo.com</t>
  </si>
  <si>
    <t>010-2265-2823</t>
  </si>
  <si>
    <t>nour.salwaalbarody</t>
  </si>
  <si>
    <t>sara37</t>
  </si>
  <si>
    <t>Qena</t>
  </si>
  <si>
    <t>Qinā</t>
  </si>
  <si>
    <t>TEA006</t>
  </si>
  <si>
    <t>Umm Omar</t>
  </si>
  <si>
    <t>"1wJjH7H8wrcqUnClMTZI3fz882C6-5ozj_hhJftVIMyk"</t>
  </si>
  <si>
    <t>Active</t>
  </si>
  <si>
    <t>0111-536-1667</t>
  </si>
  <si>
    <t>nour.ummomar</t>
  </si>
  <si>
    <t>omar2005</t>
  </si>
  <si>
    <t>Damanhûr</t>
  </si>
  <si>
    <t>Vodafone Cash</t>
  </si>
  <si>
    <t>010-9772-6344</t>
  </si>
  <si>
    <t>Al Buḩayrah</t>
  </si>
  <si>
    <t>TEA007</t>
  </si>
  <si>
    <t>Raghda Marwan</t>
  </si>
  <si>
    <t>"1Bbcpvev93TvFEUZZaRwZ6V5B-RmfWq0WE5ddPSdvnyM"</t>
  </si>
  <si>
    <t>roughi88@hotmail.com</t>
  </si>
  <si>
    <t>0112-151-7639</t>
  </si>
  <si>
    <t>nour.raghda</t>
  </si>
  <si>
    <t>roughi88</t>
  </si>
  <si>
    <t>TEA008</t>
  </si>
  <si>
    <t>Khadija Omar</t>
  </si>
  <si>
    <t>"1CnRsNx3LVVf1V3MOh-wVqDH_GD-K3xP8JRTdKc3KhWY"</t>
  </si>
  <si>
    <t>khadigaso@gmail.com</t>
  </si>
  <si>
    <t>0100-9190-009</t>
  </si>
  <si>
    <t>nour.khadiga</t>
  </si>
  <si>
    <t>khadiga88</t>
  </si>
  <si>
    <t>TEA009</t>
  </si>
  <si>
    <t>Rania Habib</t>
  </si>
  <si>
    <t>"1TELoZi_9N55NJWpdmRa6m2y4sSE8P6K2dtTgjE5tH5Q"</t>
  </si>
  <si>
    <t>rania_habib_trust@yahoo.com</t>
  </si>
  <si>
    <t>0100-1490-371</t>
  </si>
  <si>
    <t>nour.raniahabib</t>
  </si>
  <si>
    <t>rania100</t>
  </si>
  <si>
    <t>TEA010</t>
  </si>
  <si>
    <t>Basma Raafat</t>
  </si>
  <si>
    <t>"1ACB6jWmETwSN1XgF1wtg-tV8r796BmkSmfHU2wh2vjI"</t>
  </si>
  <si>
    <t>think_green_@hotmail.com</t>
  </si>
  <si>
    <t>0100-4730-548</t>
  </si>
  <si>
    <t>nour.basmaraafat</t>
  </si>
  <si>
    <t>allah.1</t>
  </si>
  <si>
    <t>TEA011</t>
  </si>
  <si>
    <t>Hebatallah Nabil</t>
  </si>
  <si>
    <t>"1zKUMkSlpHYPysUs1Ny045YUcmA31o5-JsiNOM4JnGZI"</t>
  </si>
  <si>
    <t>heba.daif@gmail.com</t>
  </si>
  <si>
    <t>0100-1088-264</t>
  </si>
  <si>
    <t>nour.hebatallah</t>
  </si>
  <si>
    <t>iaymtIAYMT111</t>
  </si>
  <si>
    <t>TEA012</t>
  </si>
  <si>
    <t>Ingy Bahgat</t>
  </si>
  <si>
    <t>"1Q8FxMNl-fTEAn05yptQMuPcKFErRLhKJqpS4wB6NPwQ"</t>
  </si>
  <si>
    <t>engy1234@hotmail.com</t>
  </si>
  <si>
    <t>0100-1234-332</t>
  </si>
  <si>
    <t>nour.ingy</t>
  </si>
  <si>
    <t>quran7aya</t>
  </si>
  <si>
    <t>TEA013</t>
  </si>
  <si>
    <t>Amany Muhammad</t>
  </si>
  <si>
    <t>"1vJbdWW6w1gDwon4xm3y7IYik8Ga8Ok8axAfgz4UHBIs"</t>
  </si>
  <si>
    <t>amanymh90@gmail.com</t>
  </si>
  <si>
    <t>0111-6290165</t>
  </si>
  <si>
    <t>nour.amaany</t>
  </si>
  <si>
    <t>amany92</t>
  </si>
  <si>
    <t>TEA014</t>
  </si>
  <si>
    <t>Shahenda Rashwan</t>
  </si>
  <si>
    <t>"1jhXuElEQxkBFeC3vj6Vv8QeKFNSA87nN48-TBkrtmBw"</t>
  </si>
  <si>
    <t>shahendasalah200@hotmail.com</t>
  </si>
  <si>
    <t>0100-4174-384</t>
  </si>
  <si>
    <t>nour.shahenda</t>
  </si>
  <si>
    <t>sub7anallah</t>
  </si>
  <si>
    <t>TEA015</t>
  </si>
  <si>
    <t>Tamer El Giziry</t>
  </si>
  <si>
    <t>"1KGf6mn88QhZEVMX0vPclxK9vd3bW6o8MB8hhaaZYLjA"</t>
  </si>
  <si>
    <t>Male</t>
  </si>
  <si>
    <t>tamerelgiziry@gmail.com</t>
  </si>
  <si>
    <t>0115-881-6221</t>
  </si>
  <si>
    <t>nour.tamerelgiziry</t>
  </si>
  <si>
    <t>elgiziry81</t>
  </si>
  <si>
    <t>TEA016</t>
  </si>
  <si>
    <t>Pensee Zamzam</t>
  </si>
  <si>
    <t>piospos@gmail.com</t>
  </si>
  <si>
    <t>0100-2909-399</t>
  </si>
  <si>
    <t>nour.pensee</t>
  </si>
  <si>
    <t>nouracademy1</t>
  </si>
  <si>
    <t>TEA017</t>
  </si>
  <si>
    <t>Mona El Rassass</t>
  </si>
  <si>
    <t>"129xJr9B0z88MLYRbMhmwhEmzuXH5E_p8tSQOqeplIr0"</t>
  </si>
  <si>
    <t>monasalem@aucegypt.edu</t>
  </si>
  <si>
    <t>0100-5651-055</t>
  </si>
  <si>
    <t>nour.monaelrassass</t>
  </si>
  <si>
    <t>nour.monaelrassass1</t>
  </si>
  <si>
    <t>TEA018</t>
  </si>
  <si>
    <t>Sarah Hussain</t>
  </si>
  <si>
    <t>"1odiKcsN8joncQ8T0lAb00Ry8F-Nkqo7eYztsMlDuHfw"</t>
  </si>
  <si>
    <t>send_to_sarah@yahoo.com</t>
  </si>
  <si>
    <t>0114-440-1010</t>
  </si>
  <si>
    <t xml:space="preserve">
nour.sarahussein</t>
  </si>
  <si>
    <t>sara10</t>
  </si>
  <si>
    <t>TEA019</t>
  </si>
  <si>
    <t>Pakinam Muhammad</t>
  </si>
  <si>
    <t>"1hNg6oF31Q4oiO23UuT6jV4lovWoWHAzcJ_misweN4D8"</t>
  </si>
  <si>
    <t>paki4444@yahoo.com</t>
  </si>
  <si>
    <t>0100-6239-985</t>
  </si>
  <si>
    <t>nour.pakinam</t>
  </si>
  <si>
    <t>pakinam80</t>
  </si>
  <si>
    <t>TEA020</t>
  </si>
  <si>
    <t>Walaa Hassan</t>
  </si>
  <si>
    <t>"1q9977gMu4FwXSZH8E79StXsHXCkXqzLuXz82m0LdWyU"</t>
  </si>
  <si>
    <t>walaaali@hotmail.com</t>
  </si>
  <si>
    <t>0100-807-7379</t>
  </si>
  <si>
    <t>nour.walaa</t>
  </si>
  <si>
    <t>walaa10</t>
  </si>
  <si>
    <t>TEA021</t>
  </si>
  <si>
    <t>Heba El Khateeb</t>
  </si>
  <si>
    <t>"1hVVDkW8ddsayvuEDMt8ezvvS7zgQJqgwuU7YdVnsigo"</t>
  </si>
  <si>
    <t>hopefullgirl83@gmail.com</t>
  </si>
  <si>
    <t>0109-476-0098</t>
  </si>
  <si>
    <t>nour.hebaelkhateb</t>
  </si>
  <si>
    <t>heba1983</t>
  </si>
  <si>
    <t>TEA022</t>
  </si>
  <si>
    <t>Hisham Hafez</t>
  </si>
  <si>
    <t>"1hNqKDErR1tL9o6YN7Gzb8RQouPcwnCKcf6ewtUFV5P4"</t>
  </si>
  <si>
    <t>h.hafez@nouracademy.com</t>
  </si>
  <si>
    <t>01112-681-681</t>
  </si>
  <si>
    <t>nour.academy</t>
  </si>
  <si>
    <t>TEA023</t>
  </si>
  <si>
    <t>Taher Abou Zainah</t>
  </si>
  <si>
    <t>"13_nzUpBbZeCG190O_TikFQbYrmP2ytK7CsLtg8EwSic"</t>
  </si>
  <si>
    <t>taher.abouzainah@yahoo.com</t>
  </si>
  <si>
    <t>0106-542-4134</t>
  </si>
  <si>
    <t>TEA024</t>
  </si>
  <si>
    <t>Aya El Gebeely</t>
  </si>
  <si>
    <t>"1k4x1lZD7Vohz7sFcVUOzWE5aKlEikS-03zx70wUn6ig"</t>
  </si>
  <si>
    <t>aya.gebeely@gmail.com</t>
  </si>
  <si>
    <t>0100-440-6121</t>
  </si>
  <si>
    <t>TEA025</t>
  </si>
  <si>
    <t>Alaa Ibrahim</t>
  </si>
  <si>
    <t>"14t1GQ6BPJTRYdMWA4iALpMqgeXjKCMsOjtfEG4Ra4n8"</t>
  </si>
  <si>
    <t>alaaibraheem12@yahoo.com</t>
  </si>
  <si>
    <t>TEA026</t>
  </si>
  <si>
    <t>Dalia Gamal</t>
  </si>
  <si>
    <t>"1tV72l2U3cpararw8LxA5vyOPVdKjFcZRNsB8xIFbtxc"</t>
  </si>
  <si>
    <t>dmgdms@gmail.com</t>
  </si>
  <si>
    <t>0100-667-8578</t>
  </si>
  <si>
    <t>TEA027</t>
  </si>
  <si>
    <t>Doha Nabil</t>
  </si>
  <si>
    <t>"1gCUVKrMTbcVEdf5nGAZiLDOhaqjQYCYQnZhBBTTDCAY"</t>
  </si>
  <si>
    <t>dohanabil53@yahoo.com</t>
  </si>
  <si>
    <t>0106-022-0134</t>
  </si>
  <si>
    <t>TEA028</t>
  </si>
  <si>
    <t>Nashwa Abbas</t>
  </si>
  <si>
    <t>"1IK2Bed9CuHDhqEjcn8RxW9-BgkYLNqoOYg-M6hRTsbc"</t>
  </si>
  <si>
    <t>nasser_abouelella@yahoo.com</t>
  </si>
  <si>
    <t>0122-224-6519</t>
  </si>
  <si>
    <t>TEA029</t>
  </si>
  <si>
    <t>Noura Shaaban</t>
  </si>
  <si>
    <t>"14nzyxVqw6TS6zSob9hyXpfMrETTivEV1UDtgeSPSznE"</t>
  </si>
  <si>
    <t>nour.shaaban@hotmail.com</t>
  </si>
  <si>
    <t>0111-489-8945</t>
  </si>
  <si>
    <t>TEA030</t>
  </si>
  <si>
    <t>Ashaymaa Yosry</t>
  </si>
  <si>
    <t>moslemalelah@yahoo.com</t>
  </si>
  <si>
    <t>0100-151-7477</t>
  </si>
  <si>
    <t>TEA031</t>
  </si>
  <si>
    <t>Eman Omar</t>
  </si>
  <si>
    <t>eman.adam07@yahoo.com</t>
  </si>
  <si>
    <t>0111-111-7434</t>
  </si>
  <si>
    <t>TEA032</t>
  </si>
  <si>
    <t>Eman El Kholy</t>
  </si>
  <si>
    <t>eman911@gmail.com</t>
  </si>
  <si>
    <t>0100-167-8713</t>
  </si>
  <si>
    <t>TEA033</t>
  </si>
  <si>
    <t>Esmat Awad</t>
  </si>
  <si>
    <t>mhmloveesmat@yahoo.com</t>
  </si>
  <si>
    <t>TEA034</t>
  </si>
  <si>
    <t>Israa Fahmy</t>
  </si>
  <si>
    <t>israakilany@gmail.com</t>
  </si>
  <si>
    <t>0111-357-8260</t>
  </si>
  <si>
    <t>TEA035</t>
  </si>
  <si>
    <t>Jailan Nabil</t>
  </si>
  <si>
    <t>jailan.nabil.faith@gmail.com</t>
  </si>
  <si>
    <t>0122-654-4744</t>
  </si>
  <si>
    <t>TEA036</t>
  </si>
  <si>
    <t>Laila Dawood</t>
  </si>
  <si>
    <t>sadiqatul_quran@yahoo.com</t>
  </si>
  <si>
    <t>1340-201-1003</t>
  </si>
  <si>
    <t>United States</t>
  </si>
  <si>
    <t>New York</t>
  </si>
  <si>
    <t>GMT -5</t>
  </si>
  <si>
    <t>TEA037</t>
  </si>
  <si>
    <t>Maysa Zaki</t>
  </si>
  <si>
    <t>mmzaki@kasralainy.edu.eg</t>
  </si>
  <si>
    <t>0122-655-6997</t>
  </si>
  <si>
    <t>TEA038</t>
  </si>
  <si>
    <t>Nada Azmy</t>
  </si>
  <si>
    <t>nadaazmy_88@hotmail.com</t>
  </si>
  <si>
    <t>0100-6745-307</t>
  </si>
  <si>
    <t>TEA039</t>
  </si>
  <si>
    <t>Nevine  Manah</t>
  </si>
  <si>
    <t>0111-952-9006</t>
  </si>
  <si>
    <t>TEA040</t>
  </si>
  <si>
    <t>Nouran Muhammad</t>
  </si>
  <si>
    <t>nmohammed.hesham18@gmail.com</t>
  </si>
  <si>
    <t>1412-506-0637</t>
  </si>
  <si>
    <t>TEA041</t>
  </si>
  <si>
    <t>Nourhan El Banna</t>
  </si>
  <si>
    <t>nourhanelbanna@gmail.com</t>
  </si>
  <si>
    <t>0100-205-6205</t>
  </si>
  <si>
    <t>TEA042</t>
  </si>
  <si>
    <t>Sally El Shaarawy</t>
  </si>
  <si>
    <t>sallyatia@hotmail.com</t>
  </si>
  <si>
    <t>0100-524-2621</t>
  </si>
  <si>
    <t>TEA043</t>
  </si>
  <si>
    <t>Sara Tarek</t>
  </si>
  <si>
    <t>eng.saratarek@gmail.com</t>
  </si>
  <si>
    <t>0100-575-0775</t>
  </si>
  <si>
    <t>TEA044</t>
  </si>
  <si>
    <t>Umm Emara</t>
  </si>
  <si>
    <t>TEA045</t>
  </si>
  <si>
    <t>Umm Mariam</t>
  </si>
  <si>
    <t>iqraa_wartaq@yahoo.com</t>
  </si>
  <si>
    <t>0111-302-1769</t>
  </si>
  <si>
    <t>Divorced</t>
  </si>
  <si>
    <t>TEA046</t>
  </si>
  <si>
    <t>Umm Reem</t>
  </si>
  <si>
    <t>umreem111@yahoo.com</t>
  </si>
  <si>
    <t>Sudan</t>
  </si>
  <si>
    <t>TEA047</t>
  </si>
  <si>
    <t>Azza Abdurrahman</t>
  </si>
  <si>
    <t>"1QIOM_FY4Pf6KdIpg205k9lD1g-VITA8eenoXL0TTjQg"</t>
  </si>
  <si>
    <t>tajweed.teacher114@gmail.com</t>
  </si>
  <si>
    <t>0106-809-6640</t>
  </si>
  <si>
    <t>TEA048</t>
  </si>
  <si>
    <t>Hebatallah Ahmad</t>
  </si>
  <si>
    <t>"1Ve5qYrud6F0OGwhC1oanUQmZ1sZFNFOz9Fb8yqmWbo4"</t>
  </si>
  <si>
    <t>safy_ayash@yahoo.com</t>
  </si>
  <si>
    <t>01006540553</t>
  </si>
  <si>
    <t>nour.hebatallahahmad</t>
  </si>
  <si>
    <t>ha2307</t>
  </si>
  <si>
    <t>0100-654-0553</t>
  </si>
  <si>
    <t xml:space="preserve">
</t>
  </si>
  <si>
    <t>TEA049</t>
  </si>
  <si>
    <t>Shaimaa El Kordy</t>
  </si>
  <si>
    <t>"16vvJsFIh58NAqnALcx5zT26w6Hf5mGGwUa0_XboVu2k"</t>
  </si>
  <si>
    <t xml:space="preserve">smaelkordy@gmail.com </t>
  </si>
  <si>
    <t>01007321873</t>
  </si>
  <si>
    <t>nour.shaimaaelkordy</t>
  </si>
  <si>
    <t>shaima2nour</t>
  </si>
  <si>
    <t>Etisalat Cash</t>
  </si>
  <si>
    <t>0115-897-5282</t>
  </si>
  <si>
    <t>TEA050</t>
  </si>
  <si>
    <t>Ibrahim Shokry</t>
  </si>
  <si>
    <t>"1TPGUV8E76DVIrIgTXW-9IS3sZmyYgZCB0kMllifBc18"</t>
  </si>
  <si>
    <t>ibrahim.shokry@hotmail.com</t>
  </si>
  <si>
    <t>0100-7160909, 0122-550-3506</t>
  </si>
  <si>
    <t>nour.ibrahimshokry</t>
  </si>
  <si>
    <t>ibrahim86</t>
  </si>
  <si>
    <t>0122-550-3506</t>
  </si>
  <si>
    <t>TEA051</t>
  </si>
  <si>
    <t>Asmaa Aly</t>
  </si>
  <si>
    <t>"1aOMNtUNeoFljWKmhXZT-OEOU4MFsZKcAbmTfIFovYUE"</t>
  </si>
  <si>
    <t>Asmaa.aly@hotmail.com</t>
  </si>
  <si>
    <t>0100-766-8569</t>
  </si>
  <si>
    <t>nour.asmaaaly</t>
  </si>
  <si>
    <t>asmaa85</t>
  </si>
  <si>
    <t>010-1545-7031</t>
  </si>
  <si>
    <t>TEA052</t>
  </si>
  <si>
    <t>Nabila Tolba</t>
  </si>
  <si>
    <t>"1ky0_8kXLygNQcymIcM_OD24jfnYPasqWMD1E6I2oVGM"</t>
  </si>
  <si>
    <t xml:space="preserve">      nabilameshaal@yahoo.com</t>
  </si>
  <si>
    <t>01142098007</t>
  </si>
  <si>
    <t>nour.nabilatolba</t>
  </si>
  <si>
    <t>TEA053</t>
  </si>
  <si>
    <t>Shorouk Idrees</t>
  </si>
  <si>
    <t>"1YzpumNl2A7ZoVdfWHG69kF4D63n7wGQRmDCPumDENvc"</t>
  </si>
  <si>
    <t>shoroukidrees@hotmail.com</t>
  </si>
  <si>
    <t>248 -558 -0732</t>
  </si>
  <si>
    <t>nour.shoroukidrees</t>
  </si>
  <si>
    <t>qazwsx###</t>
  </si>
  <si>
    <t>TEA054</t>
  </si>
  <si>
    <t>Enas El Khateeb</t>
  </si>
  <si>
    <t>"1fCSDudKY60NYLggt8zXp5MuO-ILVrXzp02eqX9CMKdg"</t>
  </si>
  <si>
    <t>enas_elkhatib@yahoo.com</t>
  </si>
  <si>
    <t>01025347734</t>
  </si>
  <si>
    <t>nour.enaselkhatib</t>
  </si>
  <si>
    <t>elkhatib2014</t>
  </si>
  <si>
    <t>TEA055</t>
  </si>
  <si>
    <t>Mona Salah</t>
  </si>
  <si>
    <t>"1KdwfavjK35cUUGL0vYRZXIu89JT_zj--tLhh2QJZh9g"</t>
  </si>
  <si>
    <t>e.monasalah@yahoo.com</t>
  </si>
  <si>
    <t>01006701667</t>
  </si>
  <si>
    <t>nour.monasalah</t>
  </si>
  <si>
    <t>Mona7984</t>
  </si>
  <si>
    <t>TEA056</t>
  </si>
  <si>
    <t>Heba Hassan</t>
  </si>
  <si>
    <t>"1GQX_DhnjE7QyOntOSIJbTYbmmqKVCNxnglsSEAb__3A"</t>
  </si>
  <si>
    <t xml:space="preserve">heba.hassan74@gmail.com </t>
  </si>
  <si>
    <t>01225519991</t>
  </si>
  <si>
    <t>nour.hebahassan</t>
  </si>
  <si>
    <t>possy88</t>
  </si>
  <si>
    <t>010-1017-9723</t>
  </si>
  <si>
    <t>TEA057</t>
  </si>
  <si>
    <t>Shaimaa Seddiq</t>
  </si>
  <si>
    <t>"10vY-t4VuZw00oBJUWchXeGfTy4glyQq7fIPOLcurqrU"</t>
  </si>
  <si>
    <t>shimoo.seddiq@gmail.com</t>
  </si>
  <si>
    <t>nour.Shaimaaseddiq</t>
  </si>
  <si>
    <t>attitude4</t>
  </si>
  <si>
    <t>TEA058</t>
  </si>
  <si>
    <t>Mahmoud Anwar</t>
  </si>
  <si>
    <t>"1xnGuVzZF7oCTIdJyR_-9JUBSoCy_DtjW_ZERgYVpFF4"</t>
  </si>
  <si>
    <t>mmaam201222@yahoo.com</t>
  </si>
  <si>
    <t>01115031200</t>
  </si>
  <si>
    <t>nour.mahmoudanwar</t>
  </si>
  <si>
    <t>m01115031200</t>
  </si>
  <si>
    <t>TEA059</t>
  </si>
  <si>
    <t>Magdy Yahia</t>
  </si>
  <si>
    <t>"1axC8523wyO9fGvTcgFzPYrsWNfX0bKylUXLpzXSvCmw"</t>
  </si>
  <si>
    <t>magdy.here@gmail.com</t>
  </si>
  <si>
    <t>01110399356</t>
  </si>
  <si>
    <t>nour.magdyyahia</t>
  </si>
  <si>
    <t>351zsc684awd</t>
  </si>
  <si>
    <t>0111-0399-356</t>
  </si>
  <si>
    <t>TEA060</t>
  </si>
  <si>
    <t>Muhammad Ismail</t>
  </si>
  <si>
    <t>"147iV2OPBWhVvM4YdFKWHfLeK6q-6G4QPP5LBErcQSzw"</t>
  </si>
  <si>
    <t>mm.ismail89@yahoo.com</t>
  </si>
  <si>
    <t>0 111 921-8364</t>
  </si>
  <si>
    <t>nour.muhammadismail</t>
  </si>
  <si>
    <t>muhammad89</t>
  </si>
  <si>
    <t>0111-921-8364</t>
  </si>
  <si>
    <t>TEA061</t>
  </si>
  <si>
    <t>Marwa Shaker</t>
  </si>
  <si>
    <t>"18roukWxUIwmOKZFSPezyFc_dkaPxj8pqlleZPzAL5lc"</t>
  </si>
  <si>
    <t>marwashaker@rocketmail.com</t>
  </si>
  <si>
    <t>0100-7427-678</t>
  </si>
  <si>
    <t>nour.marwashaker</t>
  </si>
  <si>
    <t>marwa1982</t>
  </si>
  <si>
    <t>011-4982-8698</t>
  </si>
  <si>
    <t>TEA062</t>
  </si>
  <si>
    <t>Samar Zayed</t>
  </si>
  <si>
    <t>"1yesLEbtULhkvz8MGX5jSaH_Aljm-53hd6hAl8H59XIo"</t>
  </si>
  <si>
    <t>samarzayed20@yahoo.com</t>
  </si>
  <si>
    <t>01207153453</t>
  </si>
  <si>
    <t>nour.samarzayed</t>
  </si>
  <si>
    <t>samarA1</t>
  </si>
  <si>
    <t>TEA063</t>
  </si>
  <si>
    <t>Esraa Ahmad</t>
  </si>
  <si>
    <t>"1Ga88eHoH11mEvhbZC8feS2QyA81JchWD8Etj38bv1Qc"</t>
  </si>
  <si>
    <t>esso.ahmad92@gmail.com</t>
  </si>
  <si>
    <t>0102-6847-408</t>
  </si>
  <si>
    <t xml:space="preserve">
nour.esraaahmad</t>
  </si>
  <si>
    <t xml:space="preserve">
 es.a1992</t>
  </si>
  <si>
    <t>Engaged</t>
  </si>
  <si>
    <t>0100-527-0059</t>
  </si>
  <si>
    <t>TEA064</t>
  </si>
  <si>
    <t>Muhammad Morsy</t>
  </si>
  <si>
    <t>"1GNMUg1BcRlghHp7dPE5cVFz7b9kffjl-qkHXljnVjRM"</t>
  </si>
  <si>
    <t>mohamadmorsi@ymail.com</t>
  </si>
  <si>
    <t xml:space="preserve">0111 058 29 58 </t>
  </si>
  <si>
    <t>nour.muhammadmorsi</t>
  </si>
  <si>
    <t>morsi78</t>
  </si>
  <si>
    <t>01010-854-563</t>
  </si>
  <si>
    <t>TEA065</t>
  </si>
  <si>
    <t>Eslam Kohail</t>
  </si>
  <si>
    <t>"1G5PhK46uasE7gyNOMRihbVeOiwyUguF5An4bmP9Eb50"</t>
  </si>
  <si>
    <t>Eslam.kohail@hotmail.com</t>
  </si>
  <si>
    <t xml:space="preserve"> 0114 333 9582</t>
  </si>
  <si>
    <t>nour.eslamkohail</t>
  </si>
  <si>
    <t>kohail84</t>
  </si>
  <si>
    <t>011-4333-9582</t>
  </si>
  <si>
    <t>TEA066</t>
  </si>
  <si>
    <t>Mervat Ameen</t>
  </si>
  <si>
    <t>"17Gdae4YNvVdcS_bp0H7m3Jkio-XcdupdiTGXno0JKfs"</t>
  </si>
  <si>
    <t>mervat201068@yahoo.com</t>
  </si>
  <si>
    <t>TEA067</t>
  </si>
  <si>
    <t>Samar Hussain</t>
  </si>
  <si>
    <t>"1--B1ZvMbg2SRY8KX-WmPnFJ_tGYZsAnZqn0GQ0qchCM"</t>
  </si>
  <si>
    <t>potato_facebook@hotmail.com</t>
  </si>
  <si>
    <t>0100-3777-987</t>
  </si>
  <si>
    <t>nour.samarhussain</t>
  </si>
  <si>
    <t>55555s</t>
  </si>
  <si>
    <t>TEA068</t>
  </si>
  <si>
    <t>Walid Al Mahdy</t>
  </si>
  <si>
    <t>"11WpUXAci30OqcYug0gjm37ZwRgBhoAjNZEyA8nYexto"</t>
  </si>
  <si>
    <t>Walidelmahdy82@gmail.com</t>
  </si>
  <si>
    <t>011-4146-7770</t>
  </si>
  <si>
    <t>nour.walidalmahdy</t>
  </si>
  <si>
    <t>walid69</t>
  </si>
  <si>
    <t>TEA069</t>
  </si>
  <si>
    <t>Noha Nabil</t>
  </si>
  <si>
    <t>"1_c12CNakPHnKt3dJzYRf8nUTM3aELz-gFJ6l6-tsneo"</t>
  </si>
  <si>
    <t>nohamuhammed1992@gmail.com</t>
  </si>
  <si>
    <t>011-2155-8806</t>
  </si>
  <si>
    <t>nour.nohanabil</t>
  </si>
  <si>
    <t>n1761992</t>
  </si>
  <si>
    <t xml:space="preserve">
0101-0311-473</t>
  </si>
  <si>
    <t>TEA070</t>
  </si>
  <si>
    <t>Eman Shaheen</t>
  </si>
  <si>
    <t>"13Xz7oL3NrCE9ERiyGDzgXYuudDm3GlkWUJTMdnpmjWM"</t>
  </si>
  <si>
    <t>Eman.shahin1@gmail.com</t>
  </si>
  <si>
    <t>0101-8236-358</t>
  </si>
  <si>
    <t>nour.emanshaheen</t>
  </si>
  <si>
    <t>eman88</t>
  </si>
  <si>
    <t>TEA071</t>
  </si>
  <si>
    <t>Ahmad Al Hosainy</t>
  </si>
  <si>
    <t>"1BdzF8AYjXonJTOZyLcganM1jncQY3pVAAQqiuoxHavo"</t>
  </si>
  <si>
    <t>ahmedhashemhashem1993@gmail.com</t>
  </si>
  <si>
    <t>0114-920-6954</t>
  </si>
  <si>
    <t>nour.ahmadalhosainy</t>
  </si>
  <si>
    <t>alhosainy92</t>
  </si>
  <si>
    <t>0109-6213-169</t>
  </si>
  <si>
    <t>TEA072</t>
  </si>
  <si>
    <t>Hafsa Khaled</t>
  </si>
  <si>
    <t>"1gZPi84_vT8z2aquCZqLr8PTzYVXNghPodY1hJHm1oqg"</t>
  </si>
  <si>
    <t>haf.sa2015@hotmail.com</t>
  </si>
  <si>
    <t>00967-777-308-456</t>
  </si>
  <si>
    <t>nour.hafsakhaled</t>
  </si>
  <si>
    <t>hafsa92</t>
  </si>
  <si>
    <t>TEA073</t>
  </si>
  <si>
    <t>Mai Taha</t>
  </si>
  <si>
    <t>"19hlrqeDRatuINTs8cOCyBeTCOF-870M2wydeXnzJMKY"</t>
  </si>
  <si>
    <t>m_mai_89@yahoo.com</t>
  </si>
  <si>
    <t>0101-2022-635</t>
  </si>
  <si>
    <t>nour.maitaha</t>
  </si>
  <si>
    <t>mai1989</t>
  </si>
  <si>
    <t>Tajweed Theoretical</t>
  </si>
  <si>
    <t>010-12022-635</t>
  </si>
  <si>
    <t>TEA074</t>
  </si>
  <si>
    <t>Moustafa Nabawy</t>
  </si>
  <si>
    <t>"1BeXozbNaWSlaCrx1j0VxHhjH-AxGW6wSVBKjCfB5lL8"</t>
  </si>
  <si>
    <t>m_n_g_77@yahoo.com</t>
  </si>
  <si>
    <t>0106-2479-201</t>
  </si>
  <si>
    <t>nour.mustafanabwy</t>
  </si>
  <si>
    <t>nabwy85</t>
  </si>
  <si>
    <t>"1CkG2h7eEZyX_i5t90Pob2aUaUXN50UVKRi_Zngzqass"</t>
  </si>
  <si>
    <t xml:space="preserve">       nabilameshaal@yahoo.com</t>
  </si>
  <si>
    <t>0114-2098-007</t>
  </si>
  <si>
    <t>Annourania</t>
  </si>
  <si>
    <t>TEA076</t>
  </si>
  <si>
    <t>Shorouk Rushdy</t>
  </si>
  <si>
    <t>"1QihdfjAW1wJsv4_whaMLaGafpPfR3-5cU0IPKwknzNg"</t>
  </si>
  <si>
    <t>shero_rushdy@yahoo.com</t>
  </si>
  <si>
    <t>0100-1577420</t>
  </si>
  <si>
    <t>nour.shoroukrushdy</t>
  </si>
  <si>
    <t>shorouk82</t>
  </si>
  <si>
    <t>0100-1577-420</t>
  </si>
  <si>
    <t>TEA077</t>
  </si>
  <si>
    <t>Abdurraheem Hussain</t>
  </si>
  <si>
    <t>"1-D7-xwzeyxkZDHecMf3y9EF9EVAGzaj6cll3nZjTlCA"</t>
  </si>
  <si>
    <t xml:space="preserve">       abdelrahim.hussien@yahoo.com</t>
  </si>
  <si>
    <t>0106-2009-975</t>
  </si>
  <si>
    <t>nour.abdurrahim</t>
  </si>
  <si>
    <t>abdurrahim89</t>
  </si>
  <si>
    <t>TEA078</t>
  </si>
  <si>
    <t>Sarah Hassan</t>
  </si>
  <si>
    <t>"1u9qs61_fPH5MnmCjSFC-DoY_TOvQaRWLW7F64XjrAqY"</t>
  </si>
  <si>
    <t xml:space="preserve"> sara.n.abouzeina@gmail.com</t>
  </si>
  <si>
    <t>0101-9387-749</t>
  </si>
  <si>
    <t>sarah333</t>
  </si>
  <si>
    <t>TEA079</t>
  </si>
  <si>
    <t>Manar Bashat</t>
  </si>
  <si>
    <t>"16cYk8SZQzLgPez5wtiMOjkJFLlVUD5pT4tdytr97Hdg"</t>
  </si>
  <si>
    <t>manar.bashat@hotmail.com</t>
  </si>
  <si>
    <t>0100-6807497</t>
  </si>
  <si>
    <t>nour.manarbashat</t>
  </si>
  <si>
    <t>mbashat84</t>
  </si>
  <si>
    <t>0100-680-7497</t>
  </si>
  <si>
    <t>"1mKvIl7gT_5Sro8DYsnlrmjdhnGQwLkoZYjyCT5aQ_kU"</t>
  </si>
  <si>
    <t>"1cLkcYGkQOCdiqHsDQyF8-IgqwAHTQ0tOB_aMxonofF8"</t>
  </si>
  <si>
    <t>heba83</t>
  </si>
  <si>
    <t>TEA082</t>
  </si>
  <si>
    <t>Mariam Fouad</t>
  </si>
  <si>
    <t>"1C4E7oe2GvebH1rIusUUGL763Nv3Hl8XIhyyqmpaGF_4"</t>
  </si>
  <si>
    <t>mariam.m.fouad13@gmail.com</t>
  </si>
  <si>
    <t>0100-8200-858</t>
  </si>
  <si>
    <t>nour.mariamfouad</t>
  </si>
  <si>
    <t>fouad13</t>
  </si>
  <si>
    <t>010-2213-9981</t>
  </si>
  <si>
    <t>"1PgPimCVSBNqbZTpb4PmVYH-BS-ms9odIPtjcW3Y8_tY"</t>
  </si>
  <si>
    <t>TEA084</t>
  </si>
  <si>
    <t>Essam Fouad</t>
  </si>
  <si>
    <t>"12zP1IR8XRT3734jhZkWyBbhz0fuladYSo3eUrIgU7Go"</t>
  </si>
  <si>
    <t>Essam.Gomha@yahoo.com</t>
  </si>
  <si>
    <t>0115-2660-733</t>
  </si>
  <si>
    <t>nour.essamfouad</t>
  </si>
  <si>
    <t>fouad81</t>
  </si>
  <si>
    <t>01065-712-362</t>
  </si>
  <si>
    <t>TEA085</t>
  </si>
  <si>
    <t>Asmaa Saeed</t>
  </si>
  <si>
    <t>"1VpYlSi6y_dH3DadLozi4MqFAdnWT7G4sxR9DgeTkDbI"</t>
  </si>
  <si>
    <t>la_chicahermosa@yahoo.com</t>
  </si>
  <si>
    <t>0114-2299404</t>
  </si>
  <si>
    <t>nour.asmaasaeed</t>
  </si>
  <si>
    <t>010-2343-7228</t>
  </si>
  <si>
    <t>TEA086</t>
  </si>
  <si>
    <t>Randa Al Fahham</t>
  </si>
  <si>
    <t>"1JVN62sL85M4qLXX7U2X6dcct1OedKQrJsLI_x9njoCk"</t>
  </si>
  <si>
    <t>Randa_fahham@hotmail.com</t>
  </si>
  <si>
    <t>001732-762-7068</t>
  </si>
  <si>
    <t>nour.randafahham</t>
  </si>
  <si>
    <t>randa321</t>
  </si>
  <si>
    <t>TEA087</t>
  </si>
  <si>
    <t>Nada Sinoussi</t>
  </si>
  <si>
    <t>"1B8pRndJo3IXfFSdh4ciwymUhUoCTku2mTTIj1boL9Ek"</t>
  </si>
  <si>
    <t>nadasinoussi@hotmail.com</t>
  </si>
  <si>
    <t>01006280026</t>
  </si>
  <si>
    <t>nour.nadaSinoussi</t>
  </si>
  <si>
    <t>nada80</t>
  </si>
  <si>
    <t>TEA088</t>
  </si>
  <si>
    <t>Omnia Ghareeb</t>
  </si>
  <si>
    <t>"12ydMRDHdXaRdG5tQSFrI3TwugCqnKc6rBE8n-rNLur8"</t>
  </si>
  <si>
    <t>monny812@gmail.com</t>
  </si>
  <si>
    <t>001347-8066-049</t>
  </si>
  <si>
    <t>nour.omniaghareeb</t>
  </si>
  <si>
    <t>omnia75</t>
  </si>
  <si>
    <t>010-6026-2802</t>
  </si>
  <si>
    <t>TEA089</t>
  </si>
  <si>
    <t>Hend Younos</t>
  </si>
  <si>
    <t>"1L9R3l5DRFWXEaeiLT5XsV1A2WjdngcNr9fpPk1IhWxo"</t>
  </si>
  <si>
    <t>drhendmahmoud@gmail.com</t>
  </si>
  <si>
    <t>011-4038-7604</t>
  </si>
  <si>
    <t>nour.hendyounos</t>
  </si>
  <si>
    <t>hend7986</t>
  </si>
  <si>
    <t xml:space="preserve"> 010-6828-6442</t>
  </si>
  <si>
    <t>TEA090</t>
  </si>
  <si>
    <t>Muhammad Hamdy</t>
  </si>
  <si>
    <t>"1rm9hmNhNFqeuwziUYEhMGPnwdrGhRfh8QQ2pOupR0Kk"</t>
  </si>
  <si>
    <t>hennawy_moh@yahoo.com</t>
  </si>
  <si>
    <t xml:space="preserve">0102-6927-123 </t>
  </si>
  <si>
    <t>nour.muhammadhamdy</t>
  </si>
  <si>
    <t>hennawy86</t>
  </si>
  <si>
    <t>0109-4588-033</t>
  </si>
  <si>
    <t>TEA091</t>
  </si>
  <si>
    <t>Dina Aboubasha</t>
  </si>
  <si>
    <t>"1oJQ0FlId1LoaubGP-qkaZAisv4vrL5NYPmFZW7rFyAM"</t>
  </si>
  <si>
    <t>aboubasha2020@yahoo.com</t>
  </si>
  <si>
    <t>0111-7129-306</t>
  </si>
  <si>
    <t>nour.dinaaboubasha</t>
  </si>
  <si>
    <t>dalaaedin1</t>
  </si>
  <si>
    <t>0101-6759-566</t>
  </si>
  <si>
    <t>TEA092</t>
  </si>
  <si>
    <t>Doha Moustafa</t>
  </si>
  <si>
    <t>"191orw7gMBaB83r2nWth3BTME10zFWs1y_lzWs8Zp4bA"</t>
  </si>
  <si>
    <t>do7abogy@gmail.com</t>
  </si>
  <si>
    <t>0100-2847991</t>
  </si>
  <si>
    <t>nour.dohamoustafa</t>
  </si>
  <si>
    <t>doha90</t>
  </si>
  <si>
    <t>010-9158-2575</t>
  </si>
  <si>
    <t>TEA093</t>
  </si>
  <si>
    <t>Moustafa Zahran</t>
  </si>
  <si>
    <t>"1jIv2j7B_dPiCQM4YrOVmOSWD8CJQJigbrjYK8yn9v6U"</t>
  </si>
  <si>
    <t>mustafazahran43@yahoo.com</t>
  </si>
  <si>
    <t>1159839405</t>
  </si>
  <si>
    <t>nour.moustafazahran</t>
  </si>
  <si>
    <t>zahran78</t>
  </si>
  <si>
    <t>0100-5533-658</t>
  </si>
  <si>
    <t>TEA094</t>
  </si>
  <si>
    <t>"118KwtWQ6Z7nmwIKyUpo5qhN9ACodg0rG7DAyruBq5JA"</t>
  </si>
  <si>
    <t>TEA095</t>
  </si>
  <si>
    <t>Ahmad Abd El Khaleq Ibrahim</t>
  </si>
  <si>
    <t>"14pgdTUJMPCUnhl95P36i7ZYfWFIYwaq635nS8Is1ZKE"</t>
  </si>
  <si>
    <t>activeyoureman@yahoo.com</t>
  </si>
  <si>
    <t>0106-741-6805</t>
  </si>
  <si>
    <t>nour.ahmadabdelkhaleq</t>
  </si>
  <si>
    <t>activeyoureman87</t>
  </si>
  <si>
    <t>0106-841-7784</t>
  </si>
  <si>
    <t>TEA096</t>
  </si>
  <si>
    <t>Lamia Karmi</t>
  </si>
  <si>
    <t>"1_5V2Q1CpYGaV4OX0sEjr9zP8-cpCpb1-YDFxzBQyuQ4"</t>
  </si>
  <si>
    <t>lamiaa.karmi@gmail.com</t>
  </si>
  <si>
    <t>0100-9960-578</t>
  </si>
  <si>
    <t>nour.lamiakarmi</t>
  </si>
  <si>
    <t>karmilamia87</t>
  </si>
  <si>
    <t>Aswan</t>
  </si>
  <si>
    <t>010-2109-0601</t>
  </si>
  <si>
    <t>Aswān</t>
  </si>
  <si>
    <t>TEA097</t>
  </si>
  <si>
    <t>Tarek Serag</t>
  </si>
  <si>
    <t>"1Nq47Agwkq4u-6WAeiC_vTkuaW52Im24IfpmKBJASWkY"</t>
  </si>
  <si>
    <t>Tarekserag119@gmail.com</t>
  </si>
  <si>
    <t>0115-2211-551</t>
  </si>
  <si>
    <t>nour.tarekserag</t>
  </si>
  <si>
    <t>tarekserag85</t>
  </si>
  <si>
    <t>TEA098</t>
  </si>
  <si>
    <t>Aml Mosallam</t>
  </si>
  <si>
    <t>"1DDK_gqAW5TpEq-xKNBMT9MAXi6w9YTH-drota2269Hk"</t>
  </si>
  <si>
    <t>moola80@yahoo.com</t>
  </si>
  <si>
    <t>0106-4532-174</t>
  </si>
  <si>
    <t>nour.amlmosalam</t>
  </si>
  <si>
    <t>mosalam1983</t>
  </si>
  <si>
    <t>TEA099</t>
  </si>
  <si>
    <t>Ahmad Sleem</t>
  </si>
  <si>
    <t>"1YkrdVvORPMT_wjsfHMIOHE7zmz71mykWxNKys_NJqzA"</t>
  </si>
  <si>
    <t xml:space="preserve">ahmedsleema@gmail.com </t>
  </si>
  <si>
    <t>0100-7527-619</t>
  </si>
  <si>
    <t>nour.ahmadsleem</t>
  </si>
  <si>
    <t>ahmed.sleem478</t>
  </si>
  <si>
    <t>Tanta</t>
  </si>
  <si>
    <t>0100-752-7619</t>
  </si>
  <si>
    <t>Al Gharbīyah</t>
  </si>
  <si>
    <t>TEA100</t>
  </si>
  <si>
    <t>Mahmoud Badran</t>
  </si>
  <si>
    <t>"1YlwLzEFUEcI3NVy6jbVAi5TCSSGi3LmI3Jr_ola8H4Q"</t>
  </si>
  <si>
    <t>M.Badran.Egypt@gmail.com</t>
  </si>
  <si>
    <t>0100-855- 2095</t>
  </si>
  <si>
    <t>nour.mahmoudbadran</t>
  </si>
  <si>
    <t>badran81</t>
  </si>
  <si>
    <t>0106-333- 5778</t>
  </si>
  <si>
    <t>TEA101</t>
  </si>
  <si>
    <t>Amal Fouly</t>
  </si>
  <si>
    <t>"1zHi8hCG4gjnXpGNl2J47PC-DUue95sJeDC0QWUHfAWs"</t>
  </si>
  <si>
    <t>oheballah100@ymail.com</t>
  </si>
  <si>
    <t>01114971978</t>
  </si>
  <si>
    <t>nour.amalfouly</t>
  </si>
  <si>
    <t>amalfouly987</t>
  </si>
  <si>
    <t>Beni Suef</t>
  </si>
  <si>
    <t>0109-6168-655</t>
  </si>
  <si>
    <t>Banī Suwayf</t>
  </si>
  <si>
    <t>TEA102</t>
  </si>
  <si>
    <t>Ahmad Reda</t>
  </si>
  <si>
    <t>"1lHSzaeKExBvtLhPnjtrfpn31JL4vD5xpkHTQsNkzz8U"</t>
  </si>
  <si>
    <t>ahmedmmreda@gmail.com</t>
  </si>
  <si>
    <t>01113942124</t>
  </si>
  <si>
    <t>nour.ahmadreda</t>
  </si>
  <si>
    <t>reda1981</t>
  </si>
  <si>
    <t>0100-5782-014</t>
  </si>
  <si>
    <t>TEA103</t>
  </si>
  <si>
    <t>Muhammad Al Marakby</t>
  </si>
  <si>
    <t>"1F9Tfn5JK3vRerC0A7AZpcdRMxXkn6WiKjL-SR9_CBoA"</t>
  </si>
  <si>
    <t xml:space="preserve">almarakiby@gmail.com </t>
  </si>
  <si>
    <t>01097412036</t>
  </si>
  <si>
    <t>nour.muhammadelmarakby</t>
  </si>
  <si>
    <t>almarakby2841982</t>
  </si>
  <si>
    <t>Shibin el Kom</t>
  </si>
  <si>
    <t>010-1892-0545</t>
  </si>
  <si>
    <t>Al Minūfīyah</t>
  </si>
  <si>
    <t>TEA104</t>
  </si>
  <si>
    <t xml:space="preserve">Amal Fouly </t>
  </si>
  <si>
    <t>"1W52oEgL1zmwTf-b9kpBoJS3hPp8Zet7kbmWO01eadiY"</t>
  </si>
  <si>
    <t>TEA105</t>
  </si>
  <si>
    <t>Naglaa Safwat</t>
  </si>
  <si>
    <t>"136m16PLfkecE2EqAFBv8Y670YUCfmPtCdPK_xw2DEC4"</t>
  </si>
  <si>
    <t>eng.naglaasafwat@gmail.com</t>
  </si>
  <si>
    <t>01094258717</t>
  </si>
  <si>
    <t>nour.naglaasafwat</t>
  </si>
  <si>
    <t>naglaa2000</t>
  </si>
  <si>
    <t>TEA106</t>
  </si>
  <si>
    <t>Sahar Gamal</t>
  </si>
  <si>
    <t>"1_yhMvQZyuvC97SpCN7Fs-1HAThXPc0bimw55VGsZmNY"</t>
  </si>
  <si>
    <t>sahargamal71@gmail.com</t>
  </si>
  <si>
    <t>01157499630</t>
  </si>
  <si>
    <t>nour.sahargamal</t>
  </si>
  <si>
    <t>sahargamal71</t>
  </si>
  <si>
    <t>TEA107</t>
  </si>
  <si>
    <t>Esraa Amer</t>
  </si>
  <si>
    <t>"1wrQEHUFU060LAlkwfDc8G49LTGxmw0a7eqSbfe9Uivw"</t>
  </si>
  <si>
    <t>eesoamer@gmail.com</t>
  </si>
  <si>
    <t xml:space="preserve">01144409540 </t>
  </si>
  <si>
    <t>nour.esraaamer</t>
  </si>
  <si>
    <t>esraa2571982</t>
  </si>
  <si>
    <t>TEA108</t>
  </si>
  <si>
    <t>Sara Abo Setta</t>
  </si>
  <si>
    <t>"1XvK6ull_Xwx8ufUZd1Wch6s1xtoLtYODUG4Ki2_SSkg"</t>
  </si>
  <si>
    <t>saraabosetta@yahoo.com</t>
  </si>
  <si>
    <t>01229081145</t>
  </si>
  <si>
    <t>nour.saraabosetta</t>
  </si>
  <si>
    <t>abosetta88</t>
  </si>
  <si>
    <t>0115-147-1171</t>
  </si>
  <si>
    <t>TEA109</t>
  </si>
  <si>
    <t>Esraa Haitham</t>
  </si>
  <si>
    <t>"1poqOrRm-83eZU0fteNI8t0xMldNPDlCTNCp5eBwy3QQ"</t>
  </si>
  <si>
    <t>esraahaitham2010@hotmail.com</t>
  </si>
  <si>
    <t>01116062410</t>
  </si>
  <si>
    <t>live:44066ba9aa2eb7a5</t>
  </si>
  <si>
    <t>Esraahaitham2010</t>
  </si>
  <si>
    <t>TEA110</t>
  </si>
  <si>
    <t>Shaymaa Said</t>
  </si>
  <si>
    <t>"1fGckK56YwBkBKtWAUqQ2c2X7xsmqhdJ2MDqnAImPDBY"</t>
  </si>
  <si>
    <t>shaymaamoneam@hotmail.com</t>
  </si>
  <si>
    <t>01006451139</t>
  </si>
  <si>
    <t>live:4b2750d9d8e582dd</t>
  </si>
  <si>
    <t>Shaymaa89</t>
  </si>
  <si>
    <t>0100-6451-139</t>
  </si>
  <si>
    <t>TEA111</t>
  </si>
  <si>
    <t>"1Ni7fa-tipr-FSTJDkV3dhAJCDTPWldi4O05zrHRm3VI"</t>
  </si>
  <si>
    <t>0111-536-1668</t>
  </si>
  <si>
    <t>omar2006</t>
  </si>
  <si>
    <t>TEA112</t>
  </si>
  <si>
    <t>Shaimaa Nabil</t>
  </si>
  <si>
    <t>"132XuIf4tq5CfKzc7KNgolSWXsTwfzUq0FS6mikRwOiY"</t>
  </si>
  <si>
    <t>shimaa.nabil91@gmail.com</t>
  </si>
  <si>
    <t>01220637792</t>
  </si>
  <si>
    <t>nour.shaimaanabil@gmail.com</t>
  </si>
  <si>
    <t>Shaimaa91</t>
  </si>
  <si>
    <t>Arabic</t>
  </si>
  <si>
    <t>TEA113</t>
  </si>
  <si>
    <t>Ali Kassem</t>
  </si>
  <si>
    <t>"1WvC1BNvGW17jxNrIrLT0XiP8o3KQSGdZPSinfimgGwI"</t>
  </si>
  <si>
    <t>Kassemali075@gmail.com</t>
  </si>
  <si>
    <t>01201920396//01205008723</t>
  </si>
  <si>
    <t>nour.alikassem@gmail.com</t>
  </si>
  <si>
    <t>Kassem83</t>
  </si>
  <si>
    <t>TEA114</t>
  </si>
  <si>
    <t>Sondos Hassan</t>
  </si>
  <si>
    <t>"1Z9v_L3t5-LBZepOBbriPuRkzDMxy3qaXb_4OMsaX2ZQ"</t>
  </si>
  <si>
    <t>sondos.hassan198@gmail.com</t>
  </si>
  <si>
    <t>01032029988/01275626340</t>
  </si>
  <si>
    <t>nour.sondoshassan@gmail.com</t>
  </si>
  <si>
    <t>Hassan86</t>
  </si>
  <si>
    <t>010-3202-9988</t>
  </si>
  <si>
    <t>TEA115</t>
  </si>
  <si>
    <t>Manal Saad El Deen</t>
  </si>
  <si>
    <t>"1XhOt0Z_Z_uHzYZSk2f8ASZ1nIfuhELKxdXAgDfLyszA"</t>
  </si>
  <si>
    <t>bwaroo617@gmail.com</t>
  </si>
  <si>
    <t>01064466487</t>
  </si>
  <si>
    <t>nour.manalsaadeldeen@gmail.com</t>
  </si>
  <si>
    <t>Saadeldeen86</t>
  </si>
  <si>
    <t>TEA116</t>
  </si>
  <si>
    <t>Samar Ali</t>
  </si>
  <si>
    <t>"1rw-tLCeTQ48Z1SgxS0TDW7lpYU-CAaNIQ6myJWaXEYc"</t>
  </si>
  <si>
    <t>sahmed_zohdy@yahoo.com</t>
  </si>
  <si>
    <t xml:space="preserve"> 01212782887</t>
  </si>
  <si>
    <t>nour.samarzohdy@gmail.com</t>
  </si>
  <si>
    <t>Samar2000</t>
  </si>
  <si>
    <t>TEA117</t>
  </si>
  <si>
    <t>Belal Desouky</t>
  </si>
  <si>
    <t>"1UM-DfE_bU3DJKWw4dH6kxwOScrLQf8EGPCJ5DdjbmJY"</t>
  </si>
  <si>
    <t>bali53564@gmail.com</t>
  </si>
  <si>
    <t xml:space="preserve">01116784533 _ 01271213907 _ 035180750 </t>
  </si>
  <si>
    <t>nour.belaldesouky@gmail.com</t>
  </si>
  <si>
    <t>Desouky95</t>
  </si>
  <si>
    <t>01066514970</t>
  </si>
  <si>
    <t>TEA118</t>
  </si>
  <si>
    <t>Jehad Bayomy</t>
  </si>
  <si>
    <t>"1u8BbOoB8E3AXsIYwuhlpwG8UqDm-genQ1MezibVXrh0"</t>
  </si>
  <si>
    <t>jehad1928@gmail.com</t>
  </si>
  <si>
    <t>01141294873</t>
  </si>
  <si>
    <t>nour.JehadBayomy@gmail.com</t>
  </si>
  <si>
    <t>Jehad1995</t>
  </si>
  <si>
    <t>01014364949</t>
  </si>
  <si>
    <t>TEA119</t>
  </si>
  <si>
    <t>Mohamed Hassan</t>
  </si>
  <si>
    <t>"10zcZ2qSsmtNbF2-9xPSLqmLHo4k9Hr-uAn4eBBoGq5M"</t>
  </si>
  <si>
    <t>mohamedhassan91289@gmail.com</t>
  </si>
  <si>
    <t>01201416136</t>
  </si>
  <si>
    <t>nour.mohamedhassan91289@gmail.com</t>
  </si>
  <si>
    <t>Mohamedhassan91289</t>
  </si>
  <si>
    <t>TEA120</t>
  </si>
  <si>
    <t>Ola El Khatib</t>
  </si>
  <si>
    <t>"10vrgqW5pHbYiyCdW8LY4iHKz5s9cGOf57JoRg50Uog4"</t>
  </si>
  <si>
    <t>olaaelkhatib@yahoo.com</t>
  </si>
  <si>
    <t>01156363733</t>
  </si>
  <si>
    <t>nour.olaelkhatib@gmail.com</t>
  </si>
  <si>
    <t>Elkhatib84</t>
  </si>
  <si>
    <t>TEA121</t>
  </si>
  <si>
    <t>Asmaa Samy</t>
  </si>
  <si>
    <t>"1376tnOhkFWq9ArcQ0OjnlfQ-DBoLsipLWBssIYenfFM"</t>
  </si>
  <si>
    <t>asmaa.samy1@yahoo.com</t>
  </si>
  <si>
    <t>01099280800 / 01286670725</t>
  </si>
  <si>
    <t>nour.asmaasamy@gmail.com</t>
  </si>
  <si>
    <t>Asmaa.samy1</t>
  </si>
  <si>
    <t>Arabic Letters</t>
  </si>
  <si>
    <t>TEA122</t>
  </si>
  <si>
    <t>"1541DEEmw7a7Mi2oawRmjdNil-0g2LBY80OQqEGh6tHQ"</t>
  </si>
  <si>
    <t>TEA123</t>
  </si>
  <si>
    <t>"17Jy_fi34zb6jEX-Ih0aLhRVpMUz2UHLSlk7RaeDJV78"</t>
  </si>
  <si>
    <t>TEA124</t>
  </si>
  <si>
    <t>"1pNOsOLytYsZUneoTLw7CCmFxHkhZJ5XZmnY0FVEVDzc"</t>
  </si>
  <si>
    <t>TEA125</t>
  </si>
  <si>
    <t>"19v39Fl9kCiwORRnr6vSzDnDsC37aUboesDKbZw-aSE0"</t>
  </si>
  <si>
    <t>TEA126</t>
  </si>
  <si>
    <t>"1QJRShdgwcjtiyWLiUGKVJQ43ZuOWVfSXUWqz4Y8qplE"</t>
  </si>
  <si>
    <t>TEA127</t>
  </si>
  <si>
    <t>"1BVxJJPRGc4ReMVtqAT0pNmK6ltf7MnlKMzldqE8hO4g"</t>
  </si>
  <si>
    <t>TEA128</t>
  </si>
  <si>
    <t>Mustafa Bakr</t>
  </si>
  <si>
    <t>"1KszLpoAn-AoKmoJaOgObEfhwwyq2K-ZFzg_1nm2D1wQ"</t>
  </si>
  <si>
    <t>mustafa.sabea.amazon@gmail.com</t>
  </si>
  <si>
    <t>01095606314</t>
  </si>
  <si>
    <t>nour.mustafabakr@gmail.com</t>
  </si>
  <si>
    <t>Mustafa.sabea86</t>
  </si>
  <si>
    <t>TEA129</t>
  </si>
  <si>
    <t>"1lq2sfJLzVnesEIffdyYnaCW_445_5aMb14HNYnpTE9s"</t>
  </si>
  <si>
    <t>01030101668</t>
  </si>
  <si>
    <t>TEA130</t>
  </si>
  <si>
    <t>TEA131</t>
  </si>
  <si>
    <t>TEA132</t>
  </si>
  <si>
    <t>TEA133</t>
  </si>
  <si>
    <t>TEA134</t>
  </si>
  <si>
    <t>TEA135</t>
  </si>
  <si>
    <t>TEA136</t>
  </si>
  <si>
    <t>TEA137</t>
  </si>
  <si>
    <t>TEA138</t>
  </si>
  <si>
    <t>TEA139</t>
  </si>
  <si>
    <t>TEA140</t>
  </si>
  <si>
    <t>TEA141</t>
  </si>
  <si>
    <t>TEA142</t>
  </si>
  <si>
    <t>TEA143</t>
  </si>
  <si>
    <t>TEA144</t>
  </si>
  <si>
    <t>TEA145</t>
  </si>
  <si>
    <t>TEA146</t>
  </si>
  <si>
    <t>TEA147</t>
  </si>
  <si>
    <t>TEA148</t>
  </si>
  <si>
    <t>TEA149</t>
  </si>
  <si>
    <t>TEA150</t>
  </si>
  <si>
    <t>TEA151</t>
  </si>
  <si>
    <t>TEA152</t>
  </si>
  <si>
    <t>TEA153</t>
  </si>
  <si>
    <t>TEA154</t>
  </si>
  <si>
    <t>TEA155</t>
  </si>
  <si>
    <t>TEA156</t>
  </si>
  <si>
    <t>TEA157</t>
  </si>
  <si>
    <t>TEA158</t>
  </si>
  <si>
    <t>TEA159</t>
  </si>
  <si>
    <t>TEA160</t>
  </si>
  <si>
    <t>TEA161</t>
  </si>
  <si>
    <t>TEA162</t>
  </si>
  <si>
    <t>TEA163</t>
  </si>
  <si>
    <t>TEA164</t>
  </si>
  <si>
    <t>TEA165</t>
  </si>
  <si>
    <t>TEA166</t>
  </si>
  <si>
    <t>TEA167</t>
  </si>
  <si>
    <t>TEA168</t>
  </si>
  <si>
    <t>TEA169</t>
  </si>
  <si>
    <t>TEA170</t>
  </si>
  <si>
    <t>TEA171</t>
  </si>
  <si>
    <t>TEA172</t>
  </si>
  <si>
    <t>TEA173</t>
  </si>
  <si>
    <t>TEA174</t>
  </si>
  <si>
    <t>TEA175</t>
  </si>
  <si>
    <t>TEA176</t>
  </si>
  <si>
    <t>TEA177</t>
  </si>
  <si>
    <t>TEA178</t>
  </si>
  <si>
    <t>TEA179</t>
  </si>
  <si>
    <t>TEA180</t>
  </si>
  <si>
    <t>TEA181</t>
  </si>
  <si>
    <t>TEA182</t>
  </si>
  <si>
    <t>TEA183</t>
  </si>
  <si>
    <t>TEA184</t>
  </si>
  <si>
    <t>TEA185</t>
  </si>
  <si>
    <t>TEA186</t>
  </si>
  <si>
    <t>TEA187</t>
  </si>
  <si>
    <t>TEA188</t>
  </si>
  <si>
    <t>TEA189</t>
  </si>
  <si>
    <t>TEA190</t>
  </si>
  <si>
    <t>TEA191</t>
  </si>
  <si>
    <t>TEA192</t>
  </si>
  <si>
    <t>TEA193</t>
  </si>
  <si>
    <t>TEA194</t>
  </si>
  <si>
    <t>TEA195</t>
  </si>
  <si>
    <t>TEA196</t>
  </si>
  <si>
    <t>TEA197</t>
  </si>
  <si>
    <t>TEA198</t>
  </si>
  <si>
    <t>TEA199</t>
  </si>
  <si>
    <t>TEA200</t>
  </si>
  <si>
    <t>TEA201</t>
  </si>
  <si>
    <t>TEA202</t>
  </si>
  <si>
    <t>TEA203</t>
  </si>
  <si>
    <t>TEA204</t>
  </si>
  <si>
    <t>TEA205</t>
  </si>
  <si>
    <t>TEA206</t>
  </si>
  <si>
    <t>TEA207</t>
  </si>
  <si>
    <t>TEA208</t>
  </si>
  <si>
    <t>TEA209</t>
  </si>
  <si>
    <t>TEA210</t>
  </si>
  <si>
    <t>TEA211</t>
  </si>
  <si>
    <t>TEA212</t>
  </si>
  <si>
    <t>TEA213</t>
  </si>
  <si>
    <t>TEA214</t>
  </si>
  <si>
    <t>TEA215</t>
  </si>
  <si>
    <t>TEA216</t>
  </si>
  <si>
    <t>TEA217</t>
  </si>
  <si>
    <t>TEA218</t>
  </si>
  <si>
    <t>TEA219</t>
  </si>
  <si>
    <t>TEA220</t>
  </si>
  <si>
    <t>TEA221</t>
  </si>
  <si>
    <t>TEA222</t>
  </si>
  <si>
    <t>TEA223</t>
  </si>
  <si>
    <t>TEA224</t>
  </si>
  <si>
    <t>TEA225</t>
  </si>
  <si>
    <t>TEA226</t>
  </si>
  <si>
    <t>TEA227</t>
  </si>
  <si>
    <t>TEA228</t>
  </si>
  <si>
    <t>TEA229</t>
  </si>
  <si>
    <t>TEA230</t>
  </si>
  <si>
    <t>TEA231</t>
  </si>
  <si>
    <t>TEA232</t>
  </si>
  <si>
    <t>TEA233</t>
  </si>
  <si>
    <t>TEA234</t>
  </si>
  <si>
    <t>TEA235</t>
  </si>
  <si>
    <t>TEA236</t>
  </si>
  <si>
    <t>TEA237</t>
  </si>
  <si>
    <t>TEA238</t>
  </si>
  <si>
    <t>TEA239</t>
  </si>
  <si>
    <t>TEA240</t>
  </si>
  <si>
    <t>TEA241</t>
  </si>
  <si>
    <t>TEA242</t>
  </si>
  <si>
    <t>TEA243</t>
  </si>
  <si>
    <t>TEA244</t>
  </si>
  <si>
    <t>TEA245</t>
  </si>
  <si>
    <t>TEA246</t>
  </si>
  <si>
    <t>TEA247</t>
  </si>
  <si>
    <t>TEA248</t>
  </si>
  <si>
    <t>TEA249</t>
  </si>
  <si>
    <t>TEA250</t>
  </si>
  <si>
    <t>TEA251</t>
  </si>
  <si>
    <t>TEA252</t>
  </si>
  <si>
    <t>TEA253</t>
  </si>
  <si>
    <t>TEA254</t>
  </si>
  <si>
    <t>TEA255</t>
  </si>
  <si>
    <t>TEA256</t>
  </si>
  <si>
    <t>TEA257</t>
  </si>
  <si>
    <t>TEA258</t>
  </si>
  <si>
    <t>TEA259</t>
  </si>
  <si>
    <t>TEA260</t>
  </si>
  <si>
    <t>TEA261</t>
  </si>
  <si>
    <t>Year</t>
  </si>
  <si>
    <t>Month</t>
  </si>
  <si>
    <t>September</t>
  </si>
  <si>
    <t>Course Status</t>
  </si>
  <si>
    <t>Reg. #</t>
  </si>
  <si>
    <t xml:space="preserve">Teacher Name </t>
  </si>
  <si>
    <t>Total Sessions</t>
  </si>
  <si>
    <t>Total Attended</t>
  </si>
  <si>
    <t xml:space="preserve">Total Attended No show </t>
  </si>
  <si>
    <t>Percentage Active Sessions</t>
  </si>
  <si>
    <t>Number of Students</t>
  </si>
  <si>
    <t>Last HomeWork Status</t>
  </si>
  <si>
    <t>Homework Incomplete Percentage</t>
  </si>
  <si>
    <t>Homework N/A Percentage</t>
  </si>
  <si>
    <t>January</t>
  </si>
  <si>
    <t>B3:Z3</t>
  </si>
  <si>
    <t>Required Formula</t>
  </si>
  <si>
    <t>February</t>
  </si>
  <si>
    <t>B4:Z4</t>
  </si>
  <si>
    <t>March</t>
  </si>
  <si>
    <t>B5:Z5</t>
  </si>
  <si>
    <t>April</t>
  </si>
  <si>
    <t>B6:Z6</t>
  </si>
  <si>
    <t>May</t>
  </si>
  <si>
    <t>B7:Z7</t>
  </si>
  <si>
    <t>June</t>
  </si>
  <si>
    <t>B8:Z8</t>
  </si>
  <si>
    <t>July</t>
  </si>
  <si>
    <t>B9:Z9</t>
  </si>
  <si>
    <t>August</t>
  </si>
  <si>
    <t>B10:Z10</t>
  </si>
  <si>
    <t>B11:Z11</t>
  </si>
  <si>
    <t>October</t>
  </si>
  <si>
    <t>B12:Z12</t>
  </si>
  <si>
    <t>November</t>
  </si>
  <si>
    <t>B13:Z13</t>
  </si>
  <si>
    <t>December</t>
  </si>
  <si>
    <t>B14:Z14</t>
  </si>
  <si>
    <t>Year Total</t>
  </si>
  <si>
    <t>B15:Z15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</si>
</sst>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d&quot;-&quot;mmm&quot;-&quot;yy"/>
    <numFmt numFmtId="166" formatCode="#,##0.###############"/>
    <numFmt numFmtId="167" formatCode="yyyy-mm-dd"/>
  </numFmts>
  <fonts count="24">
    <font>
      <sz val="10.0"/>
      <color rgb="FF000000"/>
      <name val="Arial"/>
    </font>
    <font>
      <b/>
      <sz val="14.0"/>
      <color rgb="FF000000"/>
    </font>
    <font>
      <b/>
      <sz val="10.0"/>
      <color rgb="FF000000"/>
      <name val="Arial"/>
    </font>
    <font/>
    <font>
      <b/>
      <sz val="10.0"/>
      <color rgb="FF000000"/>
    </font>
    <font>
      <name val="Arial"/>
    </font>
    <font>
      <b/>
      <sz val="10.0"/>
      <color rgb="FFFFFFFF"/>
    </font>
    <font>
      <b/>
      <color rgb="FF000000"/>
      <name val="Arial"/>
    </font>
    <font>
      <sz val="10.0"/>
      <name val="Arial"/>
    </font>
    <font>
      <b/>
    </font>
    <font>
      <sz val="10.0"/>
    </font>
    <font>
      <b/>
      <sz val="10.0"/>
    </font>
    <font>
      <sz val="11.0"/>
    </font>
    <font>
      <b/>
      <name val="Arial"/>
    </font>
    <font>
      <sz val="9.0"/>
    </font>
    <font>
      <sz val="10.0"/>
      <color rgb="FF000000"/>
    </font>
    <font>
      <color rgb="FF000000"/>
      <name val="Arial"/>
    </font>
    <font>
      <color rgb="FF000000"/>
    </font>
    <font>
      <sz val="10.0"/>
      <color rgb="FFA61C00"/>
    </font>
    <font>
      <sz val="10.0"/>
      <color rgb="FFCC4125"/>
    </font>
    <font>
      <sz val="10.0"/>
      <color rgb="FF85200C"/>
    </font>
    <font>
      <sz val="10.0"/>
      <color rgb="FF980000"/>
    </font>
    <font>
      <sz val="10.0"/>
      <color rgb="FF6AA84F"/>
    </font>
    <font>
      <sz val="10.0"/>
      <color rgb="FF434343"/>
    </font>
  </fonts>
  <fills count="1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164" xfId="0" applyAlignment="1" applyBorder="1" applyFont="1" applyNumberFormat="1">
      <alignment horizontal="center" shrinkToFit="0" vertical="center" wrapText="1"/>
    </xf>
    <xf borderId="1" fillId="3" fontId="1" numFmtId="164" xfId="0" applyAlignment="1" applyBorder="1" applyFont="1" applyNumberFormat="1">
      <alignment horizontal="center" shrinkToFit="0" vertical="center" wrapText="1"/>
    </xf>
    <xf borderId="1" fillId="3" fontId="1" numFmtId="3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1" numFmtId="49" xfId="0" applyAlignment="1" applyBorder="1" applyFont="1" applyNumberFormat="1">
      <alignment horizontal="center" shrinkToFit="0" vertical="center" wrapText="1"/>
    </xf>
    <xf borderId="1" fillId="3" fontId="1" numFmtId="165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49" xfId="0" applyAlignment="1" applyBorder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5" fontId="4" numFmtId="3" xfId="0" applyAlignment="1" applyBorder="1" applyFill="1" applyFont="1" applyNumberFormat="1">
      <alignment horizontal="center" readingOrder="0" shrinkToFit="0" vertical="center" wrapText="1"/>
    </xf>
    <xf borderId="2" fillId="6" fontId="1" numFmtId="166" xfId="0" applyAlignment="1" applyBorder="1" applyFill="1" applyFont="1" applyNumberFormat="1">
      <alignment horizontal="center" readingOrder="0" shrinkToFit="0" vertical="center" wrapText="1"/>
    </xf>
    <xf borderId="2" fillId="7" fontId="1" numFmtId="3" xfId="0" applyAlignment="1" applyBorder="1" applyFill="1" applyFont="1" applyNumberFormat="1">
      <alignment horizontal="center" readingOrder="0" shrinkToFit="0" vertical="center" wrapText="1"/>
    </xf>
    <xf borderId="2" fillId="8" fontId="1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164" xfId="0" applyAlignment="1" applyBorder="1" applyFont="1" applyNumberFormat="1">
      <alignment horizontal="center" readingOrder="0" shrinkToFit="0" vertical="center" wrapText="1"/>
    </xf>
    <xf borderId="1" fillId="3" fontId="4" numFmtId="164" xfId="0" applyAlignment="1" applyBorder="1" applyFont="1" applyNumberFormat="1">
      <alignment horizontal="center" readingOrder="0" shrinkToFit="0" vertical="center" wrapText="1"/>
    </xf>
    <xf borderId="1" fillId="3" fontId="4" numFmtId="3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4" numFmtId="49" xfId="0" applyAlignment="1" applyBorder="1" applyFont="1" applyNumberFormat="1">
      <alignment horizontal="center" readingOrder="0" shrinkToFit="0" vertical="center" wrapText="1"/>
    </xf>
    <xf borderId="1" fillId="3" fontId="4" numFmtId="165" xfId="0" applyAlignment="1" applyBorder="1" applyFont="1" applyNumberForma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4" numFmtId="49" xfId="0" applyAlignment="1" applyBorder="1" applyFont="1" applyNumberForma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5" fontId="4" numFmtId="3" xfId="0" applyAlignment="1" applyBorder="1" applyFont="1" applyNumberFormat="1">
      <alignment horizontal="center" readingOrder="0" shrinkToFit="0" vertical="center" wrapText="1"/>
    </xf>
    <xf borderId="1" fillId="6" fontId="4" numFmtId="166" xfId="0" applyAlignment="1" applyBorder="1" applyFont="1" applyNumberFormat="1">
      <alignment horizontal="center" readingOrder="0" shrinkToFit="0" vertical="center" wrapText="1"/>
    </xf>
    <xf borderId="1" fillId="6" fontId="4" numFmtId="3" xfId="0" applyAlignment="1" applyBorder="1" applyFont="1" applyNumberFormat="1">
      <alignment horizontal="center" readingOrder="0" shrinkToFit="0" vertical="center" wrapText="1"/>
    </xf>
    <xf borderId="1" fillId="7" fontId="4" numFmtId="3" xfId="0" applyAlignment="1" applyBorder="1" applyFont="1" applyNumberForma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10" fontId="3" numFmtId="0" xfId="0" applyAlignment="1" applyBorder="1" applyFill="1" applyFont="1">
      <alignment horizontal="center" readingOrder="0" shrinkToFit="0" vertical="center" wrapText="1"/>
    </xf>
    <xf borderId="1" fillId="0" fontId="3" numFmtId="3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3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6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10" fontId="3" numFmtId="0" xfId="0" applyAlignment="1" applyBorder="1" applyFont="1">
      <alignment horizontal="center" readingOrder="0" shrinkToFit="0" vertical="center" wrapText="1"/>
    </xf>
    <xf borderId="1" fillId="10" fontId="3" numFmtId="4" xfId="0" applyAlignment="1" applyBorder="1" applyFont="1" applyNumberForma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9" numFmtId="49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1" numFmtId="49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0" numFmtId="49" xfId="0" applyAlignment="1" applyBorder="1" applyFont="1" applyNumberFormat="1">
      <alignment horizontal="center" readingOrder="0" shrinkToFit="0" vertical="center" wrapText="1"/>
    </xf>
    <xf borderId="1" fillId="0" fontId="10" numFmtId="165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0" numFmtId="49" xfId="0" applyAlignment="1" applyBorder="1" applyFont="1" applyNumberForma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1" numFmtId="49" xfId="0" applyAlignment="1" applyBorder="1" applyFont="1" applyNumberFormat="1">
      <alignment horizontal="center" readingOrder="0" shrinkToFit="0" vertical="center" wrapText="1"/>
    </xf>
    <xf borderId="1" fillId="0" fontId="13" numFmtId="49" xfId="0" applyAlignment="1" applyBorder="1" applyFont="1" applyNumberFormat="1">
      <alignment horizontal="center" readingOrder="0" shrinkToFit="0" vertical="center" wrapText="1"/>
    </xf>
    <xf borderId="1" fillId="0" fontId="14" numFmtId="49" xfId="0" applyAlignment="1" applyBorder="1" applyFont="1" applyNumberFormat="1">
      <alignment horizontal="center" readingOrder="0" shrinkToFit="0" vertical="center" wrapText="1"/>
    </xf>
    <xf borderId="1" fillId="10" fontId="15" numFmtId="164" xfId="0" applyAlignment="1" applyBorder="1" applyFont="1" applyNumberFormat="1">
      <alignment horizontal="center" readingOrder="0" shrinkToFit="0" vertical="center" wrapText="1"/>
    </xf>
    <xf borderId="1" fillId="10" fontId="16" numFmtId="165" xfId="0" applyAlignment="1" applyBorder="1" applyFont="1" applyNumberForma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1"/>
    </xf>
    <xf borderId="0" fillId="10" fontId="16" numFmtId="0" xfId="0" applyAlignment="1" applyFont="1">
      <alignment horizontal="center" readingOrder="0"/>
    </xf>
    <xf borderId="1" fillId="0" fontId="3" numFmtId="164" xfId="0" applyAlignment="1" applyBorder="1" applyFont="1" applyNumberFormat="1">
      <alignment horizontal="center" shrinkToFit="0" vertical="center" wrapText="1"/>
    </xf>
    <xf borderId="1" fillId="11" fontId="6" numFmtId="4" xfId="0" applyAlignment="1" applyBorder="1" applyFill="1" applyFont="1" applyNumberFormat="1">
      <alignment horizontal="center" readingOrder="0" vertical="bottom"/>
    </xf>
    <xf borderId="1" fillId="10" fontId="4" numFmtId="0" xfId="0" applyAlignment="1" applyBorder="1" applyFont="1">
      <alignment horizontal="center" readingOrder="0" vertical="bottom"/>
    </xf>
    <xf borderId="1" fillId="10" fontId="11" numFmtId="4" xfId="0" applyAlignment="1" applyBorder="1" applyFont="1" applyNumberFormat="1">
      <alignment horizontal="center" readingOrder="0" shrinkToFit="0" vertical="center" wrapText="1"/>
    </xf>
    <xf borderId="5" fillId="10" fontId="11" numFmtId="4" xfId="0" applyAlignment="1" applyBorder="1" applyFont="1" applyNumberFormat="1">
      <alignment horizontal="center" readingOrder="0" shrinkToFit="0" vertical="center" wrapText="1"/>
    </xf>
    <xf borderId="5" fillId="10" fontId="10" numFmtId="0" xfId="0" applyAlignment="1" applyBorder="1" applyFont="1">
      <alignment horizontal="center" shrinkToFit="0" vertical="center" wrapText="1"/>
    </xf>
    <xf borderId="0" fillId="10" fontId="10" numFmtId="0" xfId="0" applyFont="1"/>
    <xf borderId="1" fillId="12" fontId="6" numFmtId="4" xfId="0" applyAlignment="1" applyBorder="1" applyFill="1" applyFont="1" applyNumberFormat="1">
      <alignment horizontal="center" readingOrder="0" vertical="center"/>
    </xf>
    <xf borderId="1" fillId="13" fontId="11" numFmtId="4" xfId="0" applyAlignment="1" applyBorder="1" applyFill="1" applyFont="1" applyNumberFormat="1">
      <alignment horizontal="center"/>
    </xf>
    <xf borderId="4" fillId="13" fontId="11" numFmtId="4" xfId="0" applyAlignment="1" applyBorder="1" applyFont="1" applyNumberFormat="1">
      <alignment horizontal="center"/>
    </xf>
    <xf borderId="4" fillId="5" fontId="11" numFmtId="4" xfId="0" applyAlignment="1" applyBorder="1" applyFont="1" applyNumberFormat="1">
      <alignment horizontal="center"/>
    </xf>
    <xf borderId="4" fillId="14" fontId="11" numFmtId="4" xfId="0" applyAlignment="1" applyBorder="1" applyFill="1" applyFont="1" applyNumberFormat="1">
      <alignment horizontal="center"/>
    </xf>
    <xf borderId="0" fillId="0" fontId="10" numFmtId="0" xfId="0" applyFont="1"/>
    <xf borderId="0" fillId="10" fontId="12" numFmtId="4" xfId="0" applyAlignment="1" applyFont="1" applyNumberFormat="1">
      <alignment horizontal="center"/>
    </xf>
    <xf borderId="1" fillId="0" fontId="3" numFmtId="4" xfId="0" applyAlignment="1" applyBorder="1" applyFont="1" applyNumberFormat="1">
      <alignment horizontal="center" readingOrder="0" vertical="bottom"/>
    </xf>
    <xf borderId="1" fillId="0" fontId="10" numFmtId="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4" xfId="0" applyAlignment="1" applyBorder="1" applyFont="1" applyNumberFormat="1">
      <alignment horizontal="center" shrinkToFit="0" vertical="center" wrapText="1"/>
    </xf>
    <xf borderId="0" fillId="0" fontId="3" numFmtId="4" xfId="0" applyFont="1" applyNumberFormat="1"/>
    <xf borderId="6" fillId="0" fontId="10" numFmtId="4" xfId="0" applyAlignment="1" applyBorder="1" applyFont="1" applyNumberFormat="1">
      <alignment horizontal="center"/>
    </xf>
    <xf borderId="1" fillId="0" fontId="17" numFmtId="4" xfId="0" applyAlignment="1" applyBorder="1" applyFont="1" applyNumberFormat="1">
      <alignment horizontal="center" readingOrder="0" vertical="bottom"/>
    </xf>
    <xf borderId="1" fillId="0" fontId="15" numFmtId="4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 readingOrder="0" vertical="bottom"/>
    </xf>
    <xf borderId="1" fillId="0" fontId="18" numFmtId="0" xfId="0" applyAlignment="1" applyBorder="1" applyFont="1">
      <alignment horizontal="center" readingOrder="0" vertical="bottom"/>
    </xf>
    <xf borderId="1" fillId="10" fontId="3" numFmtId="0" xfId="0" applyAlignment="1" applyBorder="1" applyFont="1">
      <alignment horizontal="center" readingOrder="0" vertical="bottom"/>
    </xf>
    <xf borderId="1" fillId="0" fontId="18" numFmtId="0" xfId="0" applyAlignment="1" applyBorder="1" applyFont="1">
      <alignment horizontal="center" readingOrder="0" vertical="bottom"/>
    </xf>
    <xf borderId="1" fillId="0" fontId="19" numFmtId="0" xfId="0" applyAlignment="1" applyBorder="1" applyFont="1">
      <alignment horizontal="center" readingOrder="0" vertical="bottom"/>
    </xf>
    <xf borderId="1" fillId="10" fontId="15" numFmtId="0" xfId="0" applyAlignment="1" applyBorder="1" applyFont="1">
      <alignment horizontal="center" readingOrder="0" vertical="bottom"/>
    </xf>
    <xf borderId="1" fillId="0" fontId="20" numFmtId="0" xfId="0" applyAlignment="1" applyBorder="1" applyFont="1">
      <alignment horizontal="center" readingOrder="0" vertical="bottom"/>
    </xf>
    <xf borderId="1" fillId="0" fontId="21" numFmtId="0" xfId="0" applyAlignment="1" applyBorder="1" applyFont="1">
      <alignment horizontal="center" readingOrder="0" vertical="bottom"/>
    </xf>
    <xf borderId="1" fillId="0" fontId="22" numFmtId="0" xfId="0" applyAlignment="1" applyBorder="1" applyFont="1">
      <alignment horizontal="center" readingOrder="0" vertical="bottom"/>
    </xf>
    <xf borderId="1" fillId="10" fontId="15" numFmtId="4" xfId="0" applyAlignment="1" applyBorder="1" applyFont="1" applyNumberFormat="1">
      <alignment horizontal="center" readingOrder="0" vertical="bottom"/>
    </xf>
    <xf borderId="1" fillId="0" fontId="23" numFmtId="4" xfId="0" applyAlignment="1" applyBorder="1" applyFont="1" applyNumberFormat="1">
      <alignment horizontal="center" readingOrder="0" vertical="bottom"/>
    </xf>
    <xf borderId="1" fillId="10" fontId="3" numFmtId="4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horizontal="center" shrinkToFit="0" vertical="center" wrapText="1"/>
    </xf>
    <xf borderId="0" fillId="0" fontId="3" numFmtId="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7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3" xfId="0" applyFont="1" applyNumberFormat="1"/>
    <xf borderId="0" fillId="0" fontId="3" numFmtId="164" xfId="0" applyFont="1" applyNumberFormat="1"/>
    <xf borderId="0" fillId="0" fontId="3" numFmtId="164" xfId="0" applyFont="1" applyNumberFormat="1"/>
    <xf borderId="0" fillId="0" fontId="3" numFmtId="49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0" fontId="3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8.0"/>
    <col customWidth="1" min="2" max="2" width="26.57"/>
    <col customWidth="1" min="3" max="3" width="59.86"/>
    <col customWidth="1" min="4" max="4" width="18.29"/>
    <col customWidth="1" min="5" max="5" width="16.57"/>
    <col customWidth="1" min="6" max="6" width="19.0"/>
    <col customWidth="1" min="7" max="7" width="18.0"/>
    <col customWidth="1" min="8" max="8" width="29.43"/>
    <col customWidth="1" min="9" max="9" width="51.29"/>
    <col customWidth="1" min="10" max="10" width="26.57"/>
    <col customWidth="1" min="11" max="11" width="23.86"/>
    <col customWidth="1" min="12" max="12" width="18.71"/>
    <col customWidth="1" min="13" max="13" width="15.43"/>
    <col customWidth="1" min="14" max="14" width="12.57"/>
    <col customWidth="1" min="15" max="15" width="13.14"/>
    <col customWidth="1" min="16" max="16" width="12.71"/>
    <col customWidth="1" min="17" max="17" width="13.71"/>
    <col customWidth="1" min="18" max="18" width="16.0"/>
    <col customWidth="1" min="19" max="20" width="13.43"/>
    <col customWidth="1" min="21" max="21" width="13.71"/>
    <col customWidth="1" min="22" max="22" width="13.86"/>
    <col customWidth="1" min="23" max="23" width="17.43"/>
    <col customWidth="1" min="24" max="25" width="22.57"/>
    <col customWidth="1" min="26" max="26" width="15.86"/>
    <col customWidth="1" min="27" max="27" width="18.43"/>
    <col customWidth="1" min="28" max="28" width="20.71"/>
    <col customWidth="1" min="29" max="29" width="16.0"/>
    <col customWidth="1" min="30" max="30" width="21.0"/>
    <col customWidth="1" min="31" max="31" width="14.86"/>
    <col customWidth="1" min="32" max="32" width="15.71"/>
    <col customWidth="1" min="33" max="34" width="20.86"/>
    <col customWidth="1" min="35" max="35" width="19.0"/>
    <col customWidth="1" min="36" max="36" width="19.29"/>
    <col customWidth="1" min="37" max="37" width="26.86"/>
    <col customWidth="1" min="38" max="38" width="13.86"/>
    <col customWidth="1" min="39" max="39" width="20.14"/>
    <col customWidth="1" min="40" max="40" width="21.57"/>
    <col customWidth="1" min="41" max="41" width="12.29"/>
    <col customWidth="1" min="42" max="42" width="9.71"/>
    <col customWidth="1" min="43" max="43" width="17.57"/>
    <col customWidth="1" min="44" max="44" width="26.57"/>
    <col customWidth="1" min="45" max="45" width="27.57"/>
    <col customWidth="1" min="46" max="46" width="17.86"/>
    <col customWidth="1" min="47" max="47" width="15.29"/>
    <col customWidth="1" min="48" max="48" width="22.57"/>
    <col customWidth="1" min="49" max="49" width="28.0"/>
    <col customWidth="1" min="50" max="50" width="28.57"/>
    <col customWidth="1" min="51" max="51" width="22.86"/>
    <col customWidth="1" min="52" max="52" width="25.86"/>
    <col customWidth="1" min="53" max="53" width="28.0"/>
    <col customWidth="1" min="54" max="54" width="19.43"/>
    <col customWidth="1" min="55" max="55" width="31.14"/>
    <col customWidth="1" min="56" max="56" width="36.29"/>
    <col customWidth="1" min="57" max="57" width="29.71"/>
    <col customWidth="1" min="58" max="58" width="10.29"/>
    <col customWidth="1" min="59" max="59" width="17.14"/>
    <col customWidth="1" min="60" max="60" width="8.0"/>
    <col customWidth="1" min="61" max="61" width="19.43"/>
    <col customWidth="1" min="63" max="63" width="22.57"/>
    <col customWidth="1" min="64" max="65" width="21.57"/>
  </cols>
  <sheetData>
    <row r="1">
      <c r="A1" s="1"/>
      <c r="B1" s="2"/>
      <c r="C1" s="3"/>
      <c r="D1" s="3"/>
      <c r="E1" s="3"/>
      <c r="F1" s="4"/>
      <c r="G1" s="5"/>
      <c r="H1" s="6"/>
      <c r="I1" s="7"/>
      <c r="J1" s="8"/>
      <c r="K1" s="3"/>
      <c r="L1" s="3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0"/>
      <c r="AA1" s="11"/>
      <c r="AB1" s="12" t="s">
        <v>0</v>
      </c>
      <c r="AC1" s="13"/>
      <c r="AD1" s="13"/>
      <c r="AE1" s="13"/>
      <c r="AF1" s="13"/>
      <c r="AG1" s="14"/>
      <c r="AH1" s="15">
        <v>0.0</v>
      </c>
      <c r="AI1" s="13"/>
      <c r="AJ1" s="14"/>
      <c r="AK1" s="16" t="s">
        <v>1</v>
      </c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4"/>
      <c r="AY1" s="17" t="s">
        <v>2</v>
      </c>
      <c r="AZ1" s="13"/>
      <c r="BA1" s="13"/>
      <c r="BB1" s="13"/>
      <c r="BC1" s="13"/>
      <c r="BD1" s="13"/>
      <c r="BE1" s="14"/>
      <c r="BF1" s="18"/>
      <c r="BG1" s="13"/>
      <c r="BH1" s="13"/>
      <c r="BI1" s="13"/>
      <c r="BJ1" s="14"/>
      <c r="BK1" s="19"/>
      <c r="BL1" s="19"/>
      <c r="BM1" s="20"/>
    </row>
    <row r="2">
      <c r="A2" s="21" t="s">
        <v>3</v>
      </c>
      <c r="B2" s="21" t="s">
        <v>4</v>
      </c>
      <c r="C2" s="22" t="s">
        <v>5</v>
      </c>
      <c r="D2" s="23" t="s">
        <v>6</v>
      </c>
      <c r="E2" s="23" t="s">
        <v>7</v>
      </c>
      <c r="F2" s="24" t="s">
        <v>8</v>
      </c>
      <c r="G2" s="25" t="s">
        <v>9</v>
      </c>
      <c r="H2" s="26" t="s">
        <v>10</v>
      </c>
      <c r="I2" s="27" t="s">
        <v>11</v>
      </c>
      <c r="J2" s="28" t="s">
        <v>12</v>
      </c>
      <c r="K2" s="22" t="s">
        <v>13</v>
      </c>
      <c r="L2" s="22" t="s">
        <v>14</v>
      </c>
      <c r="M2" s="29" t="s">
        <v>15</v>
      </c>
      <c r="N2" s="23" t="s">
        <v>16</v>
      </c>
      <c r="O2" s="23" t="s">
        <v>17</v>
      </c>
      <c r="P2" s="23" t="s">
        <v>18</v>
      </c>
      <c r="Q2" s="23" t="s">
        <v>19</v>
      </c>
      <c r="R2" s="23" t="s">
        <v>20</v>
      </c>
      <c r="S2" s="23" t="s">
        <v>21</v>
      </c>
      <c r="T2" s="22" t="s">
        <v>22</v>
      </c>
      <c r="U2" s="23" t="s">
        <v>23</v>
      </c>
      <c r="V2" s="22" t="s">
        <v>24</v>
      </c>
      <c r="W2" s="23" t="s">
        <v>25</v>
      </c>
      <c r="X2" s="23" t="s">
        <v>26</v>
      </c>
      <c r="Y2" s="22" t="s">
        <v>27</v>
      </c>
      <c r="Z2" s="30" t="s">
        <v>28</v>
      </c>
      <c r="AA2" s="31" t="s">
        <v>29</v>
      </c>
      <c r="AB2" s="32" t="s">
        <v>30</v>
      </c>
      <c r="AC2" s="32" t="s">
        <v>31</v>
      </c>
      <c r="AD2" s="32" t="s">
        <v>32</v>
      </c>
      <c r="AE2" s="32" t="s">
        <v>33</v>
      </c>
      <c r="AF2" s="32" t="s">
        <v>34</v>
      </c>
      <c r="AG2" s="32" t="s">
        <v>35</v>
      </c>
      <c r="AH2" s="33" t="s">
        <v>36</v>
      </c>
      <c r="AI2" s="33" t="s">
        <v>37</v>
      </c>
      <c r="AJ2" s="33" t="s">
        <v>38</v>
      </c>
      <c r="AK2" s="34" t="s">
        <v>39</v>
      </c>
      <c r="AL2" s="34" t="s">
        <v>40</v>
      </c>
      <c r="AM2" s="34" t="s">
        <v>41</v>
      </c>
      <c r="AN2" s="34" t="s">
        <v>42</v>
      </c>
      <c r="AO2" s="34" t="s">
        <v>43</v>
      </c>
      <c r="AP2" s="34" t="s">
        <v>44</v>
      </c>
      <c r="AQ2" s="34" t="s">
        <v>45</v>
      </c>
      <c r="AR2" s="34" t="s">
        <v>46</v>
      </c>
      <c r="AS2" s="34" t="s">
        <v>47</v>
      </c>
      <c r="AT2" s="35" t="s">
        <v>48</v>
      </c>
      <c r="AU2" s="35" t="s">
        <v>49</v>
      </c>
      <c r="AV2" s="35" t="s">
        <v>50</v>
      </c>
      <c r="AW2" s="35" t="s">
        <v>51</v>
      </c>
      <c r="AX2" s="35" t="s">
        <v>52</v>
      </c>
      <c r="AY2" s="36" t="s">
        <v>53</v>
      </c>
      <c r="AZ2" s="36" t="s">
        <v>54</v>
      </c>
      <c r="BA2" s="36" t="s">
        <v>55</v>
      </c>
      <c r="BB2" s="36" t="s">
        <v>56</v>
      </c>
      <c r="BC2" s="36" t="s">
        <v>57</v>
      </c>
      <c r="BD2" s="36" t="s">
        <v>58</v>
      </c>
      <c r="BE2" s="36" t="s">
        <v>59</v>
      </c>
      <c r="BF2" s="37" t="s">
        <v>60</v>
      </c>
      <c r="BG2" s="38" t="s">
        <v>61</v>
      </c>
      <c r="BH2" s="37" t="s">
        <v>62</v>
      </c>
      <c r="BI2" s="37" t="s">
        <v>63</v>
      </c>
      <c r="BJ2" s="39"/>
      <c r="BK2" s="40" t="s">
        <v>64</v>
      </c>
      <c r="BL2" s="40" t="s">
        <v>65</v>
      </c>
      <c r="BM2" s="41" t="s">
        <v>66</v>
      </c>
    </row>
    <row r="3">
      <c r="A3" s="42" t="s">
        <v>67</v>
      </c>
      <c r="B3" s="43" t="s">
        <v>68</v>
      </c>
      <c r="C3" s="44" t="s">
        <v>69</v>
      </c>
      <c r="D3" s="45" t="s">
        <v>70</v>
      </c>
      <c r="E3" s="42" t="s">
        <v>71</v>
      </c>
      <c r="F3" s="46">
        <v>40731.0</v>
      </c>
      <c r="G3" s="47">
        <v>41954.0</v>
      </c>
      <c r="H3" s="48">
        <f t="shared" ref="H3:H272" si="1">If(G3=0, ((INT(NOW())-F3)/30.4), ((G3-F3)/30.4))</f>
        <v>40.23026316</v>
      </c>
      <c r="I3" s="49" t="s">
        <v>72</v>
      </c>
      <c r="J3" s="50" t="s">
        <v>73</v>
      </c>
      <c r="K3" s="42" t="s">
        <v>74</v>
      </c>
      <c r="L3" s="42" t="s">
        <v>75</v>
      </c>
      <c r="M3" s="51">
        <v>31413.0</v>
      </c>
      <c r="N3" s="52">
        <f t="shared" ref="N3:N76" si="2">IF(M3=0, 0,INT((INT(NOW()) - INT(M3))/365.24))</f>
        <v>35</v>
      </c>
      <c r="O3" s="42" t="s">
        <v>76</v>
      </c>
      <c r="P3" s="42" t="s">
        <v>77</v>
      </c>
      <c r="Q3" s="42" t="s">
        <v>77</v>
      </c>
      <c r="R3" s="42" t="s">
        <v>78</v>
      </c>
      <c r="S3" s="42" t="s">
        <v>79</v>
      </c>
      <c r="T3" s="45" t="s">
        <v>80</v>
      </c>
      <c r="U3" s="42" t="s">
        <v>81</v>
      </c>
      <c r="V3" s="45" t="s">
        <v>78</v>
      </c>
      <c r="W3" s="42" t="s">
        <v>79</v>
      </c>
      <c r="X3" s="42" t="s">
        <v>82</v>
      </c>
      <c r="Y3" s="45" t="s">
        <v>83</v>
      </c>
      <c r="Z3" s="45" t="s">
        <v>84</v>
      </c>
      <c r="AA3" s="50"/>
      <c r="AB3" s="45">
        <v>1000.0</v>
      </c>
      <c r="AC3" s="53">
        <f>(AN3+AR3+AP3)-1198</f>
        <v>546</v>
      </c>
      <c r="AD3" s="45">
        <v>499.5</v>
      </c>
      <c r="AE3" s="53">
        <f>(AP3*0.5+AO3)</f>
        <v>47.5</v>
      </c>
      <c r="AF3" s="53">
        <f t="shared" ref="AF3:AF263" si="3">AC3-AD3-AE3</f>
        <v>-1</v>
      </c>
      <c r="AG3" s="52">
        <f t="shared" ref="AG3:AG7" si="4">(AF3*6.25)</f>
        <v>-6.25</v>
      </c>
      <c r="AH3" s="48">
        <f>IFERROR(__xludf.DUMMYFUNCTION("importrange(C3,""Sheet2!a4:x4"")"),34.228193146417446)</f>
        <v>34.22819315</v>
      </c>
      <c r="AI3" s="48">
        <f>IFERROR(__xludf.DUMMYFUNCTION("""COMPUTED_VALUE"""),37.0)</f>
        <v>37</v>
      </c>
      <c r="AJ3" s="48">
        <f>IFERROR(__xludf.DUMMYFUNCTION("""COMPUTED_VALUE"""),1850.0)</f>
        <v>1850</v>
      </c>
      <c r="AK3" s="53" t="str">
        <f>IFERROR(__xludf.DUMMYFUNCTION("""COMPUTED_VALUE"""),"Attended")</f>
        <v>Attended</v>
      </c>
      <c r="AL3" s="53">
        <f>IFERROR(__xludf.DUMMYFUNCTION("""COMPUTED_VALUE"""),1850.0)</f>
        <v>1850</v>
      </c>
      <c r="AM3" s="53">
        <f>IFERROR(__xludf.DUMMYFUNCTION("""COMPUTED_VALUE"""),1369.0)</f>
        <v>1369</v>
      </c>
      <c r="AN3" s="53">
        <f>IFERROR(__xludf.DUMMYFUNCTION("""COMPUTED_VALUE"""),1366.0)</f>
        <v>1366</v>
      </c>
      <c r="AO3" s="53">
        <f>IFERROR(__xludf.DUMMYFUNCTION("""COMPUTED_VALUE"""),46.0)</f>
        <v>46</v>
      </c>
      <c r="AP3" s="53">
        <f>IFERROR(__xludf.DUMMYFUNCTION("""COMPUTED_VALUE"""),3.0)</f>
        <v>3</v>
      </c>
      <c r="AQ3" s="53">
        <f>IFERROR(__xludf.DUMMYFUNCTION("""COMPUTED_VALUE"""),60.0)</f>
        <v>60</v>
      </c>
      <c r="AR3" s="53">
        <f>IFERROR(__xludf.DUMMYFUNCTION("""COMPUTED_VALUE"""),375.0)</f>
        <v>375</v>
      </c>
      <c r="AS3" s="53">
        <f>IFERROR(__xludf.DUMMYFUNCTION("""COMPUTED_VALUE"""),97.26256983240224)</f>
        <v>97.26256983</v>
      </c>
      <c r="AT3" s="48">
        <f>IFERROR(__xludf.DUMMYFUNCTION("""COMPUTED_VALUE"""),2.4864864864864864)</f>
        <v>2.486486486</v>
      </c>
      <c r="AU3" s="48">
        <f>IFERROR(__xludf.DUMMYFUNCTION("""COMPUTED_VALUE"""),0.16216216216216214)</f>
        <v>0.1621621622</v>
      </c>
      <c r="AV3" s="48">
        <f>IFERROR(__xludf.DUMMYFUNCTION("""COMPUTED_VALUE"""),3.2432432432432434)</f>
        <v>3.243243243</v>
      </c>
      <c r="AW3" s="48">
        <f>IFERROR(__xludf.DUMMYFUNCTION("""COMPUTED_VALUE"""),20.27027027027027)</f>
        <v>20.27027027</v>
      </c>
      <c r="AX3" s="48">
        <f>IFERROR(__xludf.DUMMYFUNCTION("""COMPUTED_VALUE"""),94.27027027027027)</f>
        <v>94.27027027</v>
      </c>
      <c r="AY3" s="48">
        <f>IFERROR(__xludf.DUMMYFUNCTION("""COMPUTED_VALUE"""),1220.0)</f>
        <v>1220</v>
      </c>
      <c r="AZ3" s="48">
        <f>IFERROR(__xludf.DUMMYFUNCTION("""COMPUTED_VALUE"""),1192.0)</f>
        <v>1192</v>
      </c>
      <c r="BA3" s="48">
        <f>IFERROR(__xludf.DUMMYFUNCTION("""COMPUTED_VALUE"""),28.0)</f>
        <v>28</v>
      </c>
      <c r="BB3" s="48">
        <f>IFERROR(__xludf.DUMMYFUNCTION("""COMPUTED_VALUE"""),18.0)</f>
        <v>18</v>
      </c>
      <c r="BC3" s="48">
        <f>IFERROR(__xludf.DUMMYFUNCTION("""COMPUTED_VALUE"""),97.70491803278688)</f>
        <v>97.70491803</v>
      </c>
      <c r="BD3" s="48">
        <f>IFERROR(__xludf.DUMMYFUNCTION("""COMPUTED_VALUE"""),2.2950819672131146)</f>
        <v>2.295081967</v>
      </c>
      <c r="BE3" s="48">
        <f>IFERROR(__xludf.DUMMYFUNCTION("""COMPUTED_VALUE"""),1.4539579967689822)</f>
        <v>1.453957997</v>
      </c>
      <c r="BF3" s="52"/>
      <c r="BG3" s="52"/>
      <c r="BH3" s="52"/>
      <c r="BI3" s="52"/>
      <c r="BJ3" s="52"/>
      <c r="BK3" s="52"/>
      <c r="BL3" s="52"/>
      <c r="BM3" s="54" t="s">
        <v>85</v>
      </c>
    </row>
    <row r="4">
      <c r="A4" s="42" t="s">
        <v>86</v>
      </c>
      <c r="B4" s="55" t="s">
        <v>87</v>
      </c>
      <c r="C4" s="44" t="s">
        <v>88</v>
      </c>
      <c r="D4" s="42" t="s">
        <v>70</v>
      </c>
      <c r="E4" s="42" t="s">
        <v>71</v>
      </c>
      <c r="F4" s="46">
        <v>41003.0</v>
      </c>
      <c r="G4" s="47">
        <v>41690.0</v>
      </c>
      <c r="H4" s="48">
        <f t="shared" si="1"/>
        <v>22.59868421</v>
      </c>
      <c r="I4" s="49" t="s">
        <v>89</v>
      </c>
      <c r="J4" s="50" t="s">
        <v>90</v>
      </c>
      <c r="K4" s="42" t="s">
        <v>91</v>
      </c>
      <c r="L4" s="42" t="s">
        <v>92</v>
      </c>
      <c r="M4" s="51">
        <v>30317.0</v>
      </c>
      <c r="N4" s="52">
        <f t="shared" si="2"/>
        <v>38</v>
      </c>
      <c r="O4" s="42" t="s">
        <v>76</v>
      </c>
      <c r="P4" s="42" t="s">
        <v>77</v>
      </c>
      <c r="Q4" s="42" t="s">
        <v>77</v>
      </c>
      <c r="R4" s="42" t="s">
        <v>93</v>
      </c>
      <c r="S4" s="42" t="s">
        <v>79</v>
      </c>
      <c r="T4" s="45" t="s">
        <v>94</v>
      </c>
      <c r="U4" s="45" t="s">
        <v>81</v>
      </c>
      <c r="V4" s="45" t="s">
        <v>78</v>
      </c>
      <c r="W4" s="42" t="s">
        <v>79</v>
      </c>
      <c r="X4" s="42" t="s">
        <v>95</v>
      </c>
      <c r="Y4" s="45" t="s">
        <v>83</v>
      </c>
      <c r="Z4" s="42"/>
      <c r="AA4" s="50"/>
      <c r="AB4" s="52"/>
      <c r="AC4" s="53">
        <f t="shared" ref="AC4:AC263" si="5">(AN4+AR4+AP4)</f>
        <v>146</v>
      </c>
      <c r="AD4" s="45">
        <v>0.0</v>
      </c>
      <c r="AE4" s="53">
        <f>(AP4*0.5+AO4)-4</f>
        <v>18</v>
      </c>
      <c r="AF4" s="53">
        <f t="shared" si="3"/>
        <v>128</v>
      </c>
      <c r="AG4" s="52">
        <f t="shared" si="4"/>
        <v>800</v>
      </c>
      <c r="AH4" s="48">
        <f>IFERROR(__xludf.DUMMYFUNCTION("importrange(C4,""Sheet2!a4:x4"")"),25.382022471910112)</f>
        <v>25.38202247</v>
      </c>
      <c r="AI4" s="48">
        <f>IFERROR(__xludf.DUMMYFUNCTION("""COMPUTED_VALUE"""),10.0)</f>
        <v>10</v>
      </c>
      <c r="AJ4" s="48">
        <f>IFERROR(__xludf.DUMMYFUNCTION("""COMPUTED_VALUE"""),180.0)</f>
        <v>180</v>
      </c>
      <c r="AK4" s="53" t="str">
        <f>IFERROR(__xludf.DUMMYFUNCTION("""COMPUTED_VALUE"""),"Absent")</f>
        <v>Absent</v>
      </c>
      <c r="AL4" s="53">
        <f>IFERROR(__xludf.DUMMYFUNCTION("""COMPUTED_VALUE"""),180.0)</f>
        <v>180</v>
      </c>
      <c r="AM4" s="53">
        <f>IFERROR(__xludf.DUMMYFUNCTION("""COMPUTED_VALUE"""),96.0)</f>
        <v>96</v>
      </c>
      <c r="AN4" s="53">
        <f>IFERROR(__xludf.DUMMYFUNCTION("""COMPUTED_VALUE"""),96.0)</f>
        <v>96</v>
      </c>
      <c r="AO4" s="53">
        <f>IFERROR(__xludf.DUMMYFUNCTION("""COMPUTED_VALUE"""),22.0)</f>
        <v>22</v>
      </c>
      <c r="AP4" s="53">
        <f>IFERROR(__xludf.DUMMYFUNCTION("""COMPUTED_VALUE"""),0.0)</f>
        <v>0</v>
      </c>
      <c r="AQ4" s="53">
        <f>IFERROR(__xludf.DUMMYFUNCTION("""COMPUTED_VALUE"""),12.0)</f>
        <v>12</v>
      </c>
      <c r="AR4" s="53">
        <f>IFERROR(__xludf.DUMMYFUNCTION("""COMPUTED_VALUE"""),50.0)</f>
        <v>50</v>
      </c>
      <c r="AS4" s="53">
        <f>IFERROR(__xludf.DUMMYFUNCTION("""COMPUTED_VALUE"""),86.90476190476191)</f>
        <v>86.9047619</v>
      </c>
      <c r="AT4" s="48">
        <f>IFERROR(__xludf.DUMMYFUNCTION("""COMPUTED_VALUE"""),12.222222222222221)</f>
        <v>12.22222222</v>
      </c>
      <c r="AU4" s="48">
        <f>IFERROR(__xludf.DUMMYFUNCTION("""COMPUTED_VALUE"""),0.0)</f>
        <v>0</v>
      </c>
      <c r="AV4" s="48">
        <f>IFERROR(__xludf.DUMMYFUNCTION("""COMPUTED_VALUE"""),6.666666666666667)</f>
        <v>6.666666667</v>
      </c>
      <c r="AW4" s="48">
        <f>IFERROR(__xludf.DUMMYFUNCTION("""COMPUTED_VALUE"""),27.77777777777778)</f>
        <v>27.77777778</v>
      </c>
      <c r="AX4" s="48">
        <f>IFERROR(__xludf.DUMMYFUNCTION("""COMPUTED_VALUE"""),81.11111111111111)</f>
        <v>81.11111111</v>
      </c>
      <c r="AY4" s="48">
        <f>IFERROR(__xludf.DUMMYFUNCTION("""COMPUTED_VALUE"""),87.0)</f>
        <v>87</v>
      </c>
      <c r="AZ4" s="48">
        <f>IFERROR(__xludf.DUMMYFUNCTION("""COMPUTED_VALUE"""),87.0)</f>
        <v>87</v>
      </c>
      <c r="BA4" s="48">
        <f>IFERROR(__xludf.DUMMYFUNCTION("""COMPUTED_VALUE"""),0.0)</f>
        <v>0</v>
      </c>
      <c r="BB4" s="48">
        <f>IFERROR(__xludf.DUMMYFUNCTION("""COMPUTED_VALUE"""),0.0)</f>
        <v>0</v>
      </c>
      <c r="BC4" s="48">
        <f>IFERROR(__xludf.DUMMYFUNCTION("""COMPUTED_VALUE"""),100.0)</f>
        <v>100</v>
      </c>
      <c r="BD4" s="48">
        <f>IFERROR(__xludf.DUMMYFUNCTION("""COMPUTED_VALUE"""),0.0)</f>
        <v>0</v>
      </c>
      <c r="BE4" s="48">
        <f>IFERROR(__xludf.DUMMYFUNCTION("""COMPUTED_VALUE"""),0.0)</f>
        <v>0</v>
      </c>
      <c r="BF4" s="52"/>
      <c r="BG4" s="52"/>
      <c r="BH4" s="52"/>
      <c r="BI4" s="52"/>
      <c r="BJ4" s="52"/>
      <c r="BK4" s="52"/>
      <c r="BL4" s="52"/>
      <c r="BM4" s="54" t="s">
        <v>96</v>
      </c>
    </row>
    <row r="5">
      <c r="A5" s="42" t="s">
        <v>97</v>
      </c>
      <c r="B5" s="43" t="s">
        <v>98</v>
      </c>
      <c r="C5" s="44" t="s">
        <v>99</v>
      </c>
      <c r="D5" s="42" t="s">
        <v>70</v>
      </c>
      <c r="E5" s="42" t="s">
        <v>71</v>
      </c>
      <c r="F5" s="46">
        <v>40668.0</v>
      </c>
      <c r="G5" s="47">
        <v>41224.0</v>
      </c>
      <c r="H5" s="48">
        <f t="shared" si="1"/>
        <v>18.28947368</v>
      </c>
      <c r="I5" s="49" t="s">
        <v>100</v>
      </c>
      <c r="J5" s="50" t="s">
        <v>101</v>
      </c>
      <c r="K5" s="42" t="s">
        <v>102</v>
      </c>
      <c r="L5" s="42" t="s">
        <v>103</v>
      </c>
      <c r="M5" s="51">
        <v>31679.0</v>
      </c>
      <c r="N5" s="52">
        <f t="shared" si="2"/>
        <v>34</v>
      </c>
      <c r="O5" s="42" t="s">
        <v>104</v>
      </c>
      <c r="P5" s="42" t="s">
        <v>77</v>
      </c>
      <c r="Q5" s="42" t="s">
        <v>77</v>
      </c>
      <c r="R5" s="42" t="s">
        <v>105</v>
      </c>
      <c r="S5" s="42" t="s">
        <v>79</v>
      </c>
      <c r="T5" s="45" t="s">
        <v>94</v>
      </c>
      <c r="U5" s="42" t="s">
        <v>81</v>
      </c>
      <c r="V5" s="45" t="s">
        <v>78</v>
      </c>
      <c r="W5" s="42" t="s">
        <v>79</v>
      </c>
      <c r="X5" s="42" t="s">
        <v>95</v>
      </c>
      <c r="Y5" s="45" t="s">
        <v>83</v>
      </c>
      <c r="Z5" s="42"/>
      <c r="AA5" s="50"/>
      <c r="AB5" s="52"/>
      <c r="AC5" s="53">
        <f t="shared" si="5"/>
        <v>401</v>
      </c>
      <c r="AD5" s="45">
        <v>0.0</v>
      </c>
      <c r="AE5" s="53">
        <f t="shared" ref="AE5:AE6" si="6">(AP5*0.5+AO5)</f>
        <v>82</v>
      </c>
      <c r="AF5" s="53">
        <f t="shared" si="3"/>
        <v>319</v>
      </c>
      <c r="AG5" s="52">
        <f t="shared" si="4"/>
        <v>1993.75</v>
      </c>
      <c r="AH5" s="48">
        <f>IFERROR(__xludf.DUMMYFUNCTION("importrange(C5,""Sheet2!a4:x4"")"),24.048192771084338)</f>
        <v>24.04819277</v>
      </c>
      <c r="AI5" s="48">
        <f>IFERROR(__xludf.DUMMYFUNCTION("""COMPUTED_VALUE"""),25.0)</f>
        <v>25</v>
      </c>
      <c r="AJ5" s="48">
        <f>IFERROR(__xludf.DUMMYFUNCTION("""COMPUTED_VALUE"""),484.0)</f>
        <v>484</v>
      </c>
      <c r="AK5" s="53" t="str">
        <f>IFERROR(__xludf.DUMMYFUNCTION("""COMPUTED_VALUE"""),"Attended No Show")</f>
        <v>Attended No Show</v>
      </c>
      <c r="AL5" s="53">
        <f>IFERROR(__xludf.DUMMYFUNCTION("""COMPUTED_VALUE"""),484.0)</f>
        <v>484</v>
      </c>
      <c r="AM5" s="53">
        <f>IFERROR(__xludf.DUMMYFUNCTION("""COMPUTED_VALUE"""),254.0)</f>
        <v>254</v>
      </c>
      <c r="AN5" s="53">
        <f>IFERROR(__xludf.DUMMYFUNCTION("""COMPUTED_VALUE"""),254.0)</f>
        <v>254</v>
      </c>
      <c r="AO5" s="53">
        <f>IFERROR(__xludf.DUMMYFUNCTION("""COMPUTED_VALUE"""),82.0)</f>
        <v>82</v>
      </c>
      <c r="AP5" s="53">
        <f>IFERROR(__xludf.DUMMYFUNCTION("""COMPUTED_VALUE"""),0.0)</f>
        <v>0</v>
      </c>
      <c r="AQ5" s="53">
        <f>IFERROR(__xludf.DUMMYFUNCTION("""COMPUTED_VALUE"""),1.0)</f>
        <v>1</v>
      </c>
      <c r="AR5" s="53">
        <f>IFERROR(__xludf.DUMMYFUNCTION("""COMPUTED_VALUE"""),147.0)</f>
        <v>147</v>
      </c>
      <c r="AS5" s="53">
        <f>IFERROR(__xludf.DUMMYFUNCTION("""COMPUTED_VALUE"""),83.02277432712215)</f>
        <v>83.02277433</v>
      </c>
      <c r="AT5" s="48">
        <f>IFERROR(__xludf.DUMMYFUNCTION("""COMPUTED_VALUE"""),16.94214876033058)</f>
        <v>16.94214876</v>
      </c>
      <c r="AU5" s="48">
        <f>IFERROR(__xludf.DUMMYFUNCTION("""COMPUTED_VALUE"""),0.0)</f>
        <v>0</v>
      </c>
      <c r="AV5" s="48">
        <f>IFERROR(__xludf.DUMMYFUNCTION("""COMPUTED_VALUE"""),0.2066115702479339)</f>
        <v>0.2066115702</v>
      </c>
      <c r="AW5" s="48">
        <f>IFERROR(__xludf.DUMMYFUNCTION("""COMPUTED_VALUE"""),30.37190082644628)</f>
        <v>30.37190083</v>
      </c>
      <c r="AX5" s="48">
        <f>IFERROR(__xludf.DUMMYFUNCTION("""COMPUTED_VALUE"""),82.85123966942149)</f>
        <v>82.85123967</v>
      </c>
      <c r="AY5" s="48">
        <f>IFERROR(__xludf.DUMMYFUNCTION("""COMPUTED_VALUE"""),214.0)</f>
        <v>214</v>
      </c>
      <c r="AZ5" s="48">
        <f>IFERROR(__xludf.DUMMYFUNCTION("""COMPUTED_VALUE"""),194.0)</f>
        <v>194</v>
      </c>
      <c r="BA5" s="48">
        <f>IFERROR(__xludf.DUMMYFUNCTION("""COMPUTED_VALUE"""),20.0)</f>
        <v>20</v>
      </c>
      <c r="BB5" s="48">
        <f>IFERROR(__xludf.DUMMYFUNCTION("""COMPUTED_VALUE"""),3.0)</f>
        <v>3</v>
      </c>
      <c r="BC5" s="48">
        <f>IFERROR(__xludf.DUMMYFUNCTION("""COMPUTED_VALUE"""),90.65420560747664)</f>
        <v>90.65420561</v>
      </c>
      <c r="BD5" s="48">
        <f>IFERROR(__xludf.DUMMYFUNCTION("""COMPUTED_VALUE"""),9.345794392523365)</f>
        <v>9.345794393</v>
      </c>
      <c r="BE5" s="48">
        <f>IFERROR(__xludf.DUMMYFUNCTION("""COMPUTED_VALUE"""),1.3824884792626728)</f>
        <v>1.382488479</v>
      </c>
      <c r="BF5" s="52"/>
      <c r="BG5" s="52"/>
      <c r="BH5" s="52"/>
      <c r="BI5" s="52"/>
      <c r="BJ5" s="52"/>
      <c r="BK5" s="52"/>
      <c r="BL5" s="52"/>
      <c r="BM5" s="54" t="s">
        <v>96</v>
      </c>
    </row>
    <row r="6">
      <c r="A6" s="42" t="s">
        <v>106</v>
      </c>
      <c r="B6" s="43" t="s">
        <v>107</v>
      </c>
      <c r="C6" s="44" t="s">
        <v>108</v>
      </c>
      <c r="D6" s="42" t="s">
        <v>70</v>
      </c>
      <c r="E6" s="42" t="s">
        <v>71</v>
      </c>
      <c r="F6" s="46">
        <v>40668.0</v>
      </c>
      <c r="G6" s="47">
        <v>41336.0</v>
      </c>
      <c r="H6" s="48">
        <f t="shared" si="1"/>
        <v>21.97368421</v>
      </c>
      <c r="I6" s="49" t="s">
        <v>109</v>
      </c>
      <c r="J6" s="50" t="s">
        <v>110</v>
      </c>
      <c r="K6" s="42" t="s">
        <v>111</v>
      </c>
      <c r="L6" s="42" t="s">
        <v>112</v>
      </c>
      <c r="M6" s="51">
        <v>31644.0</v>
      </c>
      <c r="N6" s="52">
        <f t="shared" si="2"/>
        <v>34</v>
      </c>
      <c r="O6" s="42" t="s">
        <v>104</v>
      </c>
      <c r="P6" s="42" t="s">
        <v>77</v>
      </c>
      <c r="Q6" s="42" t="s">
        <v>77</v>
      </c>
      <c r="R6" s="52"/>
      <c r="S6" s="42" t="s">
        <v>79</v>
      </c>
      <c r="T6" s="45" t="s">
        <v>80</v>
      </c>
      <c r="U6" s="42" t="s">
        <v>81</v>
      </c>
      <c r="V6" s="45" t="s">
        <v>78</v>
      </c>
      <c r="W6" s="42" t="s">
        <v>79</v>
      </c>
      <c r="X6" s="42" t="s">
        <v>95</v>
      </c>
      <c r="Y6" s="45" t="s">
        <v>83</v>
      </c>
      <c r="Z6" s="42"/>
      <c r="AA6" s="50"/>
      <c r="AB6" s="52"/>
      <c r="AC6" s="53">
        <f t="shared" si="5"/>
        <v>207</v>
      </c>
      <c r="AD6" s="45">
        <v>0.0</v>
      </c>
      <c r="AE6" s="53">
        <f t="shared" si="6"/>
        <v>19.5</v>
      </c>
      <c r="AF6" s="53">
        <f t="shared" si="3"/>
        <v>187.5</v>
      </c>
      <c r="AG6" s="52">
        <f t="shared" si="4"/>
        <v>1171.875</v>
      </c>
      <c r="AH6" s="48">
        <f>IFERROR(__xludf.DUMMYFUNCTION("importrange(C6,""Sheet2!a4:x4"")"),39.425196850393704)</f>
        <v>39.42519685</v>
      </c>
      <c r="AI6" s="48">
        <f>IFERROR(__xludf.DUMMYFUNCTION("""COMPUTED_VALUE"""),4.0)</f>
        <v>4</v>
      </c>
      <c r="AJ6" s="48">
        <f>IFERROR(__xludf.DUMMYFUNCTION("""COMPUTED_VALUE"""),235.0)</f>
        <v>235</v>
      </c>
      <c r="AK6" s="53" t="str">
        <f>IFERROR(__xludf.DUMMYFUNCTION("""COMPUTED_VALUE"""),"Attended No Show")</f>
        <v>Attended No Show</v>
      </c>
      <c r="AL6" s="53">
        <f>IFERROR(__xludf.DUMMYFUNCTION("""COMPUTED_VALUE"""),235.0)</f>
        <v>235</v>
      </c>
      <c r="AM6" s="53">
        <f>IFERROR(__xludf.DUMMYFUNCTION("""COMPUTED_VALUE"""),134.0)</f>
        <v>134</v>
      </c>
      <c r="AN6" s="53">
        <f>IFERROR(__xludf.DUMMYFUNCTION("""COMPUTED_VALUE"""),131.0)</f>
        <v>131</v>
      </c>
      <c r="AO6" s="53">
        <f>IFERROR(__xludf.DUMMYFUNCTION("""COMPUTED_VALUE"""),18.0)</f>
        <v>18</v>
      </c>
      <c r="AP6" s="53">
        <f>IFERROR(__xludf.DUMMYFUNCTION("""COMPUTED_VALUE"""),3.0)</f>
        <v>3</v>
      </c>
      <c r="AQ6" s="53">
        <f>IFERROR(__xludf.DUMMYFUNCTION("""COMPUTED_VALUE"""),10.0)</f>
        <v>10</v>
      </c>
      <c r="AR6" s="53">
        <f>IFERROR(__xludf.DUMMYFUNCTION("""COMPUTED_VALUE"""),73.0)</f>
        <v>73</v>
      </c>
      <c r="AS6" s="53">
        <f>IFERROR(__xludf.DUMMYFUNCTION("""COMPUTED_VALUE"""),90.66666666666666)</f>
        <v>90.66666667</v>
      </c>
      <c r="AT6" s="48">
        <f>IFERROR(__xludf.DUMMYFUNCTION("""COMPUTED_VALUE"""),7.659574468085106)</f>
        <v>7.659574468</v>
      </c>
      <c r="AU6" s="48">
        <f>IFERROR(__xludf.DUMMYFUNCTION("""COMPUTED_VALUE"""),1.276595744680851)</f>
        <v>1.276595745</v>
      </c>
      <c r="AV6" s="48">
        <f>IFERROR(__xludf.DUMMYFUNCTION("""COMPUTED_VALUE"""),4.25531914893617)</f>
        <v>4.255319149</v>
      </c>
      <c r="AW6" s="48">
        <f>IFERROR(__xludf.DUMMYFUNCTION("""COMPUTED_VALUE"""),31.06382978723404)</f>
        <v>31.06382979</v>
      </c>
      <c r="AX6" s="48">
        <f>IFERROR(__xludf.DUMMYFUNCTION("""COMPUTED_VALUE"""),88.08510638297872)</f>
        <v>88.08510638</v>
      </c>
      <c r="AY6" s="48">
        <f>IFERROR(__xludf.DUMMYFUNCTION("""COMPUTED_VALUE"""),121.0)</f>
        <v>121</v>
      </c>
      <c r="AZ6" s="48">
        <f>IFERROR(__xludf.DUMMYFUNCTION("""COMPUTED_VALUE"""),103.0)</f>
        <v>103</v>
      </c>
      <c r="BA6" s="48">
        <f>IFERROR(__xludf.DUMMYFUNCTION("""COMPUTED_VALUE"""),18.0)</f>
        <v>18</v>
      </c>
      <c r="BB6" s="48">
        <f>IFERROR(__xludf.DUMMYFUNCTION("""COMPUTED_VALUE"""),0.0)</f>
        <v>0</v>
      </c>
      <c r="BC6" s="48">
        <f>IFERROR(__xludf.DUMMYFUNCTION("""COMPUTED_VALUE"""),85.12396694214877)</f>
        <v>85.12396694</v>
      </c>
      <c r="BD6" s="48">
        <f>IFERROR(__xludf.DUMMYFUNCTION("""COMPUTED_VALUE"""),14.87603305785124)</f>
        <v>14.87603306</v>
      </c>
      <c r="BE6" s="48">
        <f>IFERROR(__xludf.DUMMYFUNCTION("""COMPUTED_VALUE"""),0.0)</f>
        <v>0</v>
      </c>
      <c r="BF6" s="52"/>
      <c r="BG6" s="52"/>
      <c r="BH6" s="52"/>
      <c r="BI6" s="52"/>
      <c r="BJ6" s="52"/>
      <c r="BK6" s="52"/>
      <c r="BL6" s="52"/>
      <c r="BM6" s="54" t="s">
        <v>85</v>
      </c>
    </row>
    <row r="7">
      <c r="A7" s="42" t="s">
        <v>113</v>
      </c>
      <c r="B7" s="56" t="s">
        <v>114</v>
      </c>
      <c r="C7" s="44" t="s">
        <v>115</v>
      </c>
      <c r="D7" s="42" t="s">
        <v>70</v>
      </c>
      <c r="E7" s="42" t="s">
        <v>71</v>
      </c>
      <c r="F7" s="46">
        <v>40700.0</v>
      </c>
      <c r="G7" s="47">
        <v>41579.0</v>
      </c>
      <c r="H7" s="48">
        <f t="shared" si="1"/>
        <v>28.91447368</v>
      </c>
      <c r="I7" s="49" t="s">
        <v>116</v>
      </c>
      <c r="J7" s="50" t="s">
        <v>117</v>
      </c>
      <c r="K7" s="42" t="s">
        <v>118</v>
      </c>
      <c r="L7" s="42" t="s">
        <v>119</v>
      </c>
      <c r="M7" s="51">
        <v>26665.0</v>
      </c>
      <c r="N7" s="52">
        <f t="shared" si="2"/>
        <v>48</v>
      </c>
      <c r="O7" s="42" t="s">
        <v>76</v>
      </c>
      <c r="P7" s="52"/>
      <c r="Q7" s="52"/>
      <c r="R7" s="52"/>
      <c r="S7" s="42" t="s">
        <v>79</v>
      </c>
      <c r="T7" s="45" t="s">
        <v>120</v>
      </c>
      <c r="U7" s="42" t="s">
        <v>81</v>
      </c>
      <c r="V7" s="45" t="s">
        <v>78</v>
      </c>
      <c r="W7" s="42" t="s">
        <v>79</v>
      </c>
      <c r="X7" s="42" t="s">
        <v>82</v>
      </c>
      <c r="Y7" s="45" t="s">
        <v>83</v>
      </c>
      <c r="Z7" s="42"/>
      <c r="AA7" s="50"/>
      <c r="AB7" s="42"/>
      <c r="AC7" s="53">
        <f t="shared" si="5"/>
        <v>568</v>
      </c>
      <c r="AD7" s="42">
        <v>566.0</v>
      </c>
      <c r="AE7" s="53">
        <f>(AP7*0.5+AO7)-38</f>
        <v>4.5</v>
      </c>
      <c r="AF7" s="53">
        <f t="shared" si="3"/>
        <v>-2.5</v>
      </c>
      <c r="AG7" s="52">
        <f t="shared" si="4"/>
        <v>-15.625</v>
      </c>
      <c r="AH7" s="48">
        <f>IFERROR(__xludf.DUMMYFUNCTION("importrange(C7,""Sheet2!a4:x4"")"),36.84466019417476)</f>
        <v>36.84466019</v>
      </c>
      <c r="AI7" s="48">
        <f>IFERROR(__xludf.DUMMYFUNCTION("""COMPUTED_VALUE"""),20.0)</f>
        <v>20</v>
      </c>
      <c r="AJ7" s="48">
        <f>IFERROR(__xludf.DUMMYFUNCTION("""COMPUTED_VALUE"""),602.0)</f>
        <v>602</v>
      </c>
      <c r="AK7" s="53" t="str">
        <f>IFERROR(__xludf.DUMMYFUNCTION("""COMPUTED_VALUE"""),"Absent")</f>
        <v>Absent</v>
      </c>
      <c r="AL7" s="53">
        <f>IFERROR(__xludf.DUMMYFUNCTION("""COMPUTED_VALUE"""),602.0)</f>
        <v>602</v>
      </c>
      <c r="AM7" s="53">
        <f>IFERROR(__xludf.DUMMYFUNCTION("""COMPUTED_VALUE"""),413.0)</f>
        <v>413</v>
      </c>
      <c r="AN7" s="53">
        <f>IFERROR(__xludf.DUMMYFUNCTION("""COMPUTED_VALUE"""),392.0)</f>
        <v>392</v>
      </c>
      <c r="AO7" s="53">
        <f>IFERROR(__xludf.DUMMYFUNCTION("""COMPUTED_VALUE"""),32.0)</f>
        <v>32</v>
      </c>
      <c r="AP7" s="53">
        <f>IFERROR(__xludf.DUMMYFUNCTION("""COMPUTED_VALUE"""),21.0)</f>
        <v>21</v>
      </c>
      <c r="AQ7" s="53">
        <f>IFERROR(__xludf.DUMMYFUNCTION("""COMPUTED_VALUE"""),2.0)</f>
        <v>2</v>
      </c>
      <c r="AR7" s="53">
        <f>IFERROR(__xludf.DUMMYFUNCTION("""COMPUTED_VALUE"""),155.0)</f>
        <v>155</v>
      </c>
      <c r="AS7" s="53">
        <f>IFERROR(__xludf.DUMMYFUNCTION("""COMPUTED_VALUE"""),91.16666666666666)</f>
        <v>91.16666667</v>
      </c>
      <c r="AT7" s="48">
        <f>IFERROR(__xludf.DUMMYFUNCTION("""COMPUTED_VALUE"""),5.3156146179401995)</f>
        <v>5.315614618</v>
      </c>
      <c r="AU7" s="48">
        <f>IFERROR(__xludf.DUMMYFUNCTION("""COMPUTED_VALUE"""),3.488372093023256)</f>
        <v>3.488372093</v>
      </c>
      <c r="AV7" s="48">
        <f>IFERROR(__xludf.DUMMYFUNCTION("""COMPUTED_VALUE"""),0.33222591362126247)</f>
        <v>0.3322259136</v>
      </c>
      <c r="AW7" s="48">
        <f>IFERROR(__xludf.DUMMYFUNCTION("""COMPUTED_VALUE"""),25.74750830564784)</f>
        <v>25.74750831</v>
      </c>
      <c r="AX7" s="48">
        <f>IFERROR(__xludf.DUMMYFUNCTION("""COMPUTED_VALUE"""),94.35215946843853)</f>
        <v>94.35215947</v>
      </c>
      <c r="AY7" s="48">
        <f>IFERROR(__xludf.DUMMYFUNCTION("""COMPUTED_VALUE"""),388.0)</f>
        <v>388</v>
      </c>
      <c r="AZ7" s="48">
        <f>IFERROR(__xludf.DUMMYFUNCTION("""COMPUTED_VALUE"""),387.0)</f>
        <v>387</v>
      </c>
      <c r="BA7" s="48">
        <f>IFERROR(__xludf.DUMMYFUNCTION("""COMPUTED_VALUE"""),1.0)</f>
        <v>1</v>
      </c>
      <c r="BB7" s="48">
        <f>IFERROR(__xludf.DUMMYFUNCTION("""COMPUTED_VALUE"""),0.0)</f>
        <v>0</v>
      </c>
      <c r="BC7" s="48">
        <f>IFERROR(__xludf.DUMMYFUNCTION("""COMPUTED_VALUE"""),99.74226804123711)</f>
        <v>99.74226804</v>
      </c>
      <c r="BD7" s="48">
        <f>IFERROR(__xludf.DUMMYFUNCTION("""COMPUTED_VALUE"""),0.25773195876288657)</f>
        <v>0.2577319588</v>
      </c>
      <c r="BE7" s="48">
        <f>IFERROR(__xludf.DUMMYFUNCTION("""COMPUTED_VALUE"""),0.0)</f>
        <v>0</v>
      </c>
      <c r="BF7" s="52"/>
      <c r="BG7" s="52"/>
      <c r="BH7" s="52"/>
      <c r="BI7" s="52"/>
      <c r="BJ7" s="52"/>
      <c r="BK7" s="52"/>
      <c r="BL7" s="52"/>
      <c r="BM7" s="54" t="s">
        <v>121</v>
      </c>
    </row>
    <row r="8">
      <c r="A8" s="42" t="s">
        <v>122</v>
      </c>
      <c r="B8" s="43" t="s">
        <v>123</v>
      </c>
      <c r="C8" s="44" t="s">
        <v>124</v>
      </c>
      <c r="D8" s="42" t="s">
        <v>125</v>
      </c>
      <c r="E8" s="42" t="s">
        <v>71</v>
      </c>
      <c r="F8" s="46">
        <v>40700.0</v>
      </c>
      <c r="G8" s="57"/>
      <c r="H8" s="48">
        <f t="shared" si="1"/>
        <v>116.8092105</v>
      </c>
      <c r="I8" s="49"/>
      <c r="J8" s="50" t="s">
        <v>126</v>
      </c>
      <c r="K8" s="42" t="s">
        <v>127</v>
      </c>
      <c r="L8" s="42" t="s">
        <v>128</v>
      </c>
      <c r="M8" s="51">
        <v>26665.0</v>
      </c>
      <c r="N8" s="52">
        <f t="shared" si="2"/>
        <v>48</v>
      </c>
      <c r="O8" s="42" t="s">
        <v>76</v>
      </c>
      <c r="P8" s="52"/>
      <c r="Q8" s="52"/>
      <c r="R8" s="52"/>
      <c r="S8" s="42" t="s">
        <v>79</v>
      </c>
      <c r="T8" s="45" t="s">
        <v>129</v>
      </c>
      <c r="U8" s="42" t="s">
        <v>81</v>
      </c>
      <c r="V8" s="45" t="s">
        <v>78</v>
      </c>
      <c r="W8" s="42" t="s">
        <v>79</v>
      </c>
      <c r="X8" s="42" t="s">
        <v>82</v>
      </c>
      <c r="Y8" s="45" t="s">
        <v>83</v>
      </c>
      <c r="Z8" s="45" t="s">
        <v>130</v>
      </c>
      <c r="AA8" s="58" t="s">
        <v>131</v>
      </c>
      <c r="AB8" s="45"/>
      <c r="AC8" s="53">
        <f t="shared" si="5"/>
        <v>7294</v>
      </c>
      <c r="AD8" s="45">
        <v>6867.0</v>
      </c>
      <c r="AE8" s="53">
        <f t="shared" ref="AE8:AE10" si="7">(AP8*0.5+AO8)</f>
        <v>394</v>
      </c>
      <c r="AF8" s="53">
        <f t="shared" si="3"/>
        <v>33</v>
      </c>
      <c r="AG8" s="52">
        <f>(AF8*15)</f>
        <v>495</v>
      </c>
      <c r="AH8" s="48">
        <f>IFERROR(__xludf.DUMMYFUNCTION("importrange(C8,""Sheet2!a4:x4"")"),29.531016366942815)</f>
        <v>29.53101637</v>
      </c>
      <c r="AI8" s="48">
        <f>IFERROR(__xludf.DUMMYFUNCTION("""COMPUTED_VALUE"""),50.0)</f>
        <v>50</v>
      </c>
      <c r="AJ8" s="48">
        <f>IFERROR(__xludf.DUMMYFUNCTION("""COMPUTED_VALUE"""),7757.0)</f>
        <v>7757</v>
      </c>
      <c r="AK8" s="53" t="str">
        <f>IFERROR(__xludf.DUMMYFUNCTION("""COMPUTED_VALUE"""),"Attended")</f>
        <v>Attended</v>
      </c>
      <c r="AL8" s="53">
        <f>IFERROR(__xludf.DUMMYFUNCTION("""COMPUTED_VALUE"""),7757.0)</f>
        <v>7757</v>
      </c>
      <c r="AM8" s="53">
        <f>IFERROR(__xludf.DUMMYFUNCTION("""COMPUTED_VALUE"""),5758.0)</f>
        <v>5758</v>
      </c>
      <c r="AN8" s="53">
        <f>IFERROR(__xludf.DUMMYFUNCTION("""COMPUTED_VALUE"""),5672.0)</f>
        <v>5672</v>
      </c>
      <c r="AO8" s="53">
        <f>IFERROR(__xludf.DUMMYFUNCTION("""COMPUTED_VALUE"""),351.0)</f>
        <v>351</v>
      </c>
      <c r="AP8" s="53">
        <f>IFERROR(__xludf.DUMMYFUNCTION("""COMPUTED_VALUE"""),86.0)</f>
        <v>86</v>
      </c>
      <c r="AQ8" s="53">
        <f>IFERROR(__xludf.DUMMYFUNCTION("""COMPUTED_VALUE"""),112.0)</f>
        <v>112</v>
      </c>
      <c r="AR8" s="53">
        <f>IFERROR(__xludf.DUMMYFUNCTION("""COMPUTED_VALUE"""),1536.0)</f>
        <v>1536</v>
      </c>
      <c r="AS8" s="53">
        <f>IFERROR(__xludf.DUMMYFUNCTION("""COMPUTED_VALUE"""),94.28384565075213)</f>
        <v>94.28384565</v>
      </c>
      <c r="AT8" s="48">
        <f>IFERROR(__xludf.DUMMYFUNCTION("""COMPUTED_VALUE"""),4.5249452107773624)</f>
        <v>4.524945211</v>
      </c>
      <c r="AU8" s="48">
        <f>IFERROR(__xludf.DUMMYFUNCTION("""COMPUTED_VALUE"""),1.1086760345494393)</f>
        <v>1.108676035</v>
      </c>
      <c r="AV8" s="48">
        <f>IFERROR(__xludf.DUMMYFUNCTION("""COMPUTED_VALUE"""),1.4438571612736883)</f>
        <v>1.443857161</v>
      </c>
      <c r="AW8" s="48">
        <f>IFERROR(__xludf.DUMMYFUNCTION("""COMPUTED_VALUE"""),19.801469640324868)</f>
        <v>19.80146964</v>
      </c>
      <c r="AX8" s="48">
        <f>IFERROR(__xludf.DUMMYFUNCTION("""COMPUTED_VALUE"""),94.03119762794894)</f>
        <v>94.03119763</v>
      </c>
      <c r="AY8" s="48">
        <f>IFERROR(__xludf.DUMMYFUNCTION("""COMPUTED_VALUE"""),4280.0)</f>
        <v>4280</v>
      </c>
      <c r="AZ8" s="48">
        <f>IFERROR(__xludf.DUMMYFUNCTION("""COMPUTED_VALUE"""),4280.0)</f>
        <v>4280</v>
      </c>
      <c r="BA8" s="48">
        <f>IFERROR(__xludf.DUMMYFUNCTION("""COMPUTED_VALUE"""),0.0)</f>
        <v>0</v>
      </c>
      <c r="BB8" s="48">
        <f>IFERROR(__xludf.DUMMYFUNCTION("""COMPUTED_VALUE"""),7.0)</f>
        <v>7</v>
      </c>
      <c r="BC8" s="48">
        <f>IFERROR(__xludf.DUMMYFUNCTION("""COMPUTED_VALUE"""),100.0)</f>
        <v>100</v>
      </c>
      <c r="BD8" s="48">
        <f>IFERROR(__xludf.DUMMYFUNCTION("""COMPUTED_VALUE"""),0.0)</f>
        <v>0</v>
      </c>
      <c r="BE8" s="48">
        <f>IFERROR(__xludf.DUMMYFUNCTION("""COMPUTED_VALUE"""),0.16328434802892466)</f>
        <v>0.163284348</v>
      </c>
      <c r="BF8" s="52"/>
      <c r="BG8" s="52"/>
      <c r="BH8" s="52"/>
      <c r="BI8" s="52"/>
      <c r="BJ8" s="52"/>
      <c r="BK8" s="45">
        <v>4.0</v>
      </c>
      <c r="BL8" s="45">
        <v>1.0</v>
      </c>
      <c r="BM8" s="59" t="s">
        <v>132</v>
      </c>
    </row>
    <row r="9">
      <c r="A9" s="42" t="s">
        <v>133</v>
      </c>
      <c r="B9" s="43" t="s">
        <v>134</v>
      </c>
      <c r="C9" s="44" t="s">
        <v>135</v>
      </c>
      <c r="D9" s="45" t="s">
        <v>70</v>
      </c>
      <c r="E9" s="42" t="s">
        <v>71</v>
      </c>
      <c r="F9" s="46">
        <v>40731.0</v>
      </c>
      <c r="G9" s="47">
        <v>42140.0</v>
      </c>
      <c r="H9" s="48">
        <f t="shared" si="1"/>
        <v>46.34868421</v>
      </c>
      <c r="I9" s="49" t="s">
        <v>136</v>
      </c>
      <c r="J9" s="50" t="s">
        <v>137</v>
      </c>
      <c r="K9" s="42" t="s">
        <v>138</v>
      </c>
      <c r="L9" s="42" t="s">
        <v>139</v>
      </c>
      <c r="M9" s="51">
        <v>32509.0</v>
      </c>
      <c r="N9" s="52">
        <f t="shared" si="2"/>
        <v>32</v>
      </c>
      <c r="O9" s="42" t="s">
        <v>104</v>
      </c>
      <c r="P9" s="52"/>
      <c r="Q9" s="52"/>
      <c r="R9" s="52"/>
      <c r="S9" s="42" t="s">
        <v>79</v>
      </c>
      <c r="T9" s="45" t="s">
        <v>94</v>
      </c>
      <c r="U9" s="42" t="s">
        <v>81</v>
      </c>
      <c r="V9" s="45" t="s">
        <v>78</v>
      </c>
      <c r="W9" s="42" t="s">
        <v>79</v>
      </c>
      <c r="X9" s="42" t="s">
        <v>95</v>
      </c>
      <c r="Y9" s="45" t="s">
        <v>83</v>
      </c>
      <c r="Z9" s="42"/>
      <c r="AA9" s="50"/>
      <c r="AB9" s="52"/>
      <c r="AC9" s="53">
        <f t="shared" si="5"/>
        <v>505</v>
      </c>
      <c r="AD9" s="45">
        <v>0.0</v>
      </c>
      <c r="AE9" s="53">
        <f t="shared" si="7"/>
        <v>35.5</v>
      </c>
      <c r="AF9" s="53">
        <f t="shared" si="3"/>
        <v>469.5</v>
      </c>
      <c r="AG9" s="52">
        <f t="shared" ref="AG9:AG22" si="8">(AF9*6.25)</f>
        <v>2934.375</v>
      </c>
      <c r="AH9" s="48">
        <f>IFERROR(__xludf.DUMMYFUNCTION("importrange(C9,""Sheet2!a4:x4"")"),30.6028880866426)</f>
        <v>30.60288809</v>
      </c>
      <c r="AI9" s="48">
        <f>IFERROR(__xludf.DUMMYFUNCTION("""COMPUTED_VALUE"""),15.0)</f>
        <v>15</v>
      </c>
      <c r="AJ9" s="48">
        <f>IFERROR(__xludf.DUMMYFUNCTION("""COMPUTED_VALUE"""),569.0)</f>
        <v>569</v>
      </c>
      <c r="AK9" s="53" t="str">
        <f>IFERROR(__xludf.DUMMYFUNCTION("""COMPUTED_VALUE"""),"Attended")</f>
        <v>Attended</v>
      </c>
      <c r="AL9" s="53">
        <f>IFERROR(__xludf.DUMMYFUNCTION("""COMPUTED_VALUE"""),569.0)</f>
        <v>569</v>
      </c>
      <c r="AM9" s="53">
        <f>IFERROR(__xludf.DUMMYFUNCTION("""COMPUTED_VALUE"""),343.0)</f>
        <v>343</v>
      </c>
      <c r="AN9" s="53">
        <f>IFERROR(__xludf.DUMMYFUNCTION("""COMPUTED_VALUE"""),338.0)</f>
        <v>338</v>
      </c>
      <c r="AO9" s="53">
        <f>IFERROR(__xludf.DUMMYFUNCTION("""COMPUTED_VALUE"""),33.0)</f>
        <v>33</v>
      </c>
      <c r="AP9" s="53">
        <f>IFERROR(__xludf.DUMMYFUNCTION("""COMPUTED_VALUE"""),5.0)</f>
        <v>5</v>
      </c>
      <c r="AQ9" s="53">
        <f>IFERROR(__xludf.DUMMYFUNCTION("""COMPUTED_VALUE"""),31.0)</f>
        <v>31</v>
      </c>
      <c r="AR9" s="53">
        <f>IFERROR(__xludf.DUMMYFUNCTION("""COMPUTED_VALUE"""),162.0)</f>
        <v>162</v>
      </c>
      <c r="AS9" s="53">
        <f>IFERROR(__xludf.DUMMYFUNCTION("""COMPUTED_VALUE"""),92.93680297397769)</f>
        <v>92.93680297</v>
      </c>
      <c r="AT9" s="48">
        <f>IFERROR(__xludf.DUMMYFUNCTION("""COMPUTED_VALUE"""),5.799648506151142)</f>
        <v>5.799648506</v>
      </c>
      <c r="AU9" s="48">
        <f>IFERROR(__xludf.DUMMYFUNCTION("""COMPUTED_VALUE"""),0.8787346221441126)</f>
        <v>0.8787346221</v>
      </c>
      <c r="AV9" s="48">
        <f>IFERROR(__xludf.DUMMYFUNCTION("""COMPUTED_VALUE"""),5.448154657293498)</f>
        <v>5.448154657</v>
      </c>
      <c r="AW9" s="48">
        <f>IFERROR(__xludf.DUMMYFUNCTION("""COMPUTED_VALUE"""),28.471001757469246)</f>
        <v>28.47100176</v>
      </c>
      <c r="AX9" s="48">
        <f>IFERROR(__xludf.DUMMYFUNCTION("""COMPUTED_VALUE"""),88.75219683655537)</f>
        <v>88.75219684</v>
      </c>
      <c r="AY9" s="48">
        <f>IFERROR(__xludf.DUMMYFUNCTION("""COMPUTED_VALUE"""),284.0)</f>
        <v>284</v>
      </c>
      <c r="AZ9" s="48">
        <f>IFERROR(__xludf.DUMMYFUNCTION("""COMPUTED_VALUE"""),283.0)</f>
        <v>283</v>
      </c>
      <c r="BA9" s="48">
        <f>IFERROR(__xludf.DUMMYFUNCTION("""COMPUTED_VALUE"""),1.0)</f>
        <v>1</v>
      </c>
      <c r="BB9" s="48">
        <f>IFERROR(__xludf.DUMMYFUNCTION("""COMPUTED_VALUE"""),1.0)</f>
        <v>1</v>
      </c>
      <c r="BC9" s="48">
        <f>IFERROR(__xludf.DUMMYFUNCTION("""COMPUTED_VALUE"""),99.64788732394366)</f>
        <v>99.64788732</v>
      </c>
      <c r="BD9" s="48">
        <f>IFERROR(__xludf.DUMMYFUNCTION("""COMPUTED_VALUE"""),0.35211267605633806)</f>
        <v>0.3521126761</v>
      </c>
      <c r="BE9" s="48">
        <f>IFERROR(__xludf.DUMMYFUNCTION("""COMPUTED_VALUE"""),0.3508771929824561)</f>
        <v>0.350877193</v>
      </c>
      <c r="BF9" s="52"/>
      <c r="BG9" s="52"/>
      <c r="BH9" s="52"/>
      <c r="BI9" s="52"/>
      <c r="BJ9" s="52"/>
      <c r="BK9" s="52"/>
      <c r="BL9" s="52"/>
      <c r="BM9" s="54" t="s">
        <v>96</v>
      </c>
    </row>
    <row r="10">
      <c r="A10" s="42" t="s">
        <v>140</v>
      </c>
      <c r="B10" s="55" t="s">
        <v>141</v>
      </c>
      <c r="C10" s="44" t="s">
        <v>142</v>
      </c>
      <c r="D10" s="45" t="s">
        <v>70</v>
      </c>
      <c r="E10" s="42" t="s">
        <v>71</v>
      </c>
      <c r="F10" s="46">
        <v>40795.0</v>
      </c>
      <c r="G10" s="47">
        <v>42389.0</v>
      </c>
      <c r="H10" s="48">
        <f t="shared" si="1"/>
        <v>52.43421053</v>
      </c>
      <c r="I10" s="60" t="s">
        <v>143</v>
      </c>
      <c r="J10" s="50" t="s">
        <v>144</v>
      </c>
      <c r="K10" s="42" t="s">
        <v>145</v>
      </c>
      <c r="L10" s="42" t="s">
        <v>146</v>
      </c>
      <c r="M10" s="51">
        <v>32143.0</v>
      </c>
      <c r="N10" s="52">
        <f t="shared" si="2"/>
        <v>33</v>
      </c>
      <c r="O10" s="42" t="s">
        <v>104</v>
      </c>
      <c r="P10" s="52"/>
      <c r="Q10" s="52"/>
      <c r="R10" s="52"/>
      <c r="S10" s="42" t="s">
        <v>79</v>
      </c>
      <c r="T10" s="45" t="s">
        <v>94</v>
      </c>
      <c r="U10" s="42" t="s">
        <v>81</v>
      </c>
      <c r="V10" s="45" t="s">
        <v>78</v>
      </c>
      <c r="W10" s="42" t="s">
        <v>79</v>
      </c>
      <c r="X10" s="42" t="s">
        <v>95</v>
      </c>
      <c r="Y10" s="45" t="s">
        <v>83</v>
      </c>
      <c r="Z10" s="42"/>
      <c r="AA10" s="50"/>
      <c r="AB10" s="52"/>
      <c r="AC10" s="53">
        <f t="shared" si="5"/>
        <v>443</v>
      </c>
      <c r="AD10" s="45">
        <v>0.0</v>
      </c>
      <c r="AE10" s="53">
        <f t="shared" si="7"/>
        <v>41</v>
      </c>
      <c r="AF10" s="53">
        <f t="shared" si="3"/>
        <v>402</v>
      </c>
      <c r="AG10" s="52">
        <f t="shared" si="8"/>
        <v>2512.5</v>
      </c>
      <c r="AH10" s="48">
        <f>IFERROR(__xludf.DUMMYFUNCTION("importrange(C10,""Sheet2!a4:x4"")"),31.384401114206128)</f>
        <v>31.38440111</v>
      </c>
      <c r="AI10" s="48">
        <f>IFERROR(__xludf.DUMMYFUNCTION("""COMPUTED_VALUE"""),8.0)</f>
        <v>8</v>
      </c>
      <c r="AJ10" s="48">
        <f>IFERROR(__xludf.DUMMYFUNCTION("""COMPUTED_VALUE"""),510.0)</f>
        <v>510</v>
      </c>
      <c r="AK10" s="53" t="str">
        <f>IFERROR(__xludf.DUMMYFUNCTION("""COMPUTED_VALUE"""),"Attended")</f>
        <v>Attended</v>
      </c>
      <c r="AL10" s="53">
        <f>IFERROR(__xludf.DUMMYFUNCTION("""COMPUTED_VALUE"""),510.0)</f>
        <v>510</v>
      </c>
      <c r="AM10" s="53">
        <f>IFERROR(__xludf.DUMMYFUNCTION("""COMPUTED_VALUE"""),370.0)</f>
        <v>370</v>
      </c>
      <c r="AN10" s="53">
        <f>IFERROR(__xludf.DUMMYFUNCTION("""COMPUTED_VALUE"""),366.0)</f>
        <v>366</v>
      </c>
      <c r="AO10" s="53">
        <f>IFERROR(__xludf.DUMMYFUNCTION("""COMPUTED_VALUE"""),39.0)</f>
        <v>39</v>
      </c>
      <c r="AP10" s="53">
        <f>IFERROR(__xludf.DUMMYFUNCTION("""COMPUTED_VALUE"""),4.0)</f>
        <v>4</v>
      </c>
      <c r="AQ10" s="53">
        <f>IFERROR(__xludf.DUMMYFUNCTION("""COMPUTED_VALUE"""),28.0)</f>
        <v>28</v>
      </c>
      <c r="AR10" s="53">
        <f>IFERROR(__xludf.DUMMYFUNCTION("""COMPUTED_VALUE"""),73.0)</f>
        <v>73</v>
      </c>
      <c r="AS10" s="53">
        <f>IFERROR(__xludf.DUMMYFUNCTION("""COMPUTED_VALUE"""),91.07883817427386)</f>
        <v>91.07883817</v>
      </c>
      <c r="AT10" s="48">
        <f>IFERROR(__xludf.DUMMYFUNCTION("""COMPUTED_VALUE"""),7.647058823529412)</f>
        <v>7.647058824</v>
      </c>
      <c r="AU10" s="48">
        <f>IFERROR(__xludf.DUMMYFUNCTION("""COMPUTED_VALUE"""),0.7843137254901961)</f>
        <v>0.7843137255</v>
      </c>
      <c r="AV10" s="48">
        <f>IFERROR(__xludf.DUMMYFUNCTION("""COMPUTED_VALUE"""),5.490196078431373)</f>
        <v>5.490196078</v>
      </c>
      <c r="AW10" s="48">
        <f>IFERROR(__xludf.DUMMYFUNCTION("""COMPUTED_VALUE"""),14.313725490196077)</f>
        <v>14.31372549</v>
      </c>
      <c r="AX10" s="48">
        <f>IFERROR(__xludf.DUMMYFUNCTION("""COMPUTED_VALUE"""),86.86274509803921)</f>
        <v>86.8627451</v>
      </c>
      <c r="AY10" s="48">
        <f>IFERROR(__xludf.DUMMYFUNCTION("""COMPUTED_VALUE"""),219.0)</f>
        <v>219</v>
      </c>
      <c r="AZ10" s="48">
        <f>IFERROR(__xludf.DUMMYFUNCTION("""COMPUTED_VALUE"""),206.0)</f>
        <v>206</v>
      </c>
      <c r="BA10" s="48">
        <f>IFERROR(__xludf.DUMMYFUNCTION("""COMPUTED_VALUE"""),13.0)</f>
        <v>13</v>
      </c>
      <c r="BB10" s="48">
        <f>IFERROR(__xludf.DUMMYFUNCTION("""COMPUTED_VALUE"""),0.0)</f>
        <v>0</v>
      </c>
      <c r="BC10" s="48">
        <f>IFERROR(__xludf.DUMMYFUNCTION("""COMPUTED_VALUE"""),94.06392694063926)</f>
        <v>94.06392694</v>
      </c>
      <c r="BD10" s="48">
        <f>IFERROR(__xludf.DUMMYFUNCTION("""COMPUTED_VALUE"""),5.93607305936073)</f>
        <v>5.936073059</v>
      </c>
      <c r="BE10" s="48">
        <f>IFERROR(__xludf.DUMMYFUNCTION("""COMPUTED_VALUE"""),0.0)</f>
        <v>0</v>
      </c>
      <c r="BF10" s="52"/>
      <c r="BG10" s="52"/>
      <c r="BH10" s="52"/>
      <c r="BI10" s="52"/>
      <c r="BJ10" s="52"/>
      <c r="BK10" s="52"/>
      <c r="BL10" s="52"/>
      <c r="BM10" s="54" t="s">
        <v>96</v>
      </c>
    </row>
    <row r="11">
      <c r="A11" s="42" t="s">
        <v>147</v>
      </c>
      <c r="B11" s="43" t="s">
        <v>148</v>
      </c>
      <c r="C11" s="44" t="s">
        <v>149</v>
      </c>
      <c r="D11" s="42" t="s">
        <v>70</v>
      </c>
      <c r="E11" s="42" t="s">
        <v>71</v>
      </c>
      <c r="F11" s="46">
        <v>40795.0</v>
      </c>
      <c r="G11" s="47">
        <v>41757.0</v>
      </c>
      <c r="H11" s="48">
        <f t="shared" si="1"/>
        <v>31.64473684</v>
      </c>
      <c r="I11" s="49" t="s">
        <v>150</v>
      </c>
      <c r="J11" s="50" t="s">
        <v>151</v>
      </c>
      <c r="K11" s="42" t="s">
        <v>152</v>
      </c>
      <c r="L11" s="42" t="s">
        <v>153</v>
      </c>
      <c r="M11" s="51">
        <v>28703.0</v>
      </c>
      <c r="N11" s="52">
        <f t="shared" si="2"/>
        <v>42</v>
      </c>
      <c r="O11" s="42" t="s">
        <v>104</v>
      </c>
      <c r="P11" s="52"/>
      <c r="Q11" s="52"/>
      <c r="R11" s="52"/>
      <c r="S11" s="42" t="s">
        <v>79</v>
      </c>
      <c r="T11" s="45" t="s">
        <v>94</v>
      </c>
      <c r="U11" s="42" t="s">
        <v>81</v>
      </c>
      <c r="V11" s="45" t="s">
        <v>78</v>
      </c>
      <c r="W11" s="42" t="s">
        <v>79</v>
      </c>
      <c r="X11" s="42" t="s">
        <v>82</v>
      </c>
      <c r="Y11" s="45" t="s">
        <v>83</v>
      </c>
      <c r="Z11" s="42"/>
      <c r="AA11" s="50"/>
      <c r="AB11" s="52"/>
      <c r="AC11" s="53">
        <f t="shared" si="5"/>
        <v>1720</v>
      </c>
      <c r="AD11" s="45">
        <v>1717.5</v>
      </c>
      <c r="AE11" s="53">
        <f>(AP11*0.5+AO11)-6</f>
        <v>5.5</v>
      </c>
      <c r="AF11" s="53">
        <f t="shared" si="3"/>
        <v>-3</v>
      </c>
      <c r="AG11" s="52">
        <f t="shared" si="8"/>
        <v>-18.75</v>
      </c>
      <c r="AH11" s="48">
        <f>IFERROR(__xludf.DUMMYFUNCTION("importrange(C11,""Sheet2!a4:x4"")"),33.51203501094092)</f>
        <v>33.51203501</v>
      </c>
      <c r="AI11" s="48">
        <f>IFERROR(__xludf.DUMMYFUNCTION("""COMPUTED_VALUE"""),43.0)</f>
        <v>43</v>
      </c>
      <c r="AJ11" s="48">
        <f>IFERROR(__xludf.DUMMYFUNCTION("""COMPUTED_VALUE"""),1822.0)</f>
        <v>1822</v>
      </c>
      <c r="AK11" s="53" t="str">
        <f>IFERROR(__xludf.DUMMYFUNCTION("""COMPUTED_VALUE"""),"Attended")</f>
        <v>Attended</v>
      </c>
      <c r="AL11" s="53">
        <f>IFERROR(__xludf.DUMMYFUNCTION("""COMPUTED_VALUE"""),1822.0)</f>
        <v>1822</v>
      </c>
      <c r="AM11" s="53">
        <f>IFERROR(__xludf.DUMMYFUNCTION("""COMPUTED_VALUE"""),1347.0)</f>
        <v>1347</v>
      </c>
      <c r="AN11" s="53">
        <f>IFERROR(__xludf.DUMMYFUNCTION("""COMPUTED_VALUE"""),1346.0)</f>
        <v>1346</v>
      </c>
      <c r="AO11" s="53">
        <f>IFERROR(__xludf.DUMMYFUNCTION("""COMPUTED_VALUE"""),11.0)</f>
        <v>11</v>
      </c>
      <c r="AP11" s="53">
        <f>IFERROR(__xludf.DUMMYFUNCTION("""COMPUTED_VALUE"""),1.0)</f>
        <v>1</v>
      </c>
      <c r="AQ11" s="53">
        <f>IFERROR(__xludf.DUMMYFUNCTION("""COMPUTED_VALUE"""),91.0)</f>
        <v>91</v>
      </c>
      <c r="AR11" s="53">
        <f>IFERROR(__xludf.DUMMYFUNCTION("""COMPUTED_VALUE"""),373.0)</f>
        <v>373</v>
      </c>
      <c r="AS11" s="53">
        <f>IFERROR(__xludf.DUMMYFUNCTION("""COMPUTED_VALUE"""),99.30675909878683)</f>
        <v>99.3067591</v>
      </c>
      <c r="AT11" s="48">
        <f>IFERROR(__xludf.DUMMYFUNCTION("""COMPUTED_VALUE"""),0.6037321624588364)</f>
        <v>0.6037321625</v>
      </c>
      <c r="AU11" s="48">
        <f>IFERROR(__xludf.DUMMYFUNCTION("""COMPUTED_VALUE"""),0.054884742041712405)</f>
        <v>0.05488474204</v>
      </c>
      <c r="AV11" s="48">
        <f>IFERROR(__xludf.DUMMYFUNCTION("""COMPUTED_VALUE"""),4.994511525795828)</f>
        <v>4.994511526</v>
      </c>
      <c r="AW11" s="48">
        <f>IFERROR(__xludf.DUMMYFUNCTION("""COMPUTED_VALUE"""),20.472008781558728)</f>
        <v>20.47200878</v>
      </c>
      <c r="AX11" s="48">
        <f>IFERROR(__xludf.DUMMYFUNCTION("""COMPUTED_VALUE"""),94.40175631174533)</f>
        <v>94.40175631</v>
      </c>
      <c r="AY11" s="48">
        <f>IFERROR(__xludf.DUMMYFUNCTION("""COMPUTED_VALUE"""),880.0)</f>
        <v>880</v>
      </c>
      <c r="AZ11" s="48">
        <f>IFERROR(__xludf.DUMMYFUNCTION("""COMPUTED_VALUE"""),772.0)</f>
        <v>772</v>
      </c>
      <c r="BA11" s="48">
        <f>IFERROR(__xludf.DUMMYFUNCTION("""COMPUTED_VALUE"""),108.0)</f>
        <v>108</v>
      </c>
      <c r="BB11" s="48">
        <f>IFERROR(__xludf.DUMMYFUNCTION("""COMPUTED_VALUE"""),35.0)</f>
        <v>35</v>
      </c>
      <c r="BC11" s="48">
        <f>IFERROR(__xludf.DUMMYFUNCTION("""COMPUTED_VALUE"""),87.72727272727273)</f>
        <v>87.72727273</v>
      </c>
      <c r="BD11" s="48">
        <f>IFERROR(__xludf.DUMMYFUNCTION("""COMPUTED_VALUE"""),12.272727272727273)</f>
        <v>12.27272727</v>
      </c>
      <c r="BE11" s="48">
        <f>IFERROR(__xludf.DUMMYFUNCTION("""COMPUTED_VALUE"""),3.825136612021858)</f>
        <v>3.825136612</v>
      </c>
      <c r="BF11" s="52"/>
      <c r="BG11" s="52"/>
      <c r="BH11" s="52"/>
      <c r="BI11" s="52"/>
      <c r="BJ11" s="52"/>
      <c r="BK11" s="52"/>
      <c r="BL11" s="52"/>
      <c r="BM11" s="54" t="s">
        <v>96</v>
      </c>
    </row>
    <row r="12">
      <c r="A12" s="42" t="s">
        <v>154</v>
      </c>
      <c r="B12" s="61" t="s">
        <v>155</v>
      </c>
      <c r="C12" s="44" t="s">
        <v>156</v>
      </c>
      <c r="D12" s="45" t="s">
        <v>70</v>
      </c>
      <c r="E12" s="42" t="s">
        <v>71</v>
      </c>
      <c r="F12" s="46">
        <v>40889.0</v>
      </c>
      <c r="G12" s="47">
        <v>42334.0</v>
      </c>
      <c r="H12" s="48">
        <f t="shared" si="1"/>
        <v>47.53289474</v>
      </c>
      <c r="I12" s="60" t="s">
        <v>157</v>
      </c>
      <c r="J12" s="50" t="s">
        <v>158</v>
      </c>
      <c r="K12" s="42" t="s">
        <v>159</v>
      </c>
      <c r="L12" s="42" t="s">
        <v>160</v>
      </c>
      <c r="M12" s="51">
        <v>31413.0</v>
      </c>
      <c r="N12" s="52">
        <f t="shared" si="2"/>
        <v>35</v>
      </c>
      <c r="O12" s="42" t="s">
        <v>104</v>
      </c>
      <c r="P12" s="52"/>
      <c r="Q12" s="52"/>
      <c r="R12" s="52"/>
      <c r="S12" s="42" t="s">
        <v>79</v>
      </c>
      <c r="T12" s="45" t="s">
        <v>94</v>
      </c>
      <c r="U12" s="42" t="s">
        <v>81</v>
      </c>
      <c r="V12" s="45" t="s">
        <v>78</v>
      </c>
      <c r="W12" s="42" t="s">
        <v>79</v>
      </c>
      <c r="X12" s="42" t="s">
        <v>95</v>
      </c>
      <c r="Y12" s="45" t="s">
        <v>83</v>
      </c>
      <c r="Z12" s="42"/>
      <c r="AA12" s="50"/>
      <c r="AB12" s="52"/>
      <c r="AC12" s="53">
        <f t="shared" si="5"/>
        <v>619</v>
      </c>
      <c r="AD12" s="45">
        <v>0.0</v>
      </c>
      <c r="AE12" s="53">
        <f t="shared" ref="AE12:AE15" si="9">(AP12*0.5+AO12)</f>
        <v>70.5</v>
      </c>
      <c r="AF12" s="53">
        <f t="shared" si="3"/>
        <v>548.5</v>
      </c>
      <c r="AG12" s="52">
        <f t="shared" si="8"/>
        <v>3428.125</v>
      </c>
      <c r="AH12" s="48">
        <f>IFERROR(__xludf.DUMMYFUNCTION("importrange(C12,""Sheet2!a4:x4"")"),33.4097995545657)</f>
        <v>33.40979955</v>
      </c>
      <c r="AI12" s="48">
        <f>IFERROR(__xludf.DUMMYFUNCTION("""COMPUTED_VALUE"""),21.0)</f>
        <v>21</v>
      </c>
      <c r="AJ12" s="48">
        <f>IFERROR(__xludf.DUMMYFUNCTION("""COMPUTED_VALUE"""),728.0)</f>
        <v>728</v>
      </c>
      <c r="AK12" s="53" t="str">
        <f>IFERROR(__xludf.DUMMYFUNCTION("""COMPUTED_VALUE"""),"Reschedule")</f>
        <v>Reschedule</v>
      </c>
      <c r="AL12" s="53">
        <f>IFERROR(__xludf.DUMMYFUNCTION("""COMPUTED_VALUE"""),728.0)</f>
        <v>728</v>
      </c>
      <c r="AM12" s="53">
        <f>IFERROR(__xludf.DUMMYFUNCTION("""COMPUTED_VALUE"""),495.0)</f>
        <v>495</v>
      </c>
      <c r="AN12" s="53">
        <f>IFERROR(__xludf.DUMMYFUNCTION("""COMPUTED_VALUE"""),478.0)</f>
        <v>478</v>
      </c>
      <c r="AO12" s="53">
        <f>IFERROR(__xludf.DUMMYFUNCTION("""COMPUTED_VALUE"""),62.0)</f>
        <v>62</v>
      </c>
      <c r="AP12" s="53">
        <f>IFERROR(__xludf.DUMMYFUNCTION("""COMPUTED_VALUE"""),17.0)</f>
        <v>17</v>
      </c>
      <c r="AQ12" s="53">
        <f>IFERROR(__xludf.DUMMYFUNCTION("""COMPUTED_VALUE"""),47.0)</f>
        <v>47</v>
      </c>
      <c r="AR12" s="53">
        <f>IFERROR(__xludf.DUMMYFUNCTION("""COMPUTED_VALUE"""),124.0)</f>
        <v>124</v>
      </c>
      <c r="AS12" s="53">
        <f>IFERROR(__xludf.DUMMYFUNCTION("""COMPUTED_VALUE"""),88.39941262848751)</f>
        <v>88.39941263</v>
      </c>
      <c r="AT12" s="48">
        <f>IFERROR(__xludf.DUMMYFUNCTION("""COMPUTED_VALUE"""),8.516483516483516)</f>
        <v>8.516483516</v>
      </c>
      <c r="AU12" s="48">
        <f>IFERROR(__xludf.DUMMYFUNCTION("""COMPUTED_VALUE"""),2.3351648351648353)</f>
        <v>2.335164835</v>
      </c>
      <c r="AV12" s="48">
        <f>IFERROR(__xludf.DUMMYFUNCTION("""COMPUTED_VALUE"""),6.456043956043957)</f>
        <v>6.456043956</v>
      </c>
      <c r="AW12" s="48">
        <f>IFERROR(__xludf.DUMMYFUNCTION("""COMPUTED_VALUE"""),17.032967032967033)</f>
        <v>17.03296703</v>
      </c>
      <c r="AX12" s="48">
        <f>IFERROR(__xludf.DUMMYFUNCTION("""COMPUTED_VALUE"""),85.02747252747253)</f>
        <v>85.02747253</v>
      </c>
      <c r="AY12" s="48">
        <f>IFERROR(__xludf.DUMMYFUNCTION("""COMPUTED_VALUE"""),293.0)</f>
        <v>293</v>
      </c>
      <c r="AZ12" s="48">
        <f>IFERROR(__xludf.DUMMYFUNCTION("""COMPUTED_VALUE"""),267.0)</f>
        <v>267</v>
      </c>
      <c r="BA12" s="48">
        <f>IFERROR(__xludf.DUMMYFUNCTION("""COMPUTED_VALUE"""),26.0)</f>
        <v>26</v>
      </c>
      <c r="BB12" s="48">
        <f>IFERROR(__xludf.DUMMYFUNCTION("""COMPUTED_VALUE"""),0.0)</f>
        <v>0</v>
      </c>
      <c r="BC12" s="48">
        <f>IFERROR(__xludf.DUMMYFUNCTION("""COMPUTED_VALUE"""),91.12627986348123)</f>
        <v>91.12627986</v>
      </c>
      <c r="BD12" s="48">
        <f>IFERROR(__xludf.DUMMYFUNCTION("""COMPUTED_VALUE"""),8.873720136518772)</f>
        <v>8.873720137</v>
      </c>
      <c r="BE12" s="48">
        <f>IFERROR(__xludf.DUMMYFUNCTION("""COMPUTED_VALUE"""),0.0)</f>
        <v>0</v>
      </c>
      <c r="BF12" s="52"/>
      <c r="BG12" s="52"/>
      <c r="BH12" s="52"/>
      <c r="BI12" s="52"/>
      <c r="BJ12" s="52"/>
      <c r="BK12" s="52"/>
      <c r="BL12" s="52"/>
      <c r="BM12" s="54" t="s">
        <v>96</v>
      </c>
    </row>
    <row r="13">
      <c r="A13" s="42" t="s">
        <v>161</v>
      </c>
      <c r="B13" s="55" t="s">
        <v>162</v>
      </c>
      <c r="C13" s="44" t="s">
        <v>163</v>
      </c>
      <c r="D13" s="45" t="s">
        <v>70</v>
      </c>
      <c r="E13" s="42" t="s">
        <v>71</v>
      </c>
      <c r="F13" s="46">
        <v>40909.0</v>
      </c>
      <c r="G13" s="47">
        <v>42411.0</v>
      </c>
      <c r="H13" s="48">
        <f t="shared" si="1"/>
        <v>49.40789474</v>
      </c>
      <c r="I13" s="60" t="s">
        <v>164</v>
      </c>
      <c r="J13" s="50" t="s">
        <v>165</v>
      </c>
      <c r="K13" s="42" t="s">
        <v>166</v>
      </c>
      <c r="L13" s="42" t="s">
        <v>167</v>
      </c>
      <c r="M13" s="51">
        <v>31199.0</v>
      </c>
      <c r="N13" s="52">
        <f t="shared" si="2"/>
        <v>35</v>
      </c>
      <c r="O13" s="45" t="s">
        <v>76</v>
      </c>
      <c r="P13" s="52"/>
      <c r="Q13" s="52"/>
      <c r="R13" s="52"/>
      <c r="S13" s="45" t="s">
        <v>79</v>
      </c>
      <c r="T13" s="45" t="s">
        <v>94</v>
      </c>
      <c r="U13" s="45" t="s">
        <v>81</v>
      </c>
      <c r="V13" s="45" t="s">
        <v>78</v>
      </c>
      <c r="W13" s="42" t="s">
        <v>79</v>
      </c>
      <c r="X13" s="42" t="s">
        <v>95</v>
      </c>
      <c r="Y13" s="45" t="s">
        <v>83</v>
      </c>
      <c r="Z13" s="42"/>
      <c r="AA13" s="50"/>
      <c r="AB13" s="52"/>
      <c r="AC13" s="53">
        <f t="shared" si="5"/>
        <v>220</v>
      </c>
      <c r="AD13" s="45">
        <v>0.0</v>
      </c>
      <c r="AE13" s="53">
        <f t="shared" si="9"/>
        <v>44</v>
      </c>
      <c r="AF13" s="53">
        <f t="shared" si="3"/>
        <v>176</v>
      </c>
      <c r="AG13" s="52">
        <f t="shared" si="8"/>
        <v>1100</v>
      </c>
      <c r="AH13" s="48">
        <f>IFERROR(__xludf.DUMMYFUNCTION("importrange(C13,""Sheet2!a4:x4"")"),27.25225225225225)</f>
        <v>27.25225225</v>
      </c>
      <c r="AI13" s="48">
        <f>IFERROR(__xludf.DUMMYFUNCTION("""COMPUTED_VALUE"""),8.0)</f>
        <v>8</v>
      </c>
      <c r="AJ13" s="48">
        <f>IFERROR(__xludf.DUMMYFUNCTION("""COMPUTED_VALUE"""),279.0)</f>
        <v>279</v>
      </c>
      <c r="AK13" s="53" t="str">
        <f>IFERROR(__xludf.DUMMYFUNCTION("""COMPUTED_VALUE"""),"Attended")</f>
        <v>Attended</v>
      </c>
      <c r="AL13" s="53">
        <f>IFERROR(__xludf.DUMMYFUNCTION("""COMPUTED_VALUE"""),279.0)</f>
        <v>279</v>
      </c>
      <c r="AM13" s="53">
        <f>IFERROR(__xludf.DUMMYFUNCTION("""COMPUTED_VALUE"""),176.0)</f>
        <v>176</v>
      </c>
      <c r="AN13" s="53">
        <f>IFERROR(__xludf.DUMMYFUNCTION("""COMPUTED_VALUE"""),174.0)</f>
        <v>174</v>
      </c>
      <c r="AO13" s="53">
        <f>IFERROR(__xludf.DUMMYFUNCTION("""COMPUTED_VALUE"""),43.0)</f>
        <v>43</v>
      </c>
      <c r="AP13" s="53">
        <f>IFERROR(__xludf.DUMMYFUNCTION("""COMPUTED_VALUE"""),2.0)</f>
        <v>2</v>
      </c>
      <c r="AQ13" s="53">
        <f>IFERROR(__xludf.DUMMYFUNCTION("""COMPUTED_VALUE"""),16.0)</f>
        <v>16</v>
      </c>
      <c r="AR13" s="53">
        <f>IFERROR(__xludf.DUMMYFUNCTION("""COMPUTED_VALUE"""),44.0)</f>
        <v>44</v>
      </c>
      <c r="AS13" s="53">
        <f>IFERROR(__xludf.DUMMYFUNCTION("""COMPUTED_VALUE"""),82.88973384030417)</f>
        <v>82.88973384</v>
      </c>
      <c r="AT13" s="48">
        <f>IFERROR(__xludf.DUMMYFUNCTION("""COMPUTED_VALUE"""),15.412186379928317)</f>
        <v>15.41218638</v>
      </c>
      <c r="AU13" s="48">
        <f>IFERROR(__xludf.DUMMYFUNCTION("""COMPUTED_VALUE"""),0.7168458781362007)</f>
        <v>0.7168458781</v>
      </c>
      <c r="AV13" s="48">
        <f>IFERROR(__xludf.DUMMYFUNCTION("""COMPUTED_VALUE"""),5.734767025089606)</f>
        <v>5.734767025</v>
      </c>
      <c r="AW13" s="48">
        <f>IFERROR(__xludf.DUMMYFUNCTION("""COMPUTED_VALUE"""),15.770609318996415)</f>
        <v>15.77060932</v>
      </c>
      <c r="AX13" s="48">
        <f>IFERROR(__xludf.DUMMYFUNCTION("""COMPUTED_VALUE"""),78.85304659498208)</f>
        <v>78.85304659</v>
      </c>
      <c r="AY13" s="48">
        <f>IFERROR(__xludf.DUMMYFUNCTION("""COMPUTED_VALUE"""),77.0)</f>
        <v>77</v>
      </c>
      <c r="AZ13" s="48">
        <f>IFERROR(__xludf.DUMMYFUNCTION("""COMPUTED_VALUE"""),76.0)</f>
        <v>76</v>
      </c>
      <c r="BA13" s="48">
        <f>IFERROR(__xludf.DUMMYFUNCTION("""COMPUTED_VALUE"""),1.0)</f>
        <v>1</v>
      </c>
      <c r="BB13" s="48">
        <f>IFERROR(__xludf.DUMMYFUNCTION("""COMPUTED_VALUE"""),9.0)</f>
        <v>9</v>
      </c>
      <c r="BC13" s="48">
        <f>IFERROR(__xludf.DUMMYFUNCTION("""COMPUTED_VALUE"""),98.7012987012987)</f>
        <v>98.7012987</v>
      </c>
      <c r="BD13" s="48">
        <f>IFERROR(__xludf.DUMMYFUNCTION("""COMPUTED_VALUE"""),1.2987012987012987)</f>
        <v>1.298701299</v>
      </c>
      <c r="BE13" s="48">
        <f>IFERROR(__xludf.DUMMYFUNCTION("""COMPUTED_VALUE"""),10.465116279069768)</f>
        <v>10.46511628</v>
      </c>
      <c r="BF13" s="52"/>
      <c r="BG13" s="52"/>
      <c r="BH13" s="52"/>
      <c r="BI13" s="52"/>
      <c r="BJ13" s="52"/>
      <c r="BK13" s="52"/>
      <c r="BL13" s="52"/>
      <c r="BM13" s="54" t="s">
        <v>96</v>
      </c>
    </row>
    <row r="14">
      <c r="A14" s="42" t="s">
        <v>168</v>
      </c>
      <c r="B14" s="43" t="s">
        <v>169</v>
      </c>
      <c r="C14" s="44" t="s">
        <v>170</v>
      </c>
      <c r="D14" s="45" t="s">
        <v>70</v>
      </c>
      <c r="E14" s="42" t="s">
        <v>71</v>
      </c>
      <c r="F14" s="46">
        <v>40889.0</v>
      </c>
      <c r="G14" s="47">
        <v>41922.0</v>
      </c>
      <c r="H14" s="48">
        <f t="shared" si="1"/>
        <v>33.98026316</v>
      </c>
      <c r="I14" s="60" t="s">
        <v>171</v>
      </c>
      <c r="J14" s="50" t="s">
        <v>172</v>
      </c>
      <c r="K14" s="42" t="s">
        <v>173</v>
      </c>
      <c r="L14" s="42" t="s">
        <v>174</v>
      </c>
      <c r="M14" s="51">
        <v>29788.0</v>
      </c>
      <c r="N14" s="52">
        <f t="shared" si="2"/>
        <v>39</v>
      </c>
      <c r="O14" s="42" t="s">
        <v>104</v>
      </c>
      <c r="P14" s="52"/>
      <c r="Q14" s="52"/>
      <c r="R14" s="52"/>
      <c r="S14" s="42" t="s">
        <v>79</v>
      </c>
      <c r="T14" s="45" t="s">
        <v>94</v>
      </c>
      <c r="U14" s="42" t="s">
        <v>81</v>
      </c>
      <c r="V14" s="45" t="s">
        <v>78</v>
      </c>
      <c r="W14" s="42" t="s">
        <v>79</v>
      </c>
      <c r="X14" s="42" t="s">
        <v>95</v>
      </c>
      <c r="Y14" s="45" t="s">
        <v>83</v>
      </c>
      <c r="Z14" s="42"/>
      <c r="AA14" s="50"/>
      <c r="AB14" s="52"/>
      <c r="AC14" s="53">
        <f t="shared" si="5"/>
        <v>551</v>
      </c>
      <c r="AD14" s="45">
        <v>0.0</v>
      </c>
      <c r="AE14" s="53">
        <f t="shared" si="9"/>
        <v>52.5</v>
      </c>
      <c r="AF14" s="53">
        <f t="shared" si="3"/>
        <v>498.5</v>
      </c>
      <c r="AG14" s="52">
        <f t="shared" si="8"/>
        <v>3115.625</v>
      </c>
      <c r="AH14" s="48">
        <f>IFERROR(__xludf.DUMMYFUNCTION("importrange(C14,""Sheet2!a4:x4"")"),34.63917525773196)</f>
        <v>34.63917526</v>
      </c>
      <c r="AI14" s="48">
        <f>IFERROR(__xludf.DUMMYFUNCTION("""COMPUTED_VALUE"""),10.0)</f>
        <v>10</v>
      </c>
      <c r="AJ14" s="48">
        <f>IFERROR(__xludf.DUMMYFUNCTION("""COMPUTED_VALUE"""),648.0)</f>
        <v>648</v>
      </c>
      <c r="AK14" s="53" t="str">
        <f>IFERROR(__xludf.DUMMYFUNCTION("""COMPUTED_VALUE"""),"Attended")</f>
        <v>Attended</v>
      </c>
      <c r="AL14" s="53">
        <f>IFERROR(__xludf.DUMMYFUNCTION("""COMPUTED_VALUE"""),648.0)</f>
        <v>648</v>
      </c>
      <c r="AM14" s="53">
        <f>IFERROR(__xludf.DUMMYFUNCTION("""COMPUTED_VALUE"""),400.0)</f>
        <v>400</v>
      </c>
      <c r="AN14" s="53">
        <f>IFERROR(__xludf.DUMMYFUNCTION("""COMPUTED_VALUE"""),387.0)</f>
        <v>387</v>
      </c>
      <c r="AO14" s="53">
        <f>IFERROR(__xludf.DUMMYFUNCTION("""COMPUTED_VALUE"""),46.0)</f>
        <v>46</v>
      </c>
      <c r="AP14" s="53">
        <f>IFERROR(__xludf.DUMMYFUNCTION("""COMPUTED_VALUE"""),13.0)</f>
        <v>13</v>
      </c>
      <c r="AQ14" s="53">
        <f>IFERROR(__xludf.DUMMYFUNCTION("""COMPUTED_VALUE"""),51.0)</f>
        <v>51</v>
      </c>
      <c r="AR14" s="53">
        <f>IFERROR(__xludf.DUMMYFUNCTION("""COMPUTED_VALUE"""),151.0)</f>
        <v>151</v>
      </c>
      <c r="AS14" s="53">
        <f>IFERROR(__xludf.DUMMYFUNCTION("""COMPUTED_VALUE"""),90.11725293132329)</f>
        <v>90.11725293</v>
      </c>
      <c r="AT14" s="48">
        <f>IFERROR(__xludf.DUMMYFUNCTION("""COMPUTED_VALUE"""),7.098765432098765)</f>
        <v>7.098765432</v>
      </c>
      <c r="AU14" s="48">
        <f>IFERROR(__xludf.DUMMYFUNCTION("""COMPUTED_VALUE"""),2.006172839506173)</f>
        <v>2.00617284</v>
      </c>
      <c r="AV14" s="48">
        <f>IFERROR(__xludf.DUMMYFUNCTION("""COMPUTED_VALUE"""),7.87037037037037)</f>
        <v>7.87037037</v>
      </c>
      <c r="AW14" s="48">
        <f>IFERROR(__xludf.DUMMYFUNCTION("""COMPUTED_VALUE"""),23.30246913580247)</f>
        <v>23.30246914</v>
      </c>
      <c r="AX14" s="48">
        <f>IFERROR(__xludf.DUMMYFUNCTION("""COMPUTED_VALUE"""),85.03086419753086)</f>
        <v>85.0308642</v>
      </c>
      <c r="AY14" s="48">
        <f>IFERROR(__xludf.DUMMYFUNCTION("""COMPUTED_VALUE"""),244.0)</f>
        <v>244</v>
      </c>
      <c r="AZ14" s="48">
        <f>IFERROR(__xludf.DUMMYFUNCTION("""COMPUTED_VALUE"""),231.0)</f>
        <v>231</v>
      </c>
      <c r="BA14" s="48">
        <f>IFERROR(__xludf.DUMMYFUNCTION("""COMPUTED_VALUE"""),13.0)</f>
        <v>13</v>
      </c>
      <c r="BB14" s="48">
        <f>IFERROR(__xludf.DUMMYFUNCTION("""COMPUTED_VALUE"""),2.0)</f>
        <v>2</v>
      </c>
      <c r="BC14" s="48">
        <f>IFERROR(__xludf.DUMMYFUNCTION("""COMPUTED_VALUE"""),94.67213114754098)</f>
        <v>94.67213115</v>
      </c>
      <c r="BD14" s="48">
        <f>IFERROR(__xludf.DUMMYFUNCTION("""COMPUTED_VALUE"""),5.327868852459016)</f>
        <v>5.327868852</v>
      </c>
      <c r="BE14" s="48">
        <f>IFERROR(__xludf.DUMMYFUNCTION("""COMPUTED_VALUE"""),0.8130081300813009)</f>
        <v>0.8130081301</v>
      </c>
      <c r="BF14" s="52"/>
      <c r="BG14" s="52"/>
      <c r="BH14" s="52"/>
      <c r="BI14" s="52"/>
      <c r="BJ14" s="52"/>
      <c r="BK14" s="52"/>
      <c r="BL14" s="52"/>
      <c r="BM14" s="54" t="s">
        <v>96</v>
      </c>
    </row>
    <row r="15">
      <c r="A15" s="42" t="s">
        <v>175</v>
      </c>
      <c r="B15" s="43" t="s">
        <v>176</v>
      </c>
      <c r="C15" s="44" t="s">
        <v>177</v>
      </c>
      <c r="D15" s="45" t="s">
        <v>70</v>
      </c>
      <c r="E15" s="42" t="s">
        <v>71</v>
      </c>
      <c r="F15" s="46">
        <v>40941.0</v>
      </c>
      <c r="G15" s="47">
        <v>41764.0</v>
      </c>
      <c r="H15" s="48">
        <f t="shared" si="1"/>
        <v>27.07236842</v>
      </c>
      <c r="I15" s="60" t="s">
        <v>178</v>
      </c>
      <c r="J15" s="50" t="s">
        <v>179</v>
      </c>
      <c r="K15" s="42" t="s">
        <v>180</v>
      </c>
      <c r="L15" s="42" t="s">
        <v>181</v>
      </c>
      <c r="M15" s="51">
        <v>32874.0</v>
      </c>
      <c r="N15" s="52">
        <f t="shared" si="2"/>
        <v>31</v>
      </c>
      <c r="O15" s="45" t="s">
        <v>76</v>
      </c>
      <c r="P15" s="52"/>
      <c r="Q15" s="52"/>
      <c r="R15" s="52"/>
      <c r="S15" s="42" t="s">
        <v>79</v>
      </c>
      <c r="T15" s="45" t="s">
        <v>94</v>
      </c>
      <c r="U15" s="42" t="s">
        <v>81</v>
      </c>
      <c r="V15" s="45" t="s">
        <v>78</v>
      </c>
      <c r="W15" s="42" t="s">
        <v>79</v>
      </c>
      <c r="X15" s="42" t="s">
        <v>95</v>
      </c>
      <c r="Y15" s="45" t="s">
        <v>83</v>
      </c>
      <c r="Z15" s="42"/>
      <c r="AA15" s="50"/>
      <c r="AB15" s="52"/>
      <c r="AC15" s="53">
        <f t="shared" si="5"/>
        <v>277</v>
      </c>
      <c r="AD15" s="45">
        <v>0.0</v>
      </c>
      <c r="AE15" s="53">
        <f t="shared" si="9"/>
        <v>19</v>
      </c>
      <c r="AF15" s="53">
        <f t="shared" si="3"/>
        <v>258</v>
      </c>
      <c r="AG15" s="52">
        <f t="shared" si="8"/>
        <v>1612.5</v>
      </c>
      <c r="AH15" s="48">
        <f>IFERROR(__xludf.DUMMYFUNCTION("importrange(C15,""Sheet2!a4:x4"")"),24.54263565891473)</f>
        <v>24.54263566</v>
      </c>
      <c r="AI15" s="48">
        <f>IFERROR(__xludf.DUMMYFUNCTION("""COMPUTED_VALUE"""),9.0)</f>
        <v>9</v>
      </c>
      <c r="AJ15" s="48">
        <f>IFERROR(__xludf.DUMMYFUNCTION("""COMPUTED_VALUE"""),306.0)</f>
        <v>306</v>
      </c>
      <c r="AK15" s="53" t="str">
        <f>IFERROR(__xludf.DUMMYFUNCTION("""COMPUTED_VALUE"""),"Attended No Show")</f>
        <v>Attended No Show</v>
      </c>
      <c r="AL15" s="53">
        <f>IFERROR(__xludf.DUMMYFUNCTION("""COMPUTED_VALUE"""),306.0)</f>
        <v>306</v>
      </c>
      <c r="AM15" s="53">
        <f>IFERROR(__xludf.DUMMYFUNCTION("""COMPUTED_VALUE"""),188.0)</f>
        <v>188</v>
      </c>
      <c r="AN15" s="53">
        <f>IFERROR(__xludf.DUMMYFUNCTION("""COMPUTED_VALUE"""),182.0)</f>
        <v>182</v>
      </c>
      <c r="AO15" s="53">
        <f>IFERROR(__xludf.DUMMYFUNCTION("""COMPUTED_VALUE"""),16.0)</f>
        <v>16</v>
      </c>
      <c r="AP15" s="53">
        <f>IFERROR(__xludf.DUMMYFUNCTION("""COMPUTED_VALUE"""),6.0)</f>
        <v>6</v>
      </c>
      <c r="AQ15" s="53">
        <f>IFERROR(__xludf.DUMMYFUNCTION("""COMPUTED_VALUE"""),13.0)</f>
        <v>13</v>
      </c>
      <c r="AR15" s="53">
        <f>IFERROR(__xludf.DUMMYFUNCTION("""COMPUTED_VALUE"""),89.0)</f>
        <v>89</v>
      </c>
      <c r="AS15" s="53">
        <f>IFERROR(__xludf.DUMMYFUNCTION("""COMPUTED_VALUE"""),92.4914675767918)</f>
        <v>92.49146758</v>
      </c>
      <c r="AT15" s="48">
        <f>IFERROR(__xludf.DUMMYFUNCTION("""COMPUTED_VALUE"""),5.228758169934641)</f>
        <v>5.22875817</v>
      </c>
      <c r="AU15" s="48">
        <f>IFERROR(__xludf.DUMMYFUNCTION("""COMPUTED_VALUE"""),1.9607843137254901)</f>
        <v>1.960784314</v>
      </c>
      <c r="AV15" s="48">
        <f>IFERROR(__xludf.DUMMYFUNCTION("""COMPUTED_VALUE"""),4.248366013071895)</f>
        <v>4.248366013</v>
      </c>
      <c r="AW15" s="48">
        <f>IFERROR(__xludf.DUMMYFUNCTION("""COMPUTED_VALUE"""),29.08496732026144)</f>
        <v>29.08496732</v>
      </c>
      <c r="AX15" s="48">
        <f>IFERROR(__xludf.DUMMYFUNCTION("""COMPUTED_VALUE"""),90.52287581699346)</f>
        <v>90.52287582</v>
      </c>
      <c r="AY15" s="48">
        <f>IFERROR(__xludf.DUMMYFUNCTION("""COMPUTED_VALUE"""),96.0)</f>
        <v>96</v>
      </c>
      <c r="AZ15" s="48">
        <f>IFERROR(__xludf.DUMMYFUNCTION("""COMPUTED_VALUE"""),93.0)</f>
        <v>93</v>
      </c>
      <c r="BA15" s="48">
        <f>IFERROR(__xludf.DUMMYFUNCTION("""COMPUTED_VALUE"""),3.0)</f>
        <v>3</v>
      </c>
      <c r="BB15" s="48">
        <f>IFERROR(__xludf.DUMMYFUNCTION("""COMPUTED_VALUE"""),6.0)</f>
        <v>6</v>
      </c>
      <c r="BC15" s="48">
        <f>IFERROR(__xludf.DUMMYFUNCTION("""COMPUTED_VALUE"""),96.875)</f>
        <v>96.875</v>
      </c>
      <c r="BD15" s="48">
        <f>IFERROR(__xludf.DUMMYFUNCTION("""COMPUTED_VALUE"""),3.125)</f>
        <v>3.125</v>
      </c>
      <c r="BE15" s="48">
        <f>IFERROR(__xludf.DUMMYFUNCTION("""COMPUTED_VALUE"""),5.88235294117647)</f>
        <v>5.882352941</v>
      </c>
      <c r="BF15" s="52"/>
      <c r="BG15" s="52"/>
      <c r="BH15" s="52"/>
      <c r="BI15" s="52"/>
      <c r="BJ15" s="52"/>
      <c r="BK15" s="52"/>
      <c r="BL15" s="52"/>
      <c r="BM15" s="54" t="s">
        <v>96</v>
      </c>
    </row>
    <row r="16">
      <c r="A16" s="42" t="s">
        <v>182</v>
      </c>
      <c r="B16" s="43" t="s">
        <v>183</v>
      </c>
      <c r="C16" s="44" t="s">
        <v>184</v>
      </c>
      <c r="D16" s="42" t="s">
        <v>70</v>
      </c>
      <c r="E16" s="42" t="s">
        <v>71</v>
      </c>
      <c r="F16" s="46">
        <v>40909.0</v>
      </c>
      <c r="G16" s="47">
        <v>41587.0</v>
      </c>
      <c r="H16" s="48">
        <f t="shared" si="1"/>
        <v>22.30263158</v>
      </c>
      <c r="I16" s="60" t="s">
        <v>185</v>
      </c>
      <c r="J16" s="50" t="s">
        <v>186</v>
      </c>
      <c r="K16" s="42" t="s">
        <v>187</v>
      </c>
      <c r="L16" s="42" t="s">
        <v>188</v>
      </c>
      <c r="M16" s="51">
        <v>31260.0</v>
      </c>
      <c r="N16" s="52">
        <f t="shared" si="2"/>
        <v>35</v>
      </c>
      <c r="O16" s="42" t="s">
        <v>104</v>
      </c>
      <c r="P16" s="52"/>
      <c r="Q16" s="52"/>
      <c r="R16" s="52"/>
      <c r="S16" s="42" t="s">
        <v>79</v>
      </c>
      <c r="T16" s="45" t="s">
        <v>94</v>
      </c>
      <c r="U16" s="42" t="s">
        <v>81</v>
      </c>
      <c r="V16" s="45" t="s">
        <v>78</v>
      </c>
      <c r="W16" s="42" t="s">
        <v>79</v>
      </c>
      <c r="X16" s="42" t="s">
        <v>82</v>
      </c>
      <c r="Y16" s="45" t="s">
        <v>83</v>
      </c>
      <c r="Z16" s="42"/>
      <c r="AA16" s="50"/>
      <c r="AB16" s="52"/>
      <c r="AC16" s="53">
        <f t="shared" si="5"/>
        <v>332</v>
      </c>
      <c r="AD16" s="42">
        <v>353.0</v>
      </c>
      <c r="AE16" s="53">
        <f>(AP16*0.5+AO16)-24.5</f>
        <v>3</v>
      </c>
      <c r="AF16" s="53">
        <f t="shared" si="3"/>
        <v>-24</v>
      </c>
      <c r="AG16" s="52">
        <f t="shared" si="8"/>
        <v>-150</v>
      </c>
      <c r="AH16" s="48">
        <f>IFERROR(__xludf.DUMMYFUNCTION("importrange(C16,""Sheet2!a4:x4"")"),34.59770114942529)</f>
        <v>34.59770115</v>
      </c>
      <c r="AI16" s="48">
        <f>IFERROR(__xludf.DUMMYFUNCTION("""COMPUTED_VALUE"""),9.0)</f>
        <v>9</v>
      </c>
      <c r="AJ16" s="48">
        <f>IFERROR(__xludf.DUMMYFUNCTION("""COMPUTED_VALUE"""),373.0)</f>
        <v>373</v>
      </c>
      <c r="AK16" s="53" t="str">
        <f>IFERROR(__xludf.DUMMYFUNCTION("""COMPUTED_VALUE"""),"Attended")</f>
        <v>Attended</v>
      </c>
      <c r="AL16" s="53">
        <f>IFERROR(__xludf.DUMMYFUNCTION("""COMPUTED_VALUE"""),373.0)</f>
        <v>373</v>
      </c>
      <c r="AM16" s="53">
        <f>IFERROR(__xludf.DUMMYFUNCTION("""COMPUTED_VALUE"""),274.0)</f>
        <v>274</v>
      </c>
      <c r="AN16" s="53">
        <f>IFERROR(__xludf.DUMMYFUNCTION("""COMPUTED_VALUE"""),273.0)</f>
        <v>273</v>
      </c>
      <c r="AO16" s="53">
        <f>IFERROR(__xludf.DUMMYFUNCTION("""COMPUTED_VALUE"""),27.0)</f>
        <v>27</v>
      </c>
      <c r="AP16" s="53">
        <f>IFERROR(__xludf.DUMMYFUNCTION("""COMPUTED_VALUE"""),1.0)</f>
        <v>1</v>
      </c>
      <c r="AQ16" s="53">
        <f>IFERROR(__xludf.DUMMYFUNCTION("""COMPUTED_VALUE"""),14.0)</f>
        <v>14</v>
      </c>
      <c r="AR16" s="53">
        <f>IFERROR(__xludf.DUMMYFUNCTION("""COMPUTED_VALUE"""),58.0)</f>
        <v>58</v>
      </c>
      <c r="AS16" s="53">
        <f>IFERROR(__xludf.DUMMYFUNCTION("""COMPUTED_VALUE"""),92.20055710306406)</f>
        <v>92.2005571</v>
      </c>
      <c r="AT16" s="48">
        <f>IFERROR(__xludf.DUMMYFUNCTION("""COMPUTED_VALUE"""),7.238605898123325)</f>
        <v>7.238605898</v>
      </c>
      <c r="AU16" s="48">
        <f>IFERROR(__xludf.DUMMYFUNCTION("""COMPUTED_VALUE"""),0.2680965147453083)</f>
        <v>0.2680965147</v>
      </c>
      <c r="AV16" s="48">
        <f>IFERROR(__xludf.DUMMYFUNCTION("""COMPUTED_VALUE"""),3.753351206434316)</f>
        <v>3.753351206</v>
      </c>
      <c r="AW16" s="48">
        <f>IFERROR(__xludf.DUMMYFUNCTION("""COMPUTED_VALUE"""),15.549597855227882)</f>
        <v>15.54959786</v>
      </c>
      <c r="AX16" s="48">
        <f>IFERROR(__xludf.DUMMYFUNCTION("""COMPUTED_VALUE"""),89.00804289544236)</f>
        <v>89.0080429</v>
      </c>
      <c r="AY16" s="48">
        <f>IFERROR(__xludf.DUMMYFUNCTION("""COMPUTED_VALUE"""),248.0)</f>
        <v>248</v>
      </c>
      <c r="AZ16" s="48">
        <f>IFERROR(__xludf.DUMMYFUNCTION("""COMPUTED_VALUE"""),224.0)</f>
        <v>224</v>
      </c>
      <c r="BA16" s="48">
        <f>IFERROR(__xludf.DUMMYFUNCTION("""COMPUTED_VALUE"""),24.0)</f>
        <v>24</v>
      </c>
      <c r="BB16" s="48">
        <f>IFERROR(__xludf.DUMMYFUNCTION("""COMPUTED_VALUE"""),1.0)</f>
        <v>1</v>
      </c>
      <c r="BC16" s="48">
        <f>IFERROR(__xludf.DUMMYFUNCTION("""COMPUTED_VALUE"""),90.32258064516128)</f>
        <v>90.32258065</v>
      </c>
      <c r="BD16" s="48">
        <f>IFERROR(__xludf.DUMMYFUNCTION("""COMPUTED_VALUE"""),9.67741935483871)</f>
        <v>9.677419355</v>
      </c>
      <c r="BE16" s="48">
        <f>IFERROR(__xludf.DUMMYFUNCTION("""COMPUTED_VALUE"""),0.4016064257028112)</f>
        <v>0.4016064257</v>
      </c>
      <c r="BF16" s="52"/>
      <c r="BG16" s="52"/>
      <c r="BH16" s="52"/>
      <c r="BI16" s="52"/>
      <c r="BJ16" s="52"/>
      <c r="BK16" s="52"/>
      <c r="BL16" s="52"/>
      <c r="BM16" s="54" t="s">
        <v>96</v>
      </c>
    </row>
    <row r="17">
      <c r="A17" s="42" t="s">
        <v>189</v>
      </c>
      <c r="B17" s="43" t="s">
        <v>190</v>
      </c>
      <c r="C17" s="44" t="s">
        <v>191</v>
      </c>
      <c r="D17" s="45" t="s">
        <v>70</v>
      </c>
      <c r="E17" s="42" t="s">
        <v>192</v>
      </c>
      <c r="F17" s="46">
        <v>41003.0</v>
      </c>
      <c r="G17" s="47">
        <v>42119.0</v>
      </c>
      <c r="H17" s="48">
        <f t="shared" si="1"/>
        <v>36.71052632</v>
      </c>
      <c r="I17" s="60" t="s">
        <v>193</v>
      </c>
      <c r="J17" s="50" t="s">
        <v>194</v>
      </c>
      <c r="K17" s="42" t="s">
        <v>195</v>
      </c>
      <c r="L17" s="45" t="s">
        <v>196</v>
      </c>
      <c r="M17" s="51">
        <v>29799.0</v>
      </c>
      <c r="N17" s="52">
        <f t="shared" si="2"/>
        <v>39</v>
      </c>
      <c r="O17" s="42" t="s">
        <v>76</v>
      </c>
      <c r="P17" s="52"/>
      <c r="Q17" s="52"/>
      <c r="R17" s="52"/>
      <c r="S17" s="42" t="s">
        <v>79</v>
      </c>
      <c r="T17" s="45" t="s">
        <v>94</v>
      </c>
      <c r="U17" s="42" t="s">
        <v>81</v>
      </c>
      <c r="V17" s="45" t="s">
        <v>78</v>
      </c>
      <c r="W17" s="42" t="s">
        <v>79</v>
      </c>
      <c r="X17" s="42" t="s">
        <v>95</v>
      </c>
      <c r="Y17" s="45" t="s">
        <v>83</v>
      </c>
      <c r="Z17" s="42"/>
      <c r="AA17" s="50"/>
      <c r="AB17" s="52"/>
      <c r="AC17" s="53">
        <f t="shared" si="5"/>
        <v>819</v>
      </c>
      <c r="AD17" s="45">
        <v>0.0</v>
      </c>
      <c r="AE17" s="53">
        <f t="shared" ref="AE17:AE22" si="10">(AP17*0.5+AO17)</f>
        <v>38</v>
      </c>
      <c r="AF17" s="53">
        <f t="shared" si="3"/>
        <v>781</v>
      </c>
      <c r="AG17" s="52">
        <f t="shared" si="8"/>
        <v>4881.25</v>
      </c>
      <c r="AH17" s="48">
        <f>IFERROR(__xludf.DUMMYFUNCTION("importrange(C17,""Sheet2!a4:x4"")"),26.41883116883117)</f>
        <v>26.41883117</v>
      </c>
      <c r="AI17" s="48">
        <f>IFERROR(__xludf.DUMMYFUNCTION("""COMPUTED_VALUE"""),7.0)</f>
        <v>7</v>
      </c>
      <c r="AJ17" s="48">
        <f>IFERROR(__xludf.DUMMYFUNCTION("""COMPUTED_VALUE"""),934.0)</f>
        <v>934</v>
      </c>
      <c r="AK17" s="53" t="str">
        <f>IFERROR(__xludf.DUMMYFUNCTION("""COMPUTED_VALUE"""),"Attended No Show")</f>
        <v>Attended No Show</v>
      </c>
      <c r="AL17" s="53">
        <f>IFERROR(__xludf.DUMMYFUNCTION("""COMPUTED_VALUE"""),934.0)</f>
        <v>934</v>
      </c>
      <c r="AM17" s="53">
        <f>IFERROR(__xludf.DUMMYFUNCTION("""COMPUTED_VALUE"""),676.0)</f>
        <v>676</v>
      </c>
      <c r="AN17" s="53">
        <f>IFERROR(__xludf.DUMMYFUNCTION("""COMPUTED_VALUE"""),674.0)</f>
        <v>674</v>
      </c>
      <c r="AO17" s="53">
        <f>IFERROR(__xludf.DUMMYFUNCTION("""COMPUTED_VALUE"""),37.0)</f>
        <v>37</v>
      </c>
      <c r="AP17" s="53">
        <f>IFERROR(__xludf.DUMMYFUNCTION("""COMPUTED_VALUE"""),2.0)</f>
        <v>2</v>
      </c>
      <c r="AQ17" s="53">
        <f>IFERROR(__xludf.DUMMYFUNCTION("""COMPUTED_VALUE"""),78.0)</f>
        <v>78</v>
      </c>
      <c r="AR17" s="53">
        <f>IFERROR(__xludf.DUMMYFUNCTION("""COMPUTED_VALUE"""),143.0)</f>
        <v>143</v>
      </c>
      <c r="AS17" s="53">
        <f>IFERROR(__xludf.DUMMYFUNCTION("""COMPUTED_VALUE"""),95.44392523364486)</f>
        <v>95.44392523</v>
      </c>
      <c r="AT17" s="48">
        <f>IFERROR(__xludf.DUMMYFUNCTION("""COMPUTED_VALUE"""),3.961456102783726)</f>
        <v>3.961456103</v>
      </c>
      <c r="AU17" s="48">
        <f>IFERROR(__xludf.DUMMYFUNCTION("""COMPUTED_VALUE"""),0.21413276231263384)</f>
        <v>0.2141327623</v>
      </c>
      <c r="AV17" s="48">
        <f>IFERROR(__xludf.DUMMYFUNCTION("""COMPUTED_VALUE"""),8.35117773019272)</f>
        <v>8.35117773</v>
      </c>
      <c r="AW17" s="48">
        <f>IFERROR(__xludf.DUMMYFUNCTION("""COMPUTED_VALUE"""),15.310492505353318)</f>
        <v>15.31049251</v>
      </c>
      <c r="AX17" s="48">
        <f>IFERROR(__xludf.DUMMYFUNCTION("""COMPUTED_VALUE"""),87.68736616702355)</f>
        <v>87.68736617</v>
      </c>
      <c r="AY17" s="48">
        <f>IFERROR(__xludf.DUMMYFUNCTION("""COMPUTED_VALUE"""),560.0)</f>
        <v>560</v>
      </c>
      <c r="AZ17" s="48">
        <f>IFERROR(__xludf.DUMMYFUNCTION("""COMPUTED_VALUE"""),559.0)</f>
        <v>559</v>
      </c>
      <c r="BA17" s="48">
        <f>IFERROR(__xludf.DUMMYFUNCTION("""COMPUTED_VALUE"""),1.0)</f>
        <v>1</v>
      </c>
      <c r="BB17" s="48">
        <f>IFERROR(__xludf.DUMMYFUNCTION("""COMPUTED_VALUE"""),1.0)</f>
        <v>1</v>
      </c>
      <c r="BC17" s="48">
        <f>IFERROR(__xludf.DUMMYFUNCTION("""COMPUTED_VALUE"""),99.82142857142857)</f>
        <v>99.82142857</v>
      </c>
      <c r="BD17" s="48">
        <f>IFERROR(__xludf.DUMMYFUNCTION("""COMPUTED_VALUE"""),0.17857142857142858)</f>
        <v>0.1785714286</v>
      </c>
      <c r="BE17" s="48">
        <f>IFERROR(__xludf.DUMMYFUNCTION("""COMPUTED_VALUE"""),0.17825311942959002)</f>
        <v>0.1782531194</v>
      </c>
      <c r="BF17" s="52"/>
      <c r="BG17" s="52"/>
      <c r="BH17" s="52"/>
      <c r="BI17" s="52"/>
      <c r="BJ17" s="52"/>
      <c r="BK17" s="52"/>
      <c r="BL17" s="52"/>
      <c r="BM17" s="54" t="s">
        <v>96</v>
      </c>
    </row>
    <row r="18">
      <c r="A18" s="42" t="s">
        <v>197</v>
      </c>
      <c r="B18" s="55" t="s">
        <v>198</v>
      </c>
      <c r="C18" s="48"/>
      <c r="D18" s="42" t="s">
        <v>70</v>
      </c>
      <c r="E18" s="42" t="s">
        <v>71</v>
      </c>
      <c r="F18" s="46">
        <v>41192.0</v>
      </c>
      <c r="G18" s="47">
        <v>41462.0</v>
      </c>
      <c r="H18" s="48">
        <f t="shared" si="1"/>
        <v>8.881578947</v>
      </c>
      <c r="I18" s="60" t="s">
        <v>199</v>
      </c>
      <c r="J18" s="50" t="s">
        <v>200</v>
      </c>
      <c r="K18" s="42" t="s">
        <v>201</v>
      </c>
      <c r="L18" s="42" t="s">
        <v>202</v>
      </c>
      <c r="M18" s="51">
        <v>31778.0</v>
      </c>
      <c r="N18" s="52">
        <f t="shared" si="2"/>
        <v>34</v>
      </c>
      <c r="O18" s="42" t="s">
        <v>76</v>
      </c>
      <c r="P18" s="52"/>
      <c r="Q18" s="52"/>
      <c r="R18" s="52"/>
      <c r="S18" s="42" t="s">
        <v>79</v>
      </c>
      <c r="T18" s="45" t="s">
        <v>94</v>
      </c>
      <c r="U18" s="42" t="s">
        <v>81</v>
      </c>
      <c r="V18" s="45" t="s">
        <v>78</v>
      </c>
      <c r="W18" s="42" t="s">
        <v>79</v>
      </c>
      <c r="X18" s="42" t="s">
        <v>95</v>
      </c>
      <c r="Y18" s="45" t="s">
        <v>83</v>
      </c>
      <c r="Z18" s="42"/>
      <c r="AA18" s="50"/>
      <c r="AB18" s="52"/>
      <c r="AC18" s="53">
        <f t="shared" si="5"/>
        <v>0</v>
      </c>
      <c r="AD18" s="45">
        <v>0.0</v>
      </c>
      <c r="AE18" s="53">
        <f t="shared" si="10"/>
        <v>0</v>
      </c>
      <c r="AF18" s="53">
        <f t="shared" si="3"/>
        <v>0</v>
      </c>
      <c r="AG18" s="52">
        <f t="shared" si="8"/>
        <v>0</v>
      </c>
      <c r="AH18" s="48" t="str">
        <f>IFERROR(__xludf.DUMMYFUNCTION("importrange(C18,""Sheet2!a4:x4"")"),"#N/A")</f>
        <v>#N/A</v>
      </c>
      <c r="AI18" s="48"/>
      <c r="AJ18" s="48"/>
      <c r="AK18" s="53"/>
      <c r="AL18" s="53"/>
      <c r="AM18" s="53"/>
      <c r="AN18" s="53"/>
      <c r="AO18" s="53"/>
      <c r="AP18" s="53"/>
      <c r="AQ18" s="53"/>
      <c r="AR18" s="53"/>
      <c r="AS18" s="53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52"/>
      <c r="BG18" s="52"/>
      <c r="BH18" s="52"/>
      <c r="BI18" s="52"/>
      <c r="BJ18" s="52"/>
      <c r="BK18" s="52"/>
      <c r="BL18" s="52"/>
      <c r="BM18" s="54" t="s">
        <v>96</v>
      </c>
    </row>
    <row r="19">
      <c r="A19" s="42" t="s">
        <v>203</v>
      </c>
      <c r="B19" s="43" t="s">
        <v>204</v>
      </c>
      <c r="C19" s="44" t="s">
        <v>205</v>
      </c>
      <c r="D19" s="42" t="s">
        <v>70</v>
      </c>
      <c r="E19" s="42" t="s">
        <v>71</v>
      </c>
      <c r="F19" s="46">
        <v>41192.0</v>
      </c>
      <c r="G19" s="47">
        <v>41627.0</v>
      </c>
      <c r="H19" s="48">
        <f t="shared" si="1"/>
        <v>14.30921053</v>
      </c>
      <c r="I19" s="60" t="s">
        <v>206</v>
      </c>
      <c r="J19" s="50" t="s">
        <v>207</v>
      </c>
      <c r="K19" s="42" t="s">
        <v>208</v>
      </c>
      <c r="L19" s="42" t="s">
        <v>209</v>
      </c>
      <c r="M19" s="51">
        <v>29952.0</v>
      </c>
      <c r="N19" s="52">
        <f t="shared" si="2"/>
        <v>39</v>
      </c>
      <c r="O19" s="42" t="s">
        <v>104</v>
      </c>
      <c r="P19" s="52"/>
      <c r="Q19" s="52"/>
      <c r="R19" s="52"/>
      <c r="S19" s="42" t="s">
        <v>79</v>
      </c>
      <c r="T19" s="45" t="s">
        <v>94</v>
      </c>
      <c r="U19" s="42" t="s">
        <v>81</v>
      </c>
      <c r="V19" s="45" t="s">
        <v>78</v>
      </c>
      <c r="W19" s="42" t="s">
        <v>79</v>
      </c>
      <c r="X19" s="42" t="s">
        <v>95</v>
      </c>
      <c r="Y19" s="45" t="s">
        <v>83</v>
      </c>
      <c r="Z19" s="42"/>
      <c r="AA19" s="50"/>
      <c r="AB19" s="52"/>
      <c r="AC19" s="53">
        <f t="shared" si="5"/>
        <v>131</v>
      </c>
      <c r="AD19" s="45">
        <v>0.0</v>
      </c>
      <c r="AE19" s="53">
        <f t="shared" si="10"/>
        <v>13</v>
      </c>
      <c r="AF19" s="53">
        <f t="shared" si="3"/>
        <v>118</v>
      </c>
      <c r="AG19" s="52">
        <f t="shared" si="8"/>
        <v>737.5</v>
      </c>
      <c r="AH19" s="48">
        <f>IFERROR(__xludf.DUMMYFUNCTION("importrange(C19,""Sheet2!a4:x4"")"),43.31858407079646)</f>
        <v>43.31858407</v>
      </c>
      <c r="AI19" s="48">
        <f>IFERROR(__xludf.DUMMYFUNCTION("""COMPUTED_VALUE"""),2.0)</f>
        <v>2</v>
      </c>
      <c r="AJ19" s="48">
        <f>IFERROR(__xludf.DUMMYFUNCTION("""COMPUTED_VALUE"""),150.0)</f>
        <v>150</v>
      </c>
      <c r="AK19" s="53" t="str">
        <f>IFERROR(__xludf.DUMMYFUNCTION("""COMPUTED_VALUE"""),"Attended")</f>
        <v>Attended</v>
      </c>
      <c r="AL19" s="53">
        <f>IFERROR(__xludf.DUMMYFUNCTION("""COMPUTED_VALUE"""),150.0)</f>
        <v>150</v>
      </c>
      <c r="AM19" s="53">
        <f>IFERROR(__xludf.DUMMYFUNCTION("""COMPUTED_VALUE"""),114.0)</f>
        <v>114</v>
      </c>
      <c r="AN19" s="53">
        <f>IFERROR(__xludf.DUMMYFUNCTION("""COMPUTED_VALUE"""),114.0)</f>
        <v>114</v>
      </c>
      <c r="AO19" s="53">
        <f>IFERROR(__xludf.DUMMYFUNCTION("""COMPUTED_VALUE"""),13.0)</f>
        <v>13</v>
      </c>
      <c r="AP19" s="53">
        <f>IFERROR(__xludf.DUMMYFUNCTION("""COMPUTED_VALUE"""),0.0)</f>
        <v>0</v>
      </c>
      <c r="AQ19" s="53">
        <f>IFERROR(__xludf.DUMMYFUNCTION("""COMPUTED_VALUE"""),6.0)</f>
        <v>6</v>
      </c>
      <c r="AR19" s="53">
        <f>IFERROR(__xludf.DUMMYFUNCTION("""COMPUTED_VALUE"""),17.0)</f>
        <v>17</v>
      </c>
      <c r="AS19" s="53">
        <f>IFERROR(__xludf.DUMMYFUNCTION("""COMPUTED_VALUE"""),90.97222222222221)</f>
        <v>90.97222222</v>
      </c>
      <c r="AT19" s="48">
        <f>IFERROR(__xludf.DUMMYFUNCTION("""COMPUTED_VALUE"""),8.666666666666668)</f>
        <v>8.666666667</v>
      </c>
      <c r="AU19" s="48">
        <f>IFERROR(__xludf.DUMMYFUNCTION("""COMPUTED_VALUE"""),0.0)</f>
        <v>0</v>
      </c>
      <c r="AV19" s="48">
        <f>IFERROR(__xludf.DUMMYFUNCTION("""COMPUTED_VALUE"""),4.0)</f>
        <v>4</v>
      </c>
      <c r="AW19" s="48">
        <f>IFERROR(__xludf.DUMMYFUNCTION("""COMPUTED_VALUE"""),11.333333333333332)</f>
        <v>11.33333333</v>
      </c>
      <c r="AX19" s="48">
        <f>IFERROR(__xludf.DUMMYFUNCTION("""COMPUTED_VALUE"""),87.33333333333333)</f>
        <v>87.33333333</v>
      </c>
      <c r="AY19" s="48">
        <f>IFERROR(__xludf.DUMMYFUNCTION("""COMPUTED_VALUE"""),108.0)</f>
        <v>108</v>
      </c>
      <c r="AZ19" s="48">
        <f>IFERROR(__xludf.DUMMYFUNCTION("""COMPUTED_VALUE"""),107.0)</f>
        <v>107</v>
      </c>
      <c r="BA19" s="48">
        <f>IFERROR(__xludf.DUMMYFUNCTION("""COMPUTED_VALUE"""),1.0)</f>
        <v>1</v>
      </c>
      <c r="BB19" s="48">
        <f>IFERROR(__xludf.DUMMYFUNCTION("""COMPUTED_VALUE"""),0.0)</f>
        <v>0</v>
      </c>
      <c r="BC19" s="48">
        <f>IFERROR(__xludf.DUMMYFUNCTION("""COMPUTED_VALUE"""),99.07407407407408)</f>
        <v>99.07407407</v>
      </c>
      <c r="BD19" s="48">
        <f>IFERROR(__xludf.DUMMYFUNCTION("""COMPUTED_VALUE"""),0.9259259259259258)</f>
        <v>0.9259259259</v>
      </c>
      <c r="BE19" s="48">
        <f>IFERROR(__xludf.DUMMYFUNCTION("""COMPUTED_VALUE"""),0.0)</f>
        <v>0</v>
      </c>
      <c r="BF19" s="52"/>
      <c r="BG19" s="52"/>
      <c r="BH19" s="52"/>
      <c r="BI19" s="52"/>
      <c r="BJ19" s="52"/>
      <c r="BK19" s="52"/>
      <c r="BL19" s="52"/>
      <c r="BM19" s="54" t="s">
        <v>96</v>
      </c>
    </row>
    <row r="20">
      <c r="A20" s="42" t="s">
        <v>210</v>
      </c>
      <c r="B20" s="55" t="s">
        <v>211</v>
      </c>
      <c r="C20" s="44" t="s">
        <v>212</v>
      </c>
      <c r="D20" s="42" t="s">
        <v>70</v>
      </c>
      <c r="E20" s="42" t="s">
        <v>71</v>
      </c>
      <c r="F20" s="46">
        <v>41192.0</v>
      </c>
      <c r="G20" s="47">
        <v>41494.0</v>
      </c>
      <c r="H20" s="48">
        <f t="shared" si="1"/>
        <v>9.934210526</v>
      </c>
      <c r="I20" s="60" t="s">
        <v>213</v>
      </c>
      <c r="J20" s="50" t="s">
        <v>214</v>
      </c>
      <c r="K20" s="42" t="s">
        <v>215</v>
      </c>
      <c r="L20" s="42" t="s">
        <v>216</v>
      </c>
      <c r="M20" s="51">
        <v>31778.0</v>
      </c>
      <c r="N20" s="52">
        <f t="shared" si="2"/>
        <v>34</v>
      </c>
      <c r="O20" s="42" t="s">
        <v>76</v>
      </c>
      <c r="P20" s="52"/>
      <c r="Q20" s="52"/>
      <c r="R20" s="52"/>
      <c r="S20" s="42" t="s">
        <v>79</v>
      </c>
      <c r="T20" s="45" t="s">
        <v>94</v>
      </c>
      <c r="U20" s="42" t="s">
        <v>81</v>
      </c>
      <c r="V20" s="45" t="s">
        <v>78</v>
      </c>
      <c r="W20" s="42" t="s">
        <v>79</v>
      </c>
      <c r="X20" s="42" t="s">
        <v>95</v>
      </c>
      <c r="Y20" s="45" t="s">
        <v>83</v>
      </c>
      <c r="Z20" s="42"/>
      <c r="AA20" s="50"/>
      <c r="AB20" s="52"/>
      <c r="AC20" s="53">
        <f t="shared" si="5"/>
        <v>97</v>
      </c>
      <c r="AD20" s="45">
        <v>0.0</v>
      </c>
      <c r="AE20" s="53">
        <f t="shared" si="10"/>
        <v>3</v>
      </c>
      <c r="AF20" s="53">
        <f t="shared" si="3"/>
        <v>94</v>
      </c>
      <c r="AG20" s="52">
        <f t="shared" si="8"/>
        <v>587.5</v>
      </c>
      <c r="AH20" s="48">
        <f>IFERROR(__xludf.DUMMYFUNCTION("importrange(C20,""Sheet2!a4:x4"")"),17.7946375)</f>
        <v>17.7946375</v>
      </c>
      <c r="AI20" s="48">
        <f>IFERROR(__xludf.DUMMYFUNCTION("""COMPUTED_VALUE"""),5.0)</f>
        <v>5</v>
      </c>
      <c r="AJ20" s="48">
        <f>IFERROR(__xludf.DUMMYFUNCTION("""COMPUTED_VALUE"""),101.0)</f>
        <v>101</v>
      </c>
      <c r="AK20" s="53" t="str">
        <f>IFERROR(__xludf.DUMMYFUNCTION("""COMPUTED_VALUE"""),"Attended No Show")</f>
        <v>Attended No Show</v>
      </c>
      <c r="AL20" s="53">
        <f>IFERROR(__xludf.DUMMYFUNCTION("""COMPUTED_VALUE"""),101.0)</f>
        <v>101</v>
      </c>
      <c r="AM20" s="53">
        <f>IFERROR(__xludf.DUMMYFUNCTION("""COMPUTED_VALUE"""),82.0)</f>
        <v>82</v>
      </c>
      <c r="AN20" s="53">
        <f>IFERROR(__xludf.DUMMYFUNCTION("""COMPUTED_VALUE"""),82.0)</f>
        <v>82</v>
      </c>
      <c r="AO20" s="53">
        <f>IFERROR(__xludf.DUMMYFUNCTION("""COMPUTED_VALUE"""),3.0)</f>
        <v>3</v>
      </c>
      <c r="AP20" s="53">
        <f>IFERROR(__xludf.DUMMYFUNCTION("""COMPUTED_VALUE"""),0.0)</f>
        <v>0</v>
      </c>
      <c r="AQ20" s="53">
        <f>IFERROR(__xludf.DUMMYFUNCTION("""COMPUTED_VALUE"""),1.0)</f>
        <v>1</v>
      </c>
      <c r="AR20" s="53">
        <f>IFERROR(__xludf.DUMMYFUNCTION("""COMPUTED_VALUE"""),15.0)</f>
        <v>15</v>
      </c>
      <c r="AS20" s="53">
        <f>IFERROR(__xludf.DUMMYFUNCTION("""COMPUTED_VALUE"""),97.0)</f>
        <v>97</v>
      </c>
      <c r="AT20" s="48">
        <f>IFERROR(__xludf.DUMMYFUNCTION("""COMPUTED_VALUE"""),2.9702970297029703)</f>
        <v>2.97029703</v>
      </c>
      <c r="AU20" s="48">
        <f>IFERROR(__xludf.DUMMYFUNCTION("""COMPUTED_VALUE"""),0.0)</f>
        <v>0</v>
      </c>
      <c r="AV20" s="48">
        <f>IFERROR(__xludf.DUMMYFUNCTION("""COMPUTED_VALUE"""),0.9900990099009901)</f>
        <v>0.9900990099</v>
      </c>
      <c r="AW20" s="48">
        <f>IFERROR(__xludf.DUMMYFUNCTION("""COMPUTED_VALUE"""),14.85148514851485)</f>
        <v>14.85148515</v>
      </c>
      <c r="AX20" s="48">
        <f>IFERROR(__xludf.DUMMYFUNCTION("""COMPUTED_VALUE"""),96.03960396039604)</f>
        <v>96.03960396</v>
      </c>
      <c r="AY20" s="48">
        <f>IFERROR(__xludf.DUMMYFUNCTION("""COMPUTED_VALUE"""),76.0)</f>
        <v>76</v>
      </c>
      <c r="AZ20" s="48">
        <f>IFERROR(__xludf.DUMMYFUNCTION("""COMPUTED_VALUE"""),75.0)</f>
        <v>75</v>
      </c>
      <c r="BA20" s="48">
        <f>IFERROR(__xludf.DUMMYFUNCTION("""COMPUTED_VALUE"""),1.0)</f>
        <v>1</v>
      </c>
      <c r="BB20" s="48">
        <f>IFERROR(__xludf.DUMMYFUNCTION("""COMPUTED_VALUE"""),0.0)</f>
        <v>0</v>
      </c>
      <c r="BC20" s="48">
        <f>IFERROR(__xludf.DUMMYFUNCTION("""COMPUTED_VALUE"""),98.68421052631578)</f>
        <v>98.68421053</v>
      </c>
      <c r="BD20" s="48">
        <f>IFERROR(__xludf.DUMMYFUNCTION("""COMPUTED_VALUE"""),1.3157894736842104)</f>
        <v>1.315789474</v>
      </c>
      <c r="BE20" s="48">
        <f>IFERROR(__xludf.DUMMYFUNCTION("""COMPUTED_VALUE"""),0.0)</f>
        <v>0</v>
      </c>
      <c r="BF20" s="52"/>
      <c r="BG20" s="52"/>
      <c r="BH20" s="52"/>
      <c r="BI20" s="52"/>
      <c r="BJ20" s="52"/>
      <c r="BK20" s="52"/>
      <c r="BL20" s="52"/>
      <c r="BM20" s="54" t="s">
        <v>96</v>
      </c>
    </row>
    <row r="21">
      <c r="A21" s="42" t="s">
        <v>217</v>
      </c>
      <c r="B21" s="43" t="s">
        <v>218</v>
      </c>
      <c r="C21" s="44" t="s">
        <v>219</v>
      </c>
      <c r="D21" s="45" t="s">
        <v>70</v>
      </c>
      <c r="E21" s="42" t="s">
        <v>71</v>
      </c>
      <c r="F21" s="46">
        <v>41192.0</v>
      </c>
      <c r="G21" s="47">
        <v>42173.0</v>
      </c>
      <c r="H21" s="48">
        <f t="shared" si="1"/>
        <v>32.26973684</v>
      </c>
      <c r="I21" s="60" t="s">
        <v>220</v>
      </c>
      <c r="J21" s="50" t="s">
        <v>221</v>
      </c>
      <c r="K21" s="42" t="s">
        <v>222</v>
      </c>
      <c r="L21" s="42" t="s">
        <v>223</v>
      </c>
      <c r="M21" s="51">
        <v>29465.0</v>
      </c>
      <c r="N21" s="52">
        <f t="shared" si="2"/>
        <v>40</v>
      </c>
      <c r="O21" s="42" t="s">
        <v>104</v>
      </c>
      <c r="P21" s="52"/>
      <c r="Q21" s="52"/>
      <c r="R21" s="52"/>
      <c r="S21" s="42" t="s">
        <v>79</v>
      </c>
      <c r="T21" s="45" t="s">
        <v>94</v>
      </c>
      <c r="U21" s="42" t="s">
        <v>81</v>
      </c>
      <c r="V21" s="45" t="s">
        <v>78</v>
      </c>
      <c r="W21" s="42" t="s">
        <v>79</v>
      </c>
      <c r="X21" s="42" t="s">
        <v>95</v>
      </c>
      <c r="Y21" s="45" t="s">
        <v>83</v>
      </c>
      <c r="Z21" s="42"/>
      <c r="AA21" s="50"/>
      <c r="AB21" s="52"/>
      <c r="AC21" s="53">
        <f t="shared" si="5"/>
        <v>371</v>
      </c>
      <c r="AD21" s="45">
        <v>0.0</v>
      </c>
      <c r="AE21" s="53">
        <f t="shared" si="10"/>
        <v>18.5</v>
      </c>
      <c r="AF21" s="53">
        <f t="shared" si="3"/>
        <v>352.5</v>
      </c>
      <c r="AG21" s="52">
        <f t="shared" si="8"/>
        <v>2203.125</v>
      </c>
      <c r="AH21" s="48">
        <f>IFERROR(__xludf.DUMMYFUNCTION("importrange(C21,""Sheet2!a4:x4"")"),34.196787148594375)</f>
        <v>34.19678715</v>
      </c>
      <c r="AI21" s="48">
        <f>IFERROR(__xludf.DUMMYFUNCTION("""COMPUTED_VALUE"""),11.0)</f>
        <v>11</v>
      </c>
      <c r="AJ21" s="48">
        <f>IFERROR(__xludf.DUMMYFUNCTION("""COMPUTED_VALUE"""),425.0)</f>
        <v>425</v>
      </c>
      <c r="AK21" s="53" t="str">
        <f>IFERROR(__xludf.DUMMYFUNCTION("""COMPUTED_VALUE"""),"Attended")</f>
        <v>Attended</v>
      </c>
      <c r="AL21" s="53">
        <f>IFERROR(__xludf.DUMMYFUNCTION("""COMPUTED_VALUE"""),425.0)</f>
        <v>425</v>
      </c>
      <c r="AM21" s="53">
        <f>IFERROR(__xludf.DUMMYFUNCTION("""COMPUTED_VALUE"""),250.0)</f>
        <v>250</v>
      </c>
      <c r="AN21" s="53">
        <f>IFERROR(__xludf.DUMMYFUNCTION("""COMPUTED_VALUE"""),241.0)</f>
        <v>241</v>
      </c>
      <c r="AO21" s="53">
        <f>IFERROR(__xludf.DUMMYFUNCTION("""COMPUTED_VALUE"""),14.0)</f>
        <v>14</v>
      </c>
      <c r="AP21" s="53">
        <f>IFERROR(__xludf.DUMMYFUNCTION("""COMPUTED_VALUE"""),9.0)</f>
        <v>9</v>
      </c>
      <c r="AQ21" s="53">
        <f>IFERROR(__xludf.DUMMYFUNCTION("""COMPUTED_VALUE"""),40.0)</f>
        <v>40</v>
      </c>
      <c r="AR21" s="53">
        <f>IFERROR(__xludf.DUMMYFUNCTION("""COMPUTED_VALUE"""),121.0)</f>
        <v>121</v>
      </c>
      <c r="AS21" s="53">
        <f>IFERROR(__xludf.DUMMYFUNCTION("""COMPUTED_VALUE"""),94.02597402597402)</f>
        <v>94.02597403</v>
      </c>
      <c r="AT21" s="48">
        <f>IFERROR(__xludf.DUMMYFUNCTION("""COMPUTED_VALUE"""),3.294117647058824)</f>
        <v>3.294117647</v>
      </c>
      <c r="AU21" s="48">
        <f>IFERROR(__xludf.DUMMYFUNCTION("""COMPUTED_VALUE"""),2.1176470588235294)</f>
        <v>2.117647059</v>
      </c>
      <c r="AV21" s="48">
        <f>IFERROR(__xludf.DUMMYFUNCTION("""COMPUTED_VALUE"""),9.411764705882353)</f>
        <v>9.411764706</v>
      </c>
      <c r="AW21" s="48">
        <f>IFERROR(__xludf.DUMMYFUNCTION("""COMPUTED_VALUE"""),28.47058823529412)</f>
        <v>28.47058824</v>
      </c>
      <c r="AX21" s="48">
        <f>IFERROR(__xludf.DUMMYFUNCTION("""COMPUTED_VALUE"""),87.29411764705883)</f>
        <v>87.29411765</v>
      </c>
      <c r="AY21" s="48">
        <f>IFERROR(__xludf.DUMMYFUNCTION("""COMPUTED_VALUE"""),158.0)</f>
        <v>158</v>
      </c>
      <c r="AZ21" s="48">
        <f>IFERROR(__xludf.DUMMYFUNCTION("""COMPUTED_VALUE"""),131.0)</f>
        <v>131</v>
      </c>
      <c r="BA21" s="48">
        <f>IFERROR(__xludf.DUMMYFUNCTION("""COMPUTED_VALUE"""),27.0)</f>
        <v>27</v>
      </c>
      <c r="BB21" s="48">
        <f>IFERROR(__xludf.DUMMYFUNCTION("""COMPUTED_VALUE"""),35.0)</f>
        <v>35</v>
      </c>
      <c r="BC21" s="48">
        <f>IFERROR(__xludf.DUMMYFUNCTION("""COMPUTED_VALUE"""),82.91139240506328)</f>
        <v>82.91139241</v>
      </c>
      <c r="BD21" s="48">
        <f>IFERROR(__xludf.DUMMYFUNCTION("""COMPUTED_VALUE"""),17.088607594936708)</f>
        <v>17.08860759</v>
      </c>
      <c r="BE21" s="48">
        <f>IFERROR(__xludf.DUMMYFUNCTION("""COMPUTED_VALUE"""),18.134715025906736)</f>
        <v>18.13471503</v>
      </c>
      <c r="BF21" s="52"/>
      <c r="BG21" s="52"/>
      <c r="BH21" s="52"/>
      <c r="BI21" s="52"/>
      <c r="BJ21" s="52"/>
      <c r="BK21" s="52"/>
      <c r="BL21" s="52"/>
      <c r="BM21" s="54" t="s">
        <v>96</v>
      </c>
    </row>
    <row r="22">
      <c r="A22" s="42" t="s">
        <v>224</v>
      </c>
      <c r="B22" s="43" t="s">
        <v>225</v>
      </c>
      <c r="C22" s="44" t="s">
        <v>226</v>
      </c>
      <c r="D22" s="42" t="s">
        <v>70</v>
      </c>
      <c r="E22" s="42" t="s">
        <v>71</v>
      </c>
      <c r="F22" s="46">
        <v>41003.0</v>
      </c>
      <c r="G22" s="47">
        <v>41526.0</v>
      </c>
      <c r="H22" s="48">
        <f t="shared" si="1"/>
        <v>17.20394737</v>
      </c>
      <c r="I22" s="60" t="s">
        <v>227</v>
      </c>
      <c r="J22" s="50" t="s">
        <v>228</v>
      </c>
      <c r="K22" s="42" t="s">
        <v>229</v>
      </c>
      <c r="L22" s="42" t="s">
        <v>230</v>
      </c>
      <c r="M22" s="51">
        <v>31048.0</v>
      </c>
      <c r="N22" s="52">
        <f t="shared" si="2"/>
        <v>36</v>
      </c>
      <c r="O22" s="42" t="s">
        <v>104</v>
      </c>
      <c r="P22" s="52"/>
      <c r="Q22" s="52"/>
      <c r="R22" s="52"/>
      <c r="S22" s="42" t="s">
        <v>79</v>
      </c>
      <c r="T22" s="45" t="s">
        <v>94</v>
      </c>
      <c r="U22" s="42" t="s">
        <v>81</v>
      </c>
      <c r="V22" s="45" t="s">
        <v>78</v>
      </c>
      <c r="W22" s="42" t="s">
        <v>79</v>
      </c>
      <c r="X22" s="42" t="s">
        <v>95</v>
      </c>
      <c r="Y22" s="45" t="s">
        <v>83</v>
      </c>
      <c r="Z22" s="42"/>
      <c r="AA22" s="50"/>
      <c r="AB22" s="52"/>
      <c r="AC22" s="53">
        <f t="shared" si="5"/>
        <v>2</v>
      </c>
      <c r="AD22" s="45">
        <v>0.0</v>
      </c>
      <c r="AE22" s="53">
        <f t="shared" si="10"/>
        <v>0.5</v>
      </c>
      <c r="AF22" s="53">
        <f t="shared" si="3"/>
        <v>1.5</v>
      </c>
      <c r="AG22" s="52">
        <f t="shared" si="8"/>
        <v>9.375</v>
      </c>
      <c r="AH22" s="48" t="str">
        <f>IFERROR(__xludf.DUMMYFUNCTION("importrange(C22,""Sheet2!a4:x4"")"),"#DIV/0!")</f>
        <v>#DIV/0!</v>
      </c>
      <c r="AI22" s="48">
        <f>IFERROR(__xludf.DUMMYFUNCTION("""COMPUTED_VALUE"""),2.0)</f>
        <v>2</v>
      </c>
      <c r="AJ22" s="48">
        <f>IFERROR(__xludf.DUMMYFUNCTION("""COMPUTED_VALUE"""),2.0)</f>
        <v>2</v>
      </c>
      <c r="AK22" s="53" t="str">
        <f>IFERROR(__xludf.DUMMYFUNCTION("""COMPUTED_VALUE"""),"Attended")</f>
        <v>Attended</v>
      </c>
      <c r="AL22" s="53">
        <f>IFERROR(__xludf.DUMMYFUNCTION("""COMPUTED_VALUE"""),2.0)</f>
        <v>2</v>
      </c>
      <c r="AM22" s="53">
        <f>IFERROR(__xludf.DUMMYFUNCTION("""COMPUTED_VALUE"""),2.0)</f>
        <v>2</v>
      </c>
      <c r="AN22" s="53">
        <f>IFERROR(__xludf.DUMMYFUNCTION("""COMPUTED_VALUE"""),1.0)</f>
        <v>1</v>
      </c>
      <c r="AO22" s="53">
        <f>IFERROR(__xludf.DUMMYFUNCTION("""COMPUTED_VALUE"""),0.0)</f>
        <v>0</v>
      </c>
      <c r="AP22" s="53">
        <f>IFERROR(__xludf.DUMMYFUNCTION("""COMPUTED_VALUE"""),1.0)</f>
        <v>1</v>
      </c>
      <c r="AQ22" s="53">
        <f>IFERROR(__xludf.DUMMYFUNCTION("""COMPUTED_VALUE"""),0.0)</f>
        <v>0</v>
      </c>
      <c r="AR22" s="53">
        <f>IFERROR(__xludf.DUMMYFUNCTION("""COMPUTED_VALUE"""),0.0)</f>
        <v>0</v>
      </c>
      <c r="AS22" s="53">
        <f>IFERROR(__xludf.DUMMYFUNCTION("""COMPUTED_VALUE"""),50.0)</f>
        <v>50</v>
      </c>
      <c r="AT22" s="48">
        <f>IFERROR(__xludf.DUMMYFUNCTION("""COMPUTED_VALUE"""),0.0)</f>
        <v>0</v>
      </c>
      <c r="AU22" s="48">
        <f>IFERROR(__xludf.DUMMYFUNCTION("""COMPUTED_VALUE"""),50.0)</f>
        <v>50</v>
      </c>
      <c r="AV22" s="48">
        <f>IFERROR(__xludf.DUMMYFUNCTION("""COMPUTED_VALUE"""),0.0)</f>
        <v>0</v>
      </c>
      <c r="AW22" s="48">
        <f>IFERROR(__xludf.DUMMYFUNCTION("""COMPUTED_VALUE"""),0.0)</f>
        <v>0</v>
      </c>
      <c r="AX22" s="48">
        <f>IFERROR(__xludf.DUMMYFUNCTION("""COMPUTED_VALUE"""),100.0)</f>
        <v>100</v>
      </c>
      <c r="AY22" s="48">
        <f>IFERROR(__xludf.DUMMYFUNCTION("""COMPUTED_VALUE"""),0.0)</f>
        <v>0</v>
      </c>
      <c r="AZ22" s="48">
        <f>IFERROR(__xludf.DUMMYFUNCTION("""COMPUTED_VALUE"""),0.0)</f>
        <v>0</v>
      </c>
      <c r="BA22" s="48">
        <f>IFERROR(__xludf.DUMMYFUNCTION("""COMPUTED_VALUE"""),0.0)</f>
        <v>0</v>
      </c>
      <c r="BB22" s="48">
        <f>IFERROR(__xludf.DUMMYFUNCTION("""COMPUTED_VALUE"""),2.0)</f>
        <v>2</v>
      </c>
      <c r="BC22" s="48" t="str">
        <f>IFERROR(__xludf.DUMMYFUNCTION("""COMPUTED_VALUE"""),"#DIV/0!")</f>
        <v>#DIV/0!</v>
      </c>
      <c r="BD22" s="48" t="str">
        <f>IFERROR(__xludf.DUMMYFUNCTION("""COMPUTED_VALUE"""),"#DIV/0!")</f>
        <v>#DIV/0!</v>
      </c>
      <c r="BE22" s="48">
        <f>IFERROR(__xludf.DUMMYFUNCTION("""COMPUTED_VALUE"""),100.0)</f>
        <v>100</v>
      </c>
      <c r="BF22" s="52"/>
      <c r="BG22" s="52"/>
      <c r="BH22" s="52"/>
      <c r="BI22" s="52"/>
      <c r="BJ22" s="52"/>
      <c r="BK22" s="52"/>
      <c r="BL22" s="52"/>
      <c r="BM22" s="54" t="s">
        <v>96</v>
      </c>
    </row>
    <row r="23">
      <c r="A23" s="42" t="s">
        <v>231</v>
      </c>
      <c r="B23" s="55" t="s">
        <v>232</v>
      </c>
      <c r="C23" s="44" t="s">
        <v>233</v>
      </c>
      <c r="D23" s="45" t="s">
        <v>125</v>
      </c>
      <c r="E23" s="42" t="s">
        <v>71</v>
      </c>
      <c r="F23" s="46">
        <v>41097.0</v>
      </c>
      <c r="G23" s="47"/>
      <c r="H23" s="48">
        <f t="shared" si="1"/>
        <v>103.75</v>
      </c>
      <c r="I23" s="49" t="s">
        <v>234</v>
      </c>
      <c r="J23" s="50" t="s">
        <v>235</v>
      </c>
      <c r="K23" s="42" t="s">
        <v>236</v>
      </c>
      <c r="L23" s="45" t="s">
        <v>237</v>
      </c>
      <c r="M23" s="51">
        <v>30317.0</v>
      </c>
      <c r="N23" s="52">
        <f t="shared" si="2"/>
        <v>38</v>
      </c>
      <c r="O23" s="45" t="s">
        <v>76</v>
      </c>
      <c r="P23" s="52"/>
      <c r="Q23" s="52"/>
      <c r="R23" s="52"/>
      <c r="S23" s="42" t="s">
        <v>79</v>
      </c>
      <c r="T23" s="45" t="s">
        <v>94</v>
      </c>
      <c r="U23" s="42" t="s">
        <v>81</v>
      </c>
      <c r="V23" s="45" t="s">
        <v>78</v>
      </c>
      <c r="W23" s="42" t="s">
        <v>79</v>
      </c>
      <c r="X23" s="42" t="s">
        <v>82</v>
      </c>
      <c r="Y23" s="45" t="s">
        <v>83</v>
      </c>
      <c r="Z23" s="45" t="s">
        <v>130</v>
      </c>
      <c r="AA23" s="58" t="s">
        <v>235</v>
      </c>
      <c r="AB23" s="45"/>
      <c r="AC23" s="53">
        <f t="shared" si="5"/>
        <v>8384</v>
      </c>
      <c r="AD23" s="45">
        <v>3711.0</v>
      </c>
      <c r="AE23" s="53">
        <f>(AP23*0.5+AO23)-8</f>
        <v>682</v>
      </c>
      <c r="AF23" s="53">
        <f t="shared" si="3"/>
        <v>3991</v>
      </c>
      <c r="AG23" s="52">
        <f>(AF23*10)</f>
        <v>39910</v>
      </c>
      <c r="AH23" s="48">
        <f>IFERROR(__xludf.DUMMYFUNCTION("importrange(C23,""Sheet2!a4:x4"")"),27.51207729468599)</f>
        <v>27.51207729</v>
      </c>
      <c r="AI23" s="48">
        <f>IFERROR(__xludf.DUMMYFUNCTION("""COMPUTED_VALUE"""),129.0)</f>
        <v>129</v>
      </c>
      <c r="AJ23" s="48">
        <f>IFERROR(__xludf.DUMMYFUNCTION("""COMPUTED_VALUE"""),9563.0)</f>
        <v>9563</v>
      </c>
      <c r="AK23" s="53" t="str">
        <f>IFERROR(__xludf.DUMMYFUNCTION("""COMPUTED_VALUE"""),"Attended")</f>
        <v>Attended</v>
      </c>
      <c r="AL23" s="53">
        <f>IFERROR(__xludf.DUMMYFUNCTION("""COMPUTED_VALUE"""),9563.0)</f>
        <v>9563</v>
      </c>
      <c r="AM23" s="53">
        <f>IFERROR(__xludf.DUMMYFUNCTION("""COMPUTED_VALUE"""),6716.0)</f>
        <v>6716</v>
      </c>
      <c r="AN23" s="53">
        <f>IFERROR(__xludf.DUMMYFUNCTION("""COMPUTED_VALUE"""),6552.0)</f>
        <v>6552</v>
      </c>
      <c r="AO23" s="53">
        <f>IFERROR(__xludf.DUMMYFUNCTION("""COMPUTED_VALUE"""),608.0)</f>
        <v>608</v>
      </c>
      <c r="AP23" s="53">
        <f>IFERROR(__xludf.DUMMYFUNCTION("""COMPUTED_VALUE"""),164.0)</f>
        <v>164</v>
      </c>
      <c r="AQ23" s="53">
        <f>IFERROR(__xludf.DUMMYFUNCTION("""COMPUTED_VALUE"""),571.0)</f>
        <v>571</v>
      </c>
      <c r="AR23" s="53">
        <f>IFERROR(__xludf.DUMMYFUNCTION("""COMPUTED_VALUE"""),1668.0)</f>
        <v>1668</v>
      </c>
      <c r="AS23" s="53">
        <f>IFERROR(__xludf.DUMMYFUNCTION("""COMPUTED_VALUE"""),91.41459074733096)</f>
        <v>91.41459075</v>
      </c>
      <c r="AT23" s="48">
        <f>IFERROR(__xludf.DUMMYFUNCTION("""COMPUTED_VALUE"""),6.357837498692878)</f>
        <v>6.357837499</v>
      </c>
      <c r="AU23" s="48">
        <f>IFERROR(__xludf.DUMMYFUNCTION("""COMPUTED_VALUE"""),1.7149430095158422)</f>
        <v>1.71494301</v>
      </c>
      <c r="AV23" s="48">
        <f>IFERROR(__xludf.DUMMYFUNCTION("""COMPUTED_VALUE"""),5.970929624594793)</f>
        <v>5.970929625</v>
      </c>
      <c r="AW23" s="48">
        <f>IFERROR(__xludf.DUMMYFUNCTION("""COMPUTED_VALUE"""),17.442225243124543)</f>
        <v>17.44222524</v>
      </c>
      <c r="AX23" s="48">
        <f>IFERROR(__xludf.DUMMYFUNCTION("""COMPUTED_VALUE"""),87.67123287671232)</f>
        <v>87.67123288</v>
      </c>
      <c r="AY23" s="48">
        <f>IFERROR(__xludf.DUMMYFUNCTION("""COMPUTED_VALUE"""),5551.0)</f>
        <v>5551</v>
      </c>
      <c r="AZ23" s="48">
        <f>IFERROR(__xludf.DUMMYFUNCTION("""COMPUTED_VALUE"""),5090.0)</f>
        <v>5090</v>
      </c>
      <c r="BA23" s="48">
        <f>IFERROR(__xludf.DUMMYFUNCTION("""COMPUTED_VALUE"""),461.0)</f>
        <v>461</v>
      </c>
      <c r="BB23" s="48">
        <f>IFERROR(__xludf.DUMMYFUNCTION("""COMPUTED_VALUE"""),20.0)</f>
        <v>20</v>
      </c>
      <c r="BC23" s="48">
        <f>IFERROR(__xludf.DUMMYFUNCTION("""COMPUTED_VALUE"""),91.6951900558458)</f>
        <v>91.69519006</v>
      </c>
      <c r="BD23" s="48">
        <f>IFERROR(__xludf.DUMMYFUNCTION("""COMPUTED_VALUE"""),8.304809944154206)</f>
        <v>8.304809944</v>
      </c>
      <c r="BE23" s="48">
        <f>IFERROR(__xludf.DUMMYFUNCTION("""COMPUTED_VALUE"""),0.3590019745108598)</f>
        <v>0.3590019745</v>
      </c>
      <c r="BF23" s="52"/>
      <c r="BG23" s="52"/>
      <c r="BH23" s="52"/>
      <c r="BI23" s="52"/>
      <c r="BJ23" s="52"/>
      <c r="BK23" s="45">
        <v>3.0</v>
      </c>
      <c r="BL23" s="45">
        <v>1.0</v>
      </c>
      <c r="BM23" s="59" t="s">
        <v>96</v>
      </c>
    </row>
    <row r="24">
      <c r="A24" s="42" t="s">
        <v>238</v>
      </c>
      <c r="B24" s="43" t="s">
        <v>239</v>
      </c>
      <c r="C24" s="44" t="s">
        <v>240</v>
      </c>
      <c r="D24" s="45" t="s">
        <v>70</v>
      </c>
      <c r="E24" s="42" t="s">
        <v>192</v>
      </c>
      <c r="F24" s="46">
        <v>40544.0</v>
      </c>
      <c r="G24" s="47">
        <v>41891.0</v>
      </c>
      <c r="H24" s="48">
        <f t="shared" si="1"/>
        <v>44.30921053</v>
      </c>
      <c r="I24" s="60" t="s">
        <v>241</v>
      </c>
      <c r="J24" s="50" t="s">
        <v>242</v>
      </c>
      <c r="K24" s="42" t="s">
        <v>243</v>
      </c>
      <c r="L24" s="52"/>
      <c r="M24" s="51">
        <v>28815.0</v>
      </c>
      <c r="N24" s="52">
        <f t="shared" si="2"/>
        <v>42</v>
      </c>
      <c r="O24" s="42" t="s">
        <v>104</v>
      </c>
      <c r="P24" s="52"/>
      <c r="Q24" s="52"/>
      <c r="R24" s="52"/>
      <c r="S24" s="42" t="s">
        <v>79</v>
      </c>
      <c r="T24" s="45" t="s">
        <v>94</v>
      </c>
      <c r="U24" s="42" t="s">
        <v>81</v>
      </c>
      <c r="V24" s="45" t="s">
        <v>78</v>
      </c>
      <c r="W24" s="42" t="s">
        <v>79</v>
      </c>
      <c r="X24" s="42" t="s">
        <v>95</v>
      </c>
      <c r="Y24" s="45" t="s">
        <v>83</v>
      </c>
      <c r="Z24" s="42"/>
      <c r="AA24" s="50"/>
      <c r="AB24" s="52"/>
      <c r="AC24" s="53">
        <f t="shared" si="5"/>
        <v>3475</v>
      </c>
      <c r="AD24" s="45">
        <v>0.0</v>
      </c>
      <c r="AE24" s="53">
        <f t="shared" ref="AE24:AE263" si="11">(AP24*0.5+AO24)</f>
        <v>22.5</v>
      </c>
      <c r="AF24" s="53">
        <f t="shared" si="3"/>
        <v>3452.5</v>
      </c>
      <c r="AG24" s="52">
        <f t="shared" ref="AG24:AG48" si="12">(AF24*6.25)</f>
        <v>21578.125</v>
      </c>
      <c r="AH24" s="48">
        <f>IFERROR(__xludf.DUMMYFUNCTION("importrange(C24,""Sheet2!a4:x4"")"),29.60751565762004)</f>
        <v>29.60751566</v>
      </c>
      <c r="AI24" s="48">
        <f>IFERROR(__xludf.DUMMYFUNCTION("""COMPUTED_VALUE"""),183.0)</f>
        <v>183</v>
      </c>
      <c r="AJ24" s="48">
        <f>IFERROR(__xludf.DUMMYFUNCTION("""COMPUTED_VALUE"""),3539.0)</f>
        <v>3539</v>
      </c>
      <c r="AK24" s="53" t="str">
        <f>IFERROR(__xludf.DUMMYFUNCTION("""COMPUTED_VALUE"""),"Attended No Show")</f>
        <v>Attended No Show</v>
      </c>
      <c r="AL24" s="53">
        <f>IFERROR(__xludf.DUMMYFUNCTION("""COMPUTED_VALUE"""),3539.0)</f>
        <v>3539</v>
      </c>
      <c r="AM24" s="53">
        <f>IFERROR(__xludf.DUMMYFUNCTION("""COMPUTED_VALUE"""),3298.0)</f>
        <v>3298</v>
      </c>
      <c r="AN24" s="53">
        <f>IFERROR(__xludf.DUMMYFUNCTION("""COMPUTED_VALUE"""),3293.0)</f>
        <v>3293</v>
      </c>
      <c r="AO24" s="53">
        <f>IFERROR(__xludf.DUMMYFUNCTION("""COMPUTED_VALUE"""),20.0)</f>
        <v>20</v>
      </c>
      <c r="AP24" s="53">
        <f>IFERROR(__xludf.DUMMYFUNCTION("""COMPUTED_VALUE"""),5.0)</f>
        <v>5</v>
      </c>
      <c r="AQ24" s="53">
        <f>IFERROR(__xludf.DUMMYFUNCTION("""COMPUTED_VALUE"""),44.0)</f>
        <v>44</v>
      </c>
      <c r="AR24" s="53">
        <f>IFERROR(__xludf.DUMMYFUNCTION("""COMPUTED_VALUE"""),177.0)</f>
        <v>177</v>
      </c>
      <c r="AS24" s="53">
        <f>IFERROR(__xludf.DUMMYFUNCTION("""COMPUTED_VALUE"""),99.28469241773963)</f>
        <v>99.28469242</v>
      </c>
      <c r="AT24" s="48">
        <f>IFERROR(__xludf.DUMMYFUNCTION("""COMPUTED_VALUE"""),0.5651313930488838)</f>
        <v>0.565131393</v>
      </c>
      <c r="AU24" s="48">
        <f>IFERROR(__xludf.DUMMYFUNCTION("""COMPUTED_VALUE"""),0.14128284826222096)</f>
        <v>0.1412828483</v>
      </c>
      <c r="AV24" s="48">
        <f>IFERROR(__xludf.DUMMYFUNCTION("""COMPUTED_VALUE"""),1.2432890647075445)</f>
        <v>1.243289065</v>
      </c>
      <c r="AW24" s="48">
        <f>IFERROR(__xludf.DUMMYFUNCTION("""COMPUTED_VALUE"""),5.001412828482622)</f>
        <v>5.001412828</v>
      </c>
      <c r="AX24" s="48">
        <f>IFERROR(__xludf.DUMMYFUNCTION("""COMPUTED_VALUE"""),98.19157954224357)</f>
        <v>98.19157954</v>
      </c>
      <c r="AY24" s="48">
        <f>IFERROR(__xludf.DUMMYFUNCTION("""COMPUTED_VALUE"""),580.0)</f>
        <v>580</v>
      </c>
      <c r="AZ24" s="48">
        <f>IFERROR(__xludf.DUMMYFUNCTION("""COMPUTED_VALUE"""),552.0)</f>
        <v>552</v>
      </c>
      <c r="BA24" s="48">
        <f>IFERROR(__xludf.DUMMYFUNCTION("""COMPUTED_VALUE"""),28.0)</f>
        <v>28</v>
      </c>
      <c r="BB24" s="48">
        <f>IFERROR(__xludf.DUMMYFUNCTION("""COMPUTED_VALUE"""),6.0)</f>
        <v>6</v>
      </c>
      <c r="BC24" s="48">
        <f>IFERROR(__xludf.DUMMYFUNCTION("""COMPUTED_VALUE"""),95.17241379310344)</f>
        <v>95.17241379</v>
      </c>
      <c r="BD24" s="48">
        <f>IFERROR(__xludf.DUMMYFUNCTION("""COMPUTED_VALUE"""),4.827586206896552)</f>
        <v>4.827586207</v>
      </c>
      <c r="BE24" s="48">
        <f>IFERROR(__xludf.DUMMYFUNCTION("""COMPUTED_VALUE"""),1.023890784982935)</f>
        <v>1.023890785</v>
      </c>
      <c r="BF24" s="52"/>
      <c r="BG24" s="52"/>
      <c r="BH24" s="52"/>
      <c r="BI24" s="52"/>
      <c r="BJ24" s="52"/>
      <c r="BK24" s="52"/>
      <c r="BL24" s="52"/>
      <c r="BM24" s="54" t="s">
        <v>96</v>
      </c>
    </row>
    <row r="25">
      <c r="A25" s="42" t="s">
        <v>244</v>
      </c>
      <c r="B25" s="43" t="s">
        <v>245</v>
      </c>
      <c r="C25" s="44" t="s">
        <v>246</v>
      </c>
      <c r="D25" s="42" t="s">
        <v>70</v>
      </c>
      <c r="E25" s="42" t="s">
        <v>192</v>
      </c>
      <c r="F25" s="46">
        <v>41487.0</v>
      </c>
      <c r="G25" s="47">
        <v>41706.0</v>
      </c>
      <c r="H25" s="48">
        <f t="shared" si="1"/>
        <v>7.203947368</v>
      </c>
      <c r="I25" s="60" t="s">
        <v>247</v>
      </c>
      <c r="J25" s="50" t="s">
        <v>248</v>
      </c>
      <c r="K25" s="52"/>
      <c r="L25" s="52"/>
      <c r="M25" s="51">
        <v>32509.0</v>
      </c>
      <c r="N25" s="52">
        <f t="shared" si="2"/>
        <v>32</v>
      </c>
      <c r="O25" s="42" t="s">
        <v>104</v>
      </c>
      <c r="P25" s="52"/>
      <c r="Q25" s="52"/>
      <c r="R25" s="52"/>
      <c r="S25" s="42" t="s">
        <v>79</v>
      </c>
      <c r="T25" s="45" t="s">
        <v>94</v>
      </c>
      <c r="U25" s="42" t="s">
        <v>81</v>
      </c>
      <c r="V25" s="45" t="s">
        <v>78</v>
      </c>
      <c r="W25" s="42" t="s">
        <v>79</v>
      </c>
      <c r="X25" s="42" t="s">
        <v>82</v>
      </c>
      <c r="Y25" s="45" t="s">
        <v>83</v>
      </c>
      <c r="Z25" s="42"/>
      <c r="AA25" s="50"/>
      <c r="AB25" s="42"/>
      <c r="AC25" s="53">
        <f t="shared" si="5"/>
        <v>450</v>
      </c>
      <c r="AD25" s="45">
        <v>435.5</v>
      </c>
      <c r="AE25" s="53">
        <f t="shared" si="11"/>
        <v>14.5</v>
      </c>
      <c r="AF25" s="53">
        <f t="shared" si="3"/>
        <v>0</v>
      </c>
      <c r="AG25" s="52">
        <f t="shared" si="12"/>
        <v>0</v>
      </c>
      <c r="AH25" s="48">
        <f>IFERROR(__xludf.DUMMYFUNCTION("importrange(C25,""Sheet2!a4:x4"")"),23.992247557003257)</f>
        <v>23.99224756</v>
      </c>
      <c r="AI25" s="48">
        <f>IFERROR(__xludf.DUMMYFUNCTION("""COMPUTED_VALUE"""),24.0)</f>
        <v>24</v>
      </c>
      <c r="AJ25" s="48">
        <f>IFERROR(__xludf.DUMMYFUNCTION("""COMPUTED_VALUE"""),508.0)</f>
        <v>508</v>
      </c>
      <c r="AK25" s="53" t="str">
        <f>IFERROR(__xludf.DUMMYFUNCTION("""COMPUTED_VALUE"""),"Attended")</f>
        <v>Attended</v>
      </c>
      <c r="AL25" s="53">
        <f>IFERROR(__xludf.DUMMYFUNCTION("""COMPUTED_VALUE"""),508.0)</f>
        <v>508</v>
      </c>
      <c r="AM25" s="53">
        <f>IFERROR(__xludf.DUMMYFUNCTION("""COMPUTED_VALUE"""),311.0)</f>
        <v>311</v>
      </c>
      <c r="AN25" s="53">
        <f>IFERROR(__xludf.DUMMYFUNCTION("""COMPUTED_VALUE"""),310.0)</f>
        <v>310</v>
      </c>
      <c r="AO25" s="53">
        <f>IFERROR(__xludf.DUMMYFUNCTION("""COMPUTED_VALUE"""),14.0)</f>
        <v>14</v>
      </c>
      <c r="AP25" s="53">
        <f>IFERROR(__xludf.DUMMYFUNCTION("""COMPUTED_VALUE"""),1.0)</f>
        <v>1</v>
      </c>
      <c r="AQ25" s="53">
        <f>IFERROR(__xludf.DUMMYFUNCTION("""COMPUTED_VALUE"""),44.0)</f>
        <v>44</v>
      </c>
      <c r="AR25" s="53">
        <f>IFERROR(__xludf.DUMMYFUNCTION("""COMPUTED_VALUE"""),139.0)</f>
        <v>139</v>
      </c>
      <c r="AS25" s="53">
        <f>IFERROR(__xludf.DUMMYFUNCTION("""COMPUTED_VALUE"""),96.76724137931035)</f>
        <v>96.76724138</v>
      </c>
      <c r="AT25" s="48">
        <f>IFERROR(__xludf.DUMMYFUNCTION("""COMPUTED_VALUE"""),2.7559055118110236)</f>
        <v>2.755905512</v>
      </c>
      <c r="AU25" s="48">
        <f>IFERROR(__xludf.DUMMYFUNCTION("""COMPUTED_VALUE"""),0.19685039370078738)</f>
        <v>0.1968503937</v>
      </c>
      <c r="AV25" s="48">
        <f>IFERROR(__xludf.DUMMYFUNCTION("""COMPUTED_VALUE"""),8.661417322834646)</f>
        <v>8.661417323</v>
      </c>
      <c r="AW25" s="48">
        <f>IFERROR(__xludf.DUMMYFUNCTION("""COMPUTED_VALUE"""),27.36220472440945)</f>
        <v>27.36220472</v>
      </c>
      <c r="AX25" s="48">
        <f>IFERROR(__xludf.DUMMYFUNCTION("""COMPUTED_VALUE"""),88.58267716535433)</f>
        <v>88.58267717</v>
      </c>
      <c r="AY25" s="48">
        <f>IFERROR(__xludf.DUMMYFUNCTION("""COMPUTED_VALUE"""),4.0)</f>
        <v>4</v>
      </c>
      <c r="AZ25" s="48">
        <f>IFERROR(__xludf.DUMMYFUNCTION("""COMPUTED_VALUE"""),1.0)</f>
        <v>1</v>
      </c>
      <c r="BA25" s="48">
        <f>IFERROR(__xludf.DUMMYFUNCTION("""COMPUTED_VALUE"""),3.0)</f>
        <v>3</v>
      </c>
      <c r="BB25" s="48">
        <f>IFERROR(__xludf.DUMMYFUNCTION("""COMPUTED_VALUE"""),23.0)</f>
        <v>23</v>
      </c>
      <c r="BC25" s="48">
        <f>IFERROR(__xludf.DUMMYFUNCTION("""COMPUTED_VALUE"""),25.0)</f>
        <v>25</v>
      </c>
      <c r="BD25" s="48">
        <f>IFERROR(__xludf.DUMMYFUNCTION("""COMPUTED_VALUE"""),75.0)</f>
        <v>75</v>
      </c>
      <c r="BE25" s="48">
        <f>IFERROR(__xludf.DUMMYFUNCTION("""COMPUTED_VALUE"""),85.18518518518519)</f>
        <v>85.18518519</v>
      </c>
      <c r="BF25" s="52"/>
      <c r="BG25" s="52"/>
      <c r="BH25" s="52"/>
      <c r="BI25" s="52"/>
      <c r="BJ25" s="52"/>
      <c r="BK25" s="52"/>
      <c r="BL25" s="52"/>
      <c r="BM25" s="54" t="s">
        <v>96</v>
      </c>
    </row>
    <row r="26">
      <c r="A26" s="42" t="s">
        <v>249</v>
      </c>
      <c r="B26" s="43" t="s">
        <v>250</v>
      </c>
      <c r="C26" s="44" t="s">
        <v>251</v>
      </c>
      <c r="D26" s="42" t="s">
        <v>70</v>
      </c>
      <c r="E26" s="42" t="s">
        <v>71</v>
      </c>
      <c r="F26" s="46">
        <v>40787.0</v>
      </c>
      <c r="G26" s="47">
        <v>41019.0</v>
      </c>
      <c r="H26" s="48">
        <f t="shared" si="1"/>
        <v>7.631578947</v>
      </c>
      <c r="I26" s="60" t="s">
        <v>252</v>
      </c>
      <c r="J26" s="50" t="s">
        <v>253</v>
      </c>
      <c r="K26" s="52"/>
      <c r="L26" s="52"/>
      <c r="M26" s="51">
        <v>32509.0</v>
      </c>
      <c r="N26" s="52">
        <f t="shared" si="2"/>
        <v>32</v>
      </c>
      <c r="O26" s="42" t="s">
        <v>76</v>
      </c>
      <c r="P26" s="52"/>
      <c r="Q26" s="52"/>
      <c r="R26" s="52"/>
      <c r="S26" s="42" t="s">
        <v>79</v>
      </c>
      <c r="T26" s="45" t="s">
        <v>94</v>
      </c>
      <c r="U26" s="42" t="s">
        <v>81</v>
      </c>
      <c r="V26" s="45" t="s">
        <v>78</v>
      </c>
      <c r="W26" s="42" t="s">
        <v>79</v>
      </c>
      <c r="X26" s="42" t="s">
        <v>95</v>
      </c>
      <c r="Y26" s="45" t="s">
        <v>83</v>
      </c>
      <c r="Z26" s="42"/>
      <c r="AA26" s="50"/>
      <c r="AB26" s="52"/>
      <c r="AC26" s="53">
        <f t="shared" si="5"/>
        <v>58</v>
      </c>
      <c r="AD26" s="45">
        <v>0.0</v>
      </c>
      <c r="AE26" s="53">
        <f t="shared" si="11"/>
        <v>1</v>
      </c>
      <c r="AF26" s="53">
        <f t="shared" si="3"/>
        <v>57</v>
      </c>
      <c r="AG26" s="52">
        <f t="shared" si="12"/>
        <v>356.25</v>
      </c>
      <c r="AH26" s="48">
        <f>IFERROR(__xludf.DUMMYFUNCTION("importrange(C26,""Sheet2!a4:x4"")"),29.871794871794872)</f>
        <v>29.87179487</v>
      </c>
      <c r="AI26" s="48">
        <f>IFERROR(__xludf.DUMMYFUNCTION("""COMPUTED_VALUE"""),3.0)</f>
        <v>3</v>
      </c>
      <c r="AJ26" s="48">
        <f>IFERROR(__xludf.DUMMYFUNCTION("""COMPUTED_VALUE"""),58.0)</f>
        <v>58</v>
      </c>
      <c r="AK26" s="53" t="str">
        <f>IFERROR(__xludf.DUMMYFUNCTION("""COMPUTED_VALUE"""),"Attended")</f>
        <v>Attended</v>
      </c>
      <c r="AL26" s="53">
        <f>IFERROR(__xludf.DUMMYFUNCTION("""COMPUTED_VALUE"""),58.0)</f>
        <v>58</v>
      </c>
      <c r="AM26" s="53">
        <f>IFERROR(__xludf.DUMMYFUNCTION("""COMPUTED_VALUE"""),39.0)</f>
        <v>39</v>
      </c>
      <c r="AN26" s="53">
        <f>IFERROR(__xludf.DUMMYFUNCTION("""COMPUTED_VALUE"""),37.0)</f>
        <v>37</v>
      </c>
      <c r="AO26" s="53">
        <f>IFERROR(__xludf.DUMMYFUNCTION("""COMPUTED_VALUE"""),0.0)</f>
        <v>0</v>
      </c>
      <c r="AP26" s="53">
        <f>IFERROR(__xludf.DUMMYFUNCTION("""COMPUTED_VALUE"""),2.0)</f>
        <v>2</v>
      </c>
      <c r="AQ26" s="53">
        <f>IFERROR(__xludf.DUMMYFUNCTION("""COMPUTED_VALUE"""),0.0)</f>
        <v>0</v>
      </c>
      <c r="AR26" s="53">
        <f>IFERROR(__xludf.DUMMYFUNCTION("""COMPUTED_VALUE"""),19.0)</f>
        <v>19</v>
      </c>
      <c r="AS26" s="53">
        <f>IFERROR(__xludf.DUMMYFUNCTION("""COMPUTED_VALUE"""),96.55172413793103)</f>
        <v>96.55172414</v>
      </c>
      <c r="AT26" s="48">
        <f>IFERROR(__xludf.DUMMYFUNCTION("""COMPUTED_VALUE"""),0.0)</f>
        <v>0</v>
      </c>
      <c r="AU26" s="48">
        <f>IFERROR(__xludf.DUMMYFUNCTION("""COMPUTED_VALUE"""),3.4482758620689653)</f>
        <v>3.448275862</v>
      </c>
      <c r="AV26" s="48">
        <f>IFERROR(__xludf.DUMMYFUNCTION("""COMPUTED_VALUE"""),0.0)</f>
        <v>0</v>
      </c>
      <c r="AW26" s="48">
        <f>IFERROR(__xludf.DUMMYFUNCTION("""COMPUTED_VALUE"""),32.758620689655174)</f>
        <v>32.75862069</v>
      </c>
      <c r="AX26" s="48">
        <f>IFERROR(__xludf.DUMMYFUNCTION("""COMPUTED_VALUE"""),100.0)</f>
        <v>100</v>
      </c>
      <c r="AY26" s="48">
        <f>IFERROR(__xludf.DUMMYFUNCTION("""COMPUTED_VALUE"""),36.0)</f>
        <v>36</v>
      </c>
      <c r="AZ26" s="48">
        <f>IFERROR(__xludf.DUMMYFUNCTION("""COMPUTED_VALUE"""),36.0)</f>
        <v>36</v>
      </c>
      <c r="BA26" s="48">
        <f>IFERROR(__xludf.DUMMYFUNCTION("""COMPUTED_VALUE"""),0.0)</f>
        <v>0</v>
      </c>
      <c r="BB26" s="48">
        <f>IFERROR(__xludf.DUMMYFUNCTION("""COMPUTED_VALUE"""),0.0)</f>
        <v>0</v>
      </c>
      <c r="BC26" s="48">
        <f>IFERROR(__xludf.DUMMYFUNCTION("""COMPUTED_VALUE"""),100.0)</f>
        <v>100</v>
      </c>
      <c r="BD26" s="48">
        <f>IFERROR(__xludf.DUMMYFUNCTION("""COMPUTED_VALUE"""),0.0)</f>
        <v>0</v>
      </c>
      <c r="BE26" s="48">
        <f>IFERROR(__xludf.DUMMYFUNCTION("""COMPUTED_VALUE"""),0.0)</f>
        <v>0</v>
      </c>
      <c r="BF26" s="52"/>
      <c r="BG26" s="52"/>
      <c r="BH26" s="52"/>
      <c r="BI26" s="52"/>
      <c r="BJ26" s="52"/>
      <c r="BK26" s="52"/>
      <c r="BL26" s="52"/>
      <c r="BM26" s="54" t="s">
        <v>96</v>
      </c>
    </row>
    <row r="27">
      <c r="A27" s="42" t="s">
        <v>254</v>
      </c>
      <c r="B27" s="43" t="s">
        <v>255</v>
      </c>
      <c r="C27" s="44" t="s">
        <v>256</v>
      </c>
      <c r="D27" s="42" t="s">
        <v>70</v>
      </c>
      <c r="E27" s="42" t="s">
        <v>71</v>
      </c>
      <c r="F27" s="46">
        <v>40941.0</v>
      </c>
      <c r="G27" s="47">
        <v>41336.0</v>
      </c>
      <c r="H27" s="48">
        <f t="shared" si="1"/>
        <v>12.99342105</v>
      </c>
      <c r="I27" s="60" t="s">
        <v>257</v>
      </c>
      <c r="J27" s="62"/>
      <c r="K27" s="52"/>
      <c r="L27" s="52"/>
      <c r="M27" s="51">
        <v>29952.0</v>
      </c>
      <c r="N27" s="52">
        <f t="shared" si="2"/>
        <v>39</v>
      </c>
      <c r="O27" s="42" t="s">
        <v>76</v>
      </c>
      <c r="P27" s="52"/>
      <c r="Q27" s="52"/>
      <c r="R27" s="52"/>
      <c r="S27" s="42" t="s">
        <v>79</v>
      </c>
      <c r="T27" s="45" t="s">
        <v>94</v>
      </c>
      <c r="U27" s="42" t="s">
        <v>81</v>
      </c>
      <c r="V27" s="45" t="s">
        <v>78</v>
      </c>
      <c r="W27" s="42" t="s">
        <v>79</v>
      </c>
      <c r="X27" s="42" t="s">
        <v>95</v>
      </c>
      <c r="Y27" s="45" t="s">
        <v>83</v>
      </c>
      <c r="Z27" s="42"/>
      <c r="AA27" s="50"/>
      <c r="AB27" s="52"/>
      <c r="AC27" s="53">
        <f t="shared" si="5"/>
        <v>159</v>
      </c>
      <c r="AD27" s="45">
        <v>0.0</v>
      </c>
      <c r="AE27" s="53">
        <f t="shared" si="11"/>
        <v>5</v>
      </c>
      <c r="AF27" s="53">
        <f t="shared" si="3"/>
        <v>154</v>
      </c>
      <c r="AG27" s="52">
        <f t="shared" si="12"/>
        <v>962.5</v>
      </c>
      <c r="AH27" s="48">
        <f>IFERROR(__xludf.DUMMYFUNCTION("importrange(C27,""Sheet2!a4:x4"")"),30.23148148148148)</f>
        <v>30.23148148</v>
      </c>
      <c r="AI27" s="48">
        <f>IFERROR(__xludf.DUMMYFUNCTION("""COMPUTED_VALUE"""),9.0)</f>
        <v>9</v>
      </c>
      <c r="AJ27" s="48">
        <f>IFERROR(__xludf.DUMMYFUNCTION("""COMPUTED_VALUE"""),163.0)</f>
        <v>163</v>
      </c>
      <c r="AK27" s="53" t="str">
        <f>IFERROR(__xludf.DUMMYFUNCTION("""COMPUTED_VALUE"""),"Attended")</f>
        <v>Attended</v>
      </c>
      <c r="AL27" s="53">
        <f>IFERROR(__xludf.DUMMYFUNCTION("""COMPUTED_VALUE"""),163.0)</f>
        <v>163</v>
      </c>
      <c r="AM27" s="53">
        <f>IFERROR(__xludf.DUMMYFUNCTION("""COMPUTED_VALUE"""),108.0)</f>
        <v>108</v>
      </c>
      <c r="AN27" s="53">
        <f>IFERROR(__xludf.DUMMYFUNCTION("""COMPUTED_VALUE"""),106.0)</f>
        <v>106</v>
      </c>
      <c r="AO27" s="53">
        <f>IFERROR(__xludf.DUMMYFUNCTION("""COMPUTED_VALUE"""),4.0)</f>
        <v>4</v>
      </c>
      <c r="AP27" s="53">
        <f>IFERROR(__xludf.DUMMYFUNCTION("""COMPUTED_VALUE"""),2.0)</f>
        <v>2</v>
      </c>
      <c r="AQ27" s="53">
        <f>IFERROR(__xludf.DUMMYFUNCTION("""COMPUTED_VALUE"""),0.0)</f>
        <v>0</v>
      </c>
      <c r="AR27" s="53">
        <f>IFERROR(__xludf.DUMMYFUNCTION("""COMPUTED_VALUE"""),51.0)</f>
        <v>51</v>
      </c>
      <c r="AS27" s="53">
        <f>IFERROR(__xludf.DUMMYFUNCTION("""COMPUTED_VALUE"""),96.31901840490798)</f>
        <v>96.3190184</v>
      </c>
      <c r="AT27" s="48">
        <f>IFERROR(__xludf.DUMMYFUNCTION("""COMPUTED_VALUE"""),2.4539877300613497)</f>
        <v>2.45398773</v>
      </c>
      <c r="AU27" s="48">
        <f>IFERROR(__xludf.DUMMYFUNCTION("""COMPUTED_VALUE"""),1.2269938650306749)</f>
        <v>1.226993865</v>
      </c>
      <c r="AV27" s="48">
        <f>IFERROR(__xludf.DUMMYFUNCTION("""COMPUTED_VALUE"""),0.0)</f>
        <v>0</v>
      </c>
      <c r="AW27" s="48">
        <f>IFERROR(__xludf.DUMMYFUNCTION("""COMPUTED_VALUE"""),31.28834355828221)</f>
        <v>31.28834356</v>
      </c>
      <c r="AX27" s="48">
        <f>IFERROR(__xludf.DUMMYFUNCTION("""COMPUTED_VALUE"""),97.54601226993866)</f>
        <v>97.54601227</v>
      </c>
      <c r="AY27" s="48">
        <f>IFERROR(__xludf.DUMMYFUNCTION("""COMPUTED_VALUE"""),104.0)</f>
        <v>104</v>
      </c>
      <c r="AZ27" s="48">
        <f>IFERROR(__xludf.DUMMYFUNCTION("""COMPUTED_VALUE"""),102.0)</f>
        <v>102</v>
      </c>
      <c r="BA27" s="48">
        <f>IFERROR(__xludf.DUMMYFUNCTION("""COMPUTED_VALUE"""),2.0)</f>
        <v>2</v>
      </c>
      <c r="BB27" s="48">
        <f>IFERROR(__xludf.DUMMYFUNCTION("""COMPUTED_VALUE"""),4.0)</f>
        <v>4</v>
      </c>
      <c r="BC27" s="48">
        <f>IFERROR(__xludf.DUMMYFUNCTION("""COMPUTED_VALUE"""),98.07692307692307)</f>
        <v>98.07692308</v>
      </c>
      <c r="BD27" s="48">
        <f>IFERROR(__xludf.DUMMYFUNCTION("""COMPUTED_VALUE"""),1.9230769230769231)</f>
        <v>1.923076923</v>
      </c>
      <c r="BE27" s="48">
        <f>IFERROR(__xludf.DUMMYFUNCTION("""COMPUTED_VALUE"""),3.7037037037037033)</f>
        <v>3.703703704</v>
      </c>
      <c r="BF27" s="52"/>
      <c r="BG27" s="52"/>
      <c r="BH27" s="52"/>
      <c r="BI27" s="52"/>
      <c r="BJ27" s="52"/>
      <c r="BK27" s="52"/>
      <c r="BL27" s="52"/>
      <c r="BM27" s="54" t="s">
        <v>96</v>
      </c>
    </row>
    <row r="28">
      <c r="A28" s="42" t="s">
        <v>258</v>
      </c>
      <c r="B28" s="43" t="s">
        <v>259</v>
      </c>
      <c r="C28" s="44" t="s">
        <v>260</v>
      </c>
      <c r="D28" s="42" t="s">
        <v>70</v>
      </c>
      <c r="E28" s="42" t="s">
        <v>71</v>
      </c>
      <c r="F28" s="46">
        <v>40787.0</v>
      </c>
      <c r="G28" s="47">
        <v>40878.0</v>
      </c>
      <c r="H28" s="48">
        <f t="shared" si="1"/>
        <v>2.993421053</v>
      </c>
      <c r="I28" s="60" t="s">
        <v>261</v>
      </c>
      <c r="J28" s="50" t="s">
        <v>262</v>
      </c>
      <c r="K28" s="52"/>
      <c r="L28" s="52"/>
      <c r="M28" s="51">
        <v>29494.0</v>
      </c>
      <c r="N28" s="52">
        <f t="shared" si="2"/>
        <v>40</v>
      </c>
      <c r="O28" s="42" t="s">
        <v>104</v>
      </c>
      <c r="P28" s="52"/>
      <c r="Q28" s="52"/>
      <c r="R28" s="52"/>
      <c r="S28" s="42" t="s">
        <v>79</v>
      </c>
      <c r="T28" s="45" t="s">
        <v>94</v>
      </c>
      <c r="U28" s="42" t="s">
        <v>81</v>
      </c>
      <c r="V28" s="45" t="s">
        <v>78</v>
      </c>
      <c r="W28" s="42" t="s">
        <v>79</v>
      </c>
      <c r="X28" s="42" t="s">
        <v>95</v>
      </c>
      <c r="Y28" s="45" t="s">
        <v>83</v>
      </c>
      <c r="Z28" s="42"/>
      <c r="AA28" s="50"/>
      <c r="AB28" s="52"/>
      <c r="AC28" s="53">
        <f t="shared" si="5"/>
        <v>194</v>
      </c>
      <c r="AD28" s="45">
        <v>0.0</v>
      </c>
      <c r="AE28" s="53">
        <f t="shared" si="11"/>
        <v>41</v>
      </c>
      <c r="AF28" s="53">
        <f t="shared" si="3"/>
        <v>153</v>
      </c>
      <c r="AG28" s="52">
        <f t="shared" si="12"/>
        <v>956.25</v>
      </c>
      <c r="AH28" s="48">
        <f>IFERROR(__xludf.DUMMYFUNCTION("importrange(C28,""Sheet2!a4:x4"")"),28.44295302013423)</f>
        <v>28.44295302</v>
      </c>
      <c r="AI28" s="48">
        <f>IFERROR(__xludf.DUMMYFUNCTION("""COMPUTED_VALUE"""),18.0)</f>
        <v>18</v>
      </c>
      <c r="AJ28" s="48">
        <f>IFERROR(__xludf.DUMMYFUNCTION("""COMPUTED_VALUE"""),235.0)</f>
        <v>235</v>
      </c>
      <c r="AK28" s="53" t="str">
        <f>IFERROR(__xludf.DUMMYFUNCTION("""COMPUTED_VALUE"""),"Attended")</f>
        <v>Attended</v>
      </c>
      <c r="AL28" s="53">
        <f>IFERROR(__xludf.DUMMYFUNCTION("""COMPUTED_VALUE"""),235.0)</f>
        <v>235</v>
      </c>
      <c r="AM28" s="53">
        <f>IFERROR(__xludf.DUMMYFUNCTION("""COMPUTED_VALUE"""),148.0)</f>
        <v>148</v>
      </c>
      <c r="AN28" s="53">
        <f>IFERROR(__xludf.DUMMYFUNCTION("""COMPUTED_VALUE"""),142.0)</f>
        <v>142</v>
      </c>
      <c r="AO28" s="53">
        <f>IFERROR(__xludf.DUMMYFUNCTION("""COMPUTED_VALUE"""),38.0)</f>
        <v>38</v>
      </c>
      <c r="AP28" s="53">
        <f>IFERROR(__xludf.DUMMYFUNCTION("""COMPUTED_VALUE"""),6.0)</f>
        <v>6</v>
      </c>
      <c r="AQ28" s="53">
        <f>IFERROR(__xludf.DUMMYFUNCTION("""COMPUTED_VALUE"""),3.0)</f>
        <v>3</v>
      </c>
      <c r="AR28" s="53">
        <f>IFERROR(__xludf.DUMMYFUNCTION("""COMPUTED_VALUE"""),46.0)</f>
        <v>46</v>
      </c>
      <c r="AS28" s="53">
        <f>IFERROR(__xludf.DUMMYFUNCTION("""COMPUTED_VALUE"""),81.03448275862068)</f>
        <v>81.03448276</v>
      </c>
      <c r="AT28" s="48">
        <f>IFERROR(__xludf.DUMMYFUNCTION("""COMPUTED_VALUE"""),16.170212765957448)</f>
        <v>16.17021277</v>
      </c>
      <c r="AU28" s="48">
        <f>IFERROR(__xludf.DUMMYFUNCTION("""COMPUTED_VALUE"""),2.553191489361702)</f>
        <v>2.553191489</v>
      </c>
      <c r="AV28" s="48">
        <f>IFERROR(__xludf.DUMMYFUNCTION("""COMPUTED_VALUE"""),1.276595744680851)</f>
        <v>1.276595745</v>
      </c>
      <c r="AW28" s="48">
        <f>IFERROR(__xludf.DUMMYFUNCTION("""COMPUTED_VALUE"""),19.574468085106382)</f>
        <v>19.57446809</v>
      </c>
      <c r="AX28" s="48">
        <f>IFERROR(__xludf.DUMMYFUNCTION("""COMPUTED_VALUE"""),82.5531914893617)</f>
        <v>82.55319149</v>
      </c>
      <c r="AY28" s="48">
        <f>IFERROR(__xludf.DUMMYFUNCTION("""COMPUTED_VALUE"""),128.0)</f>
        <v>128</v>
      </c>
      <c r="AZ28" s="48">
        <f>IFERROR(__xludf.DUMMYFUNCTION("""COMPUTED_VALUE"""),121.0)</f>
        <v>121</v>
      </c>
      <c r="BA28" s="48">
        <f>IFERROR(__xludf.DUMMYFUNCTION("""COMPUTED_VALUE"""),7.0)</f>
        <v>7</v>
      </c>
      <c r="BB28" s="48">
        <f>IFERROR(__xludf.DUMMYFUNCTION("""COMPUTED_VALUE"""),0.0)</f>
        <v>0</v>
      </c>
      <c r="BC28" s="48">
        <f>IFERROR(__xludf.DUMMYFUNCTION("""COMPUTED_VALUE"""),94.53125)</f>
        <v>94.53125</v>
      </c>
      <c r="BD28" s="48">
        <f>IFERROR(__xludf.DUMMYFUNCTION("""COMPUTED_VALUE"""),5.46875)</f>
        <v>5.46875</v>
      </c>
      <c r="BE28" s="48">
        <f>IFERROR(__xludf.DUMMYFUNCTION("""COMPUTED_VALUE"""),0.0)</f>
        <v>0</v>
      </c>
      <c r="BF28" s="52"/>
      <c r="BG28" s="52"/>
      <c r="BH28" s="52"/>
      <c r="BI28" s="52"/>
      <c r="BJ28" s="52"/>
      <c r="BK28" s="52"/>
      <c r="BL28" s="52"/>
      <c r="BM28" s="54" t="s">
        <v>96</v>
      </c>
    </row>
    <row r="29">
      <c r="A29" s="42" t="s">
        <v>263</v>
      </c>
      <c r="B29" s="43" t="s">
        <v>264</v>
      </c>
      <c r="C29" s="44" t="s">
        <v>265</v>
      </c>
      <c r="D29" s="42" t="s">
        <v>70</v>
      </c>
      <c r="E29" s="42" t="s">
        <v>71</v>
      </c>
      <c r="F29" s="46">
        <v>40909.0</v>
      </c>
      <c r="G29" s="47">
        <v>41161.0</v>
      </c>
      <c r="H29" s="48">
        <f t="shared" si="1"/>
        <v>8.289473684</v>
      </c>
      <c r="I29" s="60" t="s">
        <v>266</v>
      </c>
      <c r="J29" s="50" t="s">
        <v>267</v>
      </c>
      <c r="K29" s="52"/>
      <c r="L29" s="52"/>
      <c r="M29" s="51">
        <v>32874.0</v>
      </c>
      <c r="N29" s="52">
        <f t="shared" si="2"/>
        <v>31</v>
      </c>
      <c r="O29" s="42" t="s">
        <v>104</v>
      </c>
      <c r="P29" s="52"/>
      <c r="Q29" s="52"/>
      <c r="R29" s="52"/>
      <c r="S29" s="42" t="s">
        <v>79</v>
      </c>
      <c r="T29" s="45" t="s">
        <v>94</v>
      </c>
      <c r="U29" s="42" t="s">
        <v>81</v>
      </c>
      <c r="V29" s="45" t="s">
        <v>78</v>
      </c>
      <c r="W29" s="42" t="s">
        <v>79</v>
      </c>
      <c r="X29" s="42" t="s">
        <v>95</v>
      </c>
      <c r="Y29" s="45" t="s">
        <v>83</v>
      </c>
      <c r="Z29" s="42"/>
      <c r="AA29" s="50"/>
      <c r="AB29" s="52"/>
      <c r="AC29" s="53">
        <f t="shared" si="5"/>
        <v>46</v>
      </c>
      <c r="AD29" s="45">
        <v>0.0</v>
      </c>
      <c r="AE29" s="53">
        <f t="shared" si="11"/>
        <v>1</v>
      </c>
      <c r="AF29" s="53">
        <f t="shared" si="3"/>
        <v>45</v>
      </c>
      <c r="AG29" s="52">
        <f t="shared" si="12"/>
        <v>281.25</v>
      </c>
      <c r="AH29" s="48">
        <f>IFERROR(__xludf.DUMMYFUNCTION("importrange(C29,""Sheet2!a4:x4"")"),27.692307692307693)</f>
        <v>27.69230769</v>
      </c>
      <c r="AI29" s="48">
        <f>IFERROR(__xludf.DUMMYFUNCTION("""COMPUTED_VALUE"""),1.0)</f>
        <v>1</v>
      </c>
      <c r="AJ29" s="48">
        <f>IFERROR(__xludf.DUMMYFUNCTION("""COMPUTED_VALUE"""),52.0)</f>
        <v>52</v>
      </c>
      <c r="AK29" s="53" t="str">
        <f>IFERROR(__xludf.DUMMYFUNCTION("""COMPUTED_VALUE"""),"Attended No Show")</f>
        <v>Attended No Show</v>
      </c>
      <c r="AL29" s="53">
        <f>IFERROR(__xludf.DUMMYFUNCTION("""COMPUTED_VALUE"""),52.0)</f>
        <v>52</v>
      </c>
      <c r="AM29" s="53">
        <f>IFERROR(__xludf.DUMMYFUNCTION("""COMPUTED_VALUE"""),39.0)</f>
        <v>39</v>
      </c>
      <c r="AN29" s="53">
        <f>IFERROR(__xludf.DUMMYFUNCTION("""COMPUTED_VALUE"""),39.0)</f>
        <v>39</v>
      </c>
      <c r="AO29" s="53">
        <f>IFERROR(__xludf.DUMMYFUNCTION("""COMPUTED_VALUE"""),1.0)</f>
        <v>1</v>
      </c>
      <c r="AP29" s="53">
        <f>IFERROR(__xludf.DUMMYFUNCTION("""COMPUTED_VALUE"""),0.0)</f>
        <v>0</v>
      </c>
      <c r="AQ29" s="53">
        <f>IFERROR(__xludf.DUMMYFUNCTION("""COMPUTED_VALUE"""),5.0)</f>
        <v>5</v>
      </c>
      <c r="AR29" s="53">
        <f>IFERROR(__xludf.DUMMYFUNCTION("""COMPUTED_VALUE"""),7.0)</f>
        <v>7</v>
      </c>
      <c r="AS29" s="53">
        <f>IFERROR(__xludf.DUMMYFUNCTION("""COMPUTED_VALUE"""),97.87234042553192)</f>
        <v>97.87234043</v>
      </c>
      <c r="AT29" s="48">
        <f>IFERROR(__xludf.DUMMYFUNCTION("""COMPUTED_VALUE"""),1.9230769230769231)</f>
        <v>1.923076923</v>
      </c>
      <c r="AU29" s="48">
        <f>IFERROR(__xludf.DUMMYFUNCTION("""COMPUTED_VALUE"""),0.0)</f>
        <v>0</v>
      </c>
      <c r="AV29" s="48">
        <f>IFERROR(__xludf.DUMMYFUNCTION("""COMPUTED_VALUE"""),9.615384615384617)</f>
        <v>9.615384615</v>
      </c>
      <c r="AW29" s="48">
        <f>IFERROR(__xludf.DUMMYFUNCTION("""COMPUTED_VALUE"""),13.461538461538462)</f>
        <v>13.46153846</v>
      </c>
      <c r="AX29" s="48">
        <f>IFERROR(__xludf.DUMMYFUNCTION("""COMPUTED_VALUE"""),88.46153846153845)</f>
        <v>88.46153846</v>
      </c>
      <c r="AY29" s="48">
        <f>IFERROR(__xludf.DUMMYFUNCTION("""COMPUTED_VALUE"""),38.0)</f>
        <v>38</v>
      </c>
      <c r="AZ29" s="48">
        <f>IFERROR(__xludf.DUMMYFUNCTION("""COMPUTED_VALUE"""),35.0)</f>
        <v>35</v>
      </c>
      <c r="BA29" s="48">
        <f>IFERROR(__xludf.DUMMYFUNCTION("""COMPUTED_VALUE"""),3.0)</f>
        <v>3</v>
      </c>
      <c r="BB29" s="48">
        <f>IFERROR(__xludf.DUMMYFUNCTION("""COMPUTED_VALUE"""),0.0)</f>
        <v>0</v>
      </c>
      <c r="BC29" s="48">
        <f>IFERROR(__xludf.DUMMYFUNCTION("""COMPUTED_VALUE"""),92.10526315789474)</f>
        <v>92.10526316</v>
      </c>
      <c r="BD29" s="48">
        <f>IFERROR(__xludf.DUMMYFUNCTION("""COMPUTED_VALUE"""),7.894736842105263)</f>
        <v>7.894736842</v>
      </c>
      <c r="BE29" s="48">
        <f>IFERROR(__xludf.DUMMYFUNCTION("""COMPUTED_VALUE"""),0.0)</f>
        <v>0</v>
      </c>
      <c r="BF29" s="52"/>
      <c r="BG29" s="52"/>
      <c r="BH29" s="52"/>
      <c r="BI29" s="52"/>
      <c r="BJ29" s="52"/>
      <c r="BK29" s="52"/>
      <c r="BL29" s="52"/>
      <c r="BM29" s="54" t="s">
        <v>96</v>
      </c>
    </row>
    <row r="30">
      <c r="A30" s="42" t="s">
        <v>268</v>
      </c>
      <c r="B30" s="43" t="s">
        <v>269</v>
      </c>
      <c r="C30" s="44" t="s">
        <v>270</v>
      </c>
      <c r="D30" s="42" t="s">
        <v>70</v>
      </c>
      <c r="E30" s="42" t="s">
        <v>71</v>
      </c>
      <c r="F30" s="46">
        <v>40668.0</v>
      </c>
      <c r="G30" s="47">
        <v>41399.0</v>
      </c>
      <c r="H30" s="48">
        <f t="shared" si="1"/>
        <v>24.04605263</v>
      </c>
      <c r="I30" s="60" t="s">
        <v>271</v>
      </c>
      <c r="J30" s="50" t="s">
        <v>272</v>
      </c>
      <c r="K30" s="52"/>
      <c r="L30" s="52"/>
      <c r="M30" s="51">
        <v>22282.0</v>
      </c>
      <c r="N30" s="52">
        <f t="shared" si="2"/>
        <v>60</v>
      </c>
      <c r="O30" s="42" t="s">
        <v>76</v>
      </c>
      <c r="P30" s="52"/>
      <c r="Q30" s="52"/>
      <c r="R30" s="52"/>
      <c r="S30" s="42" t="s">
        <v>79</v>
      </c>
      <c r="T30" s="45" t="s">
        <v>94</v>
      </c>
      <c r="U30" s="42" t="s">
        <v>81</v>
      </c>
      <c r="V30" s="45" t="s">
        <v>78</v>
      </c>
      <c r="W30" s="42" t="s">
        <v>79</v>
      </c>
      <c r="X30" s="42" t="s">
        <v>95</v>
      </c>
      <c r="Y30" s="45" t="s">
        <v>83</v>
      </c>
      <c r="Z30" s="42"/>
      <c r="AA30" s="50"/>
      <c r="AB30" s="52"/>
      <c r="AC30" s="53">
        <f t="shared" si="5"/>
        <v>416</v>
      </c>
      <c r="AD30" s="45">
        <v>0.0</v>
      </c>
      <c r="AE30" s="53">
        <f t="shared" si="11"/>
        <v>16</v>
      </c>
      <c r="AF30" s="53">
        <f t="shared" si="3"/>
        <v>400</v>
      </c>
      <c r="AG30" s="52">
        <f t="shared" si="12"/>
        <v>2500</v>
      </c>
      <c r="AH30" s="48">
        <f>IFERROR(__xludf.DUMMYFUNCTION("importrange(C30,""Sheet2!a4:x4"")"),42.25806451612903)</f>
        <v>42.25806452</v>
      </c>
      <c r="AI30" s="48">
        <f>IFERROR(__xludf.DUMMYFUNCTION("""COMPUTED_VALUE"""),16.0)</f>
        <v>16</v>
      </c>
      <c r="AJ30" s="48">
        <f>IFERROR(__xludf.DUMMYFUNCTION("""COMPUTED_VALUE"""),432.0)</f>
        <v>432</v>
      </c>
      <c r="AK30" s="53" t="str">
        <f>IFERROR(__xludf.DUMMYFUNCTION("""COMPUTED_VALUE"""),"Attended No Show")</f>
        <v>Attended No Show</v>
      </c>
      <c r="AL30" s="53">
        <f>IFERROR(__xludf.DUMMYFUNCTION("""COMPUTED_VALUE"""),432.0)</f>
        <v>432</v>
      </c>
      <c r="AM30" s="53">
        <f>IFERROR(__xludf.DUMMYFUNCTION("""COMPUTED_VALUE"""),312.0)</f>
        <v>312</v>
      </c>
      <c r="AN30" s="53">
        <f>IFERROR(__xludf.DUMMYFUNCTION("""COMPUTED_VALUE"""),312.0)</f>
        <v>312</v>
      </c>
      <c r="AO30" s="53">
        <f>IFERROR(__xludf.DUMMYFUNCTION("""COMPUTED_VALUE"""),16.0)</f>
        <v>16</v>
      </c>
      <c r="AP30" s="53">
        <f>IFERROR(__xludf.DUMMYFUNCTION("""COMPUTED_VALUE"""),0.0)</f>
        <v>0</v>
      </c>
      <c r="AQ30" s="53">
        <f>IFERROR(__xludf.DUMMYFUNCTION("""COMPUTED_VALUE"""),0.0)</f>
        <v>0</v>
      </c>
      <c r="AR30" s="53">
        <f>IFERROR(__xludf.DUMMYFUNCTION("""COMPUTED_VALUE"""),104.0)</f>
        <v>104</v>
      </c>
      <c r="AS30" s="53">
        <f>IFERROR(__xludf.DUMMYFUNCTION("""COMPUTED_VALUE"""),96.29629629629629)</f>
        <v>96.2962963</v>
      </c>
      <c r="AT30" s="48">
        <f>IFERROR(__xludf.DUMMYFUNCTION("""COMPUTED_VALUE"""),3.7037037037037033)</f>
        <v>3.703703704</v>
      </c>
      <c r="AU30" s="48">
        <f>IFERROR(__xludf.DUMMYFUNCTION("""COMPUTED_VALUE"""),0.0)</f>
        <v>0</v>
      </c>
      <c r="AV30" s="48">
        <f>IFERROR(__xludf.DUMMYFUNCTION("""COMPUTED_VALUE"""),0.0)</f>
        <v>0</v>
      </c>
      <c r="AW30" s="48">
        <f>IFERROR(__xludf.DUMMYFUNCTION("""COMPUTED_VALUE"""),24.074074074074073)</f>
        <v>24.07407407</v>
      </c>
      <c r="AX30" s="48">
        <f>IFERROR(__xludf.DUMMYFUNCTION("""COMPUTED_VALUE"""),96.29629629629629)</f>
        <v>96.2962963</v>
      </c>
      <c r="AY30" s="48">
        <f>IFERROR(__xludf.DUMMYFUNCTION("""COMPUTED_VALUE"""),300.0)</f>
        <v>300</v>
      </c>
      <c r="AZ30" s="48">
        <f>IFERROR(__xludf.DUMMYFUNCTION("""COMPUTED_VALUE"""),299.0)</f>
        <v>299</v>
      </c>
      <c r="BA30" s="48">
        <f>IFERROR(__xludf.DUMMYFUNCTION("""COMPUTED_VALUE"""),1.0)</f>
        <v>1</v>
      </c>
      <c r="BB30" s="48">
        <f>IFERROR(__xludf.DUMMYFUNCTION("""COMPUTED_VALUE"""),0.0)</f>
        <v>0</v>
      </c>
      <c r="BC30" s="48">
        <f>IFERROR(__xludf.DUMMYFUNCTION("""COMPUTED_VALUE"""),99.66666666666667)</f>
        <v>99.66666667</v>
      </c>
      <c r="BD30" s="48">
        <f>IFERROR(__xludf.DUMMYFUNCTION("""COMPUTED_VALUE"""),0.33333333333333337)</f>
        <v>0.3333333333</v>
      </c>
      <c r="BE30" s="48">
        <f>IFERROR(__xludf.DUMMYFUNCTION("""COMPUTED_VALUE"""),0.0)</f>
        <v>0</v>
      </c>
      <c r="BF30" s="52"/>
      <c r="BG30" s="52"/>
      <c r="BH30" s="52"/>
      <c r="BI30" s="52"/>
      <c r="BJ30" s="52"/>
      <c r="BK30" s="52"/>
      <c r="BL30" s="52"/>
      <c r="BM30" s="54" t="s">
        <v>96</v>
      </c>
    </row>
    <row r="31">
      <c r="A31" s="42" t="s">
        <v>273</v>
      </c>
      <c r="B31" s="43" t="s">
        <v>274</v>
      </c>
      <c r="C31" s="44" t="s">
        <v>275</v>
      </c>
      <c r="D31" s="42" t="s">
        <v>70</v>
      </c>
      <c r="E31" s="42" t="s">
        <v>71</v>
      </c>
      <c r="F31" s="46">
        <v>41192.0</v>
      </c>
      <c r="G31" s="47">
        <v>41368.0</v>
      </c>
      <c r="H31" s="48">
        <f t="shared" si="1"/>
        <v>5.789473684</v>
      </c>
      <c r="I31" s="60" t="s">
        <v>276</v>
      </c>
      <c r="J31" s="50" t="s">
        <v>277</v>
      </c>
      <c r="K31" s="52"/>
      <c r="L31" s="52"/>
      <c r="M31" s="51">
        <v>31049.0</v>
      </c>
      <c r="N31" s="52">
        <f t="shared" si="2"/>
        <v>36</v>
      </c>
      <c r="O31" s="42" t="s">
        <v>76</v>
      </c>
      <c r="P31" s="52"/>
      <c r="Q31" s="52"/>
      <c r="R31" s="52"/>
      <c r="S31" s="42" t="s">
        <v>79</v>
      </c>
      <c r="T31" s="45" t="s">
        <v>94</v>
      </c>
      <c r="U31" s="42" t="s">
        <v>81</v>
      </c>
      <c r="V31" s="45" t="s">
        <v>78</v>
      </c>
      <c r="W31" s="42" t="s">
        <v>79</v>
      </c>
      <c r="X31" s="42" t="s">
        <v>95</v>
      </c>
      <c r="Y31" s="45" t="s">
        <v>83</v>
      </c>
      <c r="Z31" s="42"/>
      <c r="AA31" s="50"/>
      <c r="AB31" s="52"/>
      <c r="AC31" s="53">
        <f t="shared" si="5"/>
        <v>45</v>
      </c>
      <c r="AD31" s="45">
        <v>0.0</v>
      </c>
      <c r="AE31" s="53">
        <f t="shared" si="11"/>
        <v>8</v>
      </c>
      <c r="AF31" s="53">
        <f t="shared" si="3"/>
        <v>37</v>
      </c>
      <c r="AG31" s="52">
        <f t="shared" si="12"/>
        <v>231.25</v>
      </c>
      <c r="AH31" s="48">
        <f>IFERROR(__xludf.DUMMYFUNCTION("importrange(C31,""Sheet2!a4:x4"")"),25.195121951219512)</f>
        <v>25.19512195</v>
      </c>
      <c r="AI31" s="48">
        <f>IFERROR(__xludf.DUMMYFUNCTION("""COMPUTED_VALUE"""),2.0)</f>
        <v>2</v>
      </c>
      <c r="AJ31" s="48">
        <f>IFERROR(__xludf.DUMMYFUNCTION("""COMPUTED_VALUE"""),53.0)</f>
        <v>53</v>
      </c>
      <c r="AK31" s="53" t="str">
        <f>IFERROR(__xludf.DUMMYFUNCTION("""COMPUTED_VALUE"""),"Attended No Show")</f>
        <v>Attended No Show</v>
      </c>
      <c r="AL31" s="53">
        <f>IFERROR(__xludf.DUMMYFUNCTION("""COMPUTED_VALUE"""),53.0)</f>
        <v>53</v>
      </c>
      <c r="AM31" s="53">
        <f>IFERROR(__xludf.DUMMYFUNCTION("""COMPUTED_VALUE"""),41.0)</f>
        <v>41</v>
      </c>
      <c r="AN31" s="53">
        <f>IFERROR(__xludf.DUMMYFUNCTION("""COMPUTED_VALUE"""),41.0)</f>
        <v>41</v>
      </c>
      <c r="AO31" s="53">
        <f>IFERROR(__xludf.DUMMYFUNCTION("""COMPUTED_VALUE"""),8.0)</f>
        <v>8</v>
      </c>
      <c r="AP31" s="53">
        <f>IFERROR(__xludf.DUMMYFUNCTION("""COMPUTED_VALUE"""),0.0)</f>
        <v>0</v>
      </c>
      <c r="AQ31" s="53">
        <f>IFERROR(__xludf.DUMMYFUNCTION("""COMPUTED_VALUE"""),0.0)</f>
        <v>0</v>
      </c>
      <c r="AR31" s="53">
        <f>IFERROR(__xludf.DUMMYFUNCTION("""COMPUTED_VALUE"""),4.0)</f>
        <v>4</v>
      </c>
      <c r="AS31" s="53">
        <f>IFERROR(__xludf.DUMMYFUNCTION("""COMPUTED_VALUE"""),84.90566037735849)</f>
        <v>84.90566038</v>
      </c>
      <c r="AT31" s="48">
        <f>IFERROR(__xludf.DUMMYFUNCTION("""COMPUTED_VALUE"""),15.09433962264151)</f>
        <v>15.09433962</v>
      </c>
      <c r="AU31" s="48">
        <f>IFERROR(__xludf.DUMMYFUNCTION("""COMPUTED_VALUE"""),0.0)</f>
        <v>0</v>
      </c>
      <c r="AV31" s="48">
        <f>IFERROR(__xludf.DUMMYFUNCTION("""COMPUTED_VALUE"""),0.0)</f>
        <v>0</v>
      </c>
      <c r="AW31" s="48">
        <f>IFERROR(__xludf.DUMMYFUNCTION("""COMPUTED_VALUE"""),7.547169811320755)</f>
        <v>7.547169811</v>
      </c>
      <c r="AX31" s="48">
        <f>IFERROR(__xludf.DUMMYFUNCTION("""COMPUTED_VALUE"""),84.90566037735849)</f>
        <v>84.90566038</v>
      </c>
      <c r="AY31" s="48">
        <f>IFERROR(__xludf.DUMMYFUNCTION("""COMPUTED_VALUE"""),40.0)</f>
        <v>40</v>
      </c>
      <c r="AZ31" s="48">
        <f>IFERROR(__xludf.DUMMYFUNCTION("""COMPUTED_VALUE"""),40.0)</f>
        <v>40</v>
      </c>
      <c r="BA31" s="48">
        <f>IFERROR(__xludf.DUMMYFUNCTION("""COMPUTED_VALUE"""),0.0)</f>
        <v>0</v>
      </c>
      <c r="BB31" s="48">
        <f>IFERROR(__xludf.DUMMYFUNCTION("""COMPUTED_VALUE"""),0.0)</f>
        <v>0</v>
      </c>
      <c r="BC31" s="48">
        <f>IFERROR(__xludf.DUMMYFUNCTION("""COMPUTED_VALUE"""),100.0)</f>
        <v>100</v>
      </c>
      <c r="BD31" s="48">
        <f>IFERROR(__xludf.DUMMYFUNCTION("""COMPUTED_VALUE"""),0.0)</f>
        <v>0</v>
      </c>
      <c r="BE31" s="48">
        <f>IFERROR(__xludf.DUMMYFUNCTION("""COMPUTED_VALUE"""),0.0)</f>
        <v>0</v>
      </c>
      <c r="BF31" s="52"/>
      <c r="BG31" s="52"/>
      <c r="BH31" s="52"/>
      <c r="BI31" s="52"/>
      <c r="BJ31" s="52"/>
      <c r="BK31" s="52"/>
      <c r="BL31" s="52"/>
      <c r="BM31" s="54" t="s">
        <v>96</v>
      </c>
    </row>
    <row r="32">
      <c r="A32" s="42" t="s">
        <v>278</v>
      </c>
      <c r="B32" s="43" t="s">
        <v>279</v>
      </c>
      <c r="C32" s="48"/>
      <c r="D32" s="42" t="s">
        <v>70</v>
      </c>
      <c r="E32" s="42" t="s">
        <v>71</v>
      </c>
      <c r="F32" s="46">
        <v>41097.0</v>
      </c>
      <c r="G32" s="47">
        <v>41399.0</v>
      </c>
      <c r="H32" s="48">
        <f t="shared" si="1"/>
        <v>9.934210526</v>
      </c>
      <c r="I32" s="60" t="s">
        <v>280</v>
      </c>
      <c r="J32" s="50" t="s">
        <v>281</v>
      </c>
      <c r="K32" s="52"/>
      <c r="L32" s="52"/>
      <c r="M32" s="51">
        <v>30682.0</v>
      </c>
      <c r="N32" s="52">
        <f t="shared" si="2"/>
        <v>37</v>
      </c>
      <c r="O32" s="42" t="s">
        <v>76</v>
      </c>
      <c r="P32" s="52"/>
      <c r="Q32" s="52"/>
      <c r="R32" s="52"/>
      <c r="S32" s="42" t="s">
        <v>79</v>
      </c>
      <c r="T32" s="45" t="s">
        <v>94</v>
      </c>
      <c r="U32" s="42" t="s">
        <v>81</v>
      </c>
      <c r="V32" s="45" t="s">
        <v>78</v>
      </c>
      <c r="W32" s="42" t="s">
        <v>79</v>
      </c>
      <c r="X32" s="42" t="s">
        <v>82</v>
      </c>
      <c r="Y32" s="45" t="s">
        <v>83</v>
      </c>
      <c r="Z32" s="42"/>
      <c r="AA32" s="50"/>
      <c r="AB32" s="52"/>
      <c r="AC32" s="53">
        <f t="shared" si="5"/>
        <v>0</v>
      </c>
      <c r="AD32" s="52"/>
      <c r="AE32" s="53">
        <f t="shared" si="11"/>
        <v>0</v>
      </c>
      <c r="AF32" s="53">
        <f t="shared" si="3"/>
        <v>0</v>
      </c>
      <c r="AG32" s="52">
        <f t="shared" si="12"/>
        <v>0</v>
      </c>
      <c r="AH32" s="48" t="str">
        <f>IFERROR(__xludf.DUMMYFUNCTION("importrange(C32,""Sheet2!a4:x4"")"),"#N/A")</f>
        <v>#N/A</v>
      </c>
      <c r="AI32" s="48"/>
      <c r="AJ32" s="48"/>
      <c r="AK32" s="53"/>
      <c r="AL32" s="53"/>
      <c r="AM32" s="53"/>
      <c r="AN32" s="53"/>
      <c r="AO32" s="53"/>
      <c r="AP32" s="53"/>
      <c r="AQ32" s="53"/>
      <c r="AR32" s="53"/>
      <c r="AS32" s="53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52"/>
      <c r="BG32" s="52"/>
      <c r="BH32" s="52"/>
      <c r="BI32" s="52"/>
      <c r="BJ32" s="52"/>
      <c r="BK32" s="52"/>
      <c r="BL32" s="52"/>
      <c r="BM32" s="54" t="s">
        <v>96</v>
      </c>
    </row>
    <row r="33">
      <c r="A33" s="42" t="s">
        <v>282</v>
      </c>
      <c r="B33" s="55" t="s">
        <v>283</v>
      </c>
      <c r="C33" s="48"/>
      <c r="D33" s="42" t="s">
        <v>70</v>
      </c>
      <c r="E33" s="42" t="s">
        <v>71</v>
      </c>
      <c r="F33" s="46">
        <v>40909.0</v>
      </c>
      <c r="G33" s="47">
        <v>41255.0</v>
      </c>
      <c r="H33" s="48">
        <f t="shared" si="1"/>
        <v>11.38157895</v>
      </c>
      <c r="I33" s="60" t="s">
        <v>284</v>
      </c>
      <c r="J33" s="50" t="s">
        <v>285</v>
      </c>
      <c r="K33" s="52"/>
      <c r="L33" s="52"/>
      <c r="M33" s="51">
        <v>31413.0</v>
      </c>
      <c r="N33" s="52">
        <f t="shared" si="2"/>
        <v>35</v>
      </c>
      <c r="O33" s="42" t="s">
        <v>76</v>
      </c>
      <c r="P33" s="52"/>
      <c r="Q33" s="52"/>
      <c r="R33" s="52"/>
      <c r="S33" s="42" t="s">
        <v>79</v>
      </c>
      <c r="T33" s="45" t="s">
        <v>94</v>
      </c>
      <c r="U33" s="42" t="s">
        <v>81</v>
      </c>
      <c r="V33" s="45" t="s">
        <v>78</v>
      </c>
      <c r="W33" s="42" t="s">
        <v>79</v>
      </c>
      <c r="X33" s="42" t="s">
        <v>95</v>
      </c>
      <c r="Y33" s="45" t="s">
        <v>83</v>
      </c>
      <c r="Z33" s="42"/>
      <c r="AA33" s="50"/>
      <c r="AB33" s="52"/>
      <c r="AC33" s="53">
        <f t="shared" si="5"/>
        <v>0</v>
      </c>
      <c r="AD33" s="45">
        <v>0.0</v>
      </c>
      <c r="AE33" s="53">
        <f t="shared" si="11"/>
        <v>0</v>
      </c>
      <c r="AF33" s="53">
        <f t="shared" si="3"/>
        <v>0</v>
      </c>
      <c r="AG33" s="52">
        <f t="shared" si="12"/>
        <v>0</v>
      </c>
      <c r="AH33" s="48" t="str">
        <f>IFERROR(__xludf.DUMMYFUNCTION("importrange(C33,""Sheet2!a4:x4"")"),"#N/A")</f>
        <v>#N/A</v>
      </c>
      <c r="AI33" s="48"/>
      <c r="AJ33" s="48"/>
      <c r="AK33" s="53"/>
      <c r="AL33" s="53"/>
      <c r="AM33" s="53"/>
      <c r="AN33" s="53"/>
      <c r="AO33" s="53"/>
      <c r="AP33" s="53"/>
      <c r="AQ33" s="53"/>
      <c r="AR33" s="53"/>
      <c r="AS33" s="53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52"/>
      <c r="BG33" s="52"/>
      <c r="BH33" s="52"/>
      <c r="BI33" s="52"/>
      <c r="BJ33" s="52"/>
      <c r="BK33" s="52"/>
      <c r="BL33" s="52"/>
      <c r="BM33" s="54" t="s">
        <v>96</v>
      </c>
    </row>
    <row r="34">
      <c r="A34" s="42" t="s">
        <v>286</v>
      </c>
      <c r="B34" s="43" t="s">
        <v>287</v>
      </c>
      <c r="C34" s="48"/>
      <c r="D34" s="42" t="s">
        <v>70</v>
      </c>
      <c r="E34" s="42" t="s">
        <v>71</v>
      </c>
      <c r="F34" s="46">
        <v>40826.0</v>
      </c>
      <c r="G34" s="47">
        <v>41034.0</v>
      </c>
      <c r="H34" s="48">
        <f t="shared" si="1"/>
        <v>6.842105263</v>
      </c>
      <c r="I34" s="60" t="s">
        <v>288</v>
      </c>
      <c r="J34" s="50" t="s">
        <v>289</v>
      </c>
      <c r="K34" s="52"/>
      <c r="L34" s="52"/>
      <c r="M34" s="51">
        <v>25569.0</v>
      </c>
      <c r="N34" s="52">
        <f t="shared" si="2"/>
        <v>51</v>
      </c>
      <c r="O34" s="42" t="s">
        <v>104</v>
      </c>
      <c r="P34" s="52"/>
      <c r="Q34" s="52"/>
      <c r="R34" s="52"/>
      <c r="S34" s="42" t="s">
        <v>79</v>
      </c>
      <c r="T34" s="45" t="s">
        <v>94</v>
      </c>
      <c r="U34" s="42" t="s">
        <v>81</v>
      </c>
      <c r="V34" s="45" t="s">
        <v>78</v>
      </c>
      <c r="W34" s="42" t="s">
        <v>79</v>
      </c>
      <c r="X34" s="42" t="s">
        <v>95</v>
      </c>
      <c r="Y34" s="45" t="s">
        <v>83</v>
      </c>
      <c r="Z34" s="42"/>
      <c r="AA34" s="50"/>
      <c r="AB34" s="52"/>
      <c r="AC34" s="53">
        <f t="shared" si="5"/>
        <v>0</v>
      </c>
      <c r="AD34" s="45">
        <v>0.0</v>
      </c>
      <c r="AE34" s="53">
        <f t="shared" si="11"/>
        <v>0</v>
      </c>
      <c r="AF34" s="53">
        <f t="shared" si="3"/>
        <v>0</v>
      </c>
      <c r="AG34" s="52">
        <f t="shared" si="12"/>
        <v>0</v>
      </c>
      <c r="AH34" s="48" t="str">
        <f>IFERROR(__xludf.DUMMYFUNCTION("importrange(C34,""Sheet2!a4:x4"")"),"#N/A")</f>
        <v>#N/A</v>
      </c>
      <c r="AI34" s="48"/>
      <c r="AJ34" s="48"/>
      <c r="AK34" s="53"/>
      <c r="AL34" s="53"/>
      <c r="AM34" s="53"/>
      <c r="AN34" s="53"/>
      <c r="AO34" s="53"/>
      <c r="AP34" s="53"/>
      <c r="AQ34" s="53"/>
      <c r="AR34" s="53"/>
      <c r="AS34" s="53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52"/>
      <c r="BG34" s="52"/>
      <c r="BH34" s="52"/>
      <c r="BI34" s="52"/>
      <c r="BJ34" s="52"/>
      <c r="BK34" s="52"/>
      <c r="BL34" s="52"/>
      <c r="BM34" s="54" t="s">
        <v>96</v>
      </c>
    </row>
    <row r="35">
      <c r="A35" s="42" t="s">
        <v>290</v>
      </c>
      <c r="B35" s="43" t="s">
        <v>291</v>
      </c>
      <c r="C35" s="48"/>
      <c r="D35" s="42" t="s">
        <v>70</v>
      </c>
      <c r="E35" s="42" t="s">
        <v>71</v>
      </c>
      <c r="F35" s="46">
        <v>40826.0</v>
      </c>
      <c r="G35" s="47">
        <v>40889.0</v>
      </c>
      <c r="H35" s="48">
        <f t="shared" si="1"/>
        <v>2.072368421</v>
      </c>
      <c r="I35" s="60" t="s">
        <v>292</v>
      </c>
      <c r="J35" s="62"/>
      <c r="K35" s="52"/>
      <c r="L35" s="52"/>
      <c r="M35" s="51">
        <v>31413.0</v>
      </c>
      <c r="N35" s="52">
        <f t="shared" si="2"/>
        <v>35</v>
      </c>
      <c r="O35" s="42" t="s">
        <v>76</v>
      </c>
      <c r="P35" s="52"/>
      <c r="Q35" s="52"/>
      <c r="R35" s="52"/>
      <c r="S35" s="42" t="s">
        <v>79</v>
      </c>
      <c r="T35" s="45" t="s">
        <v>94</v>
      </c>
      <c r="U35" s="42" t="s">
        <v>81</v>
      </c>
      <c r="V35" s="45" t="s">
        <v>78</v>
      </c>
      <c r="W35" s="42" t="s">
        <v>79</v>
      </c>
      <c r="X35" s="42" t="s">
        <v>95</v>
      </c>
      <c r="Y35" s="45" t="s">
        <v>83</v>
      </c>
      <c r="Z35" s="42"/>
      <c r="AA35" s="50"/>
      <c r="AB35" s="52"/>
      <c r="AC35" s="53">
        <f t="shared" si="5"/>
        <v>0</v>
      </c>
      <c r="AD35" s="45">
        <v>0.0</v>
      </c>
      <c r="AE35" s="53">
        <f t="shared" si="11"/>
        <v>0</v>
      </c>
      <c r="AF35" s="53">
        <f t="shared" si="3"/>
        <v>0</v>
      </c>
      <c r="AG35" s="52">
        <f t="shared" si="12"/>
        <v>0</v>
      </c>
      <c r="AH35" s="48" t="str">
        <f>IFERROR(__xludf.DUMMYFUNCTION("importrange(C35,""Sheet2!a4:x4"")"),"#N/A")</f>
        <v>#N/A</v>
      </c>
      <c r="AI35" s="48"/>
      <c r="AJ35" s="48"/>
      <c r="AK35" s="53"/>
      <c r="AL35" s="53"/>
      <c r="AM35" s="53"/>
      <c r="AN35" s="53"/>
      <c r="AO35" s="53"/>
      <c r="AP35" s="53"/>
      <c r="AQ35" s="53"/>
      <c r="AR35" s="53"/>
      <c r="AS35" s="53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52"/>
      <c r="BG35" s="52"/>
      <c r="BH35" s="52"/>
      <c r="BI35" s="52"/>
      <c r="BJ35" s="52"/>
      <c r="BK35" s="52"/>
      <c r="BL35" s="52"/>
      <c r="BM35" s="54" t="s">
        <v>96</v>
      </c>
    </row>
    <row r="36">
      <c r="A36" s="42" t="s">
        <v>293</v>
      </c>
      <c r="B36" s="43" t="s">
        <v>294</v>
      </c>
      <c r="C36" s="48"/>
      <c r="D36" s="42" t="s">
        <v>70</v>
      </c>
      <c r="E36" s="42" t="s">
        <v>71</v>
      </c>
      <c r="F36" s="46">
        <v>40941.0</v>
      </c>
      <c r="G36" s="47">
        <v>41066.0</v>
      </c>
      <c r="H36" s="48">
        <f t="shared" si="1"/>
        <v>4.111842105</v>
      </c>
      <c r="I36" s="60" t="s">
        <v>295</v>
      </c>
      <c r="J36" s="50" t="s">
        <v>296</v>
      </c>
      <c r="K36" s="52"/>
      <c r="L36" s="52"/>
      <c r="M36" s="51">
        <v>33604.0</v>
      </c>
      <c r="N36" s="52">
        <f t="shared" si="2"/>
        <v>29</v>
      </c>
      <c r="O36" s="42" t="s">
        <v>104</v>
      </c>
      <c r="P36" s="52"/>
      <c r="Q36" s="52"/>
      <c r="R36" s="52"/>
      <c r="S36" s="42" t="s">
        <v>79</v>
      </c>
      <c r="T36" s="45" t="s">
        <v>94</v>
      </c>
      <c r="U36" s="42" t="s">
        <v>81</v>
      </c>
      <c r="V36" s="45" t="s">
        <v>78</v>
      </c>
      <c r="W36" s="42" t="s">
        <v>79</v>
      </c>
      <c r="X36" s="42" t="s">
        <v>95</v>
      </c>
      <c r="Y36" s="45" t="s">
        <v>83</v>
      </c>
      <c r="Z36" s="42"/>
      <c r="AA36" s="50"/>
      <c r="AB36" s="52"/>
      <c r="AC36" s="53">
        <f t="shared" si="5"/>
        <v>0</v>
      </c>
      <c r="AD36" s="45">
        <v>0.0</v>
      </c>
      <c r="AE36" s="53">
        <f t="shared" si="11"/>
        <v>0</v>
      </c>
      <c r="AF36" s="53">
        <f t="shared" si="3"/>
        <v>0</v>
      </c>
      <c r="AG36" s="52">
        <f t="shared" si="12"/>
        <v>0</v>
      </c>
      <c r="AH36" s="48" t="str">
        <f>IFERROR(__xludf.DUMMYFUNCTION("importrange(C36,""Sheet2!a4:x4"")"),"#N/A")</f>
        <v>#N/A</v>
      </c>
      <c r="AI36" s="48"/>
      <c r="AJ36" s="48"/>
      <c r="AK36" s="53"/>
      <c r="AL36" s="53"/>
      <c r="AM36" s="53"/>
      <c r="AN36" s="53"/>
      <c r="AO36" s="53"/>
      <c r="AP36" s="53"/>
      <c r="AQ36" s="53"/>
      <c r="AR36" s="53"/>
      <c r="AS36" s="53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52"/>
      <c r="BG36" s="52"/>
      <c r="BH36" s="52"/>
      <c r="BI36" s="52"/>
      <c r="BJ36" s="52"/>
      <c r="BK36" s="52"/>
      <c r="BL36" s="52"/>
      <c r="BM36" s="54" t="s">
        <v>96</v>
      </c>
    </row>
    <row r="37">
      <c r="A37" s="42" t="s">
        <v>297</v>
      </c>
      <c r="B37" s="43" t="s">
        <v>298</v>
      </c>
      <c r="C37" s="48"/>
      <c r="D37" s="42" t="s">
        <v>70</v>
      </c>
      <c r="E37" s="42" t="s">
        <v>71</v>
      </c>
      <c r="F37" s="46">
        <v>40795.0</v>
      </c>
      <c r="G37" s="47">
        <v>40858.0</v>
      </c>
      <c r="H37" s="48">
        <f t="shared" si="1"/>
        <v>2.072368421</v>
      </c>
      <c r="I37" s="60" t="s">
        <v>299</v>
      </c>
      <c r="J37" s="50" t="s">
        <v>300</v>
      </c>
      <c r="K37" s="52"/>
      <c r="L37" s="52"/>
      <c r="M37" s="51">
        <v>32143.0</v>
      </c>
      <c r="N37" s="52">
        <f t="shared" si="2"/>
        <v>33</v>
      </c>
      <c r="O37" s="42" t="s">
        <v>76</v>
      </c>
      <c r="P37" s="52"/>
      <c r="Q37" s="52"/>
      <c r="R37" s="52"/>
      <c r="S37" s="42" t="s">
        <v>79</v>
      </c>
      <c r="T37" s="45" t="s">
        <v>94</v>
      </c>
      <c r="U37" s="42" t="s">
        <v>81</v>
      </c>
      <c r="V37" s="45" t="s">
        <v>78</v>
      </c>
      <c r="W37" s="42" t="s">
        <v>79</v>
      </c>
      <c r="X37" s="42" t="s">
        <v>95</v>
      </c>
      <c r="Y37" s="45" t="s">
        <v>83</v>
      </c>
      <c r="Z37" s="42"/>
      <c r="AA37" s="50"/>
      <c r="AB37" s="52"/>
      <c r="AC37" s="53">
        <f t="shared" si="5"/>
        <v>0</v>
      </c>
      <c r="AD37" s="45">
        <v>0.0</v>
      </c>
      <c r="AE37" s="53">
        <f t="shared" si="11"/>
        <v>0</v>
      </c>
      <c r="AF37" s="53">
        <f t="shared" si="3"/>
        <v>0</v>
      </c>
      <c r="AG37" s="52">
        <f t="shared" si="12"/>
        <v>0</v>
      </c>
      <c r="AH37" s="48" t="str">
        <f>IFERROR(__xludf.DUMMYFUNCTION("importrange(C37,""Sheet2!a4:x4"")"),"#N/A")</f>
        <v>#N/A</v>
      </c>
      <c r="AI37" s="48"/>
      <c r="AJ37" s="48"/>
      <c r="AK37" s="53"/>
      <c r="AL37" s="53"/>
      <c r="AM37" s="53"/>
      <c r="AN37" s="53"/>
      <c r="AO37" s="53"/>
      <c r="AP37" s="53"/>
      <c r="AQ37" s="53"/>
      <c r="AR37" s="53"/>
      <c r="AS37" s="53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52"/>
      <c r="BG37" s="52"/>
      <c r="BH37" s="52"/>
      <c r="BI37" s="52"/>
      <c r="BJ37" s="52"/>
      <c r="BK37" s="52"/>
      <c r="BL37" s="52"/>
      <c r="BM37" s="54" t="s">
        <v>96</v>
      </c>
    </row>
    <row r="38">
      <c r="A38" s="42" t="s">
        <v>301</v>
      </c>
      <c r="B38" s="43" t="s">
        <v>302</v>
      </c>
      <c r="C38" s="48"/>
      <c r="D38" s="42" t="s">
        <v>70</v>
      </c>
      <c r="E38" s="42" t="s">
        <v>71</v>
      </c>
      <c r="F38" s="46">
        <v>40763.0</v>
      </c>
      <c r="G38" s="47">
        <v>41161.0</v>
      </c>
      <c r="H38" s="48">
        <f t="shared" si="1"/>
        <v>13.09210526</v>
      </c>
      <c r="I38" s="60" t="s">
        <v>303</v>
      </c>
      <c r="J38" s="50" t="s">
        <v>304</v>
      </c>
      <c r="K38" s="52"/>
      <c r="L38" s="52"/>
      <c r="M38" s="51">
        <v>33239.0</v>
      </c>
      <c r="N38" s="52">
        <f t="shared" si="2"/>
        <v>30</v>
      </c>
      <c r="O38" s="42" t="s">
        <v>104</v>
      </c>
      <c r="P38" s="52"/>
      <c r="Q38" s="52"/>
      <c r="R38" s="52"/>
      <c r="S38" s="45" t="s">
        <v>305</v>
      </c>
      <c r="T38" s="45" t="s">
        <v>306</v>
      </c>
      <c r="U38" s="45" t="s">
        <v>307</v>
      </c>
      <c r="V38" s="45" t="s">
        <v>78</v>
      </c>
      <c r="W38" s="45" t="s">
        <v>305</v>
      </c>
      <c r="X38" s="42" t="s">
        <v>95</v>
      </c>
      <c r="Y38" s="45" t="s">
        <v>83</v>
      </c>
      <c r="Z38" s="42"/>
      <c r="AA38" s="50"/>
      <c r="AB38" s="52"/>
      <c r="AC38" s="53">
        <f t="shared" si="5"/>
        <v>0</v>
      </c>
      <c r="AD38" s="45">
        <v>0.0</v>
      </c>
      <c r="AE38" s="53">
        <f t="shared" si="11"/>
        <v>0</v>
      </c>
      <c r="AF38" s="53">
        <f t="shared" si="3"/>
        <v>0</v>
      </c>
      <c r="AG38" s="52">
        <f t="shared" si="12"/>
        <v>0</v>
      </c>
      <c r="AH38" s="48" t="str">
        <f>IFERROR(__xludf.DUMMYFUNCTION("importrange(C38,""Sheet2!a4:x4"")"),"#N/A")</f>
        <v>#N/A</v>
      </c>
      <c r="AI38" s="48"/>
      <c r="AJ38" s="48"/>
      <c r="AK38" s="53"/>
      <c r="AL38" s="53"/>
      <c r="AM38" s="53"/>
      <c r="AN38" s="53"/>
      <c r="AO38" s="53"/>
      <c r="AP38" s="53"/>
      <c r="AQ38" s="53"/>
      <c r="AR38" s="53"/>
      <c r="AS38" s="53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52"/>
      <c r="BG38" s="52"/>
      <c r="BH38" s="52"/>
      <c r="BI38" s="52"/>
      <c r="BJ38" s="52"/>
      <c r="BK38" s="52"/>
      <c r="BL38" s="52"/>
      <c r="BM38" s="54" t="s">
        <v>306</v>
      </c>
    </row>
    <row r="39">
      <c r="A39" s="42" t="s">
        <v>308</v>
      </c>
      <c r="B39" s="43" t="s">
        <v>309</v>
      </c>
      <c r="C39" s="48"/>
      <c r="D39" s="42" t="s">
        <v>70</v>
      </c>
      <c r="E39" s="42" t="s">
        <v>71</v>
      </c>
      <c r="F39" s="46">
        <v>40909.0</v>
      </c>
      <c r="G39" s="47">
        <v>41097.0</v>
      </c>
      <c r="H39" s="48">
        <f t="shared" si="1"/>
        <v>6.184210526</v>
      </c>
      <c r="I39" s="60" t="s">
        <v>310</v>
      </c>
      <c r="J39" s="50" t="s">
        <v>311</v>
      </c>
      <c r="K39" s="52"/>
      <c r="L39" s="52"/>
      <c r="M39" s="51">
        <v>24473.0</v>
      </c>
      <c r="N39" s="52">
        <f t="shared" si="2"/>
        <v>54</v>
      </c>
      <c r="O39" s="42" t="s">
        <v>76</v>
      </c>
      <c r="P39" s="52"/>
      <c r="Q39" s="52"/>
      <c r="R39" s="52"/>
      <c r="S39" s="42" t="s">
        <v>79</v>
      </c>
      <c r="T39" s="45" t="s">
        <v>94</v>
      </c>
      <c r="U39" s="42" t="s">
        <v>81</v>
      </c>
      <c r="V39" s="45" t="s">
        <v>78</v>
      </c>
      <c r="W39" s="42" t="s">
        <v>79</v>
      </c>
      <c r="X39" s="42" t="s">
        <v>95</v>
      </c>
      <c r="Y39" s="45" t="s">
        <v>83</v>
      </c>
      <c r="Z39" s="42"/>
      <c r="AA39" s="50"/>
      <c r="AB39" s="52"/>
      <c r="AC39" s="53">
        <f t="shared" si="5"/>
        <v>0</v>
      </c>
      <c r="AD39" s="45">
        <v>0.0</v>
      </c>
      <c r="AE39" s="53">
        <f t="shared" si="11"/>
        <v>0</v>
      </c>
      <c r="AF39" s="53">
        <f t="shared" si="3"/>
        <v>0</v>
      </c>
      <c r="AG39" s="52">
        <f t="shared" si="12"/>
        <v>0</v>
      </c>
      <c r="AH39" s="48" t="str">
        <f>IFERROR(__xludf.DUMMYFUNCTION("importrange(C39,""Sheet2!a4:x4"")"),"#N/A")</f>
        <v>#N/A</v>
      </c>
      <c r="AI39" s="48"/>
      <c r="AJ39" s="48"/>
      <c r="AK39" s="53"/>
      <c r="AL39" s="53"/>
      <c r="AM39" s="53"/>
      <c r="AN39" s="53"/>
      <c r="AO39" s="53"/>
      <c r="AP39" s="53"/>
      <c r="AQ39" s="53"/>
      <c r="AR39" s="53"/>
      <c r="AS39" s="53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52"/>
      <c r="BG39" s="52"/>
      <c r="BH39" s="52"/>
      <c r="BI39" s="52"/>
      <c r="BJ39" s="52"/>
      <c r="BK39" s="52"/>
      <c r="BL39" s="52"/>
      <c r="BM39" s="54" t="s">
        <v>96</v>
      </c>
    </row>
    <row r="40">
      <c r="A40" s="42" t="s">
        <v>312</v>
      </c>
      <c r="B40" s="43" t="s">
        <v>313</v>
      </c>
      <c r="C40" s="48"/>
      <c r="D40" s="42" t="s">
        <v>70</v>
      </c>
      <c r="E40" s="42" t="s">
        <v>71</v>
      </c>
      <c r="F40" s="46">
        <v>40795.0</v>
      </c>
      <c r="G40" s="47">
        <v>40858.0</v>
      </c>
      <c r="H40" s="48">
        <f t="shared" si="1"/>
        <v>2.072368421</v>
      </c>
      <c r="I40" s="60" t="s">
        <v>314</v>
      </c>
      <c r="J40" s="50" t="s">
        <v>315</v>
      </c>
      <c r="K40" s="52"/>
      <c r="L40" s="52"/>
      <c r="M40" s="51">
        <v>32143.0</v>
      </c>
      <c r="N40" s="52">
        <f t="shared" si="2"/>
        <v>33</v>
      </c>
      <c r="O40" s="42" t="s">
        <v>76</v>
      </c>
      <c r="P40" s="52"/>
      <c r="Q40" s="52"/>
      <c r="R40" s="52"/>
      <c r="S40" s="42" t="s">
        <v>79</v>
      </c>
      <c r="T40" s="45" t="s">
        <v>94</v>
      </c>
      <c r="U40" s="42" t="s">
        <v>81</v>
      </c>
      <c r="V40" s="45" t="s">
        <v>78</v>
      </c>
      <c r="W40" s="42" t="s">
        <v>79</v>
      </c>
      <c r="X40" s="42" t="s">
        <v>95</v>
      </c>
      <c r="Y40" s="45" t="s">
        <v>83</v>
      </c>
      <c r="Z40" s="42"/>
      <c r="AA40" s="50"/>
      <c r="AB40" s="52"/>
      <c r="AC40" s="53">
        <f t="shared" si="5"/>
        <v>0</v>
      </c>
      <c r="AD40" s="45">
        <v>0.0</v>
      </c>
      <c r="AE40" s="53">
        <f t="shared" si="11"/>
        <v>0</v>
      </c>
      <c r="AF40" s="53">
        <f t="shared" si="3"/>
        <v>0</v>
      </c>
      <c r="AG40" s="52">
        <f t="shared" si="12"/>
        <v>0</v>
      </c>
      <c r="AH40" s="48" t="str">
        <f>IFERROR(__xludf.DUMMYFUNCTION("importrange(C40,""Sheet2!a4:x4"")"),"#N/A")</f>
        <v>#N/A</v>
      </c>
      <c r="AI40" s="48"/>
      <c r="AJ40" s="48"/>
      <c r="AK40" s="53"/>
      <c r="AL40" s="53"/>
      <c r="AM40" s="53"/>
      <c r="AN40" s="53"/>
      <c r="AO40" s="53"/>
      <c r="AP40" s="53"/>
      <c r="AQ40" s="53"/>
      <c r="AR40" s="53"/>
      <c r="AS40" s="53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52"/>
      <c r="BG40" s="52"/>
      <c r="BH40" s="52"/>
      <c r="BI40" s="52"/>
      <c r="BJ40" s="52"/>
      <c r="BK40" s="52"/>
      <c r="BL40" s="52"/>
      <c r="BM40" s="54" t="s">
        <v>96</v>
      </c>
    </row>
    <row r="41">
      <c r="A41" s="42" t="s">
        <v>316</v>
      </c>
      <c r="B41" s="43" t="s">
        <v>317</v>
      </c>
      <c r="C41" s="48"/>
      <c r="D41" s="42" t="s">
        <v>70</v>
      </c>
      <c r="E41" s="42" t="s">
        <v>71</v>
      </c>
      <c r="F41" s="46">
        <v>40878.0</v>
      </c>
      <c r="G41" s="47">
        <v>40941.0</v>
      </c>
      <c r="H41" s="48">
        <f t="shared" si="1"/>
        <v>2.072368421</v>
      </c>
      <c r="I41" s="49"/>
      <c r="J41" s="50" t="s">
        <v>318</v>
      </c>
      <c r="K41" s="52"/>
      <c r="L41" s="52"/>
      <c r="M41" s="51">
        <v>21916.0</v>
      </c>
      <c r="N41" s="52">
        <f t="shared" si="2"/>
        <v>61</v>
      </c>
      <c r="O41" s="42" t="s">
        <v>76</v>
      </c>
      <c r="P41" s="52"/>
      <c r="Q41" s="52"/>
      <c r="R41" s="52"/>
      <c r="S41" s="42" t="s">
        <v>79</v>
      </c>
      <c r="T41" s="45" t="s">
        <v>94</v>
      </c>
      <c r="U41" s="42" t="s">
        <v>81</v>
      </c>
      <c r="V41" s="45" t="s">
        <v>78</v>
      </c>
      <c r="W41" s="42" t="s">
        <v>79</v>
      </c>
      <c r="X41" s="42" t="s">
        <v>95</v>
      </c>
      <c r="Y41" s="45" t="s">
        <v>83</v>
      </c>
      <c r="Z41" s="42"/>
      <c r="AA41" s="50"/>
      <c r="AB41" s="52"/>
      <c r="AC41" s="53">
        <f t="shared" si="5"/>
        <v>0</v>
      </c>
      <c r="AD41" s="45">
        <v>0.0</v>
      </c>
      <c r="AE41" s="53">
        <f t="shared" si="11"/>
        <v>0</v>
      </c>
      <c r="AF41" s="53">
        <f t="shared" si="3"/>
        <v>0</v>
      </c>
      <c r="AG41" s="52">
        <f t="shared" si="12"/>
        <v>0</v>
      </c>
      <c r="AH41" s="48" t="str">
        <f>IFERROR(__xludf.DUMMYFUNCTION("importrange(C41,""Sheet2!a4:x4"")"),"#N/A")</f>
        <v>#N/A</v>
      </c>
      <c r="AI41" s="48"/>
      <c r="AJ41" s="48"/>
      <c r="AK41" s="53"/>
      <c r="AL41" s="53"/>
      <c r="AM41" s="53"/>
      <c r="AN41" s="53"/>
      <c r="AO41" s="53"/>
      <c r="AP41" s="53"/>
      <c r="AQ41" s="53"/>
      <c r="AR41" s="53"/>
      <c r="AS41" s="53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52"/>
      <c r="BG41" s="52"/>
      <c r="BH41" s="52"/>
      <c r="BI41" s="52"/>
      <c r="BJ41" s="52"/>
      <c r="BK41" s="52"/>
      <c r="BL41" s="52"/>
      <c r="BM41" s="54" t="s">
        <v>96</v>
      </c>
    </row>
    <row r="42">
      <c r="A42" s="42" t="s">
        <v>319</v>
      </c>
      <c r="B42" s="43" t="s">
        <v>320</v>
      </c>
      <c r="C42" s="48"/>
      <c r="D42" s="42" t="s">
        <v>70</v>
      </c>
      <c r="E42" s="42" t="s">
        <v>71</v>
      </c>
      <c r="F42" s="46">
        <v>40891.0</v>
      </c>
      <c r="G42" s="47">
        <v>41097.0</v>
      </c>
      <c r="H42" s="48">
        <f t="shared" si="1"/>
        <v>6.776315789</v>
      </c>
      <c r="I42" s="60" t="s">
        <v>321</v>
      </c>
      <c r="J42" s="50" t="s">
        <v>322</v>
      </c>
      <c r="K42" s="52"/>
      <c r="L42" s="52"/>
      <c r="M42" s="51">
        <v>31413.0</v>
      </c>
      <c r="N42" s="52">
        <f t="shared" si="2"/>
        <v>35</v>
      </c>
      <c r="O42" s="42" t="s">
        <v>76</v>
      </c>
      <c r="P42" s="52"/>
      <c r="Q42" s="52"/>
      <c r="R42" s="52"/>
      <c r="S42" s="45" t="s">
        <v>305</v>
      </c>
      <c r="T42" s="45" t="s">
        <v>306</v>
      </c>
      <c r="U42" s="45" t="s">
        <v>307</v>
      </c>
      <c r="V42" s="45" t="s">
        <v>77</v>
      </c>
      <c r="W42" s="45" t="s">
        <v>79</v>
      </c>
      <c r="X42" s="42" t="s">
        <v>95</v>
      </c>
      <c r="Y42" s="45" t="s">
        <v>83</v>
      </c>
      <c r="Z42" s="42"/>
      <c r="AA42" s="50"/>
      <c r="AB42" s="52"/>
      <c r="AC42" s="53">
        <f t="shared" si="5"/>
        <v>0</v>
      </c>
      <c r="AD42" s="45">
        <v>0.0</v>
      </c>
      <c r="AE42" s="53">
        <f t="shared" si="11"/>
        <v>0</v>
      </c>
      <c r="AF42" s="53">
        <f t="shared" si="3"/>
        <v>0</v>
      </c>
      <c r="AG42" s="52">
        <f t="shared" si="12"/>
        <v>0</v>
      </c>
      <c r="AH42" s="48" t="str">
        <f>IFERROR(__xludf.DUMMYFUNCTION("importrange(C42,""Sheet2!a4:x4"")"),"#N/A")</f>
        <v>#N/A</v>
      </c>
      <c r="AI42" s="48"/>
      <c r="AJ42" s="48"/>
      <c r="AK42" s="53"/>
      <c r="AL42" s="53"/>
      <c r="AM42" s="53"/>
      <c r="AN42" s="53"/>
      <c r="AO42" s="53"/>
      <c r="AP42" s="53"/>
      <c r="AQ42" s="53"/>
      <c r="AR42" s="53"/>
      <c r="AS42" s="53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52"/>
      <c r="BG42" s="52"/>
      <c r="BH42" s="52"/>
      <c r="BI42" s="52"/>
      <c r="BJ42" s="52"/>
      <c r="BK42" s="52"/>
      <c r="BL42" s="52"/>
      <c r="BM42" s="54" t="s">
        <v>306</v>
      </c>
    </row>
    <row r="43">
      <c r="A43" s="42" t="s">
        <v>323</v>
      </c>
      <c r="B43" s="43" t="s">
        <v>324</v>
      </c>
      <c r="C43" s="48"/>
      <c r="D43" s="42" t="s">
        <v>70</v>
      </c>
      <c r="E43" s="42" t="s">
        <v>71</v>
      </c>
      <c r="F43" s="46">
        <v>40961.0</v>
      </c>
      <c r="G43" s="47">
        <v>41255.0</v>
      </c>
      <c r="H43" s="48">
        <f t="shared" si="1"/>
        <v>9.671052632</v>
      </c>
      <c r="I43" s="60" t="s">
        <v>325</v>
      </c>
      <c r="J43" s="50" t="s">
        <v>326</v>
      </c>
      <c r="K43" s="52"/>
      <c r="L43" s="52"/>
      <c r="M43" s="51">
        <v>31048.0</v>
      </c>
      <c r="N43" s="52">
        <f t="shared" si="2"/>
        <v>36</v>
      </c>
      <c r="O43" s="42" t="s">
        <v>104</v>
      </c>
      <c r="P43" s="52"/>
      <c r="Q43" s="52"/>
      <c r="R43" s="52"/>
      <c r="S43" s="42" t="s">
        <v>79</v>
      </c>
      <c r="T43" s="45" t="s">
        <v>94</v>
      </c>
      <c r="U43" s="42" t="s">
        <v>81</v>
      </c>
      <c r="V43" s="45" t="s">
        <v>78</v>
      </c>
      <c r="W43" s="42" t="s">
        <v>79</v>
      </c>
      <c r="X43" s="42" t="s">
        <v>95</v>
      </c>
      <c r="Y43" s="45" t="s">
        <v>83</v>
      </c>
      <c r="Z43" s="42"/>
      <c r="AA43" s="50"/>
      <c r="AB43" s="52"/>
      <c r="AC43" s="53">
        <f t="shared" si="5"/>
        <v>0</v>
      </c>
      <c r="AD43" s="45">
        <v>0.0</v>
      </c>
      <c r="AE43" s="53">
        <f t="shared" si="11"/>
        <v>0</v>
      </c>
      <c r="AF43" s="53">
        <f t="shared" si="3"/>
        <v>0</v>
      </c>
      <c r="AG43" s="52">
        <f t="shared" si="12"/>
        <v>0</v>
      </c>
      <c r="AH43" s="48" t="str">
        <f>IFERROR(__xludf.DUMMYFUNCTION("importrange(C43,""Sheet2!a4:x4"")"),"#N/A")</f>
        <v>#N/A</v>
      </c>
      <c r="AI43" s="48"/>
      <c r="AJ43" s="48"/>
      <c r="AK43" s="53"/>
      <c r="AL43" s="53"/>
      <c r="AM43" s="53"/>
      <c r="AN43" s="53"/>
      <c r="AO43" s="53"/>
      <c r="AP43" s="53"/>
      <c r="AQ43" s="53"/>
      <c r="AR43" s="53"/>
      <c r="AS43" s="53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52"/>
      <c r="BG43" s="52"/>
      <c r="BH43" s="52"/>
      <c r="BI43" s="52"/>
      <c r="BJ43" s="52"/>
      <c r="BK43" s="52"/>
      <c r="BL43" s="52"/>
      <c r="BM43" s="54" t="s">
        <v>96</v>
      </c>
    </row>
    <row r="44">
      <c r="A44" s="42" t="s">
        <v>327</v>
      </c>
      <c r="B44" s="43" t="s">
        <v>328</v>
      </c>
      <c r="C44" s="48"/>
      <c r="D44" s="42" t="s">
        <v>70</v>
      </c>
      <c r="E44" s="42" t="s">
        <v>71</v>
      </c>
      <c r="F44" s="46">
        <v>40909.0</v>
      </c>
      <c r="G44" s="47">
        <v>41066.0</v>
      </c>
      <c r="H44" s="48">
        <f t="shared" si="1"/>
        <v>5.164473684</v>
      </c>
      <c r="I44" s="60" t="s">
        <v>329</v>
      </c>
      <c r="J44" s="50" t="s">
        <v>330</v>
      </c>
      <c r="K44" s="52"/>
      <c r="L44" s="52"/>
      <c r="M44" s="51">
        <v>30317.0</v>
      </c>
      <c r="N44" s="52">
        <f t="shared" si="2"/>
        <v>38</v>
      </c>
      <c r="O44" s="42" t="s">
        <v>76</v>
      </c>
      <c r="P44" s="52"/>
      <c r="Q44" s="52"/>
      <c r="R44" s="52"/>
      <c r="S44" s="42" t="s">
        <v>79</v>
      </c>
      <c r="T44" s="45" t="s">
        <v>94</v>
      </c>
      <c r="U44" s="42" t="s">
        <v>81</v>
      </c>
      <c r="V44" s="45" t="s">
        <v>78</v>
      </c>
      <c r="W44" s="42" t="s">
        <v>79</v>
      </c>
      <c r="X44" s="42" t="s">
        <v>95</v>
      </c>
      <c r="Y44" s="45" t="s">
        <v>83</v>
      </c>
      <c r="Z44" s="42"/>
      <c r="AA44" s="50"/>
      <c r="AB44" s="52"/>
      <c r="AC44" s="53">
        <f t="shared" si="5"/>
        <v>0</v>
      </c>
      <c r="AD44" s="45">
        <v>0.0</v>
      </c>
      <c r="AE44" s="53">
        <f t="shared" si="11"/>
        <v>0</v>
      </c>
      <c r="AF44" s="53">
        <f t="shared" si="3"/>
        <v>0</v>
      </c>
      <c r="AG44" s="52">
        <f t="shared" si="12"/>
        <v>0</v>
      </c>
      <c r="AH44" s="48" t="str">
        <f>IFERROR(__xludf.DUMMYFUNCTION("importrange(C44,""Sheet2!a4:x4"")"),"#N/A")</f>
        <v>#N/A</v>
      </c>
      <c r="AI44" s="48"/>
      <c r="AJ44" s="48"/>
      <c r="AK44" s="53"/>
      <c r="AL44" s="53"/>
      <c r="AM44" s="53"/>
      <c r="AN44" s="53"/>
      <c r="AO44" s="53"/>
      <c r="AP44" s="53"/>
      <c r="AQ44" s="53"/>
      <c r="AR44" s="53"/>
      <c r="AS44" s="53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52"/>
      <c r="BG44" s="52"/>
      <c r="BH44" s="52"/>
      <c r="BI44" s="52"/>
      <c r="BJ44" s="52"/>
      <c r="BK44" s="52"/>
      <c r="BL44" s="52"/>
      <c r="BM44" s="54" t="s">
        <v>96</v>
      </c>
    </row>
    <row r="45">
      <c r="A45" s="42" t="s">
        <v>331</v>
      </c>
      <c r="B45" s="55" t="s">
        <v>332</v>
      </c>
      <c r="C45" s="48"/>
      <c r="D45" s="42" t="s">
        <v>70</v>
      </c>
      <c r="E45" s="42" t="s">
        <v>71</v>
      </c>
      <c r="F45" s="46">
        <v>40941.0</v>
      </c>
      <c r="G45" s="47">
        <v>41192.0</v>
      </c>
      <c r="H45" s="48">
        <f t="shared" si="1"/>
        <v>8.256578947</v>
      </c>
      <c r="I45" s="60" t="s">
        <v>333</v>
      </c>
      <c r="J45" s="50" t="s">
        <v>334</v>
      </c>
      <c r="K45" s="52"/>
      <c r="L45" s="52"/>
      <c r="M45" s="51">
        <v>33604.0</v>
      </c>
      <c r="N45" s="52">
        <f t="shared" si="2"/>
        <v>29</v>
      </c>
      <c r="O45" s="42" t="s">
        <v>104</v>
      </c>
      <c r="P45" s="52"/>
      <c r="Q45" s="52"/>
      <c r="R45" s="52"/>
      <c r="S45" s="42" t="s">
        <v>79</v>
      </c>
      <c r="T45" s="45" t="s">
        <v>94</v>
      </c>
      <c r="U45" s="42" t="s">
        <v>81</v>
      </c>
      <c r="V45" s="45" t="s">
        <v>78</v>
      </c>
      <c r="W45" s="42" t="s">
        <v>79</v>
      </c>
      <c r="X45" s="42" t="s">
        <v>95</v>
      </c>
      <c r="Y45" s="45" t="s">
        <v>83</v>
      </c>
      <c r="Z45" s="42"/>
      <c r="AA45" s="50"/>
      <c r="AB45" s="52"/>
      <c r="AC45" s="53">
        <f t="shared" si="5"/>
        <v>0</v>
      </c>
      <c r="AD45" s="45">
        <v>0.0</v>
      </c>
      <c r="AE45" s="53">
        <f t="shared" si="11"/>
        <v>0</v>
      </c>
      <c r="AF45" s="53">
        <f t="shared" si="3"/>
        <v>0</v>
      </c>
      <c r="AG45" s="52">
        <f t="shared" si="12"/>
        <v>0</v>
      </c>
      <c r="AH45" s="48" t="str">
        <f>IFERROR(__xludf.DUMMYFUNCTION("importrange(C45,""Sheet2!a4:x4"")"),"#N/A")</f>
        <v>#N/A</v>
      </c>
      <c r="AI45" s="48"/>
      <c r="AJ45" s="48"/>
      <c r="AK45" s="53"/>
      <c r="AL45" s="53"/>
      <c r="AM45" s="53"/>
      <c r="AN45" s="53"/>
      <c r="AO45" s="53"/>
      <c r="AP45" s="53"/>
      <c r="AQ45" s="53"/>
      <c r="AR45" s="53"/>
      <c r="AS45" s="53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52"/>
      <c r="BG45" s="52"/>
      <c r="BH45" s="52"/>
      <c r="BI45" s="52"/>
      <c r="BJ45" s="52"/>
      <c r="BK45" s="52"/>
      <c r="BL45" s="52"/>
      <c r="BM45" s="54" t="s">
        <v>96</v>
      </c>
    </row>
    <row r="46">
      <c r="A46" s="42" t="s">
        <v>335</v>
      </c>
      <c r="B46" s="55" t="s">
        <v>336</v>
      </c>
      <c r="C46" s="48"/>
      <c r="D46" s="42" t="s">
        <v>70</v>
      </c>
      <c r="E46" s="42" t="s">
        <v>71</v>
      </c>
      <c r="F46" s="46">
        <v>40848.0</v>
      </c>
      <c r="G46" s="47">
        <v>40889.0</v>
      </c>
      <c r="H46" s="48">
        <f t="shared" si="1"/>
        <v>1.348684211</v>
      </c>
      <c r="I46" s="49"/>
      <c r="J46" s="62"/>
      <c r="K46" s="52"/>
      <c r="L46" s="52"/>
      <c r="M46" s="51">
        <v>31778.0</v>
      </c>
      <c r="N46" s="52">
        <f t="shared" si="2"/>
        <v>34</v>
      </c>
      <c r="O46" s="42" t="s">
        <v>104</v>
      </c>
      <c r="P46" s="52"/>
      <c r="Q46" s="52"/>
      <c r="R46" s="52"/>
      <c r="S46" s="42" t="s">
        <v>79</v>
      </c>
      <c r="T46" s="45" t="s">
        <v>94</v>
      </c>
      <c r="U46" s="42" t="s">
        <v>81</v>
      </c>
      <c r="V46" s="45" t="s">
        <v>78</v>
      </c>
      <c r="W46" s="42" t="s">
        <v>79</v>
      </c>
      <c r="X46" s="42" t="s">
        <v>95</v>
      </c>
      <c r="Y46" s="45" t="s">
        <v>83</v>
      </c>
      <c r="Z46" s="42"/>
      <c r="AA46" s="50"/>
      <c r="AB46" s="52"/>
      <c r="AC46" s="53">
        <f t="shared" si="5"/>
        <v>0</v>
      </c>
      <c r="AD46" s="45">
        <v>0.0</v>
      </c>
      <c r="AE46" s="53">
        <f t="shared" si="11"/>
        <v>0</v>
      </c>
      <c r="AF46" s="53">
        <f t="shared" si="3"/>
        <v>0</v>
      </c>
      <c r="AG46" s="52">
        <f t="shared" si="12"/>
        <v>0</v>
      </c>
      <c r="AH46" s="48" t="str">
        <f>IFERROR(__xludf.DUMMYFUNCTION("importrange(C46,""Sheet2!a4:x4"")"),"#N/A")</f>
        <v>#N/A</v>
      </c>
      <c r="AI46" s="48"/>
      <c r="AJ46" s="48"/>
      <c r="AK46" s="53"/>
      <c r="AL46" s="53"/>
      <c r="AM46" s="53"/>
      <c r="AN46" s="53"/>
      <c r="AO46" s="53"/>
      <c r="AP46" s="53"/>
      <c r="AQ46" s="53"/>
      <c r="AR46" s="53"/>
      <c r="AS46" s="53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52"/>
      <c r="BG46" s="52"/>
      <c r="BH46" s="52"/>
      <c r="BI46" s="52"/>
      <c r="BJ46" s="52"/>
      <c r="BK46" s="52"/>
      <c r="BL46" s="52"/>
      <c r="BM46" s="54" t="s">
        <v>96</v>
      </c>
    </row>
    <row r="47">
      <c r="A47" s="42" t="s">
        <v>337</v>
      </c>
      <c r="B47" s="43" t="s">
        <v>338</v>
      </c>
      <c r="C47" s="48"/>
      <c r="D47" s="42" t="s">
        <v>70</v>
      </c>
      <c r="E47" s="42" t="s">
        <v>71</v>
      </c>
      <c r="F47" s="46">
        <v>40848.0</v>
      </c>
      <c r="G47" s="47">
        <v>41003.0</v>
      </c>
      <c r="H47" s="48">
        <f t="shared" si="1"/>
        <v>5.098684211</v>
      </c>
      <c r="I47" s="60" t="s">
        <v>339</v>
      </c>
      <c r="J47" s="50" t="s">
        <v>340</v>
      </c>
      <c r="K47" s="52"/>
      <c r="L47" s="52"/>
      <c r="M47" s="51">
        <v>29221.0</v>
      </c>
      <c r="N47" s="52">
        <f t="shared" si="2"/>
        <v>41</v>
      </c>
      <c r="O47" s="42" t="s">
        <v>341</v>
      </c>
      <c r="P47" s="52"/>
      <c r="Q47" s="52"/>
      <c r="R47" s="52"/>
      <c r="S47" s="42" t="s">
        <v>79</v>
      </c>
      <c r="T47" s="45" t="s">
        <v>94</v>
      </c>
      <c r="U47" s="42" t="s">
        <v>81</v>
      </c>
      <c r="V47" s="45" t="s">
        <v>78</v>
      </c>
      <c r="W47" s="42" t="s">
        <v>79</v>
      </c>
      <c r="X47" s="42" t="s">
        <v>95</v>
      </c>
      <c r="Y47" s="45" t="s">
        <v>83</v>
      </c>
      <c r="Z47" s="42"/>
      <c r="AA47" s="50"/>
      <c r="AB47" s="52"/>
      <c r="AC47" s="53">
        <f t="shared" si="5"/>
        <v>0</v>
      </c>
      <c r="AD47" s="45">
        <v>0.0</v>
      </c>
      <c r="AE47" s="53">
        <f t="shared" si="11"/>
        <v>0</v>
      </c>
      <c r="AF47" s="53">
        <f t="shared" si="3"/>
        <v>0</v>
      </c>
      <c r="AG47" s="52">
        <f t="shared" si="12"/>
        <v>0</v>
      </c>
      <c r="AH47" s="48" t="str">
        <f>IFERROR(__xludf.DUMMYFUNCTION("importrange(C47,""Sheet2!a4:x4"")"),"#N/A")</f>
        <v>#N/A</v>
      </c>
      <c r="AI47" s="48"/>
      <c r="AJ47" s="48"/>
      <c r="AK47" s="53"/>
      <c r="AL47" s="53"/>
      <c r="AM47" s="53"/>
      <c r="AN47" s="53"/>
      <c r="AO47" s="53"/>
      <c r="AP47" s="53"/>
      <c r="AQ47" s="53"/>
      <c r="AR47" s="53"/>
      <c r="AS47" s="53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52"/>
      <c r="BG47" s="52"/>
      <c r="BH47" s="52"/>
      <c r="BI47" s="52"/>
      <c r="BJ47" s="52"/>
      <c r="BK47" s="52"/>
      <c r="BL47" s="52"/>
      <c r="BM47" s="54" t="s">
        <v>96</v>
      </c>
    </row>
    <row r="48">
      <c r="A48" s="42" t="s">
        <v>342</v>
      </c>
      <c r="B48" s="43" t="s">
        <v>343</v>
      </c>
      <c r="C48" s="48"/>
      <c r="D48" s="42" t="s">
        <v>70</v>
      </c>
      <c r="E48" s="42" t="s">
        <v>71</v>
      </c>
      <c r="F48" s="46">
        <v>40826.0</v>
      </c>
      <c r="G48" s="47">
        <v>40941.0</v>
      </c>
      <c r="H48" s="48">
        <f t="shared" si="1"/>
        <v>3.782894737</v>
      </c>
      <c r="I48" s="49" t="s">
        <v>344</v>
      </c>
      <c r="J48" s="62"/>
      <c r="K48" s="52"/>
      <c r="L48" s="52"/>
      <c r="M48" s="51">
        <v>21916.0</v>
      </c>
      <c r="N48" s="52">
        <f t="shared" si="2"/>
        <v>61</v>
      </c>
      <c r="O48" s="42" t="s">
        <v>76</v>
      </c>
      <c r="P48" s="52"/>
      <c r="Q48" s="52"/>
      <c r="R48" s="52"/>
      <c r="S48" s="45" t="s">
        <v>305</v>
      </c>
      <c r="T48" s="45" t="s">
        <v>306</v>
      </c>
      <c r="U48" s="45" t="s">
        <v>307</v>
      </c>
      <c r="V48" s="45" t="s">
        <v>77</v>
      </c>
      <c r="W48" s="42" t="s">
        <v>345</v>
      </c>
      <c r="X48" s="42" t="s">
        <v>82</v>
      </c>
      <c r="Y48" s="45" t="s">
        <v>83</v>
      </c>
      <c r="Z48" s="42"/>
      <c r="AA48" s="50"/>
      <c r="AB48" s="52"/>
      <c r="AC48" s="53">
        <f t="shared" si="5"/>
        <v>0</v>
      </c>
      <c r="AD48" s="52"/>
      <c r="AE48" s="53">
        <f t="shared" si="11"/>
        <v>0</v>
      </c>
      <c r="AF48" s="53">
        <f t="shared" si="3"/>
        <v>0</v>
      </c>
      <c r="AG48" s="52">
        <f t="shared" si="12"/>
        <v>0</v>
      </c>
      <c r="AH48" s="48" t="str">
        <f>IFERROR(__xludf.DUMMYFUNCTION("importrange(C48,""Sheet2!a4:x4"")"),"#N/A")</f>
        <v>#N/A</v>
      </c>
      <c r="AI48" s="48"/>
      <c r="AJ48" s="48"/>
      <c r="AK48" s="53"/>
      <c r="AL48" s="53"/>
      <c r="AM48" s="53"/>
      <c r="AN48" s="53"/>
      <c r="AO48" s="53"/>
      <c r="AP48" s="53"/>
      <c r="AQ48" s="53"/>
      <c r="AR48" s="53"/>
      <c r="AS48" s="53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52"/>
      <c r="BG48" s="52"/>
      <c r="BH48" s="52"/>
      <c r="BI48" s="52"/>
      <c r="BJ48" s="52"/>
      <c r="BK48" s="52"/>
      <c r="BL48" s="52"/>
      <c r="BM48" s="54" t="s">
        <v>306</v>
      </c>
    </row>
    <row r="49">
      <c r="A49" s="42" t="s">
        <v>346</v>
      </c>
      <c r="B49" s="43" t="s">
        <v>347</v>
      </c>
      <c r="C49" s="44" t="s">
        <v>348</v>
      </c>
      <c r="D49" s="45" t="s">
        <v>70</v>
      </c>
      <c r="E49" s="42" t="s">
        <v>71</v>
      </c>
      <c r="F49" s="46">
        <v>41526.0</v>
      </c>
      <c r="G49" s="47">
        <v>41912.0</v>
      </c>
      <c r="H49" s="48">
        <f t="shared" si="1"/>
        <v>12.69736842</v>
      </c>
      <c r="I49" s="60" t="s">
        <v>349</v>
      </c>
      <c r="J49" s="50" t="s">
        <v>350</v>
      </c>
      <c r="K49" s="52"/>
      <c r="L49" s="52"/>
      <c r="M49" s="51">
        <v>31778.0</v>
      </c>
      <c r="N49" s="52">
        <f t="shared" si="2"/>
        <v>34</v>
      </c>
      <c r="O49" s="42" t="s">
        <v>76</v>
      </c>
      <c r="P49" s="52"/>
      <c r="Q49" s="52"/>
      <c r="R49" s="52"/>
      <c r="S49" s="42" t="s">
        <v>79</v>
      </c>
      <c r="T49" s="45" t="s">
        <v>94</v>
      </c>
      <c r="U49" s="42" t="s">
        <v>81</v>
      </c>
      <c r="V49" s="45" t="s">
        <v>78</v>
      </c>
      <c r="W49" s="42" t="s">
        <v>79</v>
      </c>
      <c r="X49" s="42" t="s">
        <v>82</v>
      </c>
      <c r="Y49" s="45" t="s">
        <v>83</v>
      </c>
      <c r="Z49" s="42"/>
      <c r="AA49" s="50"/>
      <c r="AB49" s="45"/>
      <c r="AC49" s="53">
        <f t="shared" si="5"/>
        <v>428</v>
      </c>
      <c r="AD49" s="45">
        <v>397.5</v>
      </c>
      <c r="AE49" s="53">
        <f t="shared" si="11"/>
        <v>29.5</v>
      </c>
      <c r="AF49" s="53">
        <f t="shared" si="3"/>
        <v>1</v>
      </c>
      <c r="AG49" s="52">
        <f>(AF49*10)</f>
        <v>10</v>
      </c>
      <c r="AH49" s="48">
        <f>IFERROR(__xludf.DUMMYFUNCTION("importrange(C49,""Sheet2!a4:x4"")"),33.082840236686394)</f>
        <v>33.08284024</v>
      </c>
      <c r="AI49" s="48">
        <f>IFERROR(__xludf.DUMMYFUNCTION("""COMPUTED_VALUE"""),12.0)</f>
        <v>12</v>
      </c>
      <c r="AJ49" s="48">
        <f>IFERROR(__xludf.DUMMYFUNCTION("""COMPUTED_VALUE"""),525.0)</f>
        <v>525</v>
      </c>
      <c r="AK49" s="53" t="str">
        <f>IFERROR(__xludf.DUMMYFUNCTION("""COMPUTED_VALUE"""),"Attended No Show")</f>
        <v>Attended No Show</v>
      </c>
      <c r="AL49" s="53">
        <f>IFERROR(__xludf.DUMMYFUNCTION("""COMPUTED_VALUE"""),525.0)</f>
        <v>525</v>
      </c>
      <c r="AM49" s="53">
        <f>IFERROR(__xludf.DUMMYFUNCTION("""COMPUTED_VALUE"""),345.0)</f>
        <v>345</v>
      </c>
      <c r="AN49" s="53">
        <f>IFERROR(__xludf.DUMMYFUNCTION("""COMPUTED_VALUE"""),344.0)</f>
        <v>344</v>
      </c>
      <c r="AO49" s="53">
        <f>IFERROR(__xludf.DUMMYFUNCTION("""COMPUTED_VALUE"""),29.0)</f>
        <v>29</v>
      </c>
      <c r="AP49" s="53">
        <f>IFERROR(__xludf.DUMMYFUNCTION("""COMPUTED_VALUE"""),1.0)</f>
        <v>1</v>
      </c>
      <c r="AQ49" s="53">
        <f>IFERROR(__xludf.DUMMYFUNCTION("""COMPUTED_VALUE"""),68.0)</f>
        <v>68</v>
      </c>
      <c r="AR49" s="53">
        <f>IFERROR(__xludf.DUMMYFUNCTION("""COMPUTED_VALUE"""),83.0)</f>
        <v>83</v>
      </c>
      <c r="AS49" s="53">
        <f>IFERROR(__xludf.DUMMYFUNCTION("""COMPUTED_VALUE"""),93.43544857768052)</f>
        <v>93.43544858</v>
      </c>
      <c r="AT49" s="48">
        <f>IFERROR(__xludf.DUMMYFUNCTION("""COMPUTED_VALUE"""),5.523809523809524)</f>
        <v>5.523809524</v>
      </c>
      <c r="AU49" s="48">
        <f>IFERROR(__xludf.DUMMYFUNCTION("""COMPUTED_VALUE"""),0.19047619047619047)</f>
        <v>0.1904761905</v>
      </c>
      <c r="AV49" s="48">
        <f>IFERROR(__xludf.DUMMYFUNCTION("""COMPUTED_VALUE"""),12.95238095238095)</f>
        <v>12.95238095</v>
      </c>
      <c r="AW49" s="48">
        <f>IFERROR(__xludf.DUMMYFUNCTION("""COMPUTED_VALUE"""),15.80952380952381)</f>
        <v>15.80952381</v>
      </c>
      <c r="AX49" s="48">
        <f>IFERROR(__xludf.DUMMYFUNCTION("""COMPUTED_VALUE"""),81.52380952380952)</f>
        <v>81.52380952</v>
      </c>
      <c r="AY49" s="48">
        <f>IFERROR(__xludf.DUMMYFUNCTION("""COMPUTED_VALUE"""),6.0)</f>
        <v>6</v>
      </c>
      <c r="AZ49" s="48">
        <f>IFERROR(__xludf.DUMMYFUNCTION("""COMPUTED_VALUE"""),0.0)</f>
        <v>0</v>
      </c>
      <c r="BA49" s="48">
        <f>IFERROR(__xludf.DUMMYFUNCTION("""COMPUTED_VALUE"""),6.0)</f>
        <v>6</v>
      </c>
      <c r="BB49" s="48">
        <f>IFERROR(__xludf.DUMMYFUNCTION("""COMPUTED_VALUE"""),1.0)</f>
        <v>1</v>
      </c>
      <c r="BC49" s="48">
        <f>IFERROR(__xludf.DUMMYFUNCTION("""COMPUTED_VALUE"""),0.0)</f>
        <v>0</v>
      </c>
      <c r="BD49" s="48">
        <f>IFERROR(__xludf.DUMMYFUNCTION("""COMPUTED_VALUE"""),100.0)</f>
        <v>100</v>
      </c>
      <c r="BE49" s="48">
        <f>IFERROR(__xludf.DUMMYFUNCTION("""COMPUTED_VALUE"""),14.285714285714285)</f>
        <v>14.28571429</v>
      </c>
      <c r="BF49" s="52"/>
      <c r="BG49" s="52"/>
      <c r="BH49" s="52"/>
      <c r="BI49" s="52"/>
      <c r="BJ49" s="52"/>
      <c r="BK49" s="52"/>
      <c r="BL49" s="52"/>
      <c r="BM49" s="54" t="s">
        <v>96</v>
      </c>
    </row>
    <row r="50">
      <c r="A50" s="42" t="s">
        <v>351</v>
      </c>
      <c r="B50" s="43" t="s">
        <v>352</v>
      </c>
      <c r="C50" s="44" t="s">
        <v>353</v>
      </c>
      <c r="D50" s="45" t="s">
        <v>70</v>
      </c>
      <c r="E50" s="42" t="s">
        <v>71</v>
      </c>
      <c r="F50" s="46">
        <v>41603.0</v>
      </c>
      <c r="G50" s="47">
        <v>42037.0</v>
      </c>
      <c r="H50" s="48">
        <f t="shared" si="1"/>
        <v>14.27631579</v>
      </c>
      <c r="I50" s="60" t="s">
        <v>354</v>
      </c>
      <c r="J50" s="50" t="s">
        <v>355</v>
      </c>
      <c r="K50" s="42" t="s">
        <v>356</v>
      </c>
      <c r="L50" s="42" t="s">
        <v>357</v>
      </c>
      <c r="M50" s="51">
        <v>30682.0</v>
      </c>
      <c r="N50" s="52">
        <f t="shared" si="2"/>
        <v>37</v>
      </c>
      <c r="O50" s="42" t="s">
        <v>104</v>
      </c>
      <c r="P50" s="52"/>
      <c r="Q50" s="52"/>
      <c r="R50" s="52"/>
      <c r="S50" s="42" t="s">
        <v>79</v>
      </c>
      <c r="T50" s="45" t="s">
        <v>94</v>
      </c>
      <c r="U50" s="42" t="s">
        <v>81</v>
      </c>
      <c r="V50" s="45" t="s">
        <v>78</v>
      </c>
      <c r="W50" s="42" t="s">
        <v>79</v>
      </c>
      <c r="X50" s="42" t="s">
        <v>82</v>
      </c>
      <c r="Y50" s="45" t="s">
        <v>83</v>
      </c>
      <c r="Z50" s="45" t="s">
        <v>130</v>
      </c>
      <c r="AA50" s="58" t="s">
        <v>358</v>
      </c>
      <c r="AB50" s="42" t="s">
        <v>359</v>
      </c>
      <c r="AC50" s="53">
        <f t="shared" si="5"/>
        <v>379</v>
      </c>
      <c r="AD50" s="45">
        <v>347.5</v>
      </c>
      <c r="AE50" s="53">
        <f t="shared" si="11"/>
        <v>31.5</v>
      </c>
      <c r="AF50" s="53">
        <f t="shared" si="3"/>
        <v>0</v>
      </c>
      <c r="AG50" s="52">
        <f>(AF50*6.25)</f>
        <v>0</v>
      </c>
      <c r="AH50" s="48">
        <f>IFERROR(__xludf.DUMMYFUNCTION("importrange(C50,""Sheet2!a4:x4"")"),24.09259259259259)</f>
        <v>24.09259259</v>
      </c>
      <c r="AI50" s="48">
        <f>IFERROR(__xludf.DUMMYFUNCTION("""COMPUTED_VALUE"""),27.0)</f>
        <v>27</v>
      </c>
      <c r="AJ50" s="48">
        <f>IFERROR(__xludf.DUMMYFUNCTION("""COMPUTED_VALUE"""),453.0)</f>
        <v>453</v>
      </c>
      <c r="AK50" s="53" t="str">
        <f>IFERROR(__xludf.DUMMYFUNCTION("""COMPUTED_VALUE"""),"Attended No Show")</f>
        <v>Attended No Show</v>
      </c>
      <c r="AL50" s="53">
        <f>IFERROR(__xludf.DUMMYFUNCTION("""COMPUTED_VALUE"""),453.0)</f>
        <v>453</v>
      </c>
      <c r="AM50" s="53">
        <f>IFERROR(__xludf.DUMMYFUNCTION("""COMPUTED_VALUE"""),232.0)</f>
        <v>232</v>
      </c>
      <c r="AN50" s="53">
        <f>IFERROR(__xludf.DUMMYFUNCTION("""COMPUTED_VALUE"""),229.0)</f>
        <v>229</v>
      </c>
      <c r="AO50" s="53">
        <f>IFERROR(__xludf.DUMMYFUNCTION("""COMPUTED_VALUE"""),30.0)</f>
        <v>30</v>
      </c>
      <c r="AP50" s="53">
        <f>IFERROR(__xludf.DUMMYFUNCTION("""COMPUTED_VALUE"""),3.0)</f>
        <v>3</v>
      </c>
      <c r="AQ50" s="53">
        <f>IFERROR(__xludf.DUMMYFUNCTION("""COMPUTED_VALUE"""),44.0)</f>
        <v>44</v>
      </c>
      <c r="AR50" s="53">
        <f>IFERROR(__xludf.DUMMYFUNCTION("""COMPUTED_VALUE"""),147.0)</f>
        <v>147</v>
      </c>
      <c r="AS50" s="53">
        <f>IFERROR(__xludf.DUMMYFUNCTION("""COMPUTED_VALUE"""),91.93154034229829)</f>
        <v>91.93154034</v>
      </c>
      <c r="AT50" s="48">
        <f>IFERROR(__xludf.DUMMYFUNCTION("""COMPUTED_VALUE"""),6.622516556291391)</f>
        <v>6.622516556</v>
      </c>
      <c r="AU50" s="48">
        <f>IFERROR(__xludf.DUMMYFUNCTION("""COMPUTED_VALUE"""),0.6622516556291391)</f>
        <v>0.6622516556</v>
      </c>
      <c r="AV50" s="48">
        <f>IFERROR(__xludf.DUMMYFUNCTION("""COMPUTED_VALUE"""),9.713024282560706)</f>
        <v>9.713024283</v>
      </c>
      <c r="AW50" s="48">
        <f>IFERROR(__xludf.DUMMYFUNCTION("""COMPUTED_VALUE"""),32.450331125827816)</f>
        <v>32.45033113</v>
      </c>
      <c r="AX50" s="48">
        <f>IFERROR(__xludf.DUMMYFUNCTION("""COMPUTED_VALUE"""),83.6644591611479)</f>
        <v>83.66445916</v>
      </c>
      <c r="AY50" s="48">
        <f>IFERROR(__xludf.DUMMYFUNCTION("""COMPUTED_VALUE"""),180.0)</f>
        <v>180</v>
      </c>
      <c r="AZ50" s="48">
        <f>IFERROR(__xludf.DUMMYFUNCTION("""COMPUTED_VALUE"""),176.0)</f>
        <v>176</v>
      </c>
      <c r="BA50" s="48">
        <f>IFERROR(__xludf.DUMMYFUNCTION("""COMPUTED_VALUE"""),4.0)</f>
        <v>4</v>
      </c>
      <c r="BB50" s="48">
        <f>IFERROR(__xludf.DUMMYFUNCTION("""COMPUTED_VALUE"""),3.0)</f>
        <v>3</v>
      </c>
      <c r="BC50" s="48">
        <f>IFERROR(__xludf.DUMMYFUNCTION("""COMPUTED_VALUE"""),97.77777777777777)</f>
        <v>97.77777778</v>
      </c>
      <c r="BD50" s="48">
        <f>IFERROR(__xludf.DUMMYFUNCTION("""COMPUTED_VALUE"""),2.2222222222222223)</f>
        <v>2.222222222</v>
      </c>
      <c r="BE50" s="48">
        <f>IFERROR(__xludf.DUMMYFUNCTION("""COMPUTED_VALUE"""),1.639344262295082)</f>
        <v>1.639344262</v>
      </c>
      <c r="BF50" s="52"/>
      <c r="BG50" s="52"/>
      <c r="BH50" s="52"/>
      <c r="BI50" s="52"/>
      <c r="BJ50" s="52"/>
      <c r="BK50" s="52"/>
      <c r="BL50" s="52"/>
      <c r="BM50" s="54" t="s">
        <v>96</v>
      </c>
    </row>
    <row r="51">
      <c r="A51" s="42" t="s">
        <v>360</v>
      </c>
      <c r="B51" s="43" t="s">
        <v>361</v>
      </c>
      <c r="C51" s="44" t="s">
        <v>362</v>
      </c>
      <c r="D51" s="42" t="s">
        <v>125</v>
      </c>
      <c r="E51" s="42" t="s">
        <v>71</v>
      </c>
      <c r="F51" s="46">
        <v>41602.0</v>
      </c>
      <c r="G51" s="57"/>
      <c r="H51" s="48">
        <f t="shared" si="1"/>
        <v>87.13815789</v>
      </c>
      <c r="I51" s="60" t="s">
        <v>363</v>
      </c>
      <c r="J51" s="50" t="s">
        <v>364</v>
      </c>
      <c r="K51" s="42" t="s">
        <v>365</v>
      </c>
      <c r="L51" s="42" t="s">
        <v>366</v>
      </c>
      <c r="M51" s="51">
        <v>29587.0</v>
      </c>
      <c r="N51" s="52">
        <f t="shared" si="2"/>
        <v>40</v>
      </c>
      <c r="O51" s="45" t="s">
        <v>341</v>
      </c>
      <c r="P51" s="52"/>
      <c r="Q51" s="52"/>
      <c r="R51" s="52"/>
      <c r="S51" s="42" t="s">
        <v>79</v>
      </c>
      <c r="T51" s="45" t="s">
        <v>94</v>
      </c>
      <c r="U51" s="42" t="s">
        <v>81</v>
      </c>
      <c r="V51" s="45" t="s">
        <v>78</v>
      </c>
      <c r="W51" s="42" t="s">
        <v>79</v>
      </c>
      <c r="X51" s="42" t="s">
        <v>82</v>
      </c>
      <c r="Y51" s="45" t="s">
        <v>83</v>
      </c>
      <c r="Z51" s="45" t="s">
        <v>367</v>
      </c>
      <c r="AA51" s="58" t="s">
        <v>368</v>
      </c>
      <c r="AB51" s="45"/>
      <c r="AC51" s="53">
        <f t="shared" si="5"/>
        <v>6358</v>
      </c>
      <c r="AD51" s="45">
        <v>3309.0</v>
      </c>
      <c r="AE51" s="53">
        <f t="shared" si="11"/>
        <v>134.5</v>
      </c>
      <c r="AF51" s="53">
        <f t="shared" si="3"/>
        <v>2914.5</v>
      </c>
      <c r="AG51" s="52">
        <f>(AF51*10)</f>
        <v>29145</v>
      </c>
      <c r="AH51" s="48">
        <f>IFERROR(__xludf.DUMMYFUNCTION("importrange(C51,""Sheet2!a4:x4"")"),29.604110641567424)</f>
        <v>29.60411064</v>
      </c>
      <c r="AI51" s="48">
        <f>IFERROR(__xludf.DUMMYFUNCTION("""COMPUTED_VALUE"""),65.0)</f>
        <v>65</v>
      </c>
      <c r="AJ51" s="48">
        <f>IFERROR(__xludf.DUMMYFUNCTION("""COMPUTED_VALUE"""),6956.0)</f>
        <v>6956</v>
      </c>
      <c r="AK51" s="53" t="str">
        <f>IFERROR(__xludf.DUMMYFUNCTION("""COMPUTED_VALUE"""),"Attended")</f>
        <v>Attended</v>
      </c>
      <c r="AL51" s="53">
        <f>IFERROR(__xludf.DUMMYFUNCTION("""COMPUTED_VALUE"""),6956.0)</f>
        <v>6956</v>
      </c>
      <c r="AM51" s="53">
        <f>IFERROR(__xludf.DUMMYFUNCTION("""COMPUTED_VALUE"""),5333.0)</f>
        <v>5333</v>
      </c>
      <c r="AN51" s="53">
        <f>IFERROR(__xludf.DUMMYFUNCTION("""COMPUTED_VALUE"""),5314.0)</f>
        <v>5314</v>
      </c>
      <c r="AO51" s="53">
        <f>IFERROR(__xludf.DUMMYFUNCTION("""COMPUTED_VALUE"""),125.0)</f>
        <v>125</v>
      </c>
      <c r="AP51" s="53">
        <f>IFERROR(__xludf.DUMMYFUNCTION("""COMPUTED_VALUE"""),19.0)</f>
        <v>19</v>
      </c>
      <c r="AQ51" s="53">
        <f>IFERROR(__xludf.DUMMYFUNCTION("""COMPUTED_VALUE"""),473.0)</f>
        <v>473</v>
      </c>
      <c r="AR51" s="53">
        <f>IFERROR(__xludf.DUMMYFUNCTION("""COMPUTED_VALUE"""),1025.0)</f>
        <v>1025</v>
      </c>
      <c r="AS51" s="53">
        <f>IFERROR(__xludf.DUMMYFUNCTION("""COMPUTED_VALUE"""),97.7788061082832)</f>
        <v>97.77880611</v>
      </c>
      <c r="AT51" s="48">
        <f>IFERROR(__xludf.DUMMYFUNCTION("""COMPUTED_VALUE"""),1.79700977573318)</f>
        <v>1.797009776</v>
      </c>
      <c r="AU51" s="48">
        <f>IFERROR(__xludf.DUMMYFUNCTION("""COMPUTED_VALUE"""),0.2731454859114434)</f>
        <v>0.2731454859</v>
      </c>
      <c r="AV51" s="48">
        <f>IFERROR(__xludf.DUMMYFUNCTION("""COMPUTED_VALUE"""),6.799884991374353)</f>
        <v>6.799884991</v>
      </c>
      <c r="AW51" s="48">
        <f>IFERROR(__xludf.DUMMYFUNCTION("""COMPUTED_VALUE"""),14.735480161012077)</f>
        <v>14.73548016</v>
      </c>
      <c r="AX51" s="48">
        <f>IFERROR(__xludf.DUMMYFUNCTION("""COMPUTED_VALUE"""),91.40310523289247)</f>
        <v>91.40310523</v>
      </c>
      <c r="AY51" s="48">
        <f>IFERROR(__xludf.DUMMYFUNCTION("""COMPUTED_VALUE"""),1579.0)</f>
        <v>1579</v>
      </c>
      <c r="AZ51" s="48">
        <f>IFERROR(__xludf.DUMMYFUNCTION("""COMPUTED_VALUE"""),1423.0)</f>
        <v>1423</v>
      </c>
      <c r="BA51" s="48">
        <f>IFERROR(__xludf.DUMMYFUNCTION("""COMPUTED_VALUE"""),156.0)</f>
        <v>156</v>
      </c>
      <c r="BB51" s="48">
        <f>IFERROR(__xludf.DUMMYFUNCTION("""COMPUTED_VALUE"""),151.0)</f>
        <v>151</v>
      </c>
      <c r="BC51" s="48">
        <f>IFERROR(__xludf.DUMMYFUNCTION("""COMPUTED_VALUE"""),90.12032932235591)</f>
        <v>90.12032932</v>
      </c>
      <c r="BD51" s="48">
        <f>IFERROR(__xludf.DUMMYFUNCTION("""COMPUTED_VALUE"""),9.879670677644079)</f>
        <v>9.879670678</v>
      </c>
      <c r="BE51" s="48">
        <f>IFERROR(__xludf.DUMMYFUNCTION("""COMPUTED_VALUE"""),8.728323699421965)</f>
        <v>8.728323699</v>
      </c>
      <c r="BF51" s="52"/>
      <c r="BG51" s="52"/>
      <c r="BH51" s="52"/>
      <c r="BI51" s="52"/>
      <c r="BJ51" s="52"/>
      <c r="BK51" s="45">
        <v>2.0</v>
      </c>
      <c r="BL51" s="45">
        <v>1.0</v>
      </c>
      <c r="BM51" s="59" t="s">
        <v>96</v>
      </c>
    </row>
    <row r="52">
      <c r="A52" s="42" t="s">
        <v>369</v>
      </c>
      <c r="B52" s="43" t="s">
        <v>370</v>
      </c>
      <c r="C52" s="44" t="s">
        <v>371</v>
      </c>
      <c r="D52" s="45" t="s">
        <v>70</v>
      </c>
      <c r="E52" s="42" t="s">
        <v>192</v>
      </c>
      <c r="F52" s="46">
        <v>41669.0</v>
      </c>
      <c r="G52" s="47">
        <v>41883.0</v>
      </c>
      <c r="H52" s="48">
        <f t="shared" si="1"/>
        <v>7.039473684</v>
      </c>
      <c r="I52" s="60" t="s">
        <v>372</v>
      </c>
      <c r="J52" s="50" t="s">
        <v>373</v>
      </c>
      <c r="K52" s="42" t="s">
        <v>374</v>
      </c>
      <c r="L52" s="42" t="s">
        <v>375</v>
      </c>
      <c r="M52" s="51">
        <v>31457.0</v>
      </c>
      <c r="N52" s="52">
        <f t="shared" si="2"/>
        <v>35</v>
      </c>
      <c r="O52" s="42" t="s">
        <v>76</v>
      </c>
      <c r="P52" s="42" t="s">
        <v>77</v>
      </c>
      <c r="Q52" s="42" t="s">
        <v>77</v>
      </c>
      <c r="R52" s="52"/>
      <c r="S52" s="42" t="s">
        <v>79</v>
      </c>
      <c r="T52" s="45" t="s">
        <v>94</v>
      </c>
      <c r="U52" s="42" t="s">
        <v>81</v>
      </c>
      <c r="V52" s="45" t="s">
        <v>78</v>
      </c>
      <c r="W52" s="42" t="s">
        <v>79</v>
      </c>
      <c r="X52" s="42" t="s">
        <v>82</v>
      </c>
      <c r="Y52" s="45" t="s">
        <v>83</v>
      </c>
      <c r="Z52" s="45" t="s">
        <v>367</v>
      </c>
      <c r="AA52" s="58" t="s">
        <v>376</v>
      </c>
      <c r="AB52" s="45"/>
      <c r="AC52" s="53">
        <f t="shared" si="5"/>
        <v>734</v>
      </c>
      <c r="AD52" s="45">
        <v>641.0</v>
      </c>
      <c r="AE52" s="53">
        <f t="shared" si="11"/>
        <v>93</v>
      </c>
      <c r="AF52" s="53">
        <f t="shared" si="3"/>
        <v>0</v>
      </c>
      <c r="AG52" s="52">
        <f t="shared" ref="AG52:AG53" si="13">(AF52*6.25)</f>
        <v>0</v>
      </c>
      <c r="AH52" s="48">
        <f>IFERROR(__xludf.DUMMYFUNCTION("importrange(C52,""Sheet2!a4:x4"")"),25.36986301369863)</f>
        <v>25.36986301</v>
      </c>
      <c r="AI52" s="48">
        <f>IFERROR(__xludf.DUMMYFUNCTION("""COMPUTED_VALUE"""),30.0)</f>
        <v>30</v>
      </c>
      <c r="AJ52" s="48">
        <f>IFERROR(__xludf.DUMMYFUNCTION("""COMPUTED_VALUE"""),887.0)</f>
        <v>887</v>
      </c>
      <c r="AK52" s="53" t="str">
        <f>IFERROR(__xludf.DUMMYFUNCTION("""COMPUTED_VALUE"""),"Absent")</f>
        <v>Absent</v>
      </c>
      <c r="AL52" s="53">
        <f>IFERROR(__xludf.DUMMYFUNCTION("""COMPUTED_VALUE"""),887.0)</f>
        <v>887</v>
      </c>
      <c r="AM52" s="53">
        <f>IFERROR(__xludf.DUMMYFUNCTION("""COMPUTED_VALUE"""),592.0)</f>
        <v>592</v>
      </c>
      <c r="AN52" s="53">
        <f>IFERROR(__xludf.DUMMYFUNCTION("""COMPUTED_VALUE"""),576.0)</f>
        <v>576</v>
      </c>
      <c r="AO52" s="53">
        <f>IFERROR(__xludf.DUMMYFUNCTION("""COMPUTED_VALUE"""),85.0)</f>
        <v>85</v>
      </c>
      <c r="AP52" s="53">
        <f>IFERROR(__xludf.DUMMYFUNCTION("""COMPUTED_VALUE"""),16.0)</f>
        <v>16</v>
      </c>
      <c r="AQ52" s="53">
        <f>IFERROR(__xludf.DUMMYFUNCTION("""COMPUTED_VALUE"""),68.0)</f>
        <v>68</v>
      </c>
      <c r="AR52" s="53">
        <f>IFERROR(__xludf.DUMMYFUNCTION("""COMPUTED_VALUE"""),142.0)</f>
        <v>142</v>
      </c>
      <c r="AS52" s="53">
        <f>IFERROR(__xludf.DUMMYFUNCTION("""COMPUTED_VALUE"""),87.66788766788767)</f>
        <v>87.66788767</v>
      </c>
      <c r="AT52" s="48">
        <f>IFERROR(__xludf.DUMMYFUNCTION("""COMPUTED_VALUE"""),9.582863585118377)</f>
        <v>9.582863585</v>
      </c>
      <c r="AU52" s="48">
        <f>IFERROR(__xludf.DUMMYFUNCTION("""COMPUTED_VALUE"""),1.8038331454340473)</f>
        <v>1.803833145</v>
      </c>
      <c r="AV52" s="48">
        <f>IFERROR(__xludf.DUMMYFUNCTION("""COMPUTED_VALUE"""),7.666290868094701)</f>
        <v>7.666290868</v>
      </c>
      <c r="AW52" s="48">
        <f>IFERROR(__xludf.DUMMYFUNCTION("""COMPUTED_VALUE"""),16.00901916572717)</f>
        <v>16.00901917</v>
      </c>
      <c r="AX52" s="48">
        <f>IFERROR(__xludf.DUMMYFUNCTION("""COMPUTED_VALUE"""),82.75084554678692)</f>
        <v>82.75084555</v>
      </c>
      <c r="AY52" s="48">
        <f>IFERROR(__xludf.DUMMYFUNCTION("""COMPUTED_VALUE"""),283.0)</f>
        <v>283</v>
      </c>
      <c r="AZ52" s="48">
        <f>IFERROR(__xludf.DUMMYFUNCTION("""COMPUTED_VALUE"""),264.0)</f>
        <v>264</v>
      </c>
      <c r="BA52" s="48">
        <f>IFERROR(__xludf.DUMMYFUNCTION("""COMPUTED_VALUE"""),19.0)</f>
        <v>19</v>
      </c>
      <c r="BB52" s="48">
        <f>IFERROR(__xludf.DUMMYFUNCTION("""COMPUTED_VALUE"""),0.0)</f>
        <v>0</v>
      </c>
      <c r="BC52" s="48">
        <f>IFERROR(__xludf.DUMMYFUNCTION("""COMPUTED_VALUE"""),93.28621908127208)</f>
        <v>93.28621908</v>
      </c>
      <c r="BD52" s="48">
        <f>IFERROR(__xludf.DUMMYFUNCTION("""COMPUTED_VALUE"""),6.713780918727916)</f>
        <v>6.713780919</v>
      </c>
      <c r="BE52" s="48">
        <f>IFERROR(__xludf.DUMMYFUNCTION("""COMPUTED_VALUE"""),0.0)</f>
        <v>0</v>
      </c>
      <c r="BF52" s="52"/>
      <c r="BG52" s="52"/>
      <c r="BH52" s="52"/>
      <c r="BI52" s="52"/>
      <c r="BJ52" s="52"/>
      <c r="BK52" s="52"/>
      <c r="BL52" s="52"/>
      <c r="BM52" s="54" t="s">
        <v>96</v>
      </c>
    </row>
    <row r="53">
      <c r="A53" s="42" t="s">
        <v>377</v>
      </c>
      <c r="B53" s="43" t="s">
        <v>378</v>
      </c>
      <c r="C53" s="44" t="s">
        <v>379</v>
      </c>
      <c r="D53" s="45" t="s">
        <v>70</v>
      </c>
      <c r="E53" s="42" t="s">
        <v>71</v>
      </c>
      <c r="F53" s="46">
        <v>41673.0</v>
      </c>
      <c r="G53" s="47">
        <v>42116.0</v>
      </c>
      <c r="H53" s="48">
        <f t="shared" si="1"/>
        <v>14.57236842</v>
      </c>
      <c r="I53" s="60" t="s">
        <v>380</v>
      </c>
      <c r="J53" s="50" t="s">
        <v>381</v>
      </c>
      <c r="K53" s="42" t="s">
        <v>382</v>
      </c>
      <c r="L53" s="42" t="s">
        <v>383</v>
      </c>
      <c r="M53" s="51">
        <v>31048.0</v>
      </c>
      <c r="N53" s="52">
        <f t="shared" si="2"/>
        <v>36</v>
      </c>
      <c r="O53" s="42" t="s">
        <v>76</v>
      </c>
      <c r="P53" s="42" t="s">
        <v>78</v>
      </c>
      <c r="Q53" s="42" t="s">
        <v>78</v>
      </c>
      <c r="R53" s="52"/>
      <c r="S53" s="42" t="s">
        <v>79</v>
      </c>
      <c r="T53" s="45" t="s">
        <v>94</v>
      </c>
      <c r="U53" s="42" t="s">
        <v>81</v>
      </c>
      <c r="V53" s="45" t="s">
        <v>78</v>
      </c>
      <c r="W53" s="42" t="s">
        <v>79</v>
      </c>
      <c r="X53" s="42" t="s">
        <v>82</v>
      </c>
      <c r="Y53" s="45" t="s">
        <v>83</v>
      </c>
      <c r="Z53" s="45" t="s">
        <v>130</v>
      </c>
      <c r="AA53" s="58" t="s">
        <v>384</v>
      </c>
      <c r="AB53" s="45"/>
      <c r="AC53" s="53">
        <f t="shared" si="5"/>
        <v>592</v>
      </c>
      <c r="AD53" s="45">
        <v>571.0</v>
      </c>
      <c r="AE53" s="53">
        <f t="shared" si="11"/>
        <v>20</v>
      </c>
      <c r="AF53" s="53">
        <f t="shared" si="3"/>
        <v>1</v>
      </c>
      <c r="AG53" s="52">
        <f t="shared" si="13"/>
        <v>6.25</v>
      </c>
      <c r="AH53" s="48">
        <f>IFERROR(__xludf.DUMMYFUNCTION("importrange(C53,""Sheet2!a4:x4"")"),31.06217616580311)</f>
        <v>31.06217617</v>
      </c>
      <c r="AI53" s="48">
        <f>IFERROR(__xludf.DUMMYFUNCTION("""COMPUTED_VALUE"""),17.0)</f>
        <v>17</v>
      </c>
      <c r="AJ53" s="48">
        <f>IFERROR(__xludf.DUMMYFUNCTION("""COMPUTED_VALUE"""),687.0)</f>
        <v>687</v>
      </c>
      <c r="AK53" s="53" t="str">
        <f>IFERROR(__xludf.DUMMYFUNCTION("""COMPUTED_VALUE"""),"Attended No Show")</f>
        <v>Attended No Show</v>
      </c>
      <c r="AL53" s="53">
        <f>IFERROR(__xludf.DUMMYFUNCTION("""COMPUTED_VALUE"""),687.0)</f>
        <v>687</v>
      </c>
      <c r="AM53" s="53">
        <f>IFERROR(__xludf.DUMMYFUNCTION("""COMPUTED_VALUE"""),445.0)</f>
        <v>445</v>
      </c>
      <c r="AN53" s="53">
        <f>IFERROR(__xludf.DUMMYFUNCTION("""COMPUTED_VALUE"""),439.0)</f>
        <v>439</v>
      </c>
      <c r="AO53" s="53">
        <f>IFERROR(__xludf.DUMMYFUNCTION("""COMPUTED_VALUE"""),17.0)</f>
        <v>17</v>
      </c>
      <c r="AP53" s="53">
        <f>IFERROR(__xludf.DUMMYFUNCTION("""COMPUTED_VALUE"""),6.0)</f>
        <v>6</v>
      </c>
      <c r="AQ53" s="53">
        <f>IFERROR(__xludf.DUMMYFUNCTION("""COMPUTED_VALUE"""),78.0)</f>
        <v>78</v>
      </c>
      <c r="AR53" s="53">
        <f>IFERROR(__xludf.DUMMYFUNCTION("""COMPUTED_VALUE"""),147.0)</f>
        <v>147</v>
      </c>
      <c r="AS53" s="53">
        <f>IFERROR(__xludf.DUMMYFUNCTION("""COMPUTED_VALUE"""),96.2233169129721)</f>
        <v>96.22331691</v>
      </c>
      <c r="AT53" s="48">
        <f>IFERROR(__xludf.DUMMYFUNCTION("""COMPUTED_VALUE"""),2.4745269286754)</f>
        <v>2.474526929</v>
      </c>
      <c r="AU53" s="48">
        <f>IFERROR(__xludf.DUMMYFUNCTION("""COMPUTED_VALUE"""),0.8733624454148471)</f>
        <v>0.8733624454</v>
      </c>
      <c r="AV53" s="48">
        <f>IFERROR(__xludf.DUMMYFUNCTION("""COMPUTED_VALUE"""),11.353711790393014)</f>
        <v>11.35371179</v>
      </c>
      <c r="AW53" s="48">
        <f>IFERROR(__xludf.DUMMYFUNCTION("""COMPUTED_VALUE"""),21.397379912663755)</f>
        <v>21.39737991</v>
      </c>
      <c r="AX53" s="48">
        <f>IFERROR(__xludf.DUMMYFUNCTION("""COMPUTED_VALUE"""),86.17176128093159)</f>
        <v>86.17176128</v>
      </c>
      <c r="AY53" s="48">
        <f>IFERROR(__xludf.DUMMYFUNCTION("""COMPUTED_VALUE"""),294.0)</f>
        <v>294</v>
      </c>
      <c r="AZ53" s="48">
        <f>IFERROR(__xludf.DUMMYFUNCTION("""COMPUTED_VALUE"""),266.0)</f>
        <v>266</v>
      </c>
      <c r="BA53" s="48">
        <f>IFERROR(__xludf.DUMMYFUNCTION("""COMPUTED_VALUE"""),28.0)</f>
        <v>28</v>
      </c>
      <c r="BB53" s="48">
        <f>IFERROR(__xludf.DUMMYFUNCTION("""COMPUTED_VALUE"""),57.0)</f>
        <v>57</v>
      </c>
      <c r="BC53" s="48">
        <f>IFERROR(__xludf.DUMMYFUNCTION("""COMPUTED_VALUE"""),90.47619047619048)</f>
        <v>90.47619048</v>
      </c>
      <c r="BD53" s="48">
        <f>IFERROR(__xludf.DUMMYFUNCTION("""COMPUTED_VALUE"""),9.523809523809524)</f>
        <v>9.523809524</v>
      </c>
      <c r="BE53" s="48">
        <f>IFERROR(__xludf.DUMMYFUNCTION("""COMPUTED_VALUE"""),16.23931623931624)</f>
        <v>16.23931624</v>
      </c>
      <c r="BF53" s="52"/>
      <c r="BG53" s="52"/>
      <c r="BH53" s="52"/>
      <c r="BI53" s="52"/>
      <c r="BJ53" s="52"/>
      <c r="BK53" s="52"/>
      <c r="BL53" s="52"/>
      <c r="BM53" s="54" t="s">
        <v>96</v>
      </c>
    </row>
    <row r="54">
      <c r="A54" s="42" t="s">
        <v>385</v>
      </c>
      <c r="B54" s="43" t="s">
        <v>386</v>
      </c>
      <c r="C54" s="44" t="s">
        <v>387</v>
      </c>
      <c r="D54" s="45" t="s">
        <v>70</v>
      </c>
      <c r="E54" s="42" t="s">
        <v>71</v>
      </c>
      <c r="F54" s="46">
        <v>41693.0</v>
      </c>
      <c r="G54" s="47">
        <v>41985.0</v>
      </c>
      <c r="H54" s="48">
        <f t="shared" si="1"/>
        <v>9.605263158</v>
      </c>
      <c r="I54" s="49" t="s">
        <v>388</v>
      </c>
      <c r="J54" s="50" t="s">
        <v>389</v>
      </c>
      <c r="K54" s="42" t="s">
        <v>390</v>
      </c>
      <c r="L54" s="42" t="s">
        <v>202</v>
      </c>
      <c r="M54" s="51">
        <v>31197.0</v>
      </c>
      <c r="N54" s="52">
        <f t="shared" si="2"/>
        <v>35</v>
      </c>
      <c r="O54" s="42" t="s">
        <v>341</v>
      </c>
      <c r="P54" s="42" t="s">
        <v>77</v>
      </c>
      <c r="Q54" s="42" t="s">
        <v>77</v>
      </c>
      <c r="R54" s="52"/>
      <c r="S54" s="42" t="s">
        <v>79</v>
      </c>
      <c r="T54" s="45" t="s">
        <v>80</v>
      </c>
      <c r="U54" s="42" t="s">
        <v>81</v>
      </c>
      <c r="V54" s="45" t="s">
        <v>78</v>
      </c>
      <c r="W54" s="42" t="s">
        <v>79</v>
      </c>
      <c r="X54" s="42" t="s">
        <v>82</v>
      </c>
      <c r="Y54" s="45" t="s">
        <v>83</v>
      </c>
      <c r="Z54" s="45" t="s">
        <v>84</v>
      </c>
      <c r="AA54" s="50"/>
      <c r="AB54" s="45"/>
      <c r="AC54" s="53">
        <f t="shared" si="5"/>
        <v>626</v>
      </c>
      <c r="AD54" s="45">
        <v>623.0</v>
      </c>
      <c r="AE54" s="53">
        <f t="shared" si="11"/>
        <v>5</v>
      </c>
      <c r="AF54" s="53">
        <f t="shared" si="3"/>
        <v>-2</v>
      </c>
      <c r="AG54" s="52">
        <f>(AF54*7)</f>
        <v>-14</v>
      </c>
      <c r="AH54" s="48">
        <f>IFERROR(__xludf.DUMMYFUNCTION("importrange(C54,""Sheet2!a4:x4"")"),28.28349514563107)</f>
        <v>28.28349515</v>
      </c>
      <c r="AI54" s="48">
        <f>IFERROR(__xludf.DUMMYFUNCTION("""COMPUTED_VALUE"""),23.0)</f>
        <v>23</v>
      </c>
      <c r="AJ54" s="48">
        <f>IFERROR(__xludf.DUMMYFUNCTION("""COMPUTED_VALUE"""),660.0)</f>
        <v>660</v>
      </c>
      <c r="AK54" s="53" t="str">
        <f>IFERROR(__xludf.DUMMYFUNCTION("""COMPUTED_VALUE"""),"Attended No Show")</f>
        <v>Attended No Show</v>
      </c>
      <c r="AL54" s="53">
        <f>IFERROR(__xludf.DUMMYFUNCTION("""COMPUTED_VALUE"""),660.0)</f>
        <v>660</v>
      </c>
      <c r="AM54" s="53">
        <f>IFERROR(__xludf.DUMMYFUNCTION("""COMPUTED_VALUE"""),515.0)</f>
        <v>515</v>
      </c>
      <c r="AN54" s="53">
        <f>IFERROR(__xludf.DUMMYFUNCTION("""COMPUTED_VALUE"""),513.0)</f>
        <v>513</v>
      </c>
      <c r="AO54" s="53">
        <f>IFERROR(__xludf.DUMMYFUNCTION("""COMPUTED_VALUE"""),4.0)</f>
        <v>4</v>
      </c>
      <c r="AP54" s="53">
        <f>IFERROR(__xludf.DUMMYFUNCTION("""COMPUTED_VALUE"""),2.0)</f>
        <v>2</v>
      </c>
      <c r="AQ54" s="53">
        <f>IFERROR(__xludf.DUMMYFUNCTION("""COMPUTED_VALUE"""),30.0)</f>
        <v>30</v>
      </c>
      <c r="AR54" s="53">
        <f>IFERROR(__xludf.DUMMYFUNCTION("""COMPUTED_VALUE"""),111.0)</f>
        <v>111</v>
      </c>
      <c r="AS54" s="53">
        <f>IFERROR(__xludf.DUMMYFUNCTION("""COMPUTED_VALUE"""),99.04761904761905)</f>
        <v>99.04761905</v>
      </c>
      <c r="AT54" s="48">
        <f>IFERROR(__xludf.DUMMYFUNCTION("""COMPUTED_VALUE"""),0.6060606060606061)</f>
        <v>0.6060606061</v>
      </c>
      <c r="AU54" s="48">
        <f>IFERROR(__xludf.DUMMYFUNCTION("""COMPUTED_VALUE"""),0.30303030303030304)</f>
        <v>0.303030303</v>
      </c>
      <c r="AV54" s="48">
        <f>IFERROR(__xludf.DUMMYFUNCTION("""COMPUTED_VALUE"""),4.545454545454546)</f>
        <v>4.545454545</v>
      </c>
      <c r="AW54" s="48">
        <f>IFERROR(__xludf.DUMMYFUNCTION("""COMPUTED_VALUE"""),16.818181818181817)</f>
        <v>16.81818182</v>
      </c>
      <c r="AX54" s="48">
        <f>IFERROR(__xludf.DUMMYFUNCTION("""COMPUTED_VALUE"""),94.84848484848484)</f>
        <v>94.84848485</v>
      </c>
      <c r="AY54" s="48">
        <f>IFERROR(__xludf.DUMMYFUNCTION("""COMPUTED_VALUE"""),321.0)</f>
        <v>321</v>
      </c>
      <c r="AZ54" s="48">
        <f>IFERROR(__xludf.DUMMYFUNCTION("""COMPUTED_VALUE"""),300.0)</f>
        <v>300</v>
      </c>
      <c r="BA54" s="48">
        <f>IFERROR(__xludf.DUMMYFUNCTION("""COMPUTED_VALUE"""),21.0)</f>
        <v>21</v>
      </c>
      <c r="BB54" s="48">
        <f>IFERROR(__xludf.DUMMYFUNCTION("""COMPUTED_VALUE"""),103.0)</f>
        <v>103</v>
      </c>
      <c r="BC54" s="48">
        <f>IFERROR(__xludf.DUMMYFUNCTION("""COMPUTED_VALUE"""),93.45794392523365)</f>
        <v>93.45794393</v>
      </c>
      <c r="BD54" s="48">
        <f>IFERROR(__xludf.DUMMYFUNCTION("""COMPUTED_VALUE"""),6.5420560747663545)</f>
        <v>6.542056075</v>
      </c>
      <c r="BE54" s="48">
        <f>IFERROR(__xludf.DUMMYFUNCTION("""COMPUTED_VALUE"""),24.29245283018868)</f>
        <v>24.29245283</v>
      </c>
      <c r="BF54" s="52"/>
      <c r="BG54" s="52"/>
      <c r="BH54" s="52"/>
      <c r="BI54" s="52"/>
      <c r="BJ54" s="52"/>
      <c r="BK54" s="52"/>
      <c r="BL54" s="52"/>
      <c r="BM54" s="54" t="s">
        <v>85</v>
      </c>
    </row>
    <row r="55">
      <c r="A55" s="42" t="s">
        <v>391</v>
      </c>
      <c r="B55" s="43" t="s">
        <v>392</v>
      </c>
      <c r="C55" s="44" t="s">
        <v>393</v>
      </c>
      <c r="D55" s="45" t="s">
        <v>70</v>
      </c>
      <c r="E55" s="42" t="s">
        <v>71</v>
      </c>
      <c r="F55" s="46">
        <v>41701.0</v>
      </c>
      <c r="G55" s="47">
        <v>42257.0</v>
      </c>
      <c r="H55" s="48">
        <f t="shared" si="1"/>
        <v>18.28947368</v>
      </c>
      <c r="I55" s="49" t="s">
        <v>394</v>
      </c>
      <c r="J55" s="50" t="s">
        <v>395</v>
      </c>
      <c r="K55" s="42" t="s">
        <v>396</v>
      </c>
      <c r="L55" s="42" t="s">
        <v>397</v>
      </c>
      <c r="M55" s="51">
        <v>31048.0</v>
      </c>
      <c r="N55" s="52">
        <f t="shared" si="2"/>
        <v>36</v>
      </c>
      <c r="O55" s="42" t="s">
        <v>76</v>
      </c>
      <c r="P55" s="42" t="s">
        <v>77</v>
      </c>
      <c r="Q55" s="42" t="s">
        <v>77</v>
      </c>
      <c r="R55" s="52"/>
      <c r="S55" s="45" t="s">
        <v>305</v>
      </c>
      <c r="T55" s="45" t="s">
        <v>306</v>
      </c>
      <c r="U55" s="42" t="s">
        <v>307</v>
      </c>
      <c r="V55" s="45" t="s">
        <v>77</v>
      </c>
      <c r="W55" s="42" t="s">
        <v>79</v>
      </c>
      <c r="X55" s="42" t="s">
        <v>95</v>
      </c>
      <c r="Y55" s="45" t="s">
        <v>83</v>
      </c>
      <c r="Z55" s="42"/>
      <c r="AA55" s="50"/>
      <c r="AB55" s="52"/>
      <c r="AC55" s="53">
        <f t="shared" si="5"/>
        <v>509</v>
      </c>
      <c r="AD55" s="45">
        <v>0.0</v>
      </c>
      <c r="AE55" s="53">
        <f t="shared" si="11"/>
        <v>73</v>
      </c>
      <c r="AF55" s="53">
        <f t="shared" si="3"/>
        <v>436</v>
      </c>
      <c r="AG55" s="52">
        <f t="shared" ref="AG55:AG57" si="14">(AF55*6.25)</f>
        <v>2725</v>
      </c>
      <c r="AH55" s="48">
        <f>IFERROR(__xludf.DUMMYFUNCTION("importrange(C55,""Sheet2!a4:x4"")"),28.215846994535518)</f>
        <v>28.21584699</v>
      </c>
      <c r="AI55" s="48">
        <f>IFERROR(__xludf.DUMMYFUNCTION("""COMPUTED_VALUE"""),12.0)</f>
        <v>12</v>
      </c>
      <c r="AJ55" s="48">
        <f>IFERROR(__xludf.DUMMYFUNCTION("""COMPUTED_VALUE"""),640.0)</f>
        <v>640</v>
      </c>
      <c r="AK55" s="53" t="str">
        <f>IFERROR(__xludf.DUMMYFUNCTION("""COMPUTED_VALUE"""),"Absent")</f>
        <v>Absent</v>
      </c>
      <c r="AL55" s="53">
        <f>IFERROR(__xludf.DUMMYFUNCTION("""COMPUTED_VALUE"""),640.0)</f>
        <v>640</v>
      </c>
      <c r="AM55" s="53">
        <f>IFERROR(__xludf.DUMMYFUNCTION("""COMPUTED_VALUE"""),427.0)</f>
        <v>427</v>
      </c>
      <c r="AN55" s="53">
        <f>IFERROR(__xludf.DUMMYFUNCTION("""COMPUTED_VALUE"""),425.0)</f>
        <v>425</v>
      </c>
      <c r="AO55" s="53">
        <f>IFERROR(__xludf.DUMMYFUNCTION("""COMPUTED_VALUE"""),72.0)</f>
        <v>72</v>
      </c>
      <c r="AP55" s="53">
        <f>IFERROR(__xludf.DUMMYFUNCTION("""COMPUTED_VALUE"""),2.0)</f>
        <v>2</v>
      </c>
      <c r="AQ55" s="53">
        <f>IFERROR(__xludf.DUMMYFUNCTION("""COMPUTED_VALUE"""),59.0)</f>
        <v>59</v>
      </c>
      <c r="AR55" s="53">
        <f>IFERROR(__xludf.DUMMYFUNCTION("""COMPUTED_VALUE"""),82.0)</f>
        <v>82</v>
      </c>
      <c r="AS55" s="53">
        <f>IFERROR(__xludf.DUMMYFUNCTION("""COMPUTED_VALUE"""),87.263339070568)</f>
        <v>87.26333907</v>
      </c>
      <c r="AT55" s="48">
        <f>IFERROR(__xludf.DUMMYFUNCTION("""COMPUTED_VALUE"""),11.25)</f>
        <v>11.25</v>
      </c>
      <c r="AU55" s="48">
        <f>IFERROR(__xludf.DUMMYFUNCTION("""COMPUTED_VALUE"""),0.3125)</f>
        <v>0.3125</v>
      </c>
      <c r="AV55" s="48">
        <f>IFERROR(__xludf.DUMMYFUNCTION("""COMPUTED_VALUE"""),9.21875)</f>
        <v>9.21875</v>
      </c>
      <c r="AW55" s="48">
        <f>IFERROR(__xludf.DUMMYFUNCTION("""COMPUTED_VALUE"""),12.812499999999998)</f>
        <v>12.8125</v>
      </c>
      <c r="AX55" s="48">
        <f>IFERROR(__xludf.DUMMYFUNCTION("""COMPUTED_VALUE"""),79.53125)</f>
        <v>79.53125</v>
      </c>
      <c r="AY55" s="48">
        <f>IFERROR(__xludf.DUMMYFUNCTION("""COMPUTED_VALUE"""),64.0)</f>
        <v>64</v>
      </c>
      <c r="AZ55" s="48">
        <f>IFERROR(__xludf.DUMMYFUNCTION("""COMPUTED_VALUE"""),29.0)</f>
        <v>29</v>
      </c>
      <c r="BA55" s="48">
        <f>IFERROR(__xludf.DUMMYFUNCTION("""COMPUTED_VALUE"""),35.0)</f>
        <v>35</v>
      </c>
      <c r="BB55" s="48">
        <f>IFERROR(__xludf.DUMMYFUNCTION("""COMPUTED_VALUE"""),6.0)</f>
        <v>6</v>
      </c>
      <c r="BC55" s="48">
        <f>IFERROR(__xludf.DUMMYFUNCTION("""COMPUTED_VALUE"""),45.3125)</f>
        <v>45.3125</v>
      </c>
      <c r="BD55" s="48">
        <f>IFERROR(__xludf.DUMMYFUNCTION("""COMPUTED_VALUE"""),54.6875)</f>
        <v>54.6875</v>
      </c>
      <c r="BE55" s="48">
        <f>IFERROR(__xludf.DUMMYFUNCTION("""COMPUTED_VALUE"""),8.571428571428571)</f>
        <v>8.571428571</v>
      </c>
      <c r="BF55" s="52"/>
      <c r="BG55" s="52"/>
      <c r="BH55" s="52"/>
      <c r="BI55" s="52"/>
      <c r="BJ55" s="52"/>
      <c r="BK55" s="52"/>
      <c r="BL55" s="52"/>
      <c r="BM55" s="54" t="s">
        <v>306</v>
      </c>
    </row>
    <row r="56">
      <c r="A56" s="42" t="s">
        <v>398</v>
      </c>
      <c r="B56" s="43" t="s">
        <v>399</v>
      </c>
      <c r="C56" s="44" t="s">
        <v>400</v>
      </c>
      <c r="D56" s="45" t="s">
        <v>70</v>
      </c>
      <c r="E56" s="42" t="s">
        <v>71</v>
      </c>
      <c r="F56" s="46">
        <v>41699.0</v>
      </c>
      <c r="G56" s="47">
        <v>42165.0</v>
      </c>
      <c r="H56" s="48">
        <f t="shared" si="1"/>
        <v>15.32894737</v>
      </c>
      <c r="I56" s="49" t="s">
        <v>401</v>
      </c>
      <c r="J56" s="50" t="s">
        <v>402</v>
      </c>
      <c r="K56" s="42" t="s">
        <v>403</v>
      </c>
      <c r="L56" s="42" t="s">
        <v>404</v>
      </c>
      <c r="M56" s="51">
        <v>30492.0</v>
      </c>
      <c r="N56" s="52">
        <f t="shared" si="2"/>
        <v>37</v>
      </c>
      <c r="O56" s="45" t="s">
        <v>104</v>
      </c>
      <c r="P56" s="42" t="s">
        <v>77</v>
      </c>
      <c r="Q56" s="42" t="s">
        <v>77</v>
      </c>
      <c r="R56" s="52"/>
      <c r="S56" s="42" t="s">
        <v>79</v>
      </c>
      <c r="T56" s="45" t="s">
        <v>80</v>
      </c>
      <c r="U56" s="42" t="s">
        <v>81</v>
      </c>
      <c r="V56" s="45" t="s">
        <v>78</v>
      </c>
      <c r="W56" s="42" t="s">
        <v>79</v>
      </c>
      <c r="X56" s="42" t="s">
        <v>82</v>
      </c>
      <c r="Y56" s="45" t="s">
        <v>83</v>
      </c>
      <c r="Z56" s="45" t="s">
        <v>84</v>
      </c>
      <c r="AA56" s="50"/>
      <c r="AB56" s="45">
        <v>1000.0</v>
      </c>
      <c r="AC56" s="53">
        <f t="shared" si="5"/>
        <v>501</v>
      </c>
      <c r="AD56" s="45">
        <v>332.0</v>
      </c>
      <c r="AE56" s="53">
        <f t="shared" si="11"/>
        <v>32</v>
      </c>
      <c r="AF56" s="53">
        <f t="shared" si="3"/>
        <v>137</v>
      </c>
      <c r="AG56" s="52">
        <f t="shared" si="14"/>
        <v>856.25</v>
      </c>
      <c r="AH56" s="48">
        <f>IFERROR(__xludf.DUMMYFUNCTION("importrange(C56,""Sheet2!a4:x4"")"),30.087179487179487)</f>
        <v>30.08717949</v>
      </c>
      <c r="AI56" s="48">
        <f>IFERROR(__xludf.DUMMYFUNCTION("""COMPUTED_VALUE"""),7.0)</f>
        <v>7</v>
      </c>
      <c r="AJ56" s="48">
        <f>IFERROR(__xludf.DUMMYFUNCTION("""COMPUTED_VALUE"""),571.0)</f>
        <v>571</v>
      </c>
      <c r="AK56" s="53" t="str">
        <f>IFERROR(__xludf.DUMMYFUNCTION("""COMPUTED_VALUE"""),"Attended No Show")</f>
        <v>Attended No Show</v>
      </c>
      <c r="AL56" s="53">
        <f>IFERROR(__xludf.DUMMYFUNCTION("""COMPUTED_VALUE"""),571.0)</f>
        <v>571</v>
      </c>
      <c r="AM56" s="53">
        <f>IFERROR(__xludf.DUMMYFUNCTION("""COMPUTED_VALUE"""),396.0)</f>
        <v>396</v>
      </c>
      <c r="AN56" s="53">
        <f>IFERROR(__xludf.DUMMYFUNCTION("""COMPUTED_VALUE"""),396.0)</f>
        <v>396</v>
      </c>
      <c r="AO56" s="53">
        <f>IFERROR(__xludf.DUMMYFUNCTION("""COMPUTED_VALUE"""),32.0)</f>
        <v>32</v>
      </c>
      <c r="AP56" s="53">
        <f>IFERROR(__xludf.DUMMYFUNCTION("""COMPUTED_VALUE"""),0.0)</f>
        <v>0</v>
      </c>
      <c r="AQ56" s="53">
        <f>IFERROR(__xludf.DUMMYFUNCTION("""COMPUTED_VALUE"""),38.0)</f>
        <v>38</v>
      </c>
      <c r="AR56" s="53">
        <f>IFERROR(__xludf.DUMMYFUNCTION("""COMPUTED_VALUE"""),105.0)</f>
        <v>105</v>
      </c>
      <c r="AS56" s="53">
        <f>IFERROR(__xludf.DUMMYFUNCTION("""COMPUTED_VALUE"""),93.99624765478424)</f>
        <v>93.99624765</v>
      </c>
      <c r="AT56" s="48">
        <f>IFERROR(__xludf.DUMMYFUNCTION("""COMPUTED_VALUE"""),5.604203152364273)</f>
        <v>5.604203152</v>
      </c>
      <c r="AU56" s="48">
        <f>IFERROR(__xludf.DUMMYFUNCTION("""COMPUTED_VALUE"""),0.0)</f>
        <v>0</v>
      </c>
      <c r="AV56" s="48">
        <f>IFERROR(__xludf.DUMMYFUNCTION("""COMPUTED_VALUE"""),6.654991243432574)</f>
        <v>6.654991243</v>
      </c>
      <c r="AW56" s="48">
        <f>IFERROR(__xludf.DUMMYFUNCTION("""COMPUTED_VALUE"""),18.388791593695274)</f>
        <v>18.38879159</v>
      </c>
      <c r="AX56" s="48">
        <f>IFERROR(__xludf.DUMMYFUNCTION("""COMPUTED_VALUE"""),87.74080560420316)</f>
        <v>87.7408056</v>
      </c>
      <c r="AY56" s="48">
        <f>IFERROR(__xludf.DUMMYFUNCTION("""COMPUTED_VALUE"""),379.0)</f>
        <v>379</v>
      </c>
      <c r="AZ56" s="48">
        <f>IFERROR(__xludf.DUMMYFUNCTION("""COMPUTED_VALUE"""),355.0)</f>
        <v>355</v>
      </c>
      <c r="BA56" s="48">
        <f>IFERROR(__xludf.DUMMYFUNCTION("""COMPUTED_VALUE"""),24.0)</f>
        <v>24</v>
      </c>
      <c r="BB56" s="48">
        <f>IFERROR(__xludf.DUMMYFUNCTION("""COMPUTED_VALUE"""),6.0)</f>
        <v>6</v>
      </c>
      <c r="BC56" s="48">
        <f>IFERROR(__xludf.DUMMYFUNCTION("""COMPUTED_VALUE"""),93.66754617414247)</f>
        <v>93.66754617</v>
      </c>
      <c r="BD56" s="48">
        <f>IFERROR(__xludf.DUMMYFUNCTION("""COMPUTED_VALUE"""),6.33245382585752)</f>
        <v>6.332453826</v>
      </c>
      <c r="BE56" s="48">
        <f>IFERROR(__xludf.DUMMYFUNCTION("""COMPUTED_VALUE"""),1.5584415584415585)</f>
        <v>1.558441558</v>
      </c>
      <c r="BF56" s="52"/>
      <c r="BG56" s="52"/>
      <c r="BH56" s="52"/>
      <c r="BI56" s="52"/>
      <c r="BJ56" s="52"/>
      <c r="BK56" s="52"/>
      <c r="BL56" s="52"/>
      <c r="BM56" s="54" t="s">
        <v>85</v>
      </c>
    </row>
    <row r="57">
      <c r="A57" s="42" t="s">
        <v>405</v>
      </c>
      <c r="B57" s="43" t="s">
        <v>406</v>
      </c>
      <c r="C57" s="44" t="s">
        <v>407</v>
      </c>
      <c r="D57" s="42" t="s">
        <v>125</v>
      </c>
      <c r="E57" s="42" t="s">
        <v>71</v>
      </c>
      <c r="F57" s="46">
        <v>41701.0</v>
      </c>
      <c r="G57" s="57"/>
      <c r="H57" s="48">
        <f t="shared" si="1"/>
        <v>83.88157895</v>
      </c>
      <c r="I57" s="60" t="s">
        <v>408</v>
      </c>
      <c r="J57" s="50" t="s">
        <v>409</v>
      </c>
      <c r="K57" s="42" t="s">
        <v>410</v>
      </c>
      <c r="L57" s="42" t="s">
        <v>411</v>
      </c>
      <c r="M57" s="51">
        <v>30932.0</v>
      </c>
      <c r="N57" s="52">
        <f t="shared" si="2"/>
        <v>36</v>
      </c>
      <c r="O57" s="42" t="s">
        <v>104</v>
      </c>
      <c r="P57" s="42" t="s">
        <v>77</v>
      </c>
      <c r="Q57" s="42" t="s">
        <v>77</v>
      </c>
      <c r="R57" s="52"/>
      <c r="S57" s="42" t="s">
        <v>79</v>
      </c>
      <c r="T57" s="45" t="s">
        <v>94</v>
      </c>
      <c r="U57" s="42" t="s">
        <v>81</v>
      </c>
      <c r="V57" s="45" t="s">
        <v>78</v>
      </c>
      <c r="W57" s="42" t="s">
        <v>79</v>
      </c>
      <c r="X57" s="45" t="s">
        <v>95</v>
      </c>
      <c r="Y57" s="45" t="s">
        <v>83</v>
      </c>
      <c r="Z57" s="45"/>
      <c r="AA57" s="50"/>
      <c r="AB57" s="52"/>
      <c r="AC57" s="53">
        <f t="shared" si="5"/>
        <v>2551</v>
      </c>
      <c r="AD57" s="45">
        <v>0.0</v>
      </c>
      <c r="AE57" s="53">
        <f t="shared" si="11"/>
        <v>44.5</v>
      </c>
      <c r="AF57" s="53">
        <f t="shared" si="3"/>
        <v>2506.5</v>
      </c>
      <c r="AG57" s="52">
        <f t="shared" si="14"/>
        <v>15665.625</v>
      </c>
      <c r="AH57" s="48">
        <f>IFERROR(__xludf.DUMMYFUNCTION("importrange(C57,""Sheet2!a4:x4"")"),31.613907628437985)</f>
        <v>31.61390763</v>
      </c>
      <c r="AI57" s="48">
        <f>IFERROR(__xludf.DUMMYFUNCTION("""COMPUTED_VALUE"""),23.0)</f>
        <v>23</v>
      </c>
      <c r="AJ57" s="48">
        <f>IFERROR(__xludf.DUMMYFUNCTION("""COMPUTED_VALUE"""),2754.0)</f>
        <v>2754</v>
      </c>
      <c r="AK57" s="53" t="str">
        <f>IFERROR(__xludf.DUMMYFUNCTION("""COMPUTED_VALUE"""),"Attended")</f>
        <v>Attended</v>
      </c>
      <c r="AL57" s="53">
        <f>IFERROR(__xludf.DUMMYFUNCTION("""COMPUTED_VALUE"""),2754.0)</f>
        <v>2754</v>
      </c>
      <c r="AM57" s="53">
        <f>IFERROR(__xludf.DUMMYFUNCTION("""COMPUTED_VALUE"""),1936.0)</f>
        <v>1936</v>
      </c>
      <c r="AN57" s="53">
        <f>IFERROR(__xludf.DUMMYFUNCTION("""COMPUTED_VALUE"""),1929.0)</f>
        <v>1929</v>
      </c>
      <c r="AO57" s="53">
        <f>IFERROR(__xludf.DUMMYFUNCTION("""COMPUTED_VALUE"""),41.0)</f>
        <v>41</v>
      </c>
      <c r="AP57" s="53">
        <f>IFERROR(__xludf.DUMMYFUNCTION("""COMPUTED_VALUE"""),7.0)</f>
        <v>7</v>
      </c>
      <c r="AQ57" s="53">
        <f>IFERROR(__xludf.DUMMYFUNCTION("""COMPUTED_VALUE"""),162.0)</f>
        <v>162</v>
      </c>
      <c r="AR57" s="53">
        <f>IFERROR(__xludf.DUMMYFUNCTION("""COMPUTED_VALUE"""),615.0)</f>
        <v>615</v>
      </c>
      <c r="AS57" s="53">
        <f>IFERROR(__xludf.DUMMYFUNCTION("""COMPUTED_VALUE"""),98.14814814814815)</f>
        <v>98.14814815</v>
      </c>
      <c r="AT57" s="48">
        <f>IFERROR(__xludf.DUMMYFUNCTION("""COMPUTED_VALUE"""),1.4887436456063907)</f>
        <v>1.488743646</v>
      </c>
      <c r="AU57" s="48">
        <f>IFERROR(__xludf.DUMMYFUNCTION("""COMPUTED_VALUE"""),0.2541757443718228)</f>
        <v>0.2541757444</v>
      </c>
      <c r="AV57" s="48">
        <f>IFERROR(__xludf.DUMMYFUNCTION("""COMPUTED_VALUE"""),5.88235294117647)</f>
        <v>5.882352941</v>
      </c>
      <c r="AW57" s="48">
        <f>IFERROR(__xludf.DUMMYFUNCTION("""COMPUTED_VALUE"""),22.33115468409586)</f>
        <v>22.33115468</v>
      </c>
      <c r="AX57" s="48">
        <f>IFERROR(__xludf.DUMMYFUNCTION("""COMPUTED_VALUE"""),92.62890341321713)</f>
        <v>92.62890341</v>
      </c>
      <c r="AY57" s="48">
        <f>IFERROR(__xludf.DUMMYFUNCTION("""COMPUTED_VALUE"""),1048.0)</f>
        <v>1048</v>
      </c>
      <c r="AZ57" s="48">
        <f>IFERROR(__xludf.DUMMYFUNCTION("""COMPUTED_VALUE"""),895.0)</f>
        <v>895</v>
      </c>
      <c r="BA57" s="48">
        <f>IFERROR(__xludf.DUMMYFUNCTION("""COMPUTED_VALUE"""),153.0)</f>
        <v>153</v>
      </c>
      <c r="BB57" s="48">
        <f>IFERROR(__xludf.DUMMYFUNCTION("""COMPUTED_VALUE"""),31.0)</f>
        <v>31</v>
      </c>
      <c r="BC57" s="48">
        <f>IFERROR(__xludf.DUMMYFUNCTION("""COMPUTED_VALUE"""),85.40076335877863)</f>
        <v>85.40076336</v>
      </c>
      <c r="BD57" s="48">
        <f>IFERROR(__xludf.DUMMYFUNCTION("""COMPUTED_VALUE"""),14.599236641221374)</f>
        <v>14.59923664</v>
      </c>
      <c r="BE57" s="48">
        <f>IFERROR(__xludf.DUMMYFUNCTION("""COMPUTED_VALUE"""),2.873030583873957)</f>
        <v>2.873030584</v>
      </c>
      <c r="BF57" s="52"/>
      <c r="BG57" s="52"/>
      <c r="BH57" s="52"/>
      <c r="BI57" s="52"/>
      <c r="BJ57" s="52"/>
      <c r="BK57" s="45">
        <v>2.0</v>
      </c>
      <c r="BL57" s="45">
        <v>1.0</v>
      </c>
      <c r="BM57" s="59" t="s">
        <v>96</v>
      </c>
    </row>
    <row r="58">
      <c r="A58" s="42" t="s">
        <v>412</v>
      </c>
      <c r="B58" s="43" t="s">
        <v>413</v>
      </c>
      <c r="C58" s="44" t="s">
        <v>414</v>
      </c>
      <c r="D58" s="45" t="s">
        <v>70</v>
      </c>
      <c r="E58" s="42" t="s">
        <v>71</v>
      </c>
      <c r="F58" s="46">
        <v>41701.0</v>
      </c>
      <c r="G58" s="47">
        <v>42808.0</v>
      </c>
      <c r="H58" s="48">
        <f t="shared" si="1"/>
        <v>36.41447368</v>
      </c>
      <c r="I58" s="49" t="s">
        <v>415</v>
      </c>
      <c r="J58" s="50" t="s">
        <v>416</v>
      </c>
      <c r="K58" s="42" t="s">
        <v>417</v>
      </c>
      <c r="L58" s="42" t="s">
        <v>418</v>
      </c>
      <c r="M58" s="51">
        <v>27186.0</v>
      </c>
      <c r="N58" s="52">
        <f t="shared" si="2"/>
        <v>46</v>
      </c>
      <c r="O58" s="42" t="s">
        <v>76</v>
      </c>
      <c r="P58" s="42" t="s">
        <v>77</v>
      </c>
      <c r="Q58" s="42" t="s">
        <v>77</v>
      </c>
      <c r="R58" s="52"/>
      <c r="S58" s="42" t="s">
        <v>79</v>
      </c>
      <c r="T58" s="45" t="s">
        <v>94</v>
      </c>
      <c r="U58" s="42" t="s">
        <v>81</v>
      </c>
      <c r="V58" s="45" t="s">
        <v>78</v>
      </c>
      <c r="W58" s="42" t="s">
        <v>79</v>
      </c>
      <c r="X58" s="42" t="s">
        <v>82</v>
      </c>
      <c r="Y58" s="45" t="s">
        <v>83</v>
      </c>
      <c r="Z58" s="63" t="s">
        <v>130</v>
      </c>
      <c r="AA58" s="64" t="s">
        <v>419</v>
      </c>
      <c r="AB58" s="45"/>
      <c r="AC58" s="53">
        <f t="shared" si="5"/>
        <v>3489</v>
      </c>
      <c r="AD58" s="45">
        <v>3351.0</v>
      </c>
      <c r="AE58" s="53">
        <f t="shared" si="11"/>
        <v>139</v>
      </c>
      <c r="AF58" s="53">
        <f t="shared" si="3"/>
        <v>-1</v>
      </c>
      <c r="AG58" s="52">
        <f>(AF58*10)</f>
        <v>-10</v>
      </c>
      <c r="AH58" s="48">
        <f>IFERROR(__xludf.DUMMYFUNCTION("importrange(C58,""Sheet2!a4:x4"")"),29.582405745062836)</f>
        <v>29.58240575</v>
      </c>
      <c r="AI58" s="48">
        <f>IFERROR(__xludf.DUMMYFUNCTION("""COMPUTED_VALUE"""),46.0)</f>
        <v>46</v>
      </c>
      <c r="AJ58" s="48">
        <f>IFERROR(__xludf.DUMMYFUNCTION("""COMPUTED_VALUE"""),3964.0)</f>
        <v>3964</v>
      </c>
      <c r="AK58" s="53" t="str">
        <f>IFERROR(__xludf.DUMMYFUNCTION("""COMPUTED_VALUE"""),"Attended")</f>
        <v>Attended</v>
      </c>
      <c r="AL58" s="53">
        <f>IFERROR(__xludf.DUMMYFUNCTION("""COMPUTED_VALUE"""),3964.0)</f>
        <v>3964</v>
      </c>
      <c r="AM58" s="53">
        <f>IFERROR(__xludf.DUMMYFUNCTION("""COMPUTED_VALUE"""),2833.0)</f>
        <v>2833</v>
      </c>
      <c r="AN58" s="53">
        <f>IFERROR(__xludf.DUMMYFUNCTION("""COMPUTED_VALUE"""),2795.0)</f>
        <v>2795</v>
      </c>
      <c r="AO58" s="53">
        <f>IFERROR(__xludf.DUMMYFUNCTION("""COMPUTED_VALUE"""),120.0)</f>
        <v>120</v>
      </c>
      <c r="AP58" s="53">
        <f>IFERROR(__xludf.DUMMYFUNCTION("""COMPUTED_VALUE"""),38.0)</f>
        <v>38</v>
      </c>
      <c r="AQ58" s="53">
        <f>IFERROR(__xludf.DUMMYFUNCTION("""COMPUTED_VALUE"""),355.0)</f>
        <v>355</v>
      </c>
      <c r="AR58" s="53">
        <f>IFERROR(__xludf.DUMMYFUNCTION("""COMPUTED_VALUE"""),656.0)</f>
        <v>656</v>
      </c>
      <c r="AS58" s="53">
        <f>IFERROR(__xludf.DUMMYFUNCTION("""COMPUTED_VALUE"""),95.62205597118314)</f>
        <v>95.62205597</v>
      </c>
      <c r="AT58" s="48">
        <f>IFERROR(__xludf.DUMMYFUNCTION("""COMPUTED_VALUE"""),3.027245206861756)</f>
        <v>3.027245207</v>
      </c>
      <c r="AU58" s="48">
        <f>IFERROR(__xludf.DUMMYFUNCTION("""COMPUTED_VALUE"""),0.958627648839556)</f>
        <v>0.9586276488</v>
      </c>
      <c r="AV58" s="48">
        <f>IFERROR(__xludf.DUMMYFUNCTION("""COMPUTED_VALUE"""),8.955600403632694)</f>
        <v>8.955600404</v>
      </c>
      <c r="AW58" s="48">
        <f>IFERROR(__xludf.DUMMYFUNCTION("""COMPUTED_VALUE"""),16.548940464177598)</f>
        <v>16.54894046</v>
      </c>
      <c r="AX58" s="48">
        <f>IFERROR(__xludf.DUMMYFUNCTION("""COMPUTED_VALUE"""),88.01715438950555)</f>
        <v>88.01715439</v>
      </c>
      <c r="AY58" s="48">
        <f>IFERROR(__xludf.DUMMYFUNCTION("""COMPUTED_VALUE"""),2233.0)</f>
        <v>2233</v>
      </c>
      <c r="AZ58" s="48">
        <f>IFERROR(__xludf.DUMMYFUNCTION("""COMPUTED_VALUE"""),1981.0)</f>
        <v>1981</v>
      </c>
      <c r="BA58" s="48">
        <f>IFERROR(__xludf.DUMMYFUNCTION("""COMPUTED_VALUE"""),252.0)</f>
        <v>252</v>
      </c>
      <c r="BB58" s="48">
        <f>IFERROR(__xludf.DUMMYFUNCTION("""COMPUTED_VALUE"""),6.0)</f>
        <v>6</v>
      </c>
      <c r="BC58" s="48">
        <f>IFERROR(__xludf.DUMMYFUNCTION("""COMPUTED_VALUE"""),88.71473354231975)</f>
        <v>88.71473354</v>
      </c>
      <c r="BD58" s="48">
        <f>IFERROR(__xludf.DUMMYFUNCTION("""COMPUTED_VALUE"""),11.285266457680251)</f>
        <v>11.28526646</v>
      </c>
      <c r="BE58" s="48">
        <f>IFERROR(__xludf.DUMMYFUNCTION("""COMPUTED_VALUE"""),0.2679767753461367)</f>
        <v>0.2679767753</v>
      </c>
      <c r="BF58" s="52"/>
      <c r="BG58" s="52"/>
      <c r="BH58" s="52"/>
      <c r="BI58" s="52"/>
      <c r="BJ58" s="52"/>
      <c r="BK58" s="52"/>
      <c r="BL58" s="52"/>
      <c r="BM58" s="54" t="s">
        <v>96</v>
      </c>
    </row>
    <row r="59">
      <c r="A59" s="42" t="s">
        <v>420</v>
      </c>
      <c r="B59" s="43" t="s">
        <v>421</v>
      </c>
      <c r="C59" s="44" t="s">
        <v>422</v>
      </c>
      <c r="D59" s="45" t="s">
        <v>70</v>
      </c>
      <c r="E59" s="42" t="s">
        <v>71</v>
      </c>
      <c r="F59" s="46">
        <v>41701.0</v>
      </c>
      <c r="G59" s="47">
        <v>41850.0</v>
      </c>
      <c r="H59" s="48">
        <f t="shared" si="1"/>
        <v>4.901315789</v>
      </c>
      <c r="I59" s="49" t="s">
        <v>423</v>
      </c>
      <c r="J59" s="62"/>
      <c r="K59" s="42" t="s">
        <v>424</v>
      </c>
      <c r="L59" s="42" t="s">
        <v>425</v>
      </c>
      <c r="M59" s="51">
        <v>31048.0</v>
      </c>
      <c r="N59" s="52">
        <f t="shared" si="2"/>
        <v>36</v>
      </c>
      <c r="O59" s="42" t="s">
        <v>76</v>
      </c>
      <c r="P59" s="42" t="s">
        <v>77</v>
      </c>
      <c r="Q59" s="42" t="s">
        <v>77</v>
      </c>
      <c r="R59" s="52"/>
      <c r="S59" s="45" t="s">
        <v>79</v>
      </c>
      <c r="T59" s="45" t="s">
        <v>94</v>
      </c>
      <c r="U59" s="45" t="s">
        <v>81</v>
      </c>
      <c r="V59" s="45" t="s">
        <v>78</v>
      </c>
      <c r="W59" s="42" t="s">
        <v>79</v>
      </c>
      <c r="X59" s="42" t="s">
        <v>82</v>
      </c>
      <c r="Y59" s="45" t="s">
        <v>83</v>
      </c>
      <c r="Z59" s="42"/>
      <c r="AA59" s="50"/>
      <c r="AB59" s="52"/>
      <c r="AC59" s="53">
        <f t="shared" si="5"/>
        <v>27</v>
      </c>
      <c r="AD59" s="52"/>
      <c r="AE59" s="53">
        <f t="shared" si="11"/>
        <v>2</v>
      </c>
      <c r="AF59" s="53">
        <f t="shared" si="3"/>
        <v>25</v>
      </c>
      <c r="AG59" s="52">
        <f t="shared" ref="AG59:AG60" si="15">(AF59*6.25)</f>
        <v>156.25</v>
      </c>
      <c r="AH59" s="48">
        <f>IFERROR(__xludf.DUMMYFUNCTION("importrange(C59,""Sheet2!a4:x4"")"),33.476190476190474)</f>
        <v>33.47619048</v>
      </c>
      <c r="AI59" s="48">
        <f>IFERROR(__xludf.DUMMYFUNCTION("""COMPUTED_VALUE"""),5.0)</f>
        <v>5</v>
      </c>
      <c r="AJ59" s="48">
        <f>IFERROR(__xludf.DUMMYFUNCTION("""COMPUTED_VALUE"""),34.0)</f>
        <v>34</v>
      </c>
      <c r="AK59" s="53" t="str">
        <f>IFERROR(__xludf.DUMMYFUNCTION("""COMPUTED_VALUE"""),"Attended")</f>
        <v>Attended</v>
      </c>
      <c r="AL59" s="53">
        <f>IFERROR(__xludf.DUMMYFUNCTION("""COMPUTED_VALUE"""),34.0)</f>
        <v>34</v>
      </c>
      <c r="AM59" s="53">
        <f>IFERROR(__xludf.DUMMYFUNCTION("""COMPUTED_VALUE"""),22.0)</f>
        <v>22</v>
      </c>
      <c r="AN59" s="53">
        <f>IFERROR(__xludf.DUMMYFUNCTION("""COMPUTED_VALUE"""),22.0)</f>
        <v>22</v>
      </c>
      <c r="AO59" s="53">
        <f>IFERROR(__xludf.DUMMYFUNCTION("""COMPUTED_VALUE"""),2.0)</f>
        <v>2</v>
      </c>
      <c r="AP59" s="53">
        <f>IFERROR(__xludf.DUMMYFUNCTION("""COMPUTED_VALUE"""),0.0)</f>
        <v>0</v>
      </c>
      <c r="AQ59" s="53">
        <f>IFERROR(__xludf.DUMMYFUNCTION("""COMPUTED_VALUE"""),5.0)</f>
        <v>5</v>
      </c>
      <c r="AR59" s="53">
        <f>IFERROR(__xludf.DUMMYFUNCTION("""COMPUTED_VALUE"""),5.0)</f>
        <v>5</v>
      </c>
      <c r="AS59" s="53">
        <f>IFERROR(__xludf.DUMMYFUNCTION("""COMPUTED_VALUE"""),93.10344827586206)</f>
        <v>93.10344828</v>
      </c>
      <c r="AT59" s="48">
        <f>IFERROR(__xludf.DUMMYFUNCTION("""COMPUTED_VALUE"""),5.88235294117647)</f>
        <v>5.882352941</v>
      </c>
      <c r="AU59" s="48">
        <f>IFERROR(__xludf.DUMMYFUNCTION("""COMPUTED_VALUE"""),0.0)</f>
        <v>0</v>
      </c>
      <c r="AV59" s="48">
        <f>IFERROR(__xludf.DUMMYFUNCTION("""COMPUTED_VALUE"""),14.705882352941178)</f>
        <v>14.70588235</v>
      </c>
      <c r="AW59" s="48">
        <f>IFERROR(__xludf.DUMMYFUNCTION("""COMPUTED_VALUE"""),14.705882352941178)</f>
        <v>14.70588235</v>
      </c>
      <c r="AX59" s="48">
        <f>IFERROR(__xludf.DUMMYFUNCTION("""COMPUTED_VALUE"""),79.41176470588235)</f>
        <v>79.41176471</v>
      </c>
      <c r="AY59" s="48">
        <f>IFERROR(__xludf.DUMMYFUNCTION("""COMPUTED_VALUE"""),0.0)</f>
        <v>0</v>
      </c>
      <c r="AZ59" s="48">
        <f>IFERROR(__xludf.DUMMYFUNCTION("""COMPUTED_VALUE"""),0.0)</f>
        <v>0</v>
      </c>
      <c r="BA59" s="48">
        <f>IFERROR(__xludf.DUMMYFUNCTION("""COMPUTED_VALUE"""),0.0)</f>
        <v>0</v>
      </c>
      <c r="BB59" s="48">
        <f>IFERROR(__xludf.DUMMYFUNCTION("""COMPUTED_VALUE"""),0.0)</f>
        <v>0</v>
      </c>
      <c r="BC59" s="48" t="str">
        <f>IFERROR(__xludf.DUMMYFUNCTION("""COMPUTED_VALUE"""),"#DIV/0!")</f>
        <v>#DIV/0!</v>
      </c>
      <c r="BD59" s="48" t="str">
        <f>IFERROR(__xludf.DUMMYFUNCTION("""COMPUTED_VALUE"""),"#DIV/0!")</f>
        <v>#DIV/0!</v>
      </c>
      <c r="BE59" s="48" t="str">
        <f>IFERROR(__xludf.DUMMYFUNCTION("""COMPUTED_VALUE"""),"#DIV/0!")</f>
        <v>#DIV/0!</v>
      </c>
      <c r="BF59" s="52"/>
      <c r="BG59" s="52"/>
      <c r="BH59" s="52"/>
      <c r="BI59" s="52"/>
      <c r="BJ59" s="52"/>
      <c r="BK59" s="52"/>
      <c r="BL59" s="52"/>
      <c r="BM59" s="54" t="s">
        <v>96</v>
      </c>
    </row>
    <row r="60">
      <c r="A60" s="42" t="s">
        <v>426</v>
      </c>
      <c r="B60" s="43" t="s">
        <v>427</v>
      </c>
      <c r="C60" s="44" t="s">
        <v>428</v>
      </c>
      <c r="D60" s="45" t="s">
        <v>70</v>
      </c>
      <c r="E60" s="42" t="s">
        <v>192</v>
      </c>
      <c r="F60" s="46">
        <v>41708.0</v>
      </c>
      <c r="G60" s="47">
        <v>42102.0</v>
      </c>
      <c r="H60" s="48">
        <f t="shared" si="1"/>
        <v>12.96052632</v>
      </c>
      <c r="I60" s="60" t="s">
        <v>429</v>
      </c>
      <c r="J60" s="50" t="s">
        <v>430</v>
      </c>
      <c r="K60" s="42" t="s">
        <v>431</v>
      </c>
      <c r="L60" s="42" t="s">
        <v>432</v>
      </c>
      <c r="M60" s="51">
        <v>31382.0</v>
      </c>
      <c r="N60" s="52">
        <f t="shared" si="2"/>
        <v>35</v>
      </c>
      <c r="O60" s="42" t="s">
        <v>104</v>
      </c>
      <c r="P60" s="42" t="s">
        <v>78</v>
      </c>
      <c r="Q60" s="42" t="s">
        <v>78</v>
      </c>
      <c r="R60" s="52"/>
      <c r="S60" s="42" t="s">
        <v>79</v>
      </c>
      <c r="T60" s="45" t="s">
        <v>80</v>
      </c>
      <c r="U60" s="42" t="s">
        <v>81</v>
      </c>
      <c r="V60" s="45" t="s">
        <v>78</v>
      </c>
      <c r="W60" s="42" t="s">
        <v>79</v>
      </c>
      <c r="X60" s="42" t="s">
        <v>82</v>
      </c>
      <c r="Y60" s="45" t="s">
        <v>83</v>
      </c>
      <c r="Z60" s="45" t="s">
        <v>84</v>
      </c>
      <c r="AA60" s="50"/>
      <c r="AB60" s="45"/>
      <c r="AC60" s="53">
        <f t="shared" si="5"/>
        <v>328</v>
      </c>
      <c r="AD60" s="45">
        <v>235.0</v>
      </c>
      <c r="AE60" s="53">
        <f t="shared" si="11"/>
        <v>12</v>
      </c>
      <c r="AF60" s="53">
        <f t="shared" si="3"/>
        <v>81</v>
      </c>
      <c r="AG60" s="52">
        <f t="shared" si="15"/>
        <v>506.25</v>
      </c>
      <c r="AH60" s="48">
        <f>IFERROR(__xludf.DUMMYFUNCTION("importrange(C60,""Sheet2!a4:x4"")"),27.926530612244896)</f>
        <v>27.92653061</v>
      </c>
      <c r="AI60" s="48">
        <f>IFERROR(__xludf.DUMMYFUNCTION("""COMPUTED_VALUE"""),16.0)</f>
        <v>16</v>
      </c>
      <c r="AJ60" s="48">
        <f>IFERROR(__xludf.DUMMYFUNCTION("""COMPUTED_VALUE"""),363.0)</f>
        <v>363</v>
      </c>
      <c r="AK60" s="53" t="str">
        <f>IFERROR(__xludf.DUMMYFUNCTION("""COMPUTED_VALUE"""),"Attended")</f>
        <v>Attended</v>
      </c>
      <c r="AL60" s="53">
        <f>IFERROR(__xludf.DUMMYFUNCTION("""COMPUTED_VALUE"""),363.0)</f>
        <v>363</v>
      </c>
      <c r="AM60" s="53">
        <f>IFERROR(__xludf.DUMMYFUNCTION("""COMPUTED_VALUE"""),247.0)</f>
        <v>247</v>
      </c>
      <c r="AN60" s="53">
        <f>IFERROR(__xludf.DUMMYFUNCTION("""COMPUTED_VALUE"""),245.0)</f>
        <v>245</v>
      </c>
      <c r="AO60" s="53">
        <f>IFERROR(__xludf.DUMMYFUNCTION("""COMPUTED_VALUE"""),11.0)</f>
        <v>11</v>
      </c>
      <c r="AP60" s="53">
        <f>IFERROR(__xludf.DUMMYFUNCTION("""COMPUTED_VALUE"""),2.0)</f>
        <v>2</v>
      </c>
      <c r="AQ60" s="53">
        <f>IFERROR(__xludf.DUMMYFUNCTION("""COMPUTED_VALUE"""),24.0)</f>
        <v>24</v>
      </c>
      <c r="AR60" s="53">
        <f>IFERROR(__xludf.DUMMYFUNCTION("""COMPUTED_VALUE"""),81.0)</f>
        <v>81</v>
      </c>
      <c r="AS60" s="53">
        <f>IFERROR(__xludf.DUMMYFUNCTION("""COMPUTED_VALUE"""),96.16519174041298)</f>
        <v>96.16519174</v>
      </c>
      <c r="AT60" s="48">
        <f>IFERROR(__xludf.DUMMYFUNCTION("""COMPUTED_VALUE"""),3.0303030303030303)</f>
        <v>3.03030303</v>
      </c>
      <c r="AU60" s="48">
        <f>IFERROR(__xludf.DUMMYFUNCTION("""COMPUTED_VALUE"""),0.5509641873278237)</f>
        <v>0.5509641873</v>
      </c>
      <c r="AV60" s="48">
        <f>IFERROR(__xludf.DUMMYFUNCTION("""COMPUTED_VALUE"""),6.6115702479338845)</f>
        <v>6.611570248</v>
      </c>
      <c r="AW60" s="48">
        <f>IFERROR(__xludf.DUMMYFUNCTION("""COMPUTED_VALUE"""),22.31404958677686)</f>
        <v>22.31404959</v>
      </c>
      <c r="AX60" s="48">
        <f>IFERROR(__xludf.DUMMYFUNCTION("""COMPUTED_VALUE"""),90.35812672176309)</f>
        <v>90.35812672</v>
      </c>
      <c r="AY60" s="48">
        <f>IFERROR(__xludf.DUMMYFUNCTION("""COMPUTED_VALUE"""),128.0)</f>
        <v>128</v>
      </c>
      <c r="AZ60" s="48">
        <f>IFERROR(__xludf.DUMMYFUNCTION("""COMPUTED_VALUE"""),127.0)</f>
        <v>127</v>
      </c>
      <c r="BA60" s="48">
        <f>IFERROR(__xludf.DUMMYFUNCTION("""COMPUTED_VALUE"""),1.0)</f>
        <v>1</v>
      </c>
      <c r="BB60" s="48">
        <f>IFERROR(__xludf.DUMMYFUNCTION("""COMPUTED_VALUE"""),15.0)</f>
        <v>15</v>
      </c>
      <c r="BC60" s="48">
        <f>IFERROR(__xludf.DUMMYFUNCTION("""COMPUTED_VALUE"""),99.21875)</f>
        <v>99.21875</v>
      </c>
      <c r="BD60" s="48">
        <f>IFERROR(__xludf.DUMMYFUNCTION("""COMPUTED_VALUE"""),0.78125)</f>
        <v>0.78125</v>
      </c>
      <c r="BE60" s="48">
        <f>IFERROR(__xludf.DUMMYFUNCTION("""COMPUTED_VALUE"""),10.48951048951049)</f>
        <v>10.48951049</v>
      </c>
      <c r="BF60" s="52"/>
      <c r="BG60" s="52"/>
      <c r="BH60" s="52"/>
      <c r="BI60" s="52"/>
      <c r="BJ60" s="52"/>
      <c r="BK60" s="52"/>
      <c r="BL60" s="52"/>
      <c r="BM60" s="54" t="s">
        <v>85</v>
      </c>
    </row>
    <row r="61">
      <c r="A61" s="42" t="s">
        <v>433</v>
      </c>
      <c r="B61" s="43" t="s">
        <v>434</v>
      </c>
      <c r="C61" s="44" t="s">
        <v>435</v>
      </c>
      <c r="D61" s="45" t="s">
        <v>125</v>
      </c>
      <c r="E61" s="42" t="s">
        <v>192</v>
      </c>
      <c r="F61" s="46">
        <v>41701.0</v>
      </c>
      <c r="G61" s="47">
        <v>44196.0</v>
      </c>
      <c r="H61" s="48">
        <f t="shared" si="1"/>
        <v>82.07236842</v>
      </c>
      <c r="I61" s="49" t="s">
        <v>436</v>
      </c>
      <c r="J61" s="50" t="s">
        <v>437</v>
      </c>
      <c r="K61" s="42" t="s">
        <v>438</v>
      </c>
      <c r="L61" s="42" t="s">
        <v>439</v>
      </c>
      <c r="M61" s="51">
        <v>31048.0</v>
      </c>
      <c r="N61" s="52">
        <f t="shared" si="2"/>
        <v>36</v>
      </c>
      <c r="O61" s="42" t="s">
        <v>76</v>
      </c>
      <c r="P61" s="42" t="s">
        <v>77</v>
      </c>
      <c r="Q61" s="42" t="s">
        <v>77</v>
      </c>
      <c r="R61" s="52"/>
      <c r="S61" s="42" t="s">
        <v>79</v>
      </c>
      <c r="T61" s="45" t="s">
        <v>94</v>
      </c>
      <c r="U61" s="42" t="s">
        <v>81</v>
      </c>
      <c r="V61" s="45" t="s">
        <v>78</v>
      </c>
      <c r="W61" s="42" t="s">
        <v>79</v>
      </c>
      <c r="X61" s="42" t="s">
        <v>82</v>
      </c>
      <c r="Y61" s="45" t="s">
        <v>83</v>
      </c>
      <c r="Z61" s="45" t="s">
        <v>367</v>
      </c>
      <c r="AA61" s="58" t="s">
        <v>440</v>
      </c>
      <c r="AB61" s="45"/>
      <c r="AC61" s="53">
        <f t="shared" si="5"/>
        <v>4771</v>
      </c>
      <c r="AD61" s="45">
        <v>4570.0</v>
      </c>
      <c r="AE61" s="53">
        <f t="shared" si="11"/>
        <v>201</v>
      </c>
      <c r="AF61" s="53">
        <f t="shared" si="3"/>
        <v>0</v>
      </c>
      <c r="AG61" s="52">
        <f>(AF61*12.5)</f>
        <v>0</v>
      </c>
      <c r="AH61" s="48">
        <f>IFERROR(__xludf.DUMMYFUNCTION("importrange(C61,""Sheet2!a4:x4"")"),25.53483941208492)</f>
        <v>25.53483941</v>
      </c>
      <c r="AI61" s="48">
        <f>IFERROR(__xludf.DUMMYFUNCTION("""COMPUTED_VALUE"""),39.0)</f>
        <v>39</v>
      </c>
      <c r="AJ61" s="48">
        <f>IFERROR(__xludf.DUMMYFUNCTION("""COMPUTED_VALUE"""),5113.0)</f>
        <v>5113</v>
      </c>
      <c r="AK61" s="53" t="str">
        <f>IFERROR(__xludf.DUMMYFUNCTION("""COMPUTED_VALUE"""),"Absent")</f>
        <v>Absent</v>
      </c>
      <c r="AL61" s="53">
        <f>IFERROR(__xludf.DUMMYFUNCTION("""COMPUTED_VALUE"""),5113.0)</f>
        <v>5113</v>
      </c>
      <c r="AM61" s="53">
        <f>IFERROR(__xludf.DUMMYFUNCTION("""COMPUTED_VALUE"""),3689.0)</f>
        <v>3689</v>
      </c>
      <c r="AN61" s="53">
        <f>IFERROR(__xludf.DUMMYFUNCTION("""COMPUTED_VALUE"""),3685.0)</f>
        <v>3685</v>
      </c>
      <c r="AO61" s="53">
        <f>IFERROR(__xludf.DUMMYFUNCTION("""COMPUTED_VALUE"""),199.0)</f>
        <v>199</v>
      </c>
      <c r="AP61" s="53">
        <f>IFERROR(__xludf.DUMMYFUNCTION("""COMPUTED_VALUE"""),4.0)</f>
        <v>4</v>
      </c>
      <c r="AQ61" s="53">
        <f>IFERROR(__xludf.DUMMYFUNCTION("""COMPUTED_VALUE"""),143.0)</f>
        <v>143</v>
      </c>
      <c r="AR61" s="53">
        <f>IFERROR(__xludf.DUMMYFUNCTION("""COMPUTED_VALUE"""),1082.0)</f>
        <v>1082</v>
      </c>
      <c r="AS61" s="53">
        <f>IFERROR(__xludf.DUMMYFUNCTION("""COMPUTED_VALUE"""),95.91549295774648)</f>
        <v>95.91549296</v>
      </c>
      <c r="AT61" s="48">
        <f>IFERROR(__xludf.DUMMYFUNCTION("""COMPUTED_VALUE"""),3.8920398982984548)</f>
        <v>3.892039898</v>
      </c>
      <c r="AU61" s="48">
        <f>IFERROR(__xludf.DUMMYFUNCTION("""COMPUTED_VALUE"""),0.07823195775474281)</f>
        <v>0.07823195775</v>
      </c>
      <c r="AV61" s="48">
        <f>IFERROR(__xludf.DUMMYFUNCTION("""COMPUTED_VALUE"""),2.7967924897320557)</f>
        <v>2.79679249</v>
      </c>
      <c r="AW61" s="48">
        <f>IFERROR(__xludf.DUMMYFUNCTION("""COMPUTED_VALUE"""),21.16174457265793)</f>
        <v>21.16174457</v>
      </c>
      <c r="AX61" s="48">
        <f>IFERROR(__xludf.DUMMYFUNCTION("""COMPUTED_VALUE"""),93.3111676119695)</f>
        <v>93.31116761</v>
      </c>
      <c r="AY61" s="48">
        <f>IFERROR(__xludf.DUMMYFUNCTION("""COMPUTED_VALUE"""),436.0)</f>
        <v>436</v>
      </c>
      <c r="AZ61" s="48">
        <f>IFERROR(__xludf.DUMMYFUNCTION("""COMPUTED_VALUE"""),414.0)</f>
        <v>414</v>
      </c>
      <c r="BA61" s="48">
        <f>IFERROR(__xludf.DUMMYFUNCTION("""COMPUTED_VALUE"""),22.0)</f>
        <v>22</v>
      </c>
      <c r="BB61" s="48">
        <f>IFERROR(__xludf.DUMMYFUNCTION("""COMPUTED_VALUE"""),99.0)</f>
        <v>99</v>
      </c>
      <c r="BC61" s="48">
        <f>IFERROR(__xludf.DUMMYFUNCTION("""COMPUTED_VALUE"""),94.95412844036697)</f>
        <v>94.95412844</v>
      </c>
      <c r="BD61" s="48">
        <f>IFERROR(__xludf.DUMMYFUNCTION("""COMPUTED_VALUE"""),5.045871559633028)</f>
        <v>5.04587156</v>
      </c>
      <c r="BE61" s="48">
        <f>IFERROR(__xludf.DUMMYFUNCTION("""COMPUTED_VALUE"""),18.50467289719626)</f>
        <v>18.5046729</v>
      </c>
      <c r="BF61" s="52"/>
      <c r="BG61" s="52"/>
      <c r="BH61" s="52"/>
      <c r="BI61" s="52"/>
      <c r="BJ61" s="52"/>
      <c r="BK61" s="45">
        <v>4.0</v>
      </c>
      <c r="BL61" s="45">
        <v>1.0</v>
      </c>
      <c r="BM61" s="59" t="s">
        <v>96</v>
      </c>
    </row>
    <row r="62">
      <c r="A62" s="42" t="s">
        <v>441</v>
      </c>
      <c r="B62" s="43" t="s">
        <v>442</v>
      </c>
      <c r="C62" s="44" t="s">
        <v>443</v>
      </c>
      <c r="D62" s="45" t="s">
        <v>70</v>
      </c>
      <c r="E62" s="42" t="s">
        <v>192</v>
      </c>
      <c r="F62" s="46">
        <v>41733.0</v>
      </c>
      <c r="G62" s="47">
        <v>42117.0</v>
      </c>
      <c r="H62" s="48">
        <f t="shared" si="1"/>
        <v>12.63157895</v>
      </c>
      <c r="I62" s="49" t="s">
        <v>444</v>
      </c>
      <c r="J62" s="50" t="s">
        <v>445</v>
      </c>
      <c r="K62" s="42" t="s">
        <v>446</v>
      </c>
      <c r="L62" s="42" t="s">
        <v>447</v>
      </c>
      <c r="M62" s="51">
        <v>32509.0</v>
      </c>
      <c r="N62" s="52">
        <f t="shared" si="2"/>
        <v>32</v>
      </c>
      <c r="O62" s="42" t="s">
        <v>104</v>
      </c>
      <c r="P62" s="42" t="s">
        <v>77</v>
      </c>
      <c r="Q62" s="42" t="s">
        <v>77</v>
      </c>
      <c r="R62" s="52"/>
      <c r="S62" s="42" t="s">
        <v>79</v>
      </c>
      <c r="T62" s="45" t="s">
        <v>94</v>
      </c>
      <c r="U62" s="42" t="s">
        <v>81</v>
      </c>
      <c r="V62" s="45" t="s">
        <v>78</v>
      </c>
      <c r="W62" s="42" t="s">
        <v>79</v>
      </c>
      <c r="X62" s="42" t="s">
        <v>82</v>
      </c>
      <c r="Y62" s="45" t="s">
        <v>83</v>
      </c>
      <c r="Z62" s="45" t="s">
        <v>367</v>
      </c>
      <c r="AA62" s="58" t="s">
        <v>448</v>
      </c>
      <c r="AB62" s="52"/>
      <c r="AC62" s="53">
        <f t="shared" si="5"/>
        <v>1074</v>
      </c>
      <c r="AD62" s="45">
        <v>1049.0</v>
      </c>
      <c r="AE62" s="53">
        <f t="shared" si="11"/>
        <v>24</v>
      </c>
      <c r="AF62" s="53">
        <f t="shared" si="3"/>
        <v>1</v>
      </c>
      <c r="AG62" s="52">
        <f>(AF62*7.5)</f>
        <v>7.5</v>
      </c>
      <c r="AH62" s="48">
        <f>IFERROR(__xludf.DUMMYFUNCTION("importrange(C62,""Sheet2!a4:x4"")"),30.01233183856502)</f>
        <v>30.01233184</v>
      </c>
      <c r="AI62" s="48">
        <f>IFERROR(__xludf.DUMMYFUNCTION("""COMPUTED_VALUE"""),41.0)</f>
        <v>41</v>
      </c>
      <c r="AJ62" s="48">
        <f>IFERROR(__xludf.DUMMYFUNCTION("""COMPUTED_VALUE"""),1108.0)</f>
        <v>1108</v>
      </c>
      <c r="AK62" s="53" t="str">
        <f>IFERROR(__xludf.DUMMYFUNCTION("""COMPUTED_VALUE"""),"Attended")</f>
        <v>Attended</v>
      </c>
      <c r="AL62" s="53">
        <f>IFERROR(__xludf.DUMMYFUNCTION("""COMPUTED_VALUE"""),1108.0)</f>
        <v>1108</v>
      </c>
      <c r="AM62" s="53">
        <f>IFERROR(__xludf.DUMMYFUNCTION("""COMPUTED_VALUE"""),893.0)</f>
        <v>893</v>
      </c>
      <c r="AN62" s="53">
        <f>IFERROR(__xludf.DUMMYFUNCTION("""COMPUTED_VALUE"""),883.0)</f>
        <v>883</v>
      </c>
      <c r="AO62" s="53">
        <f>IFERROR(__xludf.DUMMYFUNCTION("""COMPUTED_VALUE"""),19.0)</f>
        <v>19</v>
      </c>
      <c r="AP62" s="53">
        <f>IFERROR(__xludf.DUMMYFUNCTION("""COMPUTED_VALUE"""),10.0)</f>
        <v>10</v>
      </c>
      <c r="AQ62" s="53">
        <f>IFERROR(__xludf.DUMMYFUNCTION("""COMPUTED_VALUE"""),15.0)</f>
        <v>15</v>
      </c>
      <c r="AR62" s="53">
        <f>IFERROR(__xludf.DUMMYFUNCTION("""COMPUTED_VALUE"""),181.0)</f>
        <v>181</v>
      </c>
      <c r="AS62" s="53">
        <f>IFERROR(__xludf.DUMMYFUNCTION("""COMPUTED_VALUE"""),97.34675205855444)</f>
        <v>97.34675206</v>
      </c>
      <c r="AT62" s="48">
        <f>IFERROR(__xludf.DUMMYFUNCTION("""COMPUTED_VALUE"""),1.7148014440433215)</f>
        <v>1.714801444</v>
      </c>
      <c r="AU62" s="48">
        <f>IFERROR(__xludf.DUMMYFUNCTION("""COMPUTED_VALUE"""),0.9025270758122743)</f>
        <v>0.9025270758</v>
      </c>
      <c r="AV62" s="48">
        <f>IFERROR(__xludf.DUMMYFUNCTION("""COMPUTED_VALUE"""),1.3537906137184115)</f>
        <v>1.353790614</v>
      </c>
      <c r="AW62" s="48">
        <f>IFERROR(__xludf.DUMMYFUNCTION("""COMPUTED_VALUE"""),16.335740072202164)</f>
        <v>16.33574007</v>
      </c>
      <c r="AX62" s="48">
        <f>IFERROR(__xludf.DUMMYFUNCTION("""COMPUTED_VALUE"""),96.93140794223827)</f>
        <v>96.93140794</v>
      </c>
      <c r="AY62" s="48">
        <f>IFERROR(__xludf.DUMMYFUNCTION("""COMPUTED_VALUE"""),245.0)</f>
        <v>245</v>
      </c>
      <c r="AZ62" s="48">
        <f>IFERROR(__xludf.DUMMYFUNCTION("""COMPUTED_VALUE"""),243.0)</f>
        <v>243</v>
      </c>
      <c r="BA62" s="48">
        <f>IFERROR(__xludf.DUMMYFUNCTION("""COMPUTED_VALUE"""),2.0)</f>
        <v>2</v>
      </c>
      <c r="BB62" s="48">
        <f>IFERROR(__xludf.DUMMYFUNCTION("""COMPUTED_VALUE"""),22.0)</f>
        <v>22</v>
      </c>
      <c r="BC62" s="48">
        <f>IFERROR(__xludf.DUMMYFUNCTION("""COMPUTED_VALUE"""),99.18367346938776)</f>
        <v>99.18367347</v>
      </c>
      <c r="BD62" s="48">
        <f>IFERROR(__xludf.DUMMYFUNCTION("""COMPUTED_VALUE"""),0.8163265306122449)</f>
        <v>0.8163265306</v>
      </c>
      <c r="BE62" s="48">
        <f>IFERROR(__xludf.DUMMYFUNCTION("""COMPUTED_VALUE"""),8.239700374531834)</f>
        <v>8.239700375</v>
      </c>
      <c r="BF62" s="52"/>
      <c r="BG62" s="52"/>
      <c r="BH62" s="52"/>
      <c r="BI62" s="52"/>
      <c r="BJ62" s="52"/>
      <c r="BK62" s="52"/>
      <c r="BL62" s="52"/>
      <c r="BM62" s="54" t="s">
        <v>96</v>
      </c>
    </row>
    <row r="63">
      <c r="A63" s="42" t="s">
        <v>449</v>
      </c>
      <c r="B63" s="43" t="s">
        <v>450</v>
      </c>
      <c r="C63" s="44" t="s">
        <v>451</v>
      </c>
      <c r="D63" s="45" t="s">
        <v>70</v>
      </c>
      <c r="E63" s="42" t="s">
        <v>71</v>
      </c>
      <c r="F63" s="46">
        <v>41734.0</v>
      </c>
      <c r="G63" s="47">
        <v>42642.0</v>
      </c>
      <c r="H63" s="48">
        <f t="shared" si="1"/>
        <v>29.86842105</v>
      </c>
      <c r="I63" s="49" t="s">
        <v>452</v>
      </c>
      <c r="J63" s="50" t="s">
        <v>453</v>
      </c>
      <c r="K63" s="42" t="s">
        <v>454</v>
      </c>
      <c r="L63" s="42" t="s">
        <v>455</v>
      </c>
      <c r="M63" s="51">
        <v>29952.0</v>
      </c>
      <c r="N63" s="52">
        <f t="shared" si="2"/>
        <v>39</v>
      </c>
      <c r="O63" s="42" t="s">
        <v>76</v>
      </c>
      <c r="P63" s="42" t="s">
        <v>77</v>
      </c>
      <c r="Q63" s="42" t="s">
        <v>77</v>
      </c>
      <c r="R63" s="52"/>
      <c r="S63" s="42" t="s">
        <v>79</v>
      </c>
      <c r="T63" s="45" t="s">
        <v>94</v>
      </c>
      <c r="U63" s="42" t="s">
        <v>81</v>
      </c>
      <c r="V63" s="45" t="s">
        <v>78</v>
      </c>
      <c r="W63" s="42" t="s">
        <v>79</v>
      </c>
      <c r="X63" s="42" t="s">
        <v>82</v>
      </c>
      <c r="Y63" s="45" t="s">
        <v>83</v>
      </c>
      <c r="Z63" s="45" t="s">
        <v>367</v>
      </c>
      <c r="AA63" s="58" t="s">
        <v>456</v>
      </c>
      <c r="AB63" s="45"/>
      <c r="AC63" s="53">
        <f t="shared" si="5"/>
        <v>839</v>
      </c>
      <c r="AD63" s="45">
        <v>745.5</v>
      </c>
      <c r="AE63" s="53">
        <f t="shared" si="11"/>
        <v>93.5</v>
      </c>
      <c r="AF63" s="53">
        <f t="shared" si="3"/>
        <v>0</v>
      </c>
      <c r="AG63" s="52">
        <f>(AF63*7)</f>
        <v>0</v>
      </c>
      <c r="AH63" s="48">
        <f>IFERROR(__xludf.DUMMYFUNCTION("importrange(C63,""Sheet2!a4:x4"")"),27.013824884792626)</f>
        <v>27.01382488</v>
      </c>
      <c r="AI63" s="48">
        <f>IFERROR(__xludf.DUMMYFUNCTION("""COMPUTED_VALUE"""),25.0)</f>
        <v>25</v>
      </c>
      <c r="AJ63" s="48">
        <f>IFERROR(__xludf.DUMMYFUNCTION("""COMPUTED_VALUE"""),983.0)</f>
        <v>983</v>
      </c>
      <c r="AK63" s="53" t="str">
        <f>IFERROR(__xludf.DUMMYFUNCTION("""COMPUTED_VALUE"""),"Absent")</f>
        <v>Absent</v>
      </c>
      <c r="AL63" s="53">
        <f>IFERROR(__xludf.DUMMYFUNCTION("""COMPUTED_VALUE"""),983.0)</f>
        <v>983</v>
      </c>
      <c r="AM63" s="53">
        <f>IFERROR(__xludf.DUMMYFUNCTION("""COMPUTED_VALUE"""),654.0)</f>
        <v>654</v>
      </c>
      <c r="AN63" s="53">
        <f>IFERROR(__xludf.DUMMYFUNCTION("""COMPUTED_VALUE"""),615.0)</f>
        <v>615</v>
      </c>
      <c r="AO63" s="53">
        <f>IFERROR(__xludf.DUMMYFUNCTION("""COMPUTED_VALUE"""),74.0)</f>
        <v>74</v>
      </c>
      <c r="AP63" s="53">
        <f>IFERROR(__xludf.DUMMYFUNCTION("""COMPUTED_VALUE"""),39.0)</f>
        <v>39</v>
      </c>
      <c r="AQ63" s="53">
        <f>IFERROR(__xludf.DUMMYFUNCTION("""COMPUTED_VALUE"""),70.0)</f>
        <v>70</v>
      </c>
      <c r="AR63" s="53">
        <f>IFERROR(__xludf.DUMMYFUNCTION("""COMPUTED_VALUE"""),185.0)</f>
        <v>185</v>
      </c>
      <c r="AS63" s="53">
        <f>IFERROR(__xludf.DUMMYFUNCTION("""COMPUTED_VALUE"""),87.62322015334063)</f>
        <v>87.62322015</v>
      </c>
      <c r="AT63" s="48">
        <f>IFERROR(__xludf.DUMMYFUNCTION("""COMPUTED_VALUE"""),7.527975584944049)</f>
        <v>7.527975585</v>
      </c>
      <c r="AU63" s="48">
        <f>IFERROR(__xludf.DUMMYFUNCTION("""COMPUTED_VALUE"""),3.967446592065107)</f>
        <v>3.967446592</v>
      </c>
      <c r="AV63" s="48">
        <f>IFERROR(__xludf.DUMMYFUNCTION("""COMPUTED_VALUE"""),7.121057985757884)</f>
        <v>7.121057986</v>
      </c>
      <c r="AW63" s="48">
        <f>IFERROR(__xludf.DUMMYFUNCTION("""COMPUTED_VALUE"""),18.819938962360123)</f>
        <v>18.81993896</v>
      </c>
      <c r="AX63" s="48">
        <f>IFERROR(__xludf.DUMMYFUNCTION("""COMPUTED_VALUE"""),85.35096642929807)</f>
        <v>85.35096643</v>
      </c>
      <c r="AY63" s="48">
        <f>IFERROR(__xludf.DUMMYFUNCTION("""COMPUTED_VALUE"""),183.0)</f>
        <v>183</v>
      </c>
      <c r="AZ63" s="48">
        <f>IFERROR(__xludf.DUMMYFUNCTION("""COMPUTED_VALUE"""),180.0)</f>
        <v>180</v>
      </c>
      <c r="BA63" s="48">
        <f>IFERROR(__xludf.DUMMYFUNCTION("""COMPUTED_VALUE"""),3.0)</f>
        <v>3</v>
      </c>
      <c r="BB63" s="48">
        <f>IFERROR(__xludf.DUMMYFUNCTION("""COMPUTED_VALUE"""),8.0)</f>
        <v>8</v>
      </c>
      <c r="BC63" s="48">
        <f>IFERROR(__xludf.DUMMYFUNCTION("""COMPUTED_VALUE"""),98.36065573770492)</f>
        <v>98.36065574</v>
      </c>
      <c r="BD63" s="48">
        <f>IFERROR(__xludf.DUMMYFUNCTION("""COMPUTED_VALUE"""),1.639344262295082)</f>
        <v>1.639344262</v>
      </c>
      <c r="BE63" s="48">
        <f>IFERROR(__xludf.DUMMYFUNCTION("""COMPUTED_VALUE"""),4.18848167539267)</f>
        <v>4.188481675</v>
      </c>
      <c r="BF63" s="52"/>
      <c r="BG63" s="52"/>
      <c r="BH63" s="52"/>
      <c r="BI63" s="52"/>
      <c r="BJ63" s="52"/>
      <c r="BK63" s="52"/>
      <c r="BL63" s="52"/>
      <c r="BM63" s="54" t="s">
        <v>96</v>
      </c>
    </row>
    <row r="64">
      <c r="A64" s="42" t="s">
        <v>457</v>
      </c>
      <c r="B64" s="43" t="s">
        <v>458</v>
      </c>
      <c r="C64" s="44" t="s">
        <v>459</v>
      </c>
      <c r="D64" s="45" t="s">
        <v>70</v>
      </c>
      <c r="E64" s="42" t="s">
        <v>71</v>
      </c>
      <c r="F64" s="46">
        <v>41735.0</v>
      </c>
      <c r="G64" s="47">
        <v>41827.0</v>
      </c>
      <c r="H64" s="48">
        <f t="shared" si="1"/>
        <v>3.026315789</v>
      </c>
      <c r="I64" s="49" t="s">
        <v>460</v>
      </c>
      <c r="J64" s="50" t="s">
        <v>461</v>
      </c>
      <c r="K64" s="42" t="s">
        <v>462</v>
      </c>
      <c r="L64" s="42" t="s">
        <v>463</v>
      </c>
      <c r="M64" s="51">
        <v>32874.0</v>
      </c>
      <c r="N64" s="52">
        <f t="shared" si="2"/>
        <v>31</v>
      </c>
      <c r="O64" s="42" t="s">
        <v>104</v>
      </c>
      <c r="P64" s="42" t="s">
        <v>77</v>
      </c>
      <c r="Q64" s="42" t="s">
        <v>77</v>
      </c>
      <c r="R64" s="52"/>
      <c r="S64" s="42" t="s">
        <v>79</v>
      </c>
      <c r="T64" s="45" t="s">
        <v>80</v>
      </c>
      <c r="U64" s="42" t="s">
        <v>81</v>
      </c>
      <c r="V64" s="45" t="s">
        <v>78</v>
      </c>
      <c r="W64" s="42" t="s">
        <v>79</v>
      </c>
      <c r="X64" s="42" t="s">
        <v>82</v>
      </c>
      <c r="Y64" s="45" t="s">
        <v>83</v>
      </c>
      <c r="Z64" s="42"/>
      <c r="AA64" s="50"/>
      <c r="AB64" s="45"/>
      <c r="AC64" s="53">
        <f t="shared" si="5"/>
        <v>120</v>
      </c>
      <c r="AD64" s="45">
        <v>117.0</v>
      </c>
      <c r="AE64" s="53">
        <f t="shared" si="11"/>
        <v>3</v>
      </c>
      <c r="AF64" s="53">
        <f t="shared" si="3"/>
        <v>0</v>
      </c>
      <c r="AG64" s="52">
        <f>(AF64*6.25)</f>
        <v>0</v>
      </c>
      <c r="AH64" s="48">
        <f>IFERROR(__xludf.DUMMYFUNCTION("importrange(C64,""Sheet2!a4:x4"")"),26.936363636363637)</f>
        <v>26.93636364</v>
      </c>
      <c r="AI64" s="48">
        <f>IFERROR(__xludf.DUMMYFUNCTION("""COMPUTED_VALUE"""),8.0)</f>
        <v>8</v>
      </c>
      <c r="AJ64" s="48">
        <f>IFERROR(__xludf.DUMMYFUNCTION("""COMPUTED_VALUE"""),123.0)</f>
        <v>123</v>
      </c>
      <c r="AK64" s="53" t="str">
        <f>IFERROR(__xludf.DUMMYFUNCTION("""COMPUTED_VALUE"""),"Attended")</f>
        <v>Attended</v>
      </c>
      <c r="AL64" s="53">
        <f>IFERROR(__xludf.DUMMYFUNCTION("""COMPUTED_VALUE"""),123.0)</f>
        <v>123</v>
      </c>
      <c r="AM64" s="53">
        <f>IFERROR(__xludf.DUMMYFUNCTION("""COMPUTED_VALUE"""),110.0)</f>
        <v>110</v>
      </c>
      <c r="AN64" s="53">
        <f>IFERROR(__xludf.DUMMYFUNCTION("""COMPUTED_VALUE"""),108.0)</f>
        <v>108</v>
      </c>
      <c r="AO64" s="53">
        <f>IFERROR(__xludf.DUMMYFUNCTION("""COMPUTED_VALUE"""),2.0)</f>
        <v>2</v>
      </c>
      <c r="AP64" s="53">
        <f>IFERROR(__xludf.DUMMYFUNCTION("""COMPUTED_VALUE"""),2.0)</f>
        <v>2</v>
      </c>
      <c r="AQ64" s="53">
        <f>IFERROR(__xludf.DUMMYFUNCTION("""COMPUTED_VALUE"""),1.0)</f>
        <v>1</v>
      </c>
      <c r="AR64" s="53">
        <f>IFERROR(__xludf.DUMMYFUNCTION("""COMPUTED_VALUE"""),10.0)</f>
        <v>10</v>
      </c>
      <c r="AS64" s="53">
        <f>IFERROR(__xludf.DUMMYFUNCTION("""COMPUTED_VALUE"""),96.72131147540983)</f>
        <v>96.72131148</v>
      </c>
      <c r="AT64" s="48">
        <f>IFERROR(__xludf.DUMMYFUNCTION("""COMPUTED_VALUE"""),1.6260162601626018)</f>
        <v>1.62601626</v>
      </c>
      <c r="AU64" s="48">
        <f>IFERROR(__xludf.DUMMYFUNCTION("""COMPUTED_VALUE"""),1.6260162601626018)</f>
        <v>1.62601626</v>
      </c>
      <c r="AV64" s="48">
        <f>IFERROR(__xludf.DUMMYFUNCTION("""COMPUTED_VALUE"""),0.8130081300813009)</f>
        <v>0.8130081301</v>
      </c>
      <c r="AW64" s="48">
        <f>IFERROR(__xludf.DUMMYFUNCTION("""COMPUTED_VALUE"""),8.130081300813007)</f>
        <v>8.130081301</v>
      </c>
      <c r="AX64" s="48">
        <f>IFERROR(__xludf.DUMMYFUNCTION("""COMPUTED_VALUE"""),97.5609756097561)</f>
        <v>97.56097561</v>
      </c>
      <c r="AY64" s="48">
        <f>IFERROR(__xludf.DUMMYFUNCTION("""COMPUTED_VALUE"""),7.0)</f>
        <v>7</v>
      </c>
      <c r="AZ64" s="48">
        <f>IFERROR(__xludf.DUMMYFUNCTION("""COMPUTED_VALUE"""),0.0)</f>
        <v>0</v>
      </c>
      <c r="BA64" s="48">
        <f>IFERROR(__xludf.DUMMYFUNCTION("""COMPUTED_VALUE"""),7.0)</f>
        <v>7</v>
      </c>
      <c r="BB64" s="48">
        <f>IFERROR(__xludf.DUMMYFUNCTION("""COMPUTED_VALUE"""),0.0)</f>
        <v>0</v>
      </c>
      <c r="BC64" s="48">
        <f>IFERROR(__xludf.DUMMYFUNCTION("""COMPUTED_VALUE"""),0.0)</f>
        <v>0</v>
      </c>
      <c r="BD64" s="48">
        <f>IFERROR(__xludf.DUMMYFUNCTION("""COMPUTED_VALUE"""),100.0)</f>
        <v>100</v>
      </c>
      <c r="BE64" s="48">
        <f>IFERROR(__xludf.DUMMYFUNCTION("""COMPUTED_VALUE"""),0.0)</f>
        <v>0</v>
      </c>
      <c r="BF64" s="52"/>
      <c r="BG64" s="52"/>
      <c r="BH64" s="52"/>
      <c r="BI64" s="52"/>
      <c r="BJ64" s="52"/>
      <c r="BK64" s="52"/>
      <c r="BL64" s="52"/>
      <c r="BM64" s="54" t="s">
        <v>85</v>
      </c>
    </row>
    <row r="65">
      <c r="A65" s="42" t="s">
        <v>464</v>
      </c>
      <c r="B65" s="43" t="s">
        <v>465</v>
      </c>
      <c r="C65" s="44" t="s">
        <v>466</v>
      </c>
      <c r="D65" s="45" t="s">
        <v>70</v>
      </c>
      <c r="E65" s="42" t="s">
        <v>71</v>
      </c>
      <c r="F65" s="46">
        <v>41736.0</v>
      </c>
      <c r="G65" s="47">
        <v>42077.0</v>
      </c>
      <c r="H65" s="48">
        <f t="shared" si="1"/>
        <v>11.21710526</v>
      </c>
      <c r="I65" s="49" t="s">
        <v>467</v>
      </c>
      <c r="J65" s="50" t="s">
        <v>468</v>
      </c>
      <c r="K65" s="42" t="s">
        <v>469</v>
      </c>
      <c r="L65" s="42" t="s">
        <v>470</v>
      </c>
      <c r="M65" s="51">
        <v>33604.0</v>
      </c>
      <c r="N65" s="52">
        <f t="shared" si="2"/>
        <v>29</v>
      </c>
      <c r="O65" s="45" t="s">
        <v>471</v>
      </c>
      <c r="P65" s="42" t="s">
        <v>77</v>
      </c>
      <c r="Q65" s="42" t="s">
        <v>77</v>
      </c>
      <c r="R65" s="52"/>
      <c r="S65" s="42" t="s">
        <v>79</v>
      </c>
      <c r="T65" s="45" t="s">
        <v>94</v>
      </c>
      <c r="U65" s="42" t="s">
        <v>81</v>
      </c>
      <c r="V65" s="45" t="s">
        <v>78</v>
      </c>
      <c r="W65" s="42" t="s">
        <v>79</v>
      </c>
      <c r="X65" s="42" t="s">
        <v>82</v>
      </c>
      <c r="Y65" s="45" t="s">
        <v>83</v>
      </c>
      <c r="Z65" s="45" t="s">
        <v>130</v>
      </c>
      <c r="AA65" s="58" t="s">
        <v>472</v>
      </c>
      <c r="AB65" s="45"/>
      <c r="AC65" s="53">
        <f t="shared" si="5"/>
        <v>784</v>
      </c>
      <c r="AD65" s="45">
        <v>731.5</v>
      </c>
      <c r="AE65" s="53">
        <f t="shared" si="11"/>
        <v>52</v>
      </c>
      <c r="AF65" s="53">
        <f t="shared" si="3"/>
        <v>0.5</v>
      </c>
      <c r="AG65" s="52">
        <f>(AF65*7.5)</f>
        <v>3.75</v>
      </c>
      <c r="AH65" s="48">
        <f>IFERROR(__xludf.DUMMYFUNCTION("importrange(C65,""Sheet2!a4:x4"")"),22.32101167315175)</f>
        <v>22.32101167</v>
      </c>
      <c r="AI65" s="48">
        <f>IFERROR(__xludf.DUMMYFUNCTION("""COMPUTED_VALUE"""),41.0)</f>
        <v>41</v>
      </c>
      <c r="AJ65" s="48">
        <f>IFERROR(__xludf.DUMMYFUNCTION("""COMPUTED_VALUE"""),904.0)</f>
        <v>904</v>
      </c>
      <c r="AK65" s="53" t="str">
        <f>IFERROR(__xludf.DUMMYFUNCTION("""COMPUTED_VALUE"""),"Attended No Show")</f>
        <v>Attended No Show</v>
      </c>
      <c r="AL65" s="53">
        <f>IFERROR(__xludf.DUMMYFUNCTION("""COMPUTED_VALUE"""),904.0)</f>
        <v>904</v>
      </c>
      <c r="AM65" s="53">
        <f>IFERROR(__xludf.DUMMYFUNCTION("""COMPUTED_VALUE"""),550.0)</f>
        <v>550</v>
      </c>
      <c r="AN65" s="53">
        <f>IFERROR(__xludf.DUMMYFUNCTION("""COMPUTED_VALUE"""),538.0)</f>
        <v>538</v>
      </c>
      <c r="AO65" s="53">
        <f>IFERROR(__xludf.DUMMYFUNCTION("""COMPUTED_VALUE"""),46.0)</f>
        <v>46</v>
      </c>
      <c r="AP65" s="53">
        <f>IFERROR(__xludf.DUMMYFUNCTION("""COMPUTED_VALUE"""),12.0)</f>
        <v>12</v>
      </c>
      <c r="AQ65" s="53">
        <f>IFERROR(__xludf.DUMMYFUNCTION("""COMPUTED_VALUE"""),74.0)</f>
        <v>74</v>
      </c>
      <c r="AR65" s="53">
        <f>IFERROR(__xludf.DUMMYFUNCTION("""COMPUTED_VALUE"""),234.0)</f>
        <v>234</v>
      </c>
      <c r="AS65" s="53">
        <f>IFERROR(__xludf.DUMMYFUNCTION("""COMPUTED_VALUE"""),93.01204819277108)</f>
        <v>93.01204819</v>
      </c>
      <c r="AT65" s="48">
        <f>IFERROR(__xludf.DUMMYFUNCTION("""COMPUTED_VALUE"""),5.0884955752212395)</f>
        <v>5.088495575</v>
      </c>
      <c r="AU65" s="48">
        <f>IFERROR(__xludf.DUMMYFUNCTION("""COMPUTED_VALUE"""),1.3274336283185841)</f>
        <v>1.327433628</v>
      </c>
      <c r="AV65" s="48">
        <f>IFERROR(__xludf.DUMMYFUNCTION("""COMPUTED_VALUE"""),8.185840707964601)</f>
        <v>8.185840708</v>
      </c>
      <c r="AW65" s="48">
        <f>IFERROR(__xludf.DUMMYFUNCTION("""COMPUTED_VALUE"""),25.88495575221239)</f>
        <v>25.88495575</v>
      </c>
      <c r="AX65" s="48">
        <f>IFERROR(__xludf.DUMMYFUNCTION("""COMPUTED_VALUE"""),86.72566371681415)</f>
        <v>86.72566372</v>
      </c>
      <c r="AY65" s="48">
        <f>IFERROR(__xludf.DUMMYFUNCTION("""COMPUTED_VALUE"""),475.0)</f>
        <v>475</v>
      </c>
      <c r="AZ65" s="48">
        <f>IFERROR(__xludf.DUMMYFUNCTION("""COMPUTED_VALUE"""),429.0)</f>
        <v>429</v>
      </c>
      <c r="BA65" s="48">
        <f>IFERROR(__xludf.DUMMYFUNCTION("""COMPUTED_VALUE"""),46.0)</f>
        <v>46</v>
      </c>
      <c r="BB65" s="48">
        <f>IFERROR(__xludf.DUMMYFUNCTION("""COMPUTED_VALUE"""),27.0)</f>
        <v>27</v>
      </c>
      <c r="BC65" s="48">
        <f>IFERROR(__xludf.DUMMYFUNCTION("""COMPUTED_VALUE"""),90.31578947368422)</f>
        <v>90.31578947</v>
      </c>
      <c r="BD65" s="48">
        <f>IFERROR(__xludf.DUMMYFUNCTION("""COMPUTED_VALUE"""),9.68421052631579)</f>
        <v>9.684210526</v>
      </c>
      <c r="BE65" s="48">
        <f>IFERROR(__xludf.DUMMYFUNCTION("""COMPUTED_VALUE"""),5.378486055776892)</f>
        <v>5.378486056</v>
      </c>
      <c r="BF65" s="52"/>
      <c r="BG65" s="52"/>
      <c r="BH65" s="52"/>
      <c r="BI65" s="52"/>
      <c r="BJ65" s="52"/>
      <c r="BK65" s="52"/>
      <c r="BL65" s="52"/>
      <c r="BM65" s="54" t="s">
        <v>96</v>
      </c>
    </row>
    <row r="66">
      <c r="A66" s="42" t="s">
        <v>473</v>
      </c>
      <c r="B66" s="43" t="s">
        <v>474</v>
      </c>
      <c r="C66" s="44" t="s">
        <v>475</v>
      </c>
      <c r="D66" s="45" t="s">
        <v>70</v>
      </c>
      <c r="E66" s="42" t="s">
        <v>192</v>
      </c>
      <c r="F66" s="46">
        <v>41737.0</v>
      </c>
      <c r="G66" s="47">
        <v>42083.0</v>
      </c>
      <c r="H66" s="48">
        <f t="shared" si="1"/>
        <v>11.38157895</v>
      </c>
      <c r="I66" s="49" t="s">
        <v>476</v>
      </c>
      <c r="J66" s="50" t="s">
        <v>477</v>
      </c>
      <c r="K66" s="42" t="s">
        <v>478</v>
      </c>
      <c r="L66" s="42" t="s">
        <v>479</v>
      </c>
      <c r="M66" s="51">
        <v>28815.0</v>
      </c>
      <c r="N66" s="52">
        <f t="shared" si="2"/>
        <v>42</v>
      </c>
      <c r="O66" s="42" t="s">
        <v>76</v>
      </c>
      <c r="P66" s="42" t="s">
        <v>77</v>
      </c>
      <c r="Q66" s="42" t="s">
        <v>77</v>
      </c>
      <c r="R66" s="52"/>
      <c r="S66" s="42" t="s">
        <v>79</v>
      </c>
      <c r="T66" s="45" t="s">
        <v>80</v>
      </c>
      <c r="U66" s="42" t="s">
        <v>81</v>
      </c>
      <c r="V66" s="45" t="s">
        <v>78</v>
      </c>
      <c r="W66" s="42" t="s">
        <v>79</v>
      </c>
      <c r="X66" s="42" t="s">
        <v>82</v>
      </c>
      <c r="Y66" s="45" t="s">
        <v>83</v>
      </c>
      <c r="Z66" s="45" t="s">
        <v>130</v>
      </c>
      <c r="AA66" s="58" t="s">
        <v>480</v>
      </c>
      <c r="AB66" s="52"/>
      <c r="AC66" s="53">
        <f t="shared" si="5"/>
        <v>98</v>
      </c>
      <c r="AD66" s="45">
        <v>72.5</v>
      </c>
      <c r="AE66" s="53">
        <f t="shared" si="11"/>
        <v>27.5</v>
      </c>
      <c r="AF66" s="53">
        <f t="shared" si="3"/>
        <v>-2</v>
      </c>
      <c r="AG66" s="52">
        <f>(AF66*6.25)</f>
        <v>-12.5</v>
      </c>
      <c r="AH66" s="48">
        <f>IFERROR(__xludf.DUMMYFUNCTION("importrange(C66,""Sheet2!a4:x4"")"),26.272727272727273)</f>
        <v>26.27272727</v>
      </c>
      <c r="AI66" s="48">
        <f>IFERROR(__xludf.DUMMYFUNCTION("""COMPUTED_VALUE"""),11.0)</f>
        <v>11</v>
      </c>
      <c r="AJ66" s="48">
        <f>IFERROR(__xludf.DUMMYFUNCTION("""COMPUTED_VALUE"""),132.0)</f>
        <v>132</v>
      </c>
      <c r="AK66" s="53" t="str">
        <f>IFERROR(__xludf.DUMMYFUNCTION("""COMPUTED_VALUE"""),"Absent")</f>
        <v>Absent</v>
      </c>
      <c r="AL66" s="53">
        <f>IFERROR(__xludf.DUMMYFUNCTION("""COMPUTED_VALUE"""),132.0)</f>
        <v>132</v>
      </c>
      <c r="AM66" s="53">
        <f>IFERROR(__xludf.DUMMYFUNCTION("""COMPUTED_VALUE"""),58.0)</f>
        <v>58</v>
      </c>
      <c r="AN66" s="53">
        <f>IFERROR(__xludf.DUMMYFUNCTION("""COMPUTED_VALUE"""),55.0)</f>
        <v>55</v>
      </c>
      <c r="AO66" s="53">
        <f>IFERROR(__xludf.DUMMYFUNCTION("""COMPUTED_VALUE"""),26.0)</f>
        <v>26</v>
      </c>
      <c r="AP66" s="53">
        <f>IFERROR(__xludf.DUMMYFUNCTION("""COMPUTED_VALUE"""),3.0)</f>
        <v>3</v>
      </c>
      <c r="AQ66" s="53">
        <f>IFERROR(__xludf.DUMMYFUNCTION("""COMPUTED_VALUE"""),8.0)</f>
        <v>8</v>
      </c>
      <c r="AR66" s="53">
        <f>IFERROR(__xludf.DUMMYFUNCTION("""COMPUTED_VALUE"""),40.0)</f>
        <v>40</v>
      </c>
      <c r="AS66" s="53">
        <f>IFERROR(__xludf.DUMMYFUNCTION("""COMPUTED_VALUE"""),76.61290322580645)</f>
        <v>76.61290323</v>
      </c>
      <c r="AT66" s="48">
        <f>IFERROR(__xludf.DUMMYFUNCTION("""COMPUTED_VALUE"""),19.696969696969695)</f>
        <v>19.6969697</v>
      </c>
      <c r="AU66" s="48">
        <f>IFERROR(__xludf.DUMMYFUNCTION("""COMPUTED_VALUE"""),2.272727272727273)</f>
        <v>2.272727273</v>
      </c>
      <c r="AV66" s="48">
        <f>IFERROR(__xludf.DUMMYFUNCTION("""COMPUTED_VALUE"""),6.0606060606060606)</f>
        <v>6.060606061</v>
      </c>
      <c r="AW66" s="48">
        <f>IFERROR(__xludf.DUMMYFUNCTION("""COMPUTED_VALUE"""),30.303030303030305)</f>
        <v>30.3030303</v>
      </c>
      <c r="AX66" s="48">
        <f>IFERROR(__xludf.DUMMYFUNCTION("""COMPUTED_VALUE"""),74.24242424242425)</f>
        <v>74.24242424</v>
      </c>
      <c r="AY66" s="48">
        <f>IFERROR(__xludf.DUMMYFUNCTION("""COMPUTED_VALUE"""),22.0)</f>
        <v>22</v>
      </c>
      <c r="AZ66" s="48">
        <f>IFERROR(__xludf.DUMMYFUNCTION("""COMPUTED_VALUE"""),20.0)</f>
        <v>20</v>
      </c>
      <c r="BA66" s="48">
        <f>IFERROR(__xludf.DUMMYFUNCTION("""COMPUTED_VALUE"""),2.0)</f>
        <v>2</v>
      </c>
      <c r="BB66" s="48">
        <f>IFERROR(__xludf.DUMMYFUNCTION("""COMPUTED_VALUE"""),16.0)</f>
        <v>16</v>
      </c>
      <c r="BC66" s="48">
        <f>IFERROR(__xludf.DUMMYFUNCTION("""COMPUTED_VALUE"""),90.9090909090909)</f>
        <v>90.90909091</v>
      </c>
      <c r="BD66" s="48">
        <f>IFERROR(__xludf.DUMMYFUNCTION("""COMPUTED_VALUE"""),9.090909090909092)</f>
        <v>9.090909091</v>
      </c>
      <c r="BE66" s="48">
        <f>IFERROR(__xludf.DUMMYFUNCTION("""COMPUTED_VALUE"""),42.10526315789473)</f>
        <v>42.10526316</v>
      </c>
      <c r="BF66" s="52"/>
      <c r="BG66" s="52"/>
      <c r="BH66" s="52"/>
      <c r="BI66" s="52"/>
      <c r="BJ66" s="52"/>
      <c r="BK66" s="52"/>
      <c r="BL66" s="52"/>
      <c r="BM66" s="54" t="s">
        <v>85</v>
      </c>
    </row>
    <row r="67">
      <c r="A67" s="42" t="s">
        <v>481</v>
      </c>
      <c r="B67" s="43" t="s">
        <v>482</v>
      </c>
      <c r="C67" s="44" t="s">
        <v>483</v>
      </c>
      <c r="D67" s="45" t="s">
        <v>70</v>
      </c>
      <c r="E67" s="42" t="s">
        <v>192</v>
      </c>
      <c r="F67" s="46">
        <v>41738.0</v>
      </c>
      <c r="G67" s="47">
        <v>41952.0</v>
      </c>
      <c r="H67" s="48">
        <f t="shared" si="1"/>
        <v>7.039473684</v>
      </c>
      <c r="I67" s="49" t="s">
        <v>484</v>
      </c>
      <c r="J67" s="50" t="s">
        <v>485</v>
      </c>
      <c r="K67" s="42" t="s">
        <v>486</v>
      </c>
      <c r="L67" s="42" t="s">
        <v>487</v>
      </c>
      <c r="M67" s="51">
        <v>30682.0</v>
      </c>
      <c r="N67" s="52">
        <f t="shared" si="2"/>
        <v>37</v>
      </c>
      <c r="O67" s="42" t="s">
        <v>76</v>
      </c>
      <c r="P67" s="42" t="s">
        <v>77</v>
      </c>
      <c r="Q67" s="42" t="s">
        <v>77</v>
      </c>
      <c r="R67" s="52"/>
      <c r="S67" s="42" t="s">
        <v>79</v>
      </c>
      <c r="T67" s="45" t="s">
        <v>94</v>
      </c>
      <c r="U67" s="42" t="s">
        <v>81</v>
      </c>
      <c r="V67" s="45" t="s">
        <v>78</v>
      </c>
      <c r="W67" s="42" t="s">
        <v>79</v>
      </c>
      <c r="X67" s="42" t="s">
        <v>82</v>
      </c>
      <c r="Y67" s="45" t="s">
        <v>83</v>
      </c>
      <c r="Z67" s="45" t="s">
        <v>367</v>
      </c>
      <c r="AA67" s="58" t="s">
        <v>488</v>
      </c>
      <c r="AB67" s="45"/>
      <c r="AC67" s="53">
        <f t="shared" si="5"/>
        <v>228</v>
      </c>
      <c r="AD67" s="45">
        <v>194.5</v>
      </c>
      <c r="AE67" s="53">
        <f t="shared" si="11"/>
        <v>24</v>
      </c>
      <c r="AF67" s="53">
        <f t="shared" si="3"/>
        <v>9.5</v>
      </c>
      <c r="AG67" s="52">
        <f>(AF67*7.5)</f>
        <v>71.25</v>
      </c>
      <c r="AH67" s="48">
        <f>IFERROR(__xludf.DUMMYFUNCTION("importrange(C67,""Sheet2!a4:x4"")"),24.95294117647059)</f>
        <v>24.95294118</v>
      </c>
      <c r="AI67" s="48">
        <f>IFERROR(__xludf.DUMMYFUNCTION("""COMPUTED_VALUE"""),12.0)</f>
        <v>12</v>
      </c>
      <c r="AJ67" s="48">
        <f>IFERROR(__xludf.DUMMYFUNCTION("""COMPUTED_VALUE"""),251.0)</f>
        <v>251</v>
      </c>
      <c r="AK67" s="53" t="str">
        <f>IFERROR(__xludf.DUMMYFUNCTION("""COMPUTED_VALUE"""),"Absent")</f>
        <v>Absent</v>
      </c>
      <c r="AL67" s="53">
        <f>IFERROR(__xludf.DUMMYFUNCTION("""COMPUTED_VALUE"""),251.0)</f>
        <v>251</v>
      </c>
      <c r="AM67" s="53">
        <f>IFERROR(__xludf.DUMMYFUNCTION("""COMPUTED_VALUE"""),181.0)</f>
        <v>181</v>
      </c>
      <c r="AN67" s="53">
        <f>IFERROR(__xludf.DUMMYFUNCTION("""COMPUTED_VALUE"""),179.0)</f>
        <v>179</v>
      </c>
      <c r="AO67" s="53">
        <f>IFERROR(__xludf.DUMMYFUNCTION("""COMPUTED_VALUE"""),23.0)</f>
        <v>23</v>
      </c>
      <c r="AP67" s="53">
        <f>IFERROR(__xludf.DUMMYFUNCTION("""COMPUTED_VALUE"""),2.0)</f>
        <v>2</v>
      </c>
      <c r="AQ67" s="53">
        <f>IFERROR(__xludf.DUMMYFUNCTION("""COMPUTED_VALUE"""),0.0)</f>
        <v>0</v>
      </c>
      <c r="AR67" s="53">
        <f>IFERROR(__xludf.DUMMYFUNCTION("""COMPUTED_VALUE"""),47.0)</f>
        <v>47</v>
      </c>
      <c r="AS67" s="53">
        <f>IFERROR(__xludf.DUMMYFUNCTION("""COMPUTED_VALUE"""),90.0398406374502)</f>
        <v>90.03984064</v>
      </c>
      <c r="AT67" s="48">
        <f>IFERROR(__xludf.DUMMYFUNCTION("""COMPUTED_VALUE"""),9.163346613545817)</f>
        <v>9.163346614</v>
      </c>
      <c r="AU67" s="48">
        <f>IFERROR(__xludf.DUMMYFUNCTION("""COMPUTED_VALUE"""),0.796812749003984)</f>
        <v>0.796812749</v>
      </c>
      <c r="AV67" s="48">
        <f>IFERROR(__xludf.DUMMYFUNCTION("""COMPUTED_VALUE"""),0.0)</f>
        <v>0</v>
      </c>
      <c r="AW67" s="48">
        <f>IFERROR(__xludf.DUMMYFUNCTION("""COMPUTED_VALUE"""),18.725099601593627)</f>
        <v>18.7250996</v>
      </c>
      <c r="AX67" s="48">
        <f>IFERROR(__xludf.DUMMYFUNCTION("""COMPUTED_VALUE"""),90.83665338645417)</f>
        <v>90.83665339</v>
      </c>
      <c r="AY67" s="48">
        <f>IFERROR(__xludf.DUMMYFUNCTION("""COMPUTED_VALUE"""),141.0)</f>
        <v>141</v>
      </c>
      <c r="AZ67" s="48">
        <f>IFERROR(__xludf.DUMMYFUNCTION("""COMPUTED_VALUE"""),132.0)</f>
        <v>132</v>
      </c>
      <c r="BA67" s="48">
        <f>IFERROR(__xludf.DUMMYFUNCTION("""COMPUTED_VALUE"""),9.0)</f>
        <v>9</v>
      </c>
      <c r="BB67" s="48">
        <f>IFERROR(__xludf.DUMMYFUNCTION("""COMPUTED_VALUE"""),15.0)</f>
        <v>15</v>
      </c>
      <c r="BC67" s="48">
        <f>IFERROR(__xludf.DUMMYFUNCTION("""COMPUTED_VALUE"""),93.61702127659575)</f>
        <v>93.61702128</v>
      </c>
      <c r="BD67" s="48">
        <f>IFERROR(__xludf.DUMMYFUNCTION("""COMPUTED_VALUE"""),6.382978723404255)</f>
        <v>6.382978723</v>
      </c>
      <c r="BE67" s="48">
        <f>IFERROR(__xludf.DUMMYFUNCTION("""COMPUTED_VALUE"""),9.615384615384617)</f>
        <v>9.615384615</v>
      </c>
      <c r="BF67" s="52"/>
      <c r="BG67" s="52"/>
      <c r="BH67" s="52"/>
      <c r="BI67" s="52"/>
      <c r="BJ67" s="52"/>
      <c r="BK67" s="52"/>
      <c r="BL67" s="52"/>
      <c r="BM67" s="54" t="s">
        <v>96</v>
      </c>
    </row>
    <row r="68">
      <c r="A68" s="42" t="s">
        <v>489</v>
      </c>
      <c r="B68" s="43" t="s">
        <v>490</v>
      </c>
      <c r="C68" s="44" t="s">
        <v>491</v>
      </c>
      <c r="D68" s="45" t="s">
        <v>70</v>
      </c>
      <c r="E68" s="42" t="s">
        <v>71</v>
      </c>
      <c r="F68" s="46">
        <v>41784.0</v>
      </c>
      <c r="G68" s="47">
        <v>41805.0</v>
      </c>
      <c r="H68" s="48">
        <f t="shared" si="1"/>
        <v>0.6907894737</v>
      </c>
      <c r="I68" s="49" t="s">
        <v>492</v>
      </c>
      <c r="J68" s="62"/>
      <c r="K68" s="52"/>
      <c r="L68" s="52"/>
      <c r="M68" s="51">
        <v>31050.0</v>
      </c>
      <c r="N68" s="52">
        <f t="shared" si="2"/>
        <v>36</v>
      </c>
      <c r="O68" s="42" t="s">
        <v>76</v>
      </c>
      <c r="P68" s="42" t="s">
        <v>77</v>
      </c>
      <c r="Q68" s="42" t="s">
        <v>77</v>
      </c>
      <c r="R68" s="52"/>
      <c r="S68" s="45" t="s">
        <v>79</v>
      </c>
      <c r="T68" s="45" t="s">
        <v>94</v>
      </c>
      <c r="U68" s="45" t="s">
        <v>81</v>
      </c>
      <c r="V68" s="45" t="s">
        <v>78</v>
      </c>
      <c r="W68" s="42" t="s">
        <v>79</v>
      </c>
      <c r="X68" s="42" t="s">
        <v>82</v>
      </c>
      <c r="Y68" s="45" t="s">
        <v>83</v>
      </c>
      <c r="Z68" s="42"/>
      <c r="AA68" s="50"/>
      <c r="AB68" s="52"/>
      <c r="AC68" s="53">
        <f t="shared" si="5"/>
        <v>1</v>
      </c>
      <c r="AD68" s="52"/>
      <c r="AE68" s="53">
        <f t="shared" si="11"/>
        <v>1</v>
      </c>
      <c r="AF68" s="53">
        <f t="shared" si="3"/>
        <v>0</v>
      </c>
      <c r="AG68" s="52">
        <f>(AF68*6.25)</f>
        <v>0</v>
      </c>
      <c r="AH68" s="48" t="str">
        <f>IFERROR(__xludf.DUMMYFUNCTION("importrange(C68,""Sheet2!a4:x4"")"),"#DIV/0!")</f>
        <v>#DIV/0!</v>
      </c>
      <c r="AI68" s="48">
        <f>IFERROR(__xludf.DUMMYFUNCTION("""COMPUTED_VALUE"""),1.0)</f>
        <v>1</v>
      </c>
      <c r="AJ68" s="48">
        <f>IFERROR(__xludf.DUMMYFUNCTION("""COMPUTED_VALUE"""),2.0)</f>
        <v>2</v>
      </c>
      <c r="AK68" s="53" t="str">
        <f>IFERROR(__xludf.DUMMYFUNCTION("""COMPUTED_VALUE"""),"Attended No Show")</f>
        <v>Attended No Show</v>
      </c>
      <c r="AL68" s="53">
        <f>IFERROR(__xludf.DUMMYFUNCTION("""COMPUTED_VALUE"""),2.0)</f>
        <v>2</v>
      </c>
      <c r="AM68" s="53">
        <f>IFERROR(__xludf.DUMMYFUNCTION("""COMPUTED_VALUE"""),0.0)</f>
        <v>0</v>
      </c>
      <c r="AN68" s="53">
        <f>IFERROR(__xludf.DUMMYFUNCTION("""COMPUTED_VALUE"""),0.0)</f>
        <v>0</v>
      </c>
      <c r="AO68" s="53">
        <f>IFERROR(__xludf.DUMMYFUNCTION("""COMPUTED_VALUE"""),1.0)</f>
        <v>1</v>
      </c>
      <c r="AP68" s="53">
        <f>IFERROR(__xludf.DUMMYFUNCTION("""COMPUTED_VALUE"""),0.0)</f>
        <v>0</v>
      </c>
      <c r="AQ68" s="53">
        <f>IFERROR(__xludf.DUMMYFUNCTION("""COMPUTED_VALUE"""),0.0)</f>
        <v>0</v>
      </c>
      <c r="AR68" s="53">
        <f>IFERROR(__xludf.DUMMYFUNCTION("""COMPUTED_VALUE"""),1.0)</f>
        <v>1</v>
      </c>
      <c r="AS68" s="53">
        <f>IFERROR(__xludf.DUMMYFUNCTION("""COMPUTED_VALUE"""),50.0)</f>
        <v>50</v>
      </c>
      <c r="AT68" s="48">
        <f>IFERROR(__xludf.DUMMYFUNCTION("""COMPUTED_VALUE"""),50.0)</f>
        <v>50</v>
      </c>
      <c r="AU68" s="48">
        <f>IFERROR(__xludf.DUMMYFUNCTION("""COMPUTED_VALUE"""),0.0)</f>
        <v>0</v>
      </c>
      <c r="AV68" s="48">
        <f>IFERROR(__xludf.DUMMYFUNCTION("""COMPUTED_VALUE"""),0.0)</f>
        <v>0</v>
      </c>
      <c r="AW68" s="48">
        <f>IFERROR(__xludf.DUMMYFUNCTION("""COMPUTED_VALUE"""),50.0)</f>
        <v>50</v>
      </c>
      <c r="AX68" s="48">
        <f>IFERROR(__xludf.DUMMYFUNCTION("""COMPUTED_VALUE"""),50.0)</f>
        <v>50</v>
      </c>
      <c r="AY68" s="48">
        <f>IFERROR(__xludf.DUMMYFUNCTION("""COMPUTED_VALUE"""),0.0)</f>
        <v>0</v>
      </c>
      <c r="AZ68" s="48">
        <f>IFERROR(__xludf.DUMMYFUNCTION("""COMPUTED_VALUE"""),0.0)</f>
        <v>0</v>
      </c>
      <c r="BA68" s="48">
        <f>IFERROR(__xludf.DUMMYFUNCTION("""COMPUTED_VALUE"""),0.0)</f>
        <v>0</v>
      </c>
      <c r="BB68" s="48">
        <f>IFERROR(__xludf.DUMMYFUNCTION("""COMPUTED_VALUE"""),0.0)</f>
        <v>0</v>
      </c>
      <c r="BC68" s="48" t="str">
        <f>IFERROR(__xludf.DUMMYFUNCTION("""COMPUTED_VALUE"""),"#DIV/0!")</f>
        <v>#DIV/0!</v>
      </c>
      <c r="BD68" s="48" t="str">
        <f>IFERROR(__xludf.DUMMYFUNCTION("""COMPUTED_VALUE"""),"#DIV/0!")</f>
        <v>#DIV/0!</v>
      </c>
      <c r="BE68" s="48" t="str">
        <f>IFERROR(__xludf.DUMMYFUNCTION("""COMPUTED_VALUE"""),"#DIV/0!")</f>
        <v>#DIV/0!</v>
      </c>
      <c r="BF68" s="52"/>
      <c r="BG68" s="52"/>
      <c r="BH68" s="52"/>
      <c r="BI68" s="52"/>
      <c r="BJ68" s="52"/>
      <c r="BK68" s="52"/>
      <c r="BL68" s="52"/>
      <c r="BM68" s="54" t="s">
        <v>96</v>
      </c>
    </row>
    <row r="69">
      <c r="A69" s="42" t="s">
        <v>493</v>
      </c>
      <c r="B69" s="43" t="s">
        <v>494</v>
      </c>
      <c r="C69" s="44" t="s">
        <v>495</v>
      </c>
      <c r="D69" s="42" t="s">
        <v>125</v>
      </c>
      <c r="E69" s="42" t="s">
        <v>71</v>
      </c>
      <c r="F69" s="46">
        <v>41785.0</v>
      </c>
      <c r="G69" s="47"/>
      <c r="H69" s="48">
        <f t="shared" si="1"/>
        <v>81.11842105</v>
      </c>
      <c r="I69" s="49" t="s">
        <v>496</v>
      </c>
      <c r="J69" s="50" t="s">
        <v>497</v>
      </c>
      <c r="K69" s="45" t="s">
        <v>498</v>
      </c>
      <c r="L69" s="45" t="s">
        <v>499</v>
      </c>
      <c r="M69" s="51">
        <v>31413.0</v>
      </c>
      <c r="N69" s="52">
        <f t="shared" si="2"/>
        <v>35</v>
      </c>
      <c r="O69" s="45" t="s">
        <v>104</v>
      </c>
      <c r="P69" s="42" t="s">
        <v>77</v>
      </c>
      <c r="Q69" s="42" t="s">
        <v>77</v>
      </c>
      <c r="R69" s="52"/>
      <c r="S69" s="42" t="s">
        <v>79</v>
      </c>
      <c r="T69" s="45" t="s">
        <v>94</v>
      </c>
      <c r="U69" s="42" t="s">
        <v>81</v>
      </c>
      <c r="V69" s="45" t="s">
        <v>78</v>
      </c>
      <c r="W69" s="42" t="s">
        <v>79</v>
      </c>
      <c r="X69" s="42" t="s">
        <v>82</v>
      </c>
      <c r="Y69" s="45" t="s">
        <v>83</v>
      </c>
      <c r="Z69" s="45" t="s">
        <v>130</v>
      </c>
      <c r="AA69" s="58" t="s">
        <v>497</v>
      </c>
      <c r="AB69" s="52"/>
      <c r="AC69" s="53">
        <f t="shared" si="5"/>
        <v>10614</v>
      </c>
      <c r="AD69" s="45">
        <v>9992.5</v>
      </c>
      <c r="AE69" s="53">
        <f t="shared" si="11"/>
        <v>484.5</v>
      </c>
      <c r="AF69" s="53">
        <f t="shared" si="3"/>
        <v>137</v>
      </c>
      <c r="AG69" s="52">
        <f>(AF69*15)</f>
        <v>2055</v>
      </c>
      <c r="AH69" s="48">
        <f>IFERROR(__xludf.DUMMYFUNCTION("importrange(C69,""Sheet2!a4:x4"")"),30.133096926713947)</f>
        <v>30.13309693</v>
      </c>
      <c r="AI69" s="48">
        <f>IFERROR(__xludf.DUMMYFUNCTION("""COMPUTED_VALUE"""),146.0)</f>
        <v>146</v>
      </c>
      <c r="AJ69" s="48">
        <f>IFERROR(__xludf.DUMMYFUNCTION("""COMPUTED_VALUE"""),11653.0)</f>
        <v>11653</v>
      </c>
      <c r="AK69" s="53" t="str">
        <f>IFERROR(__xludf.DUMMYFUNCTION("""COMPUTED_VALUE"""),"Attended")</f>
        <v>Attended</v>
      </c>
      <c r="AL69" s="53">
        <f>IFERROR(__xludf.DUMMYFUNCTION("""COMPUTED_VALUE"""),11653.0)</f>
        <v>11653</v>
      </c>
      <c r="AM69" s="53">
        <f>IFERROR(__xludf.DUMMYFUNCTION("""COMPUTED_VALUE"""),8691.0)</f>
        <v>8691</v>
      </c>
      <c r="AN69" s="53">
        <f>IFERROR(__xludf.DUMMYFUNCTION("""COMPUTED_VALUE"""),8648.0)</f>
        <v>8648</v>
      </c>
      <c r="AO69" s="53">
        <f>IFERROR(__xludf.DUMMYFUNCTION("""COMPUTED_VALUE"""),463.0)</f>
        <v>463</v>
      </c>
      <c r="AP69" s="53">
        <f>IFERROR(__xludf.DUMMYFUNCTION("""COMPUTED_VALUE"""),43.0)</f>
        <v>43</v>
      </c>
      <c r="AQ69" s="53">
        <f>IFERROR(__xludf.DUMMYFUNCTION("""COMPUTED_VALUE"""),576.0)</f>
        <v>576</v>
      </c>
      <c r="AR69" s="53">
        <f>IFERROR(__xludf.DUMMYFUNCTION("""COMPUTED_VALUE"""),1923.0)</f>
        <v>1923</v>
      </c>
      <c r="AS69" s="53">
        <f>IFERROR(__xludf.DUMMYFUNCTION("""COMPUTED_VALUE"""),95.43197616683217)</f>
        <v>95.43197617</v>
      </c>
      <c r="AT69" s="48">
        <f>IFERROR(__xludf.DUMMYFUNCTION("""COMPUTED_VALUE"""),3.9732257787694154)</f>
        <v>3.973225779</v>
      </c>
      <c r="AU69" s="48">
        <f>IFERROR(__xludf.DUMMYFUNCTION("""COMPUTED_VALUE"""),0.36900369003690037)</f>
        <v>0.36900369</v>
      </c>
      <c r="AV69" s="48">
        <f>IFERROR(__xludf.DUMMYFUNCTION("""COMPUTED_VALUE"""),4.942933150261735)</f>
        <v>4.94293315</v>
      </c>
      <c r="AW69" s="48">
        <f>IFERROR(__xludf.DUMMYFUNCTION("""COMPUTED_VALUE"""),16.50218827769673)</f>
        <v>16.50218828</v>
      </c>
      <c r="AX69" s="48">
        <f>IFERROR(__xludf.DUMMYFUNCTION("""COMPUTED_VALUE"""),91.08384107096884)</f>
        <v>91.08384107</v>
      </c>
      <c r="AY69" s="48">
        <f>IFERROR(__xludf.DUMMYFUNCTION("""COMPUTED_VALUE"""),3127.0)</f>
        <v>3127</v>
      </c>
      <c r="AZ69" s="48">
        <f>IFERROR(__xludf.DUMMYFUNCTION("""COMPUTED_VALUE"""),3093.0)</f>
        <v>3093</v>
      </c>
      <c r="BA69" s="48">
        <f>IFERROR(__xludf.DUMMYFUNCTION("""COMPUTED_VALUE"""),34.0)</f>
        <v>34</v>
      </c>
      <c r="BB69" s="48">
        <f>IFERROR(__xludf.DUMMYFUNCTION("""COMPUTED_VALUE"""),4.0)</f>
        <v>4</v>
      </c>
      <c r="BC69" s="48">
        <f>IFERROR(__xludf.DUMMYFUNCTION("""COMPUTED_VALUE"""),98.91269587464024)</f>
        <v>98.91269587</v>
      </c>
      <c r="BD69" s="48">
        <f>IFERROR(__xludf.DUMMYFUNCTION("""COMPUTED_VALUE"""),1.0873041253597697)</f>
        <v>1.087304125</v>
      </c>
      <c r="BE69" s="48">
        <f>IFERROR(__xludf.DUMMYFUNCTION("""COMPUTED_VALUE"""),0.12775471095496646)</f>
        <v>0.127754711</v>
      </c>
      <c r="BF69" s="52"/>
      <c r="BG69" s="52"/>
      <c r="BH69" s="52"/>
      <c r="BI69" s="52"/>
      <c r="BJ69" s="52"/>
      <c r="BK69" s="45">
        <v>4.0</v>
      </c>
      <c r="BL69" s="45">
        <v>1.0</v>
      </c>
      <c r="BM69" s="59" t="s">
        <v>96</v>
      </c>
    </row>
    <row r="70">
      <c r="A70" s="42" t="s">
        <v>500</v>
      </c>
      <c r="B70" s="43" t="s">
        <v>501</v>
      </c>
      <c r="C70" s="44" t="s">
        <v>502</v>
      </c>
      <c r="D70" s="45" t="s">
        <v>70</v>
      </c>
      <c r="E70" s="42" t="s">
        <v>192</v>
      </c>
      <c r="F70" s="46">
        <v>41786.0</v>
      </c>
      <c r="G70" s="47">
        <v>41875.0</v>
      </c>
      <c r="H70" s="48">
        <f t="shared" si="1"/>
        <v>2.927631579</v>
      </c>
      <c r="I70" s="49" t="s">
        <v>503</v>
      </c>
      <c r="J70" s="50" t="s">
        <v>504</v>
      </c>
      <c r="K70" s="45" t="s">
        <v>505</v>
      </c>
      <c r="L70" s="45" t="s">
        <v>506</v>
      </c>
      <c r="M70" s="51">
        <v>31413.0</v>
      </c>
      <c r="N70" s="52">
        <f t="shared" si="2"/>
        <v>35</v>
      </c>
      <c r="O70" s="45" t="s">
        <v>76</v>
      </c>
      <c r="P70" s="42" t="s">
        <v>77</v>
      </c>
      <c r="Q70" s="42" t="s">
        <v>77</v>
      </c>
      <c r="R70" s="52"/>
      <c r="S70" s="42" t="s">
        <v>79</v>
      </c>
      <c r="T70" s="45" t="s">
        <v>94</v>
      </c>
      <c r="U70" s="42" t="s">
        <v>81</v>
      </c>
      <c r="V70" s="45" t="s">
        <v>78</v>
      </c>
      <c r="W70" s="42" t="s">
        <v>79</v>
      </c>
      <c r="X70" s="42" t="s">
        <v>82</v>
      </c>
      <c r="Y70" s="45" t="s">
        <v>83</v>
      </c>
      <c r="Z70" s="42"/>
      <c r="AA70" s="50"/>
      <c r="AB70" s="52"/>
      <c r="AC70" s="53">
        <f t="shared" si="5"/>
        <v>7</v>
      </c>
      <c r="AD70" s="52"/>
      <c r="AE70" s="53">
        <f t="shared" si="11"/>
        <v>1</v>
      </c>
      <c r="AF70" s="53">
        <f t="shared" si="3"/>
        <v>6</v>
      </c>
      <c r="AG70" s="52">
        <f>(AF70*6.25)</f>
        <v>37.5</v>
      </c>
      <c r="AH70" s="48">
        <f>IFERROR(__xludf.DUMMYFUNCTION("importrange(C70,""Sheet2!a4:x4"")"),30.0)</f>
        <v>30</v>
      </c>
      <c r="AI70" s="48">
        <f>IFERROR(__xludf.DUMMYFUNCTION("""COMPUTED_VALUE"""),2.0)</f>
        <v>2</v>
      </c>
      <c r="AJ70" s="48">
        <f>IFERROR(__xludf.DUMMYFUNCTION("""COMPUTED_VALUE"""),8.0)</f>
        <v>8</v>
      </c>
      <c r="AK70" s="53" t="str">
        <f>IFERROR(__xludf.DUMMYFUNCTION("""COMPUTED_VALUE"""),"Attended No Show")</f>
        <v>Attended No Show</v>
      </c>
      <c r="AL70" s="53">
        <f>IFERROR(__xludf.DUMMYFUNCTION("""COMPUTED_VALUE"""),8.0)</f>
        <v>8</v>
      </c>
      <c r="AM70" s="53">
        <f>IFERROR(__xludf.DUMMYFUNCTION("""COMPUTED_VALUE"""),4.0)</f>
        <v>4</v>
      </c>
      <c r="AN70" s="53">
        <f>IFERROR(__xludf.DUMMYFUNCTION("""COMPUTED_VALUE"""),4.0)</f>
        <v>4</v>
      </c>
      <c r="AO70" s="53">
        <f>IFERROR(__xludf.DUMMYFUNCTION("""COMPUTED_VALUE"""),1.0)</f>
        <v>1</v>
      </c>
      <c r="AP70" s="53">
        <f>IFERROR(__xludf.DUMMYFUNCTION("""COMPUTED_VALUE"""),0.0)</f>
        <v>0</v>
      </c>
      <c r="AQ70" s="53">
        <f>IFERROR(__xludf.DUMMYFUNCTION("""COMPUTED_VALUE"""),0.0)</f>
        <v>0</v>
      </c>
      <c r="AR70" s="53">
        <f>IFERROR(__xludf.DUMMYFUNCTION("""COMPUTED_VALUE"""),3.0)</f>
        <v>3</v>
      </c>
      <c r="AS70" s="53">
        <f>IFERROR(__xludf.DUMMYFUNCTION("""COMPUTED_VALUE"""),87.5)</f>
        <v>87.5</v>
      </c>
      <c r="AT70" s="48">
        <f>IFERROR(__xludf.DUMMYFUNCTION("""COMPUTED_VALUE"""),12.5)</f>
        <v>12.5</v>
      </c>
      <c r="AU70" s="48">
        <f>IFERROR(__xludf.DUMMYFUNCTION("""COMPUTED_VALUE"""),0.0)</f>
        <v>0</v>
      </c>
      <c r="AV70" s="48">
        <f>IFERROR(__xludf.DUMMYFUNCTION("""COMPUTED_VALUE"""),0.0)</f>
        <v>0</v>
      </c>
      <c r="AW70" s="48">
        <f>IFERROR(__xludf.DUMMYFUNCTION("""COMPUTED_VALUE"""),37.5)</f>
        <v>37.5</v>
      </c>
      <c r="AX70" s="48">
        <f>IFERROR(__xludf.DUMMYFUNCTION("""COMPUTED_VALUE"""),87.5)</f>
        <v>87.5</v>
      </c>
      <c r="AY70" s="48">
        <f>IFERROR(__xludf.DUMMYFUNCTION("""COMPUTED_VALUE"""),2.0)</f>
        <v>2</v>
      </c>
      <c r="AZ70" s="48">
        <f>IFERROR(__xludf.DUMMYFUNCTION("""COMPUTED_VALUE"""),2.0)</f>
        <v>2</v>
      </c>
      <c r="BA70" s="48">
        <f>IFERROR(__xludf.DUMMYFUNCTION("""COMPUTED_VALUE"""),0.0)</f>
        <v>0</v>
      </c>
      <c r="BB70" s="48">
        <f>IFERROR(__xludf.DUMMYFUNCTION("""COMPUTED_VALUE"""),0.0)</f>
        <v>0</v>
      </c>
      <c r="BC70" s="48">
        <f>IFERROR(__xludf.DUMMYFUNCTION("""COMPUTED_VALUE"""),100.0)</f>
        <v>100</v>
      </c>
      <c r="BD70" s="48">
        <f>IFERROR(__xludf.DUMMYFUNCTION("""COMPUTED_VALUE"""),0.0)</f>
        <v>0</v>
      </c>
      <c r="BE70" s="48">
        <f>IFERROR(__xludf.DUMMYFUNCTION("""COMPUTED_VALUE"""),0.0)</f>
        <v>0</v>
      </c>
      <c r="BF70" s="52"/>
      <c r="BG70" s="52"/>
      <c r="BH70" s="52"/>
      <c r="BI70" s="52"/>
      <c r="BJ70" s="52"/>
      <c r="BK70" s="52"/>
      <c r="BL70" s="52"/>
      <c r="BM70" s="54" t="s">
        <v>96</v>
      </c>
    </row>
    <row r="71">
      <c r="A71" s="42" t="s">
        <v>507</v>
      </c>
      <c r="B71" s="43" t="s">
        <v>508</v>
      </c>
      <c r="C71" s="44" t="s">
        <v>509</v>
      </c>
      <c r="D71" s="45" t="s">
        <v>70</v>
      </c>
      <c r="E71" s="42" t="s">
        <v>71</v>
      </c>
      <c r="F71" s="46">
        <v>41784.0</v>
      </c>
      <c r="G71" s="47">
        <v>43100.0</v>
      </c>
      <c r="H71" s="48">
        <f t="shared" si="1"/>
        <v>43.28947368</v>
      </c>
      <c r="I71" s="49" t="s">
        <v>510</v>
      </c>
      <c r="J71" s="50" t="s">
        <v>511</v>
      </c>
      <c r="K71" s="45" t="s">
        <v>512</v>
      </c>
      <c r="L71" s="45" t="s">
        <v>513</v>
      </c>
      <c r="M71" s="51">
        <v>33772.0</v>
      </c>
      <c r="N71" s="52">
        <f t="shared" si="2"/>
        <v>28</v>
      </c>
      <c r="O71" s="45" t="s">
        <v>104</v>
      </c>
      <c r="P71" s="42" t="s">
        <v>77</v>
      </c>
      <c r="Q71" s="42" t="s">
        <v>77</v>
      </c>
      <c r="R71" s="52"/>
      <c r="S71" s="42" t="s">
        <v>79</v>
      </c>
      <c r="T71" s="45" t="s">
        <v>94</v>
      </c>
      <c r="U71" s="42" t="s">
        <v>81</v>
      </c>
      <c r="V71" s="45" t="s">
        <v>78</v>
      </c>
      <c r="W71" s="42" t="s">
        <v>79</v>
      </c>
      <c r="X71" s="42" t="s">
        <v>82</v>
      </c>
      <c r="Y71" s="45" t="s">
        <v>83</v>
      </c>
      <c r="Z71" s="45" t="s">
        <v>130</v>
      </c>
      <c r="AA71" s="58" t="s">
        <v>514</v>
      </c>
      <c r="AB71" s="45"/>
      <c r="AC71" s="53">
        <f t="shared" si="5"/>
        <v>3113</v>
      </c>
      <c r="AD71" s="45">
        <v>1727.0</v>
      </c>
      <c r="AE71" s="53">
        <f t="shared" si="11"/>
        <v>110.5</v>
      </c>
      <c r="AF71" s="53">
        <f t="shared" si="3"/>
        <v>1275.5</v>
      </c>
      <c r="AG71" s="52">
        <f>(AF71*10)</f>
        <v>12755</v>
      </c>
      <c r="AH71" s="48">
        <f>IFERROR(__xludf.DUMMYFUNCTION("importrange(C71,""Sheet2!a4:x4"")"),27.523107569721116)</f>
        <v>27.52310757</v>
      </c>
      <c r="AI71" s="48">
        <f>IFERROR(__xludf.DUMMYFUNCTION("""COMPUTED_VALUE"""),68.0)</f>
        <v>68</v>
      </c>
      <c r="AJ71" s="48">
        <f>IFERROR(__xludf.DUMMYFUNCTION("""COMPUTED_VALUE"""),3442.0)</f>
        <v>3442</v>
      </c>
      <c r="AK71" s="53" t="str">
        <f>IFERROR(__xludf.DUMMYFUNCTION("""COMPUTED_VALUE"""),"Attended")</f>
        <v>Attended</v>
      </c>
      <c r="AL71" s="53">
        <f>IFERROR(__xludf.DUMMYFUNCTION("""COMPUTED_VALUE"""),3442.0)</f>
        <v>3442</v>
      </c>
      <c r="AM71" s="53">
        <f>IFERROR(__xludf.DUMMYFUNCTION("""COMPUTED_VALUE"""),2535.0)</f>
        <v>2535</v>
      </c>
      <c r="AN71" s="53">
        <f>IFERROR(__xludf.DUMMYFUNCTION("""COMPUTED_VALUE"""),2508.0)</f>
        <v>2508</v>
      </c>
      <c r="AO71" s="53">
        <f>IFERROR(__xludf.DUMMYFUNCTION("""COMPUTED_VALUE"""),97.0)</f>
        <v>97</v>
      </c>
      <c r="AP71" s="53">
        <f>IFERROR(__xludf.DUMMYFUNCTION("""COMPUTED_VALUE"""),27.0)</f>
        <v>27</v>
      </c>
      <c r="AQ71" s="53">
        <f>IFERROR(__xludf.DUMMYFUNCTION("""COMPUTED_VALUE"""),232.0)</f>
        <v>232</v>
      </c>
      <c r="AR71" s="53">
        <f>IFERROR(__xludf.DUMMYFUNCTION("""COMPUTED_VALUE"""),578.0)</f>
        <v>578</v>
      </c>
      <c r="AS71" s="53">
        <f>IFERROR(__xludf.DUMMYFUNCTION("""COMPUTED_VALUE"""),96.13707165109034)</f>
        <v>96.13707165</v>
      </c>
      <c r="AT71" s="48">
        <f>IFERROR(__xludf.DUMMYFUNCTION("""COMPUTED_VALUE"""),2.818128994770482)</f>
        <v>2.818128995</v>
      </c>
      <c r="AU71" s="48">
        <f>IFERROR(__xludf.DUMMYFUNCTION("""COMPUTED_VALUE"""),0.7844276583381755)</f>
        <v>0.7844276583</v>
      </c>
      <c r="AV71" s="48">
        <f>IFERROR(__xludf.DUMMYFUNCTION("""COMPUTED_VALUE"""),6.74026728646136)</f>
        <v>6.740267286</v>
      </c>
      <c r="AW71" s="48">
        <f>IFERROR(__xludf.DUMMYFUNCTION("""COMPUTED_VALUE"""),16.792562463683904)</f>
        <v>16.79256246</v>
      </c>
      <c r="AX71" s="48">
        <f>IFERROR(__xludf.DUMMYFUNCTION("""COMPUTED_VALUE"""),90.44160371876816)</f>
        <v>90.44160372</v>
      </c>
      <c r="AY71" s="48">
        <f>IFERROR(__xludf.DUMMYFUNCTION("""COMPUTED_VALUE"""),2429.0)</f>
        <v>2429</v>
      </c>
      <c r="AZ71" s="48">
        <f>IFERROR(__xludf.DUMMYFUNCTION("""COMPUTED_VALUE"""),2052.0)</f>
        <v>2052</v>
      </c>
      <c r="BA71" s="48">
        <f>IFERROR(__xludf.DUMMYFUNCTION("""COMPUTED_VALUE"""),377.0)</f>
        <v>377</v>
      </c>
      <c r="BB71" s="48">
        <f>IFERROR(__xludf.DUMMYFUNCTION("""COMPUTED_VALUE"""),13.0)</f>
        <v>13</v>
      </c>
      <c r="BC71" s="48">
        <f>IFERROR(__xludf.DUMMYFUNCTION("""COMPUTED_VALUE"""),84.47920955125566)</f>
        <v>84.47920955</v>
      </c>
      <c r="BD71" s="48">
        <f>IFERROR(__xludf.DUMMYFUNCTION("""COMPUTED_VALUE"""),15.52079044874434)</f>
        <v>15.52079045</v>
      </c>
      <c r="BE71" s="48">
        <f>IFERROR(__xludf.DUMMYFUNCTION("""COMPUTED_VALUE"""),0.5323505323505323)</f>
        <v>0.5323505324</v>
      </c>
      <c r="BF71" s="52"/>
      <c r="BG71" s="52"/>
      <c r="BH71" s="52"/>
      <c r="BI71" s="52"/>
      <c r="BJ71" s="52"/>
      <c r="BK71" s="52"/>
      <c r="BL71" s="52"/>
      <c r="BM71" s="54" t="s">
        <v>96</v>
      </c>
    </row>
    <row r="72">
      <c r="A72" s="42" t="s">
        <v>515</v>
      </c>
      <c r="B72" s="55" t="s">
        <v>516</v>
      </c>
      <c r="C72" s="44" t="s">
        <v>517</v>
      </c>
      <c r="D72" s="45" t="s">
        <v>70</v>
      </c>
      <c r="E72" s="42" t="s">
        <v>71</v>
      </c>
      <c r="F72" s="46">
        <v>41883.0</v>
      </c>
      <c r="G72" s="47">
        <v>42402.0</v>
      </c>
      <c r="H72" s="48">
        <f t="shared" si="1"/>
        <v>17.07236842</v>
      </c>
      <c r="I72" s="49" t="s">
        <v>518</v>
      </c>
      <c r="J72" s="50" t="s">
        <v>519</v>
      </c>
      <c r="K72" s="45" t="s">
        <v>520</v>
      </c>
      <c r="L72" s="45" t="s">
        <v>521</v>
      </c>
      <c r="M72" s="51">
        <v>32143.0</v>
      </c>
      <c r="N72" s="52">
        <f t="shared" si="2"/>
        <v>33</v>
      </c>
      <c r="O72" s="45" t="s">
        <v>471</v>
      </c>
      <c r="P72" s="42" t="s">
        <v>77</v>
      </c>
      <c r="Q72" s="42" t="s">
        <v>77</v>
      </c>
      <c r="R72" s="52"/>
      <c r="S72" s="42" t="s">
        <v>79</v>
      </c>
      <c r="T72" s="45" t="s">
        <v>94</v>
      </c>
      <c r="U72" s="42" t="s">
        <v>81</v>
      </c>
      <c r="V72" s="45" t="s">
        <v>78</v>
      </c>
      <c r="W72" s="42" t="s">
        <v>79</v>
      </c>
      <c r="X72" s="42" t="s">
        <v>82</v>
      </c>
      <c r="Y72" s="45" t="s">
        <v>83</v>
      </c>
      <c r="Z72" s="45" t="s">
        <v>130</v>
      </c>
      <c r="AA72" s="58" t="s">
        <v>519</v>
      </c>
      <c r="AB72" s="52"/>
      <c r="AC72" s="53">
        <f t="shared" si="5"/>
        <v>637</v>
      </c>
      <c r="AD72" s="45">
        <v>597.5</v>
      </c>
      <c r="AE72" s="53">
        <f t="shared" si="11"/>
        <v>39.5</v>
      </c>
      <c r="AF72" s="53">
        <f t="shared" si="3"/>
        <v>0</v>
      </c>
      <c r="AG72" s="52">
        <f>(AF72*8)</f>
        <v>0</v>
      </c>
      <c r="AH72" s="48">
        <f>IFERROR(__xludf.DUMMYFUNCTION("importrange(C72,""Sheet2!a4:x4"")"),26.648590021691973)</f>
        <v>26.64859002</v>
      </c>
      <c r="AI72" s="48">
        <f>IFERROR(__xludf.DUMMYFUNCTION("""COMPUTED_VALUE"""),37.0)</f>
        <v>37</v>
      </c>
      <c r="AJ72" s="48">
        <f>IFERROR(__xludf.DUMMYFUNCTION("""COMPUTED_VALUE"""),699.0)</f>
        <v>699</v>
      </c>
      <c r="AK72" s="53" t="str">
        <f>IFERROR(__xludf.DUMMYFUNCTION("""COMPUTED_VALUE"""),"Attended")</f>
        <v>Attended</v>
      </c>
      <c r="AL72" s="53">
        <f>IFERROR(__xludf.DUMMYFUNCTION("""COMPUTED_VALUE"""),699.0)</f>
        <v>699</v>
      </c>
      <c r="AM72" s="53">
        <f>IFERROR(__xludf.DUMMYFUNCTION("""COMPUTED_VALUE"""),480.0)</f>
        <v>480</v>
      </c>
      <c r="AN72" s="53">
        <f>IFERROR(__xludf.DUMMYFUNCTION("""COMPUTED_VALUE"""),475.0)</f>
        <v>475</v>
      </c>
      <c r="AO72" s="53">
        <f>IFERROR(__xludf.DUMMYFUNCTION("""COMPUTED_VALUE"""),37.0)</f>
        <v>37</v>
      </c>
      <c r="AP72" s="53">
        <f>IFERROR(__xludf.DUMMYFUNCTION("""COMPUTED_VALUE"""),5.0)</f>
        <v>5</v>
      </c>
      <c r="AQ72" s="53">
        <f>IFERROR(__xludf.DUMMYFUNCTION("""COMPUTED_VALUE"""),25.0)</f>
        <v>25</v>
      </c>
      <c r="AR72" s="53">
        <f>IFERROR(__xludf.DUMMYFUNCTION("""COMPUTED_VALUE"""),157.0)</f>
        <v>157</v>
      </c>
      <c r="AS72" s="53">
        <f>IFERROR(__xludf.DUMMYFUNCTION("""COMPUTED_VALUE"""),93.76854599406528)</f>
        <v>93.76854599</v>
      </c>
      <c r="AT72" s="48">
        <f>IFERROR(__xludf.DUMMYFUNCTION("""COMPUTED_VALUE"""),5.293276108726753)</f>
        <v>5.293276109</v>
      </c>
      <c r="AU72" s="48">
        <f>IFERROR(__xludf.DUMMYFUNCTION("""COMPUTED_VALUE"""),0.7153075822603719)</f>
        <v>0.7153075823</v>
      </c>
      <c r="AV72" s="48">
        <f>IFERROR(__xludf.DUMMYFUNCTION("""COMPUTED_VALUE"""),3.5765379113018603)</f>
        <v>3.576537911</v>
      </c>
      <c r="AW72" s="48">
        <f>IFERROR(__xludf.DUMMYFUNCTION("""COMPUTED_VALUE"""),22.46065808297568)</f>
        <v>22.46065808</v>
      </c>
      <c r="AX72" s="48">
        <f>IFERROR(__xludf.DUMMYFUNCTION("""COMPUTED_VALUE"""),91.13018597997139)</f>
        <v>91.13018598</v>
      </c>
      <c r="AY72" s="48">
        <f>IFERROR(__xludf.DUMMYFUNCTION("""COMPUTED_VALUE"""),376.0)</f>
        <v>376</v>
      </c>
      <c r="AZ72" s="48">
        <f>IFERROR(__xludf.DUMMYFUNCTION("""COMPUTED_VALUE"""),365.0)</f>
        <v>365</v>
      </c>
      <c r="BA72" s="48">
        <f>IFERROR(__xludf.DUMMYFUNCTION("""COMPUTED_VALUE"""),11.0)</f>
        <v>11</v>
      </c>
      <c r="BB72" s="48">
        <f>IFERROR(__xludf.DUMMYFUNCTION("""COMPUTED_VALUE"""),4.0)</f>
        <v>4</v>
      </c>
      <c r="BC72" s="48">
        <f>IFERROR(__xludf.DUMMYFUNCTION("""COMPUTED_VALUE"""),97.07446808510637)</f>
        <v>97.07446809</v>
      </c>
      <c r="BD72" s="48">
        <f>IFERROR(__xludf.DUMMYFUNCTION("""COMPUTED_VALUE"""),2.925531914893617)</f>
        <v>2.925531915</v>
      </c>
      <c r="BE72" s="48">
        <f>IFERROR(__xludf.DUMMYFUNCTION("""COMPUTED_VALUE"""),1.0526315789473684)</f>
        <v>1.052631579</v>
      </c>
      <c r="BF72" s="52"/>
      <c r="BG72" s="52"/>
      <c r="BH72" s="52"/>
      <c r="BI72" s="52"/>
      <c r="BJ72" s="52"/>
      <c r="BK72" s="52"/>
      <c r="BL72" s="52"/>
      <c r="BM72" s="54" t="s">
        <v>96</v>
      </c>
    </row>
    <row r="73">
      <c r="A73" s="42" t="s">
        <v>522</v>
      </c>
      <c r="B73" s="55" t="s">
        <v>523</v>
      </c>
      <c r="C73" s="44" t="s">
        <v>524</v>
      </c>
      <c r="D73" s="45" t="s">
        <v>70</v>
      </c>
      <c r="E73" s="45" t="s">
        <v>192</v>
      </c>
      <c r="F73" s="46">
        <v>41884.0</v>
      </c>
      <c r="G73" s="47">
        <v>42171.0</v>
      </c>
      <c r="H73" s="48">
        <f t="shared" si="1"/>
        <v>9.440789474</v>
      </c>
      <c r="I73" s="49" t="s">
        <v>525</v>
      </c>
      <c r="J73" s="50" t="s">
        <v>526</v>
      </c>
      <c r="K73" s="45" t="s">
        <v>527</v>
      </c>
      <c r="L73" s="45" t="s">
        <v>528</v>
      </c>
      <c r="M73" s="51">
        <v>33604.0</v>
      </c>
      <c r="N73" s="52">
        <f t="shared" si="2"/>
        <v>29</v>
      </c>
      <c r="O73" s="45" t="s">
        <v>104</v>
      </c>
      <c r="P73" s="42" t="s">
        <v>77</v>
      </c>
      <c r="Q73" s="42" t="s">
        <v>77</v>
      </c>
      <c r="R73" s="52"/>
      <c r="S73" s="42" t="s">
        <v>79</v>
      </c>
      <c r="T73" s="45" t="s">
        <v>94</v>
      </c>
      <c r="U73" s="42" t="s">
        <v>81</v>
      </c>
      <c r="V73" s="45" t="s">
        <v>78</v>
      </c>
      <c r="W73" s="42" t="s">
        <v>79</v>
      </c>
      <c r="X73" s="42" t="s">
        <v>82</v>
      </c>
      <c r="Y73" s="45" t="s">
        <v>83</v>
      </c>
      <c r="Z73" s="45" t="s">
        <v>130</v>
      </c>
      <c r="AA73" s="58" t="s">
        <v>529</v>
      </c>
      <c r="AB73" s="45"/>
      <c r="AC73" s="53">
        <f t="shared" si="5"/>
        <v>289</v>
      </c>
      <c r="AD73" s="45">
        <v>208.5</v>
      </c>
      <c r="AE73" s="53">
        <f t="shared" si="11"/>
        <v>40</v>
      </c>
      <c r="AF73" s="53">
        <f t="shared" si="3"/>
        <v>40.5</v>
      </c>
      <c r="AG73" s="52">
        <f>(AF73*6.25)</f>
        <v>253.125</v>
      </c>
      <c r="AH73" s="48">
        <f>IFERROR(__xludf.DUMMYFUNCTION("importrange(C73,""Sheet2!a4:x4"")"),29.34538152610442)</f>
        <v>29.34538153</v>
      </c>
      <c r="AI73" s="48">
        <f>IFERROR(__xludf.DUMMYFUNCTION("""COMPUTED_VALUE"""),10.0)</f>
        <v>10</v>
      </c>
      <c r="AJ73" s="48">
        <f>IFERROR(__xludf.DUMMYFUNCTION("""COMPUTED_VALUE"""),341.0)</f>
        <v>341</v>
      </c>
      <c r="AK73" s="53" t="str">
        <f>IFERROR(__xludf.DUMMYFUNCTION("""COMPUTED_VALUE"""),"Attended")</f>
        <v>Attended</v>
      </c>
      <c r="AL73" s="53">
        <f>IFERROR(__xludf.DUMMYFUNCTION("""COMPUTED_VALUE"""),341.0)</f>
        <v>341</v>
      </c>
      <c r="AM73" s="53">
        <f>IFERROR(__xludf.DUMMYFUNCTION("""COMPUTED_VALUE"""),253.0)</f>
        <v>253</v>
      </c>
      <c r="AN73" s="53">
        <f>IFERROR(__xludf.DUMMYFUNCTION("""COMPUTED_VALUE"""),247.0)</f>
        <v>247</v>
      </c>
      <c r="AO73" s="53">
        <f>IFERROR(__xludf.DUMMYFUNCTION("""COMPUTED_VALUE"""),37.0)</f>
        <v>37</v>
      </c>
      <c r="AP73" s="53">
        <f>IFERROR(__xludf.DUMMYFUNCTION("""COMPUTED_VALUE"""),6.0)</f>
        <v>6</v>
      </c>
      <c r="AQ73" s="53">
        <f>IFERROR(__xludf.DUMMYFUNCTION("""COMPUTED_VALUE"""),15.0)</f>
        <v>15</v>
      </c>
      <c r="AR73" s="53">
        <f>IFERROR(__xludf.DUMMYFUNCTION("""COMPUTED_VALUE"""),36.0)</f>
        <v>36</v>
      </c>
      <c r="AS73" s="53">
        <f>IFERROR(__xludf.DUMMYFUNCTION("""COMPUTED_VALUE"""),86.80981595092024)</f>
        <v>86.80981595</v>
      </c>
      <c r="AT73" s="48">
        <f>IFERROR(__xludf.DUMMYFUNCTION("""COMPUTED_VALUE"""),10.850439882697946)</f>
        <v>10.85043988</v>
      </c>
      <c r="AU73" s="48">
        <f>IFERROR(__xludf.DUMMYFUNCTION("""COMPUTED_VALUE"""),1.7595307917888565)</f>
        <v>1.759530792</v>
      </c>
      <c r="AV73" s="48">
        <f>IFERROR(__xludf.DUMMYFUNCTION("""COMPUTED_VALUE"""),4.398826979472141)</f>
        <v>4.398826979</v>
      </c>
      <c r="AW73" s="48">
        <f>IFERROR(__xludf.DUMMYFUNCTION("""COMPUTED_VALUE"""),10.557184750733137)</f>
        <v>10.55718475</v>
      </c>
      <c r="AX73" s="48">
        <f>IFERROR(__xludf.DUMMYFUNCTION("""COMPUTED_VALUE"""),84.75073313782991)</f>
        <v>84.75073314</v>
      </c>
      <c r="AY73" s="48">
        <f>IFERROR(__xludf.DUMMYFUNCTION("""COMPUTED_VALUE"""),235.0)</f>
        <v>235</v>
      </c>
      <c r="AZ73" s="48">
        <f>IFERROR(__xludf.DUMMYFUNCTION("""COMPUTED_VALUE"""),209.0)</f>
        <v>209</v>
      </c>
      <c r="BA73" s="48">
        <f>IFERROR(__xludf.DUMMYFUNCTION("""COMPUTED_VALUE"""),26.0)</f>
        <v>26</v>
      </c>
      <c r="BB73" s="48">
        <f>IFERROR(__xludf.DUMMYFUNCTION("""COMPUTED_VALUE"""),0.0)</f>
        <v>0</v>
      </c>
      <c r="BC73" s="48">
        <f>IFERROR(__xludf.DUMMYFUNCTION("""COMPUTED_VALUE"""),88.93617021276596)</f>
        <v>88.93617021</v>
      </c>
      <c r="BD73" s="48">
        <f>IFERROR(__xludf.DUMMYFUNCTION("""COMPUTED_VALUE"""),11.063829787234042)</f>
        <v>11.06382979</v>
      </c>
      <c r="BE73" s="48">
        <f>IFERROR(__xludf.DUMMYFUNCTION("""COMPUTED_VALUE"""),0.0)</f>
        <v>0</v>
      </c>
      <c r="BF73" s="52"/>
      <c r="BG73" s="52"/>
      <c r="BH73" s="52"/>
      <c r="BI73" s="52"/>
      <c r="BJ73" s="52"/>
      <c r="BK73" s="52"/>
      <c r="BL73" s="52"/>
      <c r="BM73" s="54" t="s">
        <v>96</v>
      </c>
    </row>
    <row r="74">
      <c r="A74" s="42" t="s">
        <v>530</v>
      </c>
      <c r="B74" s="55" t="s">
        <v>531</v>
      </c>
      <c r="C74" s="44" t="s">
        <v>532</v>
      </c>
      <c r="D74" s="45" t="s">
        <v>70</v>
      </c>
      <c r="E74" s="45" t="s">
        <v>71</v>
      </c>
      <c r="F74" s="46">
        <v>41885.0</v>
      </c>
      <c r="G74" s="47">
        <v>41904.0</v>
      </c>
      <c r="H74" s="48">
        <f t="shared" si="1"/>
        <v>0.625</v>
      </c>
      <c r="I74" s="49" t="s">
        <v>533</v>
      </c>
      <c r="J74" s="50" t="s">
        <v>534</v>
      </c>
      <c r="K74" s="45" t="s">
        <v>535</v>
      </c>
      <c r="L74" s="45" t="s">
        <v>536</v>
      </c>
      <c r="M74" s="51">
        <v>33604.0</v>
      </c>
      <c r="N74" s="52">
        <f t="shared" si="2"/>
        <v>29</v>
      </c>
      <c r="O74" s="45" t="s">
        <v>104</v>
      </c>
      <c r="P74" s="42" t="s">
        <v>77</v>
      </c>
      <c r="Q74" s="42" t="s">
        <v>77</v>
      </c>
      <c r="R74" s="52"/>
      <c r="S74" s="42" t="s">
        <v>79</v>
      </c>
      <c r="T74" s="45" t="s">
        <v>94</v>
      </c>
      <c r="U74" s="45" t="s">
        <v>81</v>
      </c>
      <c r="V74" s="45" t="s">
        <v>77</v>
      </c>
      <c r="W74" s="42" t="s">
        <v>79</v>
      </c>
      <c r="X74" s="42" t="s">
        <v>82</v>
      </c>
      <c r="Y74" s="45" t="s">
        <v>83</v>
      </c>
      <c r="Z74" s="42"/>
      <c r="AA74" s="50"/>
      <c r="AB74" s="52"/>
      <c r="AC74" s="53">
        <f t="shared" si="5"/>
        <v>9</v>
      </c>
      <c r="AD74" s="52"/>
      <c r="AE74" s="53">
        <f t="shared" si="11"/>
        <v>20</v>
      </c>
      <c r="AF74" s="53">
        <f t="shared" si="3"/>
        <v>-11</v>
      </c>
      <c r="AG74" s="52">
        <f>(AF74*7.5)</f>
        <v>-82.5</v>
      </c>
      <c r="AH74" s="48">
        <f>IFERROR(__xludf.DUMMYFUNCTION("importrange(C74,""Sheet2!a4:x4"")"),30.0)</f>
        <v>30</v>
      </c>
      <c r="AI74" s="48">
        <f>IFERROR(__xludf.DUMMYFUNCTION("""COMPUTED_VALUE"""),5.0)</f>
        <v>5</v>
      </c>
      <c r="AJ74" s="48">
        <f>IFERROR(__xludf.DUMMYFUNCTION("""COMPUTED_VALUE"""),30.0)</f>
        <v>30</v>
      </c>
      <c r="AK74" s="53" t="str">
        <f>IFERROR(__xludf.DUMMYFUNCTION("""COMPUTED_VALUE"""),"Absent")</f>
        <v>Absent</v>
      </c>
      <c r="AL74" s="53">
        <f>IFERROR(__xludf.DUMMYFUNCTION("""COMPUTED_VALUE"""),30.0)</f>
        <v>30</v>
      </c>
      <c r="AM74" s="53">
        <f>IFERROR(__xludf.DUMMYFUNCTION("""COMPUTED_VALUE"""),8.0)</f>
        <v>8</v>
      </c>
      <c r="AN74" s="53">
        <f>IFERROR(__xludf.DUMMYFUNCTION("""COMPUTED_VALUE"""),8.0)</f>
        <v>8</v>
      </c>
      <c r="AO74" s="53">
        <f>IFERROR(__xludf.DUMMYFUNCTION("""COMPUTED_VALUE"""),20.0)</f>
        <v>20</v>
      </c>
      <c r="AP74" s="53">
        <f>IFERROR(__xludf.DUMMYFUNCTION("""COMPUTED_VALUE"""),0.0)</f>
        <v>0</v>
      </c>
      <c r="AQ74" s="53">
        <f>IFERROR(__xludf.DUMMYFUNCTION("""COMPUTED_VALUE"""),1.0)</f>
        <v>1</v>
      </c>
      <c r="AR74" s="53">
        <f>IFERROR(__xludf.DUMMYFUNCTION("""COMPUTED_VALUE"""),1.0)</f>
        <v>1</v>
      </c>
      <c r="AS74" s="53">
        <f>IFERROR(__xludf.DUMMYFUNCTION("""COMPUTED_VALUE"""),31.03448275862069)</f>
        <v>31.03448276</v>
      </c>
      <c r="AT74" s="48">
        <f>IFERROR(__xludf.DUMMYFUNCTION("""COMPUTED_VALUE"""),66.66666666666666)</f>
        <v>66.66666667</v>
      </c>
      <c r="AU74" s="48">
        <f>IFERROR(__xludf.DUMMYFUNCTION("""COMPUTED_VALUE"""),0.0)</f>
        <v>0</v>
      </c>
      <c r="AV74" s="48">
        <f>IFERROR(__xludf.DUMMYFUNCTION("""COMPUTED_VALUE"""),3.3333333333333335)</f>
        <v>3.333333333</v>
      </c>
      <c r="AW74" s="48">
        <f>IFERROR(__xludf.DUMMYFUNCTION("""COMPUTED_VALUE"""),3.3333333333333335)</f>
        <v>3.333333333</v>
      </c>
      <c r="AX74" s="48">
        <f>IFERROR(__xludf.DUMMYFUNCTION("""COMPUTED_VALUE"""),30.0)</f>
        <v>30</v>
      </c>
      <c r="AY74" s="48">
        <f>IFERROR(__xludf.DUMMYFUNCTION("""COMPUTED_VALUE"""),0.0)</f>
        <v>0</v>
      </c>
      <c r="AZ74" s="48">
        <f>IFERROR(__xludf.DUMMYFUNCTION("""COMPUTED_VALUE"""),0.0)</f>
        <v>0</v>
      </c>
      <c r="BA74" s="48">
        <f>IFERROR(__xludf.DUMMYFUNCTION("""COMPUTED_VALUE"""),0.0)</f>
        <v>0</v>
      </c>
      <c r="BB74" s="48">
        <f>IFERROR(__xludf.DUMMYFUNCTION("""COMPUTED_VALUE"""),0.0)</f>
        <v>0</v>
      </c>
      <c r="BC74" s="48" t="str">
        <f>IFERROR(__xludf.DUMMYFUNCTION("""COMPUTED_VALUE"""),"#DIV/0!")</f>
        <v>#DIV/0!</v>
      </c>
      <c r="BD74" s="48" t="str">
        <f>IFERROR(__xludf.DUMMYFUNCTION("""COMPUTED_VALUE"""),"#DIV/0!")</f>
        <v>#DIV/0!</v>
      </c>
      <c r="BE74" s="48" t="str">
        <f>IFERROR(__xludf.DUMMYFUNCTION("""COMPUTED_VALUE"""),"#DIV/0!")</f>
        <v>#DIV/0!</v>
      </c>
      <c r="BF74" s="52"/>
      <c r="BG74" s="52"/>
      <c r="BH74" s="52"/>
      <c r="BI74" s="52"/>
      <c r="BJ74" s="52"/>
      <c r="BK74" s="52"/>
      <c r="BL74" s="52"/>
      <c r="BM74" s="54" t="s">
        <v>96</v>
      </c>
    </row>
    <row r="75">
      <c r="A75" s="42" t="s">
        <v>537</v>
      </c>
      <c r="B75" s="55" t="s">
        <v>538</v>
      </c>
      <c r="C75" s="44" t="s">
        <v>539</v>
      </c>
      <c r="D75" s="45" t="s">
        <v>70</v>
      </c>
      <c r="E75" s="45" t="s">
        <v>71</v>
      </c>
      <c r="F75" s="46">
        <v>41886.0</v>
      </c>
      <c r="G75" s="47">
        <v>42197.0</v>
      </c>
      <c r="H75" s="48">
        <f t="shared" si="1"/>
        <v>10.23026316</v>
      </c>
      <c r="I75" s="49" t="s">
        <v>540</v>
      </c>
      <c r="J75" s="50" t="s">
        <v>541</v>
      </c>
      <c r="K75" s="45" t="s">
        <v>542</v>
      </c>
      <c r="L75" s="45" t="s">
        <v>543</v>
      </c>
      <c r="M75" s="51">
        <v>32509.0</v>
      </c>
      <c r="N75" s="52">
        <f t="shared" si="2"/>
        <v>32</v>
      </c>
      <c r="O75" s="45" t="s">
        <v>104</v>
      </c>
      <c r="P75" s="42" t="s">
        <v>77</v>
      </c>
      <c r="Q75" s="42" t="s">
        <v>77</v>
      </c>
      <c r="R75" s="52"/>
      <c r="S75" s="42" t="s">
        <v>79</v>
      </c>
      <c r="T75" s="45" t="s">
        <v>94</v>
      </c>
      <c r="U75" s="42" t="s">
        <v>81</v>
      </c>
      <c r="V75" s="45" t="s">
        <v>78</v>
      </c>
      <c r="W75" s="42" t="s">
        <v>79</v>
      </c>
      <c r="X75" s="42" t="s">
        <v>82</v>
      </c>
      <c r="Y75" s="45" t="s">
        <v>544</v>
      </c>
      <c r="Z75" s="45" t="s">
        <v>130</v>
      </c>
      <c r="AA75" s="58" t="s">
        <v>545</v>
      </c>
      <c r="AB75" s="52"/>
      <c r="AC75" s="53">
        <f t="shared" si="5"/>
        <v>42</v>
      </c>
      <c r="AD75" s="52"/>
      <c r="AE75" s="53">
        <f t="shared" si="11"/>
        <v>10.5</v>
      </c>
      <c r="AF75" s="53">
        <f t="shared" si="3"/>
        <v>31.5</v>
      </c>
      <c r="AG75" s="52">
        <f t="shared" ref="AG75:AG83" si="16">(AF75*10)</f>
        <v>315</v>
      </c>
      <c r="AH75" s="48">
        <f>IFERROR(__xludf.DUMMYFUNCTION("importrange(C75,""Sheet2!a4:x4"")"),55.9)</f>
        <v>55.9</v>
      </c>
      <c r="AI75" s="48">
        <f>IFERROR(__xludf.DUMMYFUNCTION("""COMPUTED_VALUE"""),2.0)</f>
        <v>2</v>
      </c>
      <c r="AJ75" s="48">
        <f>IFERROR(__xludf.DUMMYFUNCTION("""COMPUTED_VALUE"""),55.0)</f>
        <v>55</v>
      </c>
      <c r="AK75" s="53" t="str">
        <f>IFERROR(__xludf.DUMMYFUNCTION("""COMPUTED_VALUE"""),"Attended")</f>
        <v>Attended</v>
      </c>
      <c r="AL75" s="53">
        <f>IFERROR(__xludf.DUMMYFUNCTION("""COMPUTED_VALUE"""),55.0)</f>
        <v>55</v>
      </c>
      <c r="AM75" s="53">
        <f>IFERROR(__xludf.DUMMYFUNCTION("""COMPUTED_VALUE"""),37.0)</f>
        <v>37</v>
      </c>
      <c r="AN75" s="53">
        <f>IFERROR(__xludf.DUMMYFUNCTION("""COMPUTED_VALUE"""),34.0)</f>
        <v>34</v>
      </c>
      <c r="AO75" s="53">
        <f>IFERROR(__xludf.DUMMYFUNCTION("""COMPUTED_VALUE"""),9.0)</f>
        <v>9</v>
      </c>
      <c r="AP75" s="53">
        <f>IFERROR(__xludf.DUMMYFUNCTION("""COMPUTED_VALUE"""),3.0)</f>
        <v>3</v>
      </c>
      <c r="AQ75" s="53">
        <f>IFERROR(__xludf.DUMMYFUNCTION("""COMPUTED_VALUE"""),4.0)</f>
        <v>4</v>
      </c>
      <c r="AR75" s="53">
        <f>IFERROR(__xludf.DUMMYFUNCTION("""COMPUTED_VALUE"""),5.0)</f>
        <v>5</v>
      </c>
      <c r="AS75" s="53">
        <f>IFERROR(__xludf.DUMMYFUNCTION("""COMPUTED_VALUE"""),76.47058823529412)</f>
        <v>76.47058824</v>
      </c>
      <c r="AT75" s="48">
        <f>IFERROR(__xludf.DUMMYFUNCTION("""COMPUTED_VALUE"""),16.363636363636363)</f>
        <v>16.36363636</v>
      </c>
      <c r="AU75" s="48">
        <f>IFERROR(__xludf.DUMMYFUNCTION("""COMPUTED_VALUE"""),5.454545454545454)</f>
        <v>5.454545455</v>
      </c>
      <c r="AV75" s="48">
        <f>IFERROR(__xludf.DUMMYFUNCTION("""COMPUTED_VALUE"""),7.2727272727272725)</f>
        <v>7.272727273</v>
      </c>
      <c r="AW75" s="48">
        <f>IFERROR(__xludf.DUMMYFUNCTION("""COMPUTED_VALUE"""),9.090909090909092)</f>
        <v>9.090909091</v>
      </c>
      <c r="AX75" s="48">
        <f>IFERROR(__xludf.DUMMYFUNCTION("""COMPUTED_VALUE"""),76.36363636363637)</f>
        <v>76.36363636</v>
      </c>
      <c r="AY75" s="48">
        <f>IFERROR(__xludf.DUMMYFUNCTION("""COMPUTED_VALUE"""),26.0)</f>
        <v>26</v>
      </c>
      <c r="AZ75" s="48">
        <f>IFERROR(__xludf.DUMMYFUNCTION("""COMPUTED_VALUE"""),26.0)</f>
        <v>26</v>
      </c>
      <c r="BA75" s="48">
        <f>IFERROR(__xludf.DUMMYFUNCTION("""COMPUTED_VALUE"""),0.0)</f>
        <v>0</v>
      </c>
      <c r="BB75" s="48">
        <f>IFERROR(__xludf.DUMMYFUNCTION("""COMPUTED_VALUE"""),0.0)</f>
        <v>0</v>
      </c>
      <c r="BC75" s="48">
        <f>IFERROR(__xludf.DUMMYFUNCTION("""COMPUTED_VALUE"""),100.0)</f>
        <v>100</v>
      </c>
      <c r="BD75" s="48">
        <f>IFERROR(__xludf.DUMMYFUNCTION("""COMPUTED_VALUE"""),0.0)</f>
        <v>0</v>
      </c>
      <c r="BE75" s="48">
        <f>IFERROR(__xludf.DUMMYFUNCTION("""COMPUTED_VALUE"""),0.0)</f>
        <v>0</v>
      </c>
      <c r="BF75" s="52"/>
      <c r="BG75" s="52"/>
      <c r="BH75" s="52"/>
      <c r="BI75" s="52"/>
      <c r="BJ75" s="52"/>
      <c r="BK75" s="52"/>
      <c r="BL75" s="52"/>
      <c r="BM75" s="54" t="s">
        <v>96</v>
      </c>
    </row>
    <row r="76">
      <c r="A76" s="42" t="s">
        <v>546</v>
      </c>
      <c r="B76" s="55" t="s">
        <v>547</v>
      </c>
      <c r="C76" s="44" t="s">
        <v>548</v>
      </c>
      <c r="D76" s="45" t="s">
        <v>70</v>
      </c>
      <c r="E76" s="45" t="s">
        <v>192</v>
      </c>
      <c r="F76" s="46">
        <v>41887.0</v>
      </c>
      <c r="G76" s="47">
        <v>42037.0</v>
      </c>
      <c r="H76" s="48">
        <f t="shared" si="1"/>
        <v>4.934210526</v>
      </c>
      <c r="I76" s="49" t="s">
        <v>549</v>
      </c>
      <c r="J76" s="50" t="s">
        <v>550</v>
      </c>
      <c r="K76" s="45" t="s">
        <v>551</v>
      </c>
      <c r="L76" s="45" t="s">
        <v>552</v>
      </c>
      <c r="M76" s="51">
        <v>31048.0</v>
      </c>
      <c r="N76" s="52">
        <f t="shared" si="2"/>
        <v>36</v>
      </c>
      <c r="O76" s="45" t="s">
        <v>104</v>
      </c>
      <c r="P76" s="42" t="s">
        <v>77</v>
      </c>
      <c r="Q76" s="42" t="s">
        <v>77</v>
      </c>
      <c r="R76" s="52"/>
      <c r="S76" s="42" t="s">
        <v>79</v>
      </c>
      <c r="T76" s="45" t="s">
        <v>94</v>
      </c>
      <c r="U76" s="42" t="s">
        <v>81</v>
      </c>
      <c r="V76" s="45" t="s">
        <v>78</v>
      </c>
      <c r="W76" s="42" t="s">
        <v>79</v>
      </c>
      <c r="X76" s="42" t="s">
        <v>82</v>
      </c>
      <c r="Y76" s="45" t="s">
        <v>544</v>
      </c>
      <c r="Z76" s="45" t="s">
        <v>130</v>
      </c>
      <c r="AA76" s="58" t="s">
        <v>550</v>
      </c>
      <c r="AB76" s="52"/>
      <c r="AC76" s="53">
        <f t="shared" si="5"/>
        <v>34</v>
      </c>
      <c r="AD76" s="52"/>
      <c r="AE76" s="53">
        <f t="shared" si="11"/>
        <v>1.5</v>
      </c>
      <c r="AF76" s="53">
        <f t="shared" si="3"/>
        <v>32.5</v>
      </c>
      <c r="AG76" s="52">
        <f t="shared" si="16"/>
        <v>325</v>
      </c>
      <c r="AH76" s="48">
        <f>IFERROR(__xludf.DUMMYFUNCTION("importrange(C76,""Sheet2!a4:x4"")"),30.0)</f>
        <v>30</v>
      </c>
      <c r="AI76" s="48">
        <f>IFERROR(__xludf.DUMMYFUNCTION("""COMPUTED_VALUE"""),3.0)</f>
        <v>3</v>
      </c>
      <c r="AJ76" s="48">
        <f>IFERROR(__xludf.DUMMYFUNCTION("""COMPUTED_VALUE"""),36.0)</f>
        <v>36</v>
      </c>
      <c r="AK76" s="53" t="str">
        <f>IFERROR(__xludf.DUMMYFUNCTION("""COMPUTED_VALUE"""),"Reschedule")</f>
        <v>Reschedule</v>
      </c>
      <c r="AL76" s="53">
        <f>IFERROR(__xludf.DUMMYFUNCTION("""COMPUTED_VALUE"""),36.0)</f>
        <v>36</v>
      </c>
      <c r="AM76" s="53">
        <f>IFERROR(__xludf.DUMMYFUNCTION("""COMPUTED_VALUE"""),25.0)</f>
        <v>25</v>
      </c>
      <c r="AN76" s="53">
        <f>IFERROR(__xludf.DUMMYFUNCTION("""COMPUTED_VALUE"""),24.0)</f>
        <v>24</v>
      </c>
      <c r="AO76" s="53">
        <f>IFERROR(__xludf.DUMMYFUNCTION("""COMPUTED_VALUE"""),1.0)</f>
        <v>1</v>
      </c>
      <c r="AP76" s="53">
        <f>IFERROR(__xludf.DUMMYFUNCTION("""COMPUTED_VALUE"""),1.0)</f>
        <v>1</v>
      </c>
      <c r="AQ76" s="53">
        <f>IFERROR(__xludf.DUMMYFUNCTION("""COMPUTED_VALUE"""),1.0)</f>
        <v>1</v>
      </c>
      <c r="AR76" s="53">
        <f>IFERROR(__xludf.DUMMYFUNCTION("""COMPUTED_VALUE"""),9.0)</f>
        <v>9</v>
      </c>
      <c r="AS76" s="53">
        <f>IFERROR(__xludf.DUMMYFUNCTION("""COMPUTED_VALUE"""),94.28571428571428)</f>
        <v>94.28571429</v>
      </c>
      <c r="AT76" s="48">
        <f>IFERROR(__xludf.DUMMYFUNCTION("""COMPUTED_VALUE"""),2.7777777777777777)</f>
        <v>2.777777778</v>
      </c>
      <c r="AU76" s="48">
        <f>IFERROR(__xludf.DUMMYFUNCTION("""COMPUTED_VALUE"""),2.7777777777777777)</f>
        <v>2.777777778</v>
      </c>
      <c r="AV76" s="48">
        <f>IFERROR(__xludf.DUMMYFUNCTION("""COMPUTED_VALUE"""),2.7777777777777777)</f>
        <v>2.777777778</v>
      </c>
      <c r="AW76" s="48">
        <f>IFERROR(__xludf.DUMMYFUNCTION("""COMPUTED_VALUE"""),25.0)</f>
        <v>25</v>
      </c>
      <c r="AX76" s="48">
        <f>IFERROR(__xludf.DUMMYFUNCTION("""COMPUTED_VALUE"""),94.44444444444444)</f>
        <v>94.44444444</v>
      </c>
      <c r="AY76" s="48">
        <f>IFERROR(__xludf.DUMMYFUNCTION("""COMPUTED_VALUE"""),10.0)</f>
        <v>10</v>
      </c>
      <c r="AZ76" s="48">
        <f>IFERROR(__xludf.DUMMYFUNCTION("""COMPUTED_VALUE"""),10.0)</f>
        <v>10</v>
      </c>
      <c r="BA76" s="48">
        <f>IFERROR(__xludf.DUMMYFUNCTION("""COMPUTED_VALUE"""),0.0)</f>
        <v>0</v>
      </c>
      <c r="BB76" s="48">
        <f>IFERROR(__xludf.DUMMYFUNCTION("""COMPUTED_VALUE"""),3.0)</f>
        <v>3</v>
      </c>
      <c r="BC76" s="48">
        <f>IFERROR(__xludf.DUMMYFUNCTION("""COMPUTED_VALUE"""),100.0)</f>
        <v>100</v>
      </c>
      <c r="BD76" s="48">
        <f>IFERROR(__xludf.DUMMYFUNCTION("""COMPUTED_VALUE"""),0.0)</f>
        <v>0</v>
      </c>
      <c r="BE76" s="48">
        <f>IFERROR(__xludf.DUMMYFUNCTION("""COMPUTED_VALUE"""),23.076923076923077)</f>
        <v>23.07692308</v>
      </c>
      <c r="BF76" s="52"/>
      <c r="BG76" s="52"/>
      <c r="BH76" s="52"/>
      <c r="BI76" s="52"/>
      <c r="BJ76" s="52"/>
      <c r="BK76" s="52"/>
      <c r="BL76" s="52"/>
      <c r="BM76" s="54" t="s">
        <v>96</v>
      </c>
    </row>
    <row r="77">
      <c r="A77" s="42" t="s">
        <v>385</v>
      </c>
      <c r="B77" s="55" t="s">
        <v>386</v>
      </c>
      <c r="C77" s="44" t="s">
        <v>553</v>
      </c>
      <c r="D77" s="45" t="s">
        <v>70</v>
      </c>
      <c r="E77" s="45" t="s">
        <v>71</v>
      </c>
      <c r="F77" s="46">
        <v>41840.0</v>
      </c>
      <c r="G77" s="47">
        <v>42043.0</v>
      </c>
      <c r="H77" s="48">
        <f t="shared" si="1"/>
        <v>6.677631579</v>
      </c>
      <c r="I77" s="65" t="s">
        <v>554</v>
      </c>
      <c r="J77" s="66" t="s">
        <v>555</v>
      </c>
      <c r="K77" s="65" t="s">
        <v>390</v>
      </c>
      <c r="L77" s="65" t="s">
        <v>202</v>
      </c>
      <c r="M77" s="67">
        <v>31197.0</v>
      </c>
      <c r="N77" s="65">
        <f>IF(M77=0, 0,INT((INT(NOW()) - INT(M77))/365.24))</f>
        <v>35</v>
      </c>
      <c r="O77" s="65" t="s">
        <v>341</v>
      </c>
      <c r="P77" s="65" t="s">
        <v>77</v>
      </c>
      <c r="Q77" s="65" t="s">
        <v>77</v>
      </c>
      <c r="R77" s="65"/>
      <c r="S77" s="65" t="s">
        <v>79</v>
      </c>
      <c r="T77" s="68" t="s">
        <v>80</v>
      </c>
      <c r="U77" s="42" t="s">
        <v>81</v>
      </c>
      <c r="V77" s="45" t="s">
        <v>78</v>
      </c>
      <c r="W77" s="65" t="s">
        <v>79</v>
      </c>
      <c r="X77" s="65" t="s">
        <v>82</v>
      </c>
      <c r="Y77" s="45" t="s">
        <v>556</v>
      </c>
      <c r="Z77" s="65"/>
      <c r="AA77" s="69"/>
      <c r="AB77" s="52"/>
      <c r="AC77" s="53">
        <f t="shared" si="5"/>
        <v>137</v>
      </c>
      <c r="AD77" s="52"/>
      <c r="AE77" s="53">
        <f t="shared" si="11"/>
        <v>5</v>
      </c>
      <c r="AF77" s="53">
        <f t="shared" si="3"/>
        <v>132</v>
      </c>
      <c r="AG77" s="52">
        <f t="shared" si="16"/>
        <v>1320</v>
      </c>
      <c r="AH77" s="48">
        <f>IFERROR(__xludf.DUMMYFUNCTION("importrange(C77,""Sheet2!a4:x4"")"),29.47244094488189)</f>
        <v>29.47244094</v>
      </c>
      <c r="AI77" s="48">
        <f>IFERROR(__xludf.DUMMYFUNCTION("""COMPUTED_VALUE"""),7.0)</f>
        <v>7</v>
      </c>
      <c r="AJ77" s="48">
        <f>IFERROR(__xludf.DUMMYFUNCTION("""COMPUTED_VALUE"""),148.0)</f>
        <v>148</v>
      </c>
      <c r="AK77" s="53" t="str">
        <f>IFERROR(__xludf.DUMMYFUNCTION("""COMPUTED_VALUE"""),"Attended")</f>
        <v>Attended</v>
      </c>
      <c r="AL77" s="53">
        <f>IFERROR(__xludf.DUMMYFUNCTION("""COMPUTED_VALUE"""),148.0)</f>
        <v>148</v>
      </c>
      <c r="AM77" s="53">
        <f>IFERROR(__xludf.DUMMYFUNCTION("""COMPUTED_VALUE"""),128.0)</f>
        <v>128</v>
      </c>
      <c r="AN77" s="53">
        <f>IFERROR(__xludf.DUMMYFUNCTION("""COMPUTED_VALUE"""),128.0)</f>
        <v>128</v>
      </c>
      <c r="AO77" s="53">
        <f>IFERROR(__xludf.DUMMYFUNCTION("""COMPUTED_VALUE"""),5.0)</f>
        <v>5</v>
      </c>
      <c r="AP77" s="53">
        <f>IFERROR(__xludf.DUMMYFUNCTION("""COMPUTED_VALUE"""),0.0)</f>
        <v>0</v>
      </c>
      <c r="AQ77" s="53">
        <f>IFERROR(__xludf.DUMMYFUNCTION("""COMPUTED_VALUE"""),6.0)</f>
        <v>6</v>
      </c>
      <c r="AR77" s="53">
        <f>IFERROR(__xludf.DUMMYFUNCTION("""COMPUTED_VALUE"""),9.0)</f>
        <v>9</v>
      </c>
      <c r="AS77" s="53">
        <f>IFERROR(__xludf.DUMMYFUNCTION("""COMPUTED_VALUE"""),96.47887323943662)</f>
        <v>96.47887324</v>
      </c>
      <c r="AT77" s="48">
        <f>IFERROR(__xludf.DUMMYFUNCTION("""COMPUTED_VALUE"""),3.3783783783783785)</f>
        <v>3.378378378</v>
      </c>
      <c r="AU77" s="48">
        <f>IFERROR(__xludf.DUMMYFUNCTION("""COMPUTED_VALUE"""),0.0)</f>
        <v>0</v>
      </c>
      <c r="AV77" s="48">
        <f>IFERROR(__xludf.DUMMYFUNCTION("""COMPUTED_VALUE"""),4.054054054054054)</f>
        <v>4.054054054</v>
      </c>
      <c r="AW77" s="48">
        <f>IFERROR(__xludf.DUMMYFUNCTION("""COMPUTED_VALUE"""),6.081081081081082)</f>
        <v>6.081081081</v>
      </c>
      <c r="AX77" s="48">
        <f>IFERROR(__xludf.DUMMYFUNCTION("""COMPUTED_VALUE"""),92.56756756756756)</f>
        <v>92.56756757</v>
      </c>
      <c r="AY77" s="48">
        <f>IFERROR(__xludf.DUMMYFUNCTION("""COMPUTED_VALUE"""),84.0)</f>
        <v>84</v>
      </c>
      <c r="AZ77" s="48">
        <f>IFERROR(__xludf.DUMMYFUNCTION("""COMPUTED_VALUE"""),82.0)</f>
        <v>82</v>
      </c>
      <c r="BA77" s="48">
        <f>IFERROR(__xludf.DUMMYFUNCTION("""COMPUTED_VALUE"""),2.0)</f>
        <v>2</v>
      </c>
      <c r="BB77" s="48">
        <f>IFERROR(__xludf.DUMMYFUNCTION("""COMPUTED_VALUE"""),0.0)</f>
        <v>0</v>
      </c>
      <c r="BC77" s="48">
        <f>IFERROR(__xludf.DUMMYFUNCTION("""COMPUTED_VALUE"""),97.61904761904762)</f>
        <v>97.61904762</v>
      </c>
      <c r="BD77" s="48">
        <f>IFERROR(__xludf.DUMMYFUNCTION("""COMPUTED_VALUE"""),2.380952380952381)</f>
        <v>2.380952381</v>
      </c>
      <c r="BE77" s="48">
        <f>IFERROR(__xludf.DUMMYFUNCTION("""COMPUTED_VALUE"""),0.0)</f>
        <v>0</v>
      </c>
      <c r="BF77" s="52"/>
      <c r="BG77" s="52"/>
      <c r="BH77" s="52"/>
      <c r="BI77" s="52"/>
      <c r="BJ77" s="52"/>
      <c r="BK77" s="52"/>
      <c r="BL77" s="52"/>
      <c r="BM77" s="54" t="s">
        <v>85</v>
      </c>
    </row>
    <row r="78">
      <c r="A78" s="42" t="s">
        <v>557</v>
      </c>
      <c r="B78" s="55" t="s">
        <v>558</v>
      </c>
      <c r="C78" s="44" t="s">
        <v>559</v>
      </c>
      <c r="D78" s="45" t="s">
        <v>70</v>
      </c>
      <c r="E78" s="45" t="s">
        <v>71</v>
      </c>
      <c r="F78" s="46">
        <v>41891.0</v>
      </c>
      <c r="G78" s="47">
        <v>42564.0</v>
      </c>
      <c r="H78" s="48">
        <f t="shared" si="1"/>
        <v>22.13815789</v>
      </c>
      <c r="I78" s="70" t="s">
        <v>560</v>
      </c>
      <c r="J78" s="50" t="s">
        <v>561</v>
      </c>
      <c r="K78" s="45" t="s">
        <v>562</v>
      </c>
      <c r="L78" s="45" t="s">
        <v>563</v>
      </c>
      <c r="M78" s="51">
        <v>29952.0</v>
      </c>
      <c r="N78" s="52">
        <f t="shared" ref="N78:N247" si="17">IF(M78=0, 0,INT((INT(NOW()) - INT(M78))/365.24))</f>
        <v>39</v>
      </c>
      <c r="O78" s="45" t="s">
        <v>76</v>
      </c>
      <c r="P78" s="65" t="s">
        <v>77</v>
      </c>
      <c r="Q78" s="65" t="s">
        <v>77</v>
      </c>
      <c r="R78" s="52"/>
      <c r="S78" s="65" t="s">
        <v>79</v>
      </c>
      <c r="T78" s="45" t="s">
        <v>94</v>
      </c>
      <c r="U78" s="42" t="s">
        <v>81</v>
      </c>
      <c r="V78" s="45" t="s">
        <v>78</v>
      </c>
      <c r="W78" s="65" t="s">
        <v>79</v>
      </c>
      <c r="X78" s="65" t="s">
        <v>82</v>
      </c>
      <c r="Y78" s="45" t="s">
        <v>544</v>
      </c>
      <c r="Z78" s="68" t="s">
        <v>130</v>
      </c>
      <c r="AA78" s="71" t="s">
        <v>564</v>
      </c>
      <c r="AB78" s="52"/>
      <c r="AC78" s="53">
        <f t="shared" si="5"/>
        <v>149</v>
      </c>
      <c r="AD78" s="52"/>
      <c r="AE78" s="53">
        <f t="shared" si="11"/>
        <v>38.5</v>
      </c>
      <c r="AF78" s="53">
        <f t="shared" si="3"/>
        <v>110.5</v>
      </c>
      <c r="AG78" s="52">
        <f t="shared" si="16"/>
        <v>1105</v>
      </c>
      <c r="AH78" s="48">
        <f>IFERROR(__xludf.DUMMYFUNCTION("importrange(C78,""Sheet2!a4:x4"")"),44.18478260869565)</f>
        <v>44.18478261</v>
      </c>
      <c r="AI78" s="48">
        <f>IFERROR(__xludf.DUMMYFUNCTION("""COMPUTED_VALUE"""),7.0)</f>
        <v>7</v>
      </c>
      <c r="AJ78" s="48">
        <f>IFERROR(__xludf.DUMMYFUNCTION("""COMPUTED_VALUE"""),200.0)</f>
        <v>200</v>
      </c>
      <c r="AK78" s="53" t="str">
        <f>IFERROR(__xludf.DUMMYFUNCTION("""COMPUTED_VALUE"""),"Absent")</f>
        <v>Absent</v>
      </c>
      <c r="AL78" s="53">
        <f>IFERROR(__xludf.DUMMYFUNCTION("""COMPUTED_VALUE"""),200.0)</f>
        <v>200</v>
      </c>
      <c r="AM78" s="53">
        <f>IFERROR(__xludf.DUMMYFUNCTION("""COMPUTED_VALUE"""),106.0)</f>
        <v>106</v>
      </c>
      <c r="AN78" s="53">
        <f>IFERROR(__xludf.DUMMYFUNCTION("""COMPUTED_VALUE"""),103.0)</f>
        <v>103</v>
      </c>
      <c r="AO78" s="53">
        <f>IFERROR(__xludf.DUMMYFUNCTION("""COMPUTED_VALUE"""),37.0)</f>
        <v>37</v>
      </c>
      <c r="AP78" s="53">
        <f>IFERROR(__xludf.DUMMYFUNCTION("""COMPUTED_VALUE"""),3.0)</f>
        <v>3</v>
      </c>
      <c r="AQ78" s="53">
        <f>IFERROR(__xludf.DUMMYFUNCTION("""COMPUTED_VALUE"""),14.0)</f>
        <v>14</v>
      </c>
      <c r="AR78" s="53">
        <f>IFERROR(__xludf.DUMMYFUNCTION("""COMPUTED_VALUE"""),43.0)</f>
        <v>43</v>
      </c>
      <c r="AS78" s="53">
        <f>IFERROR(__xludf.DUMMYFUNCTION("""COMPUTED_VALUE"""),78.49462365591397)</f>
        <v>78.49462366</v>
      </c>
      <c r="AT78" s="48">
        <f>IFERROR(__xludf.DUMMYFUNCTION("""COMPUTED_VALUE"""),18.5)</f>
        <v>18.5</v>
      </c>
      <c r="AU78" s="48">
        <f>IFERROR(__xludf.DUMMYFUNCTION("""COMPUTED_VALUE"""),1.5)</f>
        <v>1.5</v>
      </c>
      <c r="AV78" s="48">
        <f>IFERROR(__xludf.DUMMYFUNCTION("""COMPUTED_VALUE"""),7.000000000000001)</f>
        <v>7</v>
      </c>
      <c r="AW78" s="48">
        <f>IFERROR(__xludf.DUMMYFUNCTION("""COMPUTED_VALUE"""),21.5)</f>
        <v>21.5</v>
      </c>
      <c r="AX78" s="48">
        <f>IFERROR(__xludf.DUMMYFUNCTION("""COMPUTED_VALUE"""),74.5)</f>
        <v>74.5</v>
      </c>
      <c r="AY78" s="48">
        <f>IFERROR(__xludf.DUMMYFUNCTION("""COMPUTED_VALUE"""),0.0)</f>
        <v>0</v>
      </c>
      <c r="AZ78" s="48">
        <f>IFERROR(__xludf.DUMMYFUNCTION("""COMPUTED_VALUE"""),0.0)</f>
        <v>0</v>
      </c>
      <c r="BA78" s="48">
        <f>IFERROR(__xludf.DUMMYFUNCTION("""COMPUTED_VALUE"""),0.0)</f>
        <v>0</v>
      </c>
      <c r="BB78" s="48">
        <f>IFERROR(__xludf.DUMMYFUNCTION("""COMPUTED_VALUE"""),0.0)</f>
        <v>0</v>
      </c>
      <c r="BC78" s="48" t="str">
        <f>IFERROR(__xludf.DUMMYFUNCTION("""COMPUTED_VALUE"""),"#DIV/0!")</f>
        <v>#DIV/0!</v>
      </c>
      <c r="BD78" s="48" t="str">
        <f>IFERROR(__xludf.DUMMYFUNCTION("""COMPUTED_VALUE"""),"#DIV/0!")</f>
        <v>#DIV/0!</v>
      </c>
      <c r="BE78" s="48" t="str">
        <f>IFERROR(__xludf.DUMMYFUNCTION("""COMPUTED_VALUE"""),"#DIV/0!")</f>
        <v>#DIV/0!</v>
      </c>
      <c r="BF78" s="52"/>
      <c r="BG78" s="52"/>
      <c r="BH78" s="52"/>
      <c r="BI78" s="52"/>
      <c r="BJ78" s="52"/>
      <c r="BK78" s="52"/>
      <c r="BL78" s="52"/>
      <c r="BM78" s="54" t="s">
        <v>96</v>
      </c>
    </row>
    <row r="79">
      <c r="A79" s="42" t="s">
        <v>565</v>
      </c>
      <c r="B79" s="55" t="s">
        <v>566</v>
      </c>
      <c r="C79" s="44" t="s">
        <v>567</v>
      </c>
      <c r="D79" s="45" t="s">
        <v>70</v>
      </c>
      <c r="E79" s="45" t="s">
        <v>192</v>
      </c>
      <c r="F79" s="46">
        <v>41892.0</v>
      </c>
      <c r="G79" s="47">
        <v>41902.0</v>
      </c>
      <c r="H79" s="48">
        <f t="shared" si="1"/>
        <v>0.3289473684</v>
      </c>
      <c r="I79" s="49" t="s">
        <v>568</v>
      </c>
      <c r="J79" s="50" t="s">
        <v>569</v>
      </c>
      <c r="K79" s="45" t="s">
        <v>570</v>
      </c>
      <c r="L79" s="45" t="s">
        <v>571</v>
      </c>
      <c r="M79" s="51">
        <v>32536.0</v>
      </c>
      <c r="N79" s="52">
        <f t="shared" si="17"/>
        <v>32</v>
      </c>
      <c r="O79" s="45" t="s">
        <v>104</v>
      </c>
      <c r="P79" s="45" t="s">
        <v>77</v>
      </c>
      <c r="Q79" s="45" t="s">
        <v>77</v>
      </c>
      <c r="R79" s="52"/>
      <c r="S79" s="45" t="s">
        <v>79</v>
      </c>
      <c r="T79" s="45" t="s">
        <v>94</v>
      </c>
      <c r="U79" s="42" t="s">
        <v>81</v>
      </c>
      <c r="V79" s="45" t="s">
        <v>78</v>
      </c>
      <c r="W79" s="45" t="s">
        <v>79</v>
      </c>
      <c r="X79" s="45" t="s">
        <v>82</v>
      </c>
      <c r="Y79" s="45" t="s">
        <v>544</v>
      </c>
      <c r="Z79" s="52"/>
      <c r="AA79" s="62"/>
      <c r="AB79" s="52"/>
      <c r="AC79" s="53">
        <f t="shared" si="5"/>
        <v>2</v>
      </c>
      <c r="AD79" s="52"/>
      <c r="AE79" s="53">
        <f t="shared" si="11"/>
        <v>0</v>
      </c>
      <c r="AF79" s="53">
        <f t="shared" si="3"/>
        <v>2</v>
      </c>
      <c r="AG79" s="52">
        <f t="shared" si="16"/>
        <v>20</v>
      </c>
      <c r="AH79" s="48" t="str">
        <f>IFERROR(__xludf.DUMMYFUNCTION("importrange(C79,""Sheet2!a4:x4"")"),"#DIV/0!")</f>
        <v>#DIV/0!</v>
      </c>
      <c r="AI79" s="48">
        <f>IFERROR(__xludf.DUMMYFUNCTION("""COMPUTED_VALUE"""),1.0)</f>
        <v>1</v>
      </c>
      <c r="AJ79" s="48">
        <f>IFERROR(__xludf.DUMMYFUNCTION("""COMPUTED_VALUE"""),2.0)</f>
        <v>2</v>
      </c>
      <c r="AK79" s="53" t="str">
        <f>IFERROR(__xludf.DUMMYFUNCTION("""COMPUTED_VALUE"""),"Attended")</f>
        <v>Attended</v>
      </c>
      <c r="AL79" s="53">
        <f>IFERROR(__xludf.DUMMYFUNCTION("""COMPUTED_VALUE"""),2.0)</f>
        <v>2</v>
      </c>
      <c r="AM79" s="53">
        <f>IFERROR(__xludf.DUMMYFUNCTION("""COMPUTED_VALUE"""),2.0)</f>
        <v>2</v>
      </c>
      <c r="AN79" s="53">
        <f>IFERROR(__xludf.DUMMYFUNCTION("""COMPUTED_VALUE"""),2.0)</f>
        <v>2</v>
      </c>
      <c r="AO79" s="53">
        <f>IFERROR(__xludf.DUMMYFUNCTION("""COMPUTED_VALUE"""),0.0)</f>
        <v>0</v>
      </c>
      <c r="AP79" s="53">
        <f>IFERROR(__xludf.DUMMYFUNCTION("""COMPUTED_VALUE"""),0.0)</f>
        <v>0</v>
      </c>
      <c r="AQ79" s="53">
        <f>IFERROR(__xludf.DUMMYFUNCTION("""COMPUTED_VALUE"""),0.0)</f>
        <v>0</v>
      </c>
      <c r="AR79" s="53">
        <f>IFERROR(__xludf.DUMMYFUNCTION("""COMPUTED_VALUE"""),0.0)</f>
        <v>0</v>
      </c>
      <c r="AS79" s="53">
        <f>IFERROR(__xludf.DUMMYFUNCTION("""COMPUTED_VALUE"""),100.0)</f>
        <v>100</v>
      </c>
      <c r="AT79" s="48">
        <f>IFERROR(__xludf.DUMMYFUNCTION("""COMPUTED_VALUE"""),0.0)</f>
        <v>0</v>
      </c>
      <c r="AU79" s="48">
        <f>IFERROR(__xludf.DUMMYFUNCTION("""COMPUTED_VALUE"""),0.0)</f>
        <v>0</v>
      </c>
      <c r="AV79" s="48">
        <f>IFERROR(__xludf.DUMMYFUNCTION("""COMPUTED_VALUE"""),0.0)</f>
        <v>0</v>
      </c>
      <c r="AW79" s="48">
        <f>IFERROR(__xludf.DUMMYFUNCTION("""COMPUTED_VALUE"""),0.0)</f>
        <v>0</v>
      </c>
      <c r="AX79" s="48">
        <f>IFERROR(__xludf.DUMMYFUNCTION("""COMPUTED_VALUE"""),100.0)</f>
        <v>100</v>
      </c>
      <c r="AY79" s="48">
        <f>IFERROR(__xludf.DUMMYFUNCTION("""COMPUTED_VALUE"""),0.0)</f>
        <v>0</v>
      </c>
      <c r="AZ79" s="48">
        <f>IFERROR(__xludf.DUMMYFUNCTION("""COMPUTED_VALUE"""),0.0)</f>
        <v>0</v>
      </c>
      <c r="BA79" s="48">
        <f>IFERROR(__xludf.DUMMYFUNCTION("""COMPUTED_VALUE"""),0.0)</f>
        <v>0</v>
      </c>
      <c r="BB79" s="48">
        <f>IFERROR(__xludf.DUMMYFUNCTION("""COMPUTED_VALUE"""),0.0)</f>
        <v>0</v>
      </c>
      <c r="BC79" s="48" t="str">
        <f>IFERROR(__xludf.DUMMYFUNCTION("""COMPUTED_VALUE"""),"#DIV/0!")</f>
        <v>#DIV/0!</v>
      </c>
      <c r="BD79" s="48" t="str">
        <f>IFERROR(__xludf.DUMMYFUNCTION("""COMPUTED_VALUE"""),"#DIV/0!")</f>
        <v>#DIV/0!</v>
      </c>
      <c r="BE79" s="48" t="str">
        <f>IFERROR(__xludf.DUMMYFUNCTION("""COMPUTED_VALUE"""),"#DIV/0!")</f>
        <v>#DIV/0!</v>
      </c>
      <c r="BF79" s="52"/>
      <c r="BG79" s="52"/>
      <c r="BH79" s="52"/>
      <c r="BI79" s="52"/>
      <c r="BJ79" s="52"/>
      <c r="BK79" s="52"/>
      <c r="BL79" s="52"/>
      <c r="BM79" s="54" t="s">
        <v>96</v>
      </c>
    </row>
    <row r="80">
      <c r="A80" s="42" t="s">
        <v>572</v>
      </c>
      <c r="B80" s="55" t="s">
        <v>573</v>
      </c>
      <c r="C80" s="45" t="s">
        <v>574</v>
      </c>
      <c r="D80" s="45" t="s">
        <v>70</v>
      </c>
      <c r="E80" s="45" t="s">
        <v>71</v>
      </c>
      <c r="F80" s="46">
        <v>41897.0</v>
      </c>
      <c r="G80" s="47">
        <v>42030.0</v>
      </c>
      <c r="H80" s="48">
        <f t="shared" si="1"/>
        <v>4.375</v>
      </c>
      <c r="I80" s="49" t="s">
        <v>575</v>
      </c>
      <c r="J80" s="50" t="s">
        <v>576</v>
      </c>
      <c r="K80" s="45" t="s">
        <v>417</v>
      </c>
      <c r="L80" s="45" t="s">
        <v>577</v>
      </c>
      <c r="M80" s="51">
        <v>34335.0</v>
      </c>
      <c r="N80" s="52">
        <f t="shared" si="17"/>
        <v>27</v>
      </c>
      <c r="O80" s="45" t="s">
        <v>76</v>
      </c>
      <c r="P80" s="45" t="s">
        <v>77</v>
      </c>
      <c r="Q80" s="45" t="s">
        <v>77</v>
      </c>
      <c r="R80" s="52"/>
      <c r="S80" s="45" t="s">
        <v>79</v>
      </c>
      <c r="T80" s="45" t="s">
        <v>94</v>
      </c>
      <c r="U80" s="42" t="s">
        <v>81</v>
      </c>
      <c r="V80" s="45" t="s">
        <v>78</v>
      </c>
      <c r="W80" s="45" t="s">
        <v>79</v>
      </c>
      <c r="X80" s="45" t="s">
        <v>82</v>
      </c>
      <c r="Y80" s="45" t="s">
        <v>544</v>
      </c>
      <c r="Z80" s="52"/>
      <c r="AA80" s="62"/>
      <c r="AB80" s="52"/>
      <c r="AC80" s="53">
        <f t="shared" si="5"/>
        <v>185</v>
      </c>
      <c r="AD80" s="52"/>
      <c r="AE80" s="53">
        <f t="shared" si="11"/>
        <v>8.5</v>
      </c>
      <c r="AF80" s="53">
        <f t="shared" si="3"/>
        <v>176.5</v>
      </c>
      <c r="AG80" s="52">
        <f t="shared" si="16"/>
        <v>1765</v>
      </c>
      <c r="AH80" s="48">
        <f>IFERROR(__xludf.DUMMYFUNCTION("importrange(C80,""Sheet2!a4:x4"")"),35.445859872611464)</f>
        <v>35.44585987</v>
      </c>
      <c r="AI80" s="48">
        <f>IFERROR(__xludf.DUMMYFUNCTION("""COMPUTED_VALUE"""),7.0)</f>
        <v>7</v>
      </c>
      <c r="AJ80" s="48">
        <f>IFERROR(__xludf.DUMMYFUNCTION("""COMPUTED_VALUE"""),192.0)</f>
        <v>192</v>
      </c>
      <c r="AK80" s="53" t="str">
        <f>IFERROR(__xludf.DUMMYFUNCTION("""COMPUTED_VALUE"""),"Attended")</f>
        <v>Attended</v>
      </c>
      <c r="AL80" s="53">
        <f>IFERROR(__xludf.DUMMYFUNCTION("""COMPUTED_VALUE"""),192.0)</f>
        <v>192</v>
      </c>
      <c r="AM80" s="53">
        <f>IFERROR(__xludf.DUMMYFUNCTION("""COMPUTED_VALUE"""),163.0)</f>
        <v>163</v>
      </c>
      <c r="AN80" s="53">
        <f>IFERROR(__xludf.DUMMYFUNCTION("""COMPUTED_VALUE"""),160.0)</f>
        <v>160</v>
      </c>
      <c r="AO80" s="53">
        <f>IFERROR(__xludf.DUMMYFUNCTION("""COMPUTED_VALUE"""),7.0)</f>
        <v>7</v>
      </c>
      <c r="AP80" s="53">
        <f>IFERROR(__xludf.DUMMYFUNCTION("""COMPUTED_VALUE"""),3.0)</f>
        <v>3</v>
      </c>
      <c r="AQ80" s="53">
        <f>IFERROR(__xludf.DUMMYFUNCTION("""COMPUTED_VALUE"""),0.0)</f>
        <v>0</v>
      </c>
      <c r="AR80" s="53">
        <f>IFERROR(__xludf.DUMMYFUNCTION("""COMPUTED_VALUE"""),22.0)</f>
        <v>22</v>
      </c>
      <c r="AS80" s="53">
        <f>IFERROR(__xludf.DUMMYFUNCTION("""COMPUTED_VALUE"""),94.79166666666666)</f>
        <v>94.79166667</v>
      </c>
      <c r="AT80" s="48">
        <f>IFERROR(__xludf.DUMMYFUNCTION("""COMPUTED_VALUE"""),3.6458333333333335)</f>
        <v>3.645833333</v>
      </c>
      <c r="AU80" s="48">
        <f>IFERROR(__xludf.DUMMYFUNCTION("""COMPUTED_VALUE"""),1.5625)</f>
        <v>1.5625</v>
      </c>
      <c r="AV80" s="48">
        <f>IFERROR(__xludf.DUMMYFUNCTION("""COMPUTED_VALUE"""),0.0)</f>
        <v>0</v>
      </c>
      <c r="AW80" s="48">
        <f>IFERROR(__xludf.DUMMYFUNCTION("""COMPUTED_VALUE"""),11.458333333333332)</f>
        <v>11.45833333</v>
      </c>
      <c r="AX80" s="48">
        <f>IFERROR(__xludf.DUMMYFUNCTION("""COMPUTED_VALUE"""),96.35416666666666)</f>
        <v>96.35416667</v>
      </c>
      <c r="AY80" s="48">
        <f>IFERROR(__xludf.DUMMYFUNCTION("""COMPUTED_VALUE"""),92.0)</f>
        <v>92</v>
      </c>
      <c r="AZ80" s="48">
        <f>IFERROR(__xludf.DUMMYFUNCTION("""COMPUTED_VALUE"""),86.0)</f>
        <v>86</v>
      </c>
      <c r="BA80" s="48">
        <f>IFERROR(__xludf.DUMMYFUNCTION("""COMPUTED_VALUE"""),6.0)</f>
        <v>6</v>
      </c>
      <c r="BB80" s="48">
        <f>IFERROR(__xludf.DUMMYFUNCTION("""COMPUTED_VALUE"""),64.0)</f>
        <v>64</v>
      </c>
      <c r="BC80" s="48">
        <f>IFERROR(__xludf.DUMMYFUNCTION("""COMPUTED_VALUE"""),93.47826086956522)</f>
        <v>93.47826087</v>
      </c>
      <c r="BD80" s="48">
        <f>IFERROR(__xludf.DUMMYFUNCTION("""COMPUTED_VALUE"""),6.521739130434782)</f>
        <v>6.52173913</v>
      </c>
      <c r="BE80" s="48">
        <f>IFERROR(__xludf.DUMMYFUNCTION("""COMPUTED_VALUE"""),41.02564102564102)</f>
        <v>41.02564103</v>
      </c>
      <c r="BF80" s="52"/>
      <c r="BG80" s="52"/>
      <c r="BH80" s="52"/>
      <c r="BI80" s="52"/>
      <c r="BJ80" s="52"/>
      <c r="BK80" s="52"/>
      <c r="BL80" s="52"/>
      <c r="BM80" s="54" t="s">
        <v>96</v>
      </c>
    </row>
    <row r="81">
      <c r="A81" s="42" t="s">
        <v>578</v>
      </c>
      <c r="B81" s="55" t="s">
        <v>579</v>
      </c>
      <c r="C81" s="45" t="s">
        <v>580</v>
      </c>
      <c r="D81" s="45" t="s">
        <v>70</v>
      </c>
      <c r="E81" s="45" t="s">
        <v>71</v>
      </c>
      <c r="F81" s="46">
        <v>41898.0</v>
      </c>
      <c r="G81" s="47">
        <v>42567.0</v>
      </c>
      <c r="H81" s="48">
        <f t="shared" si="1"/>
        <v>22.00657895</v>
      </c>
      <c r="I81" s="49" t="s">
        <v>581</v>
      </c>
      <c r="J81" s="50" t="s">
        <v>582</v>
      </c>
      <c r="K81" s="45" t="s">
        <v>583</v>
      </c>
      <c r="L81" s="45" t="s">
        <v>584</v>
      </c>
      <c r="M81" s="51">
        <v>30993.0</v>
      </c>
      <c r="N81" s="52">
        <f t="shared" si="17"/>
        <v>36</v>
      </c>
      <c r="O81" s="45" t="s">
        <v>104</v>
      </c>
      <c r="P81" s="45" t="s">
        <v>77</v>
      </c>
      <c r="Q81" s="45" t="s">
        <v>77</v>
      </c>
      <c r="R81" s="52"/>
      <c r="S81" s="45" t="s">
        <v>79</v>
      </c>
      <c r="T81" s="45" t="s">
        <v>94</v>
      </c>
      <c r="U81" s="42" t="s">
        <v>81</v>
      </c>
      <c r="V81" s="45" t="s">
        <v>78</v>
      </c>
      <c r="W81" s="45" t="s">
        <v>79</v>
      </c>
      <c r="X81" s="45" t="s">
        <v>82</v>
      </c>
      <c r="Y81" s="45" t="s">
        <v>556</v>
      </c>
      <c r="Z81" s="45" t="s">
        <v>130</v>
      </c>
      <c r="AA81" s="58" t="s">
        <v>585</v>
      </c>
      <c r="AB81" s="52"/>
      <c r="AC81" s="53">
        <f t="shared" si="5"/>
        <v>122</v>
      </c>
      <c r="AD81" s="52"/>
      <c r="AE81" s="53">
        <f t="shared" si="11"/>
        <v>11</v>
      </c>
      <c r="AF81" s="53">
        <f t="shared" si="3"/>
        <v>111</v>
      </c>
      <c r="AG81" s="52">
        <f t="shared" si="16"/>
        <v>1110</v>
      </c>
      <c r="AH81" s="48">
        <f>IFERROR(__xludf.DUMMYFUNCTION("importrange(C81,""Sheet2!a4:x4"")"),37.285714285714285)</f>
        <v>37.28571429</v>
      </c>
      <c r="AI81" s="48">
        <f>IFERROR(__xludf.DUMMYFUNCTION("""COMPUTED_VALUE"""),7.0)</f>
        <v>7</v>
      </c>
      <c r="AJ81" s="48">
        <f>IFERROR(__xludf.DUMMYFUNCTION("""COMPUTED_VALUE"""),141.0)</f>
        <v>141</v>
      </c>
      <c r="AK81" s="53" t="str">
        <f>IFERROR(__xludf.DUMMYFUNCTION("""COMPUTED_VALUE"""),"Attended")</f>
        <v>Attended</v>
      </c>
      <c r="AL81" s="53">
        <f>IFERROR(__xludf.DUMMYFUNCTION("""COMPUTED_VALUE"""),141.0)</f>
        <v>141</v>
      </c>
      <c r="AM81" s="53">
        <f>IFERROR(__xludf.DUMMYFUNCTION("""COMPUTED_VALUE"""),88.0)</f>
        <v>88</v>
      </c>
      <c r="AN81" s="53">
        <f>IFERROR(__xludf.DUMMYFUNCTION("""COMPUTED_VALUE"""),88.0)</f>
        <v>88</v>
      </c>
      <c r="AO81" s="53">
        <f>IFERROR(__xludf.DUMMYFUNCTION("""COMPUTED_VALUE"""),11.0)</f>
        <v>11</v>
      </c>
      <c r="AP81" s="53">
        <f>IFERROR(__xludf.DUMMYFUNCTION("""COMPUTED_VALUE"""),0.0)</f>
        <v>0</v>
      </c>
      <c r="AQ81" s="53">
        <f>IFERROR(__xludf.DUMMYFUNCTION("""COMPUTED_VALUE"""),8.0)</f>
        <v>8</v>
      </c>
      <c r="AR81" s="53">
        <f>IFERROR(__xludf.DUMMYFUNCTION("""COMPUTED_VALUE"""),34.0)</f>
        <v>34</v>
      </c>
      <c r="AS81" s="53">
        <f>IFERROR(__xludf.DUMMYFUNCTION("""COMPUTED_VALUE"""),91.72932330827066)</f>
        <v>91.72932331</v>
      </c>
      <c r="AT81" s="48">
        <f>IFERROR(__xludf.DUMMYFUNCTION("""COMPUTED_VALUE"""),7.801418439716312)</f>
        <v>7.80141844</v>
      </c>
      <c r="AU81" s="48">
        <f>IFERROR(__xludf.DUMMYFUNCTION("""COMPUTED_VALUE"""),0.0)</f>
        <v>0</v>
      </c>
      <c r="AV81" s="48">
        <f>IFERROR(__xludf.DUMMYFUNCTION("""COMPUTED_VALUE"""),5.673758865248227)</f>
        <v>5.673758865</v>
      </c>
      <c r="AW81" s="48">
        <f>IFERROR(__xludf.DUMMYFUNCTION("""COMPUTED_VALUE"""),24.113475177304963)</f>
        <v>24.11347518</v>
      </c>
      <c r="AX81" s="48">
        <f>IFERROR(__xludf.DUMMYFUNCTION("""COMPUTED_VALUE"""),86.52482269503547)</f>
        <v>86.5248227</v>
      </c>
      <c r="AY81" s="48">
        <f>IFERROR(__xludf.DUMMYFUNCTION("""COMPUTED_VALUE"""),2.0)</f>
        <v>2</v>
      </c>
      <c r="AZ81" s="48">
        <f>IFERROR(__xludf.DUMMYFUNCTION("""COMPUTED_VALUE"""),0.0)</f>
        <v>0</v>
      </c>
      <c r="BA81" s="48">
        <f>IFERROR(__xludf.DUMMYFUNCTION("""COMPUTED_VALUE"""),2.0)</f>
        <v>2</v>
      </c>
      <c r="BB81" s="48">
        <f>IFERROR(__xludf.DUMMYFUNCTION("""COMPUTED_VALUE"""),2.0)</f>
        <v>2</v>
      </c>
      <c r="BC81" s="48">
        <f>IFERROR(__xludf.DUMMYFUNCTION("""COMPUTED_VALUE"""),0.0)</f>
        <v>0</v>
      </c>
      <c r="BD81" s="48">
        <f>IFERROR(__xludf.DUMMYFUNCTION("""COMPUTED_VALUE"""),100.0)</f>
        <v>100</v>
      </c>
      <c r="BE81" s="48">
        <f>IFERROR(__xludf.DUMMYFUNCTION("""COMPUTED_VALUE"""),50.0)</f>
        <v>50</v>
      </c>
      <c r="BF81" s="52"/>
      <c r="BG81" s="52"/>
      <c r="BH81" s="52"/>
      <c r="BI81" s="52"/>
      <c r="BJ81" s="52"/>
      <c r="BK81" s="52"/>
      <c r="BL81" s="52"/>
      <c r="BM81" s="54" t="s">
        <v>96</v>
      </c>
    </row>
    <row r="82">
      <c r="A82" s="42" t="s">
        <v>578</v>
      </c>
      <c r="B82" s="55" t="s">
        <v>579</v>
      </c>
      <c r="C82" s="45" t="s">
        <v>586</v>
      </c>
      <c r="D82" s="45" t="s">
        <v>70</v>
      </c>
      <c r="E82" s="45" t="s">
        <v>71</v>
      </c>
      <c r="F82" s="46">
        <v>41898.0</v>
      </c>
      <c r="G82" s="47">
        <v>41898.0</v>
      </c>
      <c r="H82" s="48">
        <f t="shared" si="1"/>
        <v>0</v>
      </c>
      <c r="I82" s="49" t="s">
        <v>581</v>
      </c>
      <c r="J82" s="50" t="s">
        <v>582</v>
      </c>
      <c r="K82" s="45" t="s">
        <v>583</v>
      </c>
      <c r="L82" s="45" t="s">
        <v>584</v>
      </c>
      <c r="M82" s="51">
        <v>30993.0</v>
      </c>
      <c r="N82" s="52">
        <f t="shared" si="17"/>
        <v>36</v>
      </c>
      <c r="O82" s="45" t="s">
        <v>104</v>
      </c>
      <c r="P82" s="45" t="s">
        <v>77</v>
      </c>
      <c r="Q82" s="45" t="s">
        <v>77</v>
      </c>
      <c r="R82" s="52"/>
      <c r="S82" s="45" t="s">
        <v>79</v>
      </c>
      <c r="T82" s="45" t="s">
        <v>94</v>
      </c>
      <c r="U82" s="42" t="s">
        <v>81</v>
      </c>
      <c r="V82" s="45" t="s">
        <v>78</v>
      </c>
      <c r="W82" s="45" t="s">
        <v>79</v>
      </c>
      <c r="X82" s="45" t="s">
        <v>82</v>
      </c>
      <c r="Y82" s="45" t="s">
        <v>544</v>
      </c>
      <c r="Z82" s="45" t="s">
        <v>130</v>
      </c>
      <c r="AA82" s="58" t="s">
        <v>582</v>
      </c>
      <c r="AB82" s="52"/>
      <c r="AC82" s="53">
        <f t="shared" si="5"/>
        <v>1</v>
      </c>
      <c r="AD82" s="52"/>
      <c r="AE82" s="53">
        <f t="shared" si="11"/>
        <v>0</v>
      </c>
      <c r="AF82" s="53">
        <f t="shared" si="3"/>
        <v>1</v>
      </c>
      <c r="AG82" s="52">
        <f t="shared" si="16"/>
        <v>10</v>
      </c>
      <c r="AH82" s="48">
        <f>IFERROR(__xludf.DUMMYFUNCTION("importrange(C82,""Sheet2!a4:x4"")"),33.0)</f>
        <v>33</v>
      </c>
      <c r="AI82" s="48">
        <f>IFERROR(__xludf.DUMMYFUNCTION("""COMPUTED_VALUE"""),1.0)</f>
        <v>1</v>
      </c>
      <c r="AJ82" s="48">
        <f>IFERROR(__xludf.DUMMYFUNCTION("""COMPUTED_VALUE"""),1.0)</f>
        <v>1</v>
      </c>
      <c r="AK82" s="53" t="str">
        <f>IFERROR(__xludf.DUMMYFUNCTION("""COMPUTED_VALUE"""),"Attended")</f>
        <v>Attended</v>
      </c>
      <c r="AL82" s="53">
        <f>IFERROR(__xludf.DUMMYFUNCTION("""COMPUTED_VALUE"""),1.0)</f>
        <v>1</v>
      </c>
      <c r="AM82" s="53">
        <f>IFERROR(__xludf.DUMMYFUNCTION("""COMPUTED_VALUE"""),1.0)</f>
        <v>1</v>
      </c>
      <c r="AN82" s="53">
        <f>IFERROR(__xludf.DUMMYFUNCTION("""COMPUTED_VALUE"""),1.0)</f>
        <v>1</v>
      </c>
      <c r="AO82" s="53">
        <f>IFERROR(__xludf.DUMMYFUNCTION("""COMPUTED_VALUE"""),0.0)</f>
        <v>0</v>
      </c>
      <c r="AP82" s="53">
        <f>IFERROR(__xludf.DUMMYFUNCTION("""COMPUTED_VALUE"""),0.0)</f>
        <v>0</v>
      </c>
      <c r="AQ82" s="53">
        <f>IFERROR(__xludf.DUMMYFUNCTION("""COMPUTED_VALUE"""),0.0)</f>
        <v>0</v>
      </c>
      <c r="AR82" s="53">
        <f>IFERROR(__xludf.DUMMYFUNCTION("""COMPUTED_VALUE"""),0.0)</f>
        <v>0</v>
      </c>
      <c r="AS82" s="53">
        <f>IFERROR(__xludf.DUMMYFUNCTION("""COMPUTED_VALUE"""),100.0)</f>
        <v>100</v>
      </c>
      <c r="AT82" s="48">
        <f>IFERROR(__xludf.DUMMYFUNCTION("""COMPUTED_VALUE"""),0.0)</f>
        <v>0</v>
      </c>
      <c r="AU82" s="48">
        <f>IFERROR(__xludf.DUMMYFUNCTION("""COMPUTED_VALUE"""),0.0)</f>
        <v>0</v>
      </c>
      <c r="AV82" s="48">
        <f>IFERROR(__xludf.DUMMYFUNCTION("""COMPUTED_VALUE"""),0.0)</f>
        <v>0</v>
      </c>
      <c r="AW82" s="48">
        <f>IFERROR(__xludf.DUMMYFUNCTION("""COMPUTED_VALUE"""),0.0)</f>
        <v>0</v>
      </c>
      <c r="AX82" s="48">
        <f>IFERROR(__xludf.DUMMYFUNCTION("""COMPUTED_VALUE"""),100.0)</f>
        <v>100</v>
      </c>
      <c r="AY82" s="48">
        <f>IFERROR(__xludf.DUMMYFUNCTION("""COMPUTED_VALUE"""),0.0)</f>
        <v>0</v>
      </c>
      <c r="AZ82" s="48">
        <f>IFERROR(__xludf.DUMMYFUNCTION("""COMPUTED_VALUE"""),0.0)</f>
        <v>0</v>
      </c>
      <c r="BA82" s="48">
        <f>IFERROR(__xludf.DUMMYFUNCTION("""COMPUTED_VALUE"""),0.0)</f>
        <v>0</v>
      </c>
      <c r="BB82" s="48">
        <f>IFERROR(__xludf.DUMMYFUNCTION("""COMPUTED_VALUE"""),0.0)</f>
        <v>0</v>
      </c>
      <c r="BC82" s="48" t="str">
        <f>IFERROR(__xludf.DUMMYFUNCTION("""COMPUTED_VALUE"""),"#DIV/0!")</f>
        <v>#DIV/0!</v>
      </c>
      <c r="BD82" s="48" t="str">
        <f>IFERROR(__xludf.DUMMYFUNCTION("""COMPUTED_VALUE"""),"#DIV/0!")</f>
        <v>#DIV/0!</v>
      </c>
      <c r="BE82" s="48" t="str">
        <f>IFERROR(__xludf.DUMMYFUNCTION("""COMPUTED_VALUE"""),"#DIV/0!")</f>
        <v>#DIV/0!</v>
      </c>
      <c r="BF82" s="52"/>
      <c r="BG82" s="52"/>
      <c r="BH82" s="52"/>
      <c r="BI82" s="52"/>
      <c r="BJ82" s="52"/>
      <c r="BK82" s="52"/>
      <c r="BL82" s="52"/>
      <c r="BM82" s="54" t="s">
        <v>96</v>
      </c>
    </row>
    <row r="83">
      <c r="A83" s="42" t="s">
        <v>231</v>
      </c>
      <c r="B83" s="55" t="s">
        <v>232</v>
      </c>
      <c r="C83" s="45" t="s">
        <v>587</v>
      </c>
      <c r="D83" s="45" t="s">
        <v>125</v>
      </c>
      <c r="E83" s="42" t="s">
        <v>71</v>
      </c>
      <c r="F83" s="46">
        <v>41907.0</v>
      </c>
      <c r="G83" s="47"/>
      <c r="H83" s="48">
        <f t="shared" si="1"/>
        <v>77.10526316</v>
      </c>
      <c r="I83" s="49" t="s">
        <v>234</v>
      </c>
      <c r="J83" s="50" t="s">
        <v>235</v>
      </c>
      <c r="K83" s="42" t="s">
        <v>236</v>
      </c>
      <c r="L83" s="42" t="s">
        <v>588</v>
      </c>
      <c r="M83" s="51">
        <v>30317.0</v>
      </c>
      <c r="N83" s="52">
        <f t="shared" si="17"/>
        <v>38</v>
      </c>
      <c r="O83" s="45" t="s">
        <v>76</v>
      </c>
      <c r="P83" s="45" t="s">
        <v>77</v>
      </c>
      <c r="Q83" s="45" t="s">
        <v>77</v>
      </c>
      <c r="R83" s="52"/>
      <c r="S83" s="45" t="s">
        <v>79</v>
      </c>
      <c r="T83" s="45" t="s">
        <v>94</v>
      </c>
      <c r="U83" s="42" t="s">
        <v>81</v>
      </c>
      <c r="V83" s="45" t="s">
        <v>78</v>
      </c>
      <c r="W83" s="42" t="s">
        <v>79</v>
      </c>
      <c r="X83" s="42" t="s">
        <v>82</v>
      </c>
      <c r="Y83" s="45" t="s">
        <v>556</v>
      </c>
      <c r="Z83" s="45" t="s">
        <v>130</v>
      </c>
      <c r="AA83" s="58" t="s">
        <v>235</v>
      </c>
      <c r="AB83" s="52"/>
      <c r="AC83" s="53">
        <f t="shared" si="5"/>
        <v>724</v>
      </c>
      <c r="AD83" s="52"/>
      <c r="AE83" s="53">
        <f t="shared" si="11"/>
        <v>53</v>
      </c>
      <c r="AF83" s="53">
        <f t="shared" si="3"/>
        <v>671</v>
      </c>
      <c r="AG83" s="52">
        <f t="shared" si="16"/>
        <v>6710</v>
      </c>
      <c r="AH83" s="48">
        <f>IFERROR(__xludf.DUMMYFUNCTION("importrange(C83,""Sheet2!a4:x4"")"),28.524163568773233)</f>
        <v>28.52416357</v>
      </c>
      <c r="AI83" s="48">
        <f>IFERROR(__xludf.DUMMYFUNCTION("""COMPUTED_VALUE"""),18.0)</f>
        <v>18</v>
      </c>
      <c r="AJ83" s="48">
        <f>IFERROR(__xludf.DUMMYFUNCTION("""COMPUTED_VALUE"""),811.0)</f>
        <v>811</v>
      </c>
      <c r="AK83" s="53" t="str">
        <f>IFERROR(__xludf.DUMMYFUNCTION("""COMPUTED_VALUE"""),"Attended")</f>
        <v>Attended</v>
      </c>
      <c r="AL83" s="53">
        <f>IFERROR(__xludf.DUMMYFUNCTION("""COMPUTED_VALUE"""),811.0)</f>
        <v>811</v>
      </c>
      <c r="AM83" s="53">
        <f>IFERROR(__xludf.DUMMYFUNCTION("""COMPUTED_VALUE"""),593.0)</f>
        <v>593</v>
      </c>
      <c r="AN83" s="53">
        <f>IFERROR(__xludf.DUMMYFUNCTION("""COMPUTED_VALUE"""),583.0)</f>
        <v>583</v>
      </c>
      <c r="AO83" s="53">
        <f>IFERROR(__xludf.DUMMYFUNCTION("""COMPUTED_VALUE"""),48.0)</f>
        <v>48</v>
      </c>
      <c r="AP83" s="53">
        <f>IFERROR(__xludf.DUMMYFUNCTION("""COMPUTED_VALUE"""),10.0)</f>
        <v>10</v>
      </c>
      <c r="AQ83" s="53">
        <f>IFERROR(__xludf.DUMMYFUNCTION("""COMPUTED_VALUE"""),39.0)</f>
        <v>39</v>
      </c>
      <c r="AR83" s="53">
        <f>IFERROR(__xludf.DUMMYFUNCTION("""COMPUTED_VALUE"""),131.0)</f>
        <v>131</v>
      </c>
      <c r="AS83" s="53">
        <f>IFERROR(__xludf.DUMMYFUNCTION("""COMPUTED_VALUE"""),92.48704663212435)</f>
        <v>92.48704663</v>
      </c>
      <c r="AT83" s="48">
        <f>IFERROR(__xludf.DUMMYFUNCTION("""COMPUTED_VALUE"""),5.9186189889025895)</f>
        <v>5.918618989</v>
      </c>
      <c r="AU83" s="48">
        <f>IFERROR(__xludf.DUMMYFUNCTION("""COMPUTED_VALUE"""),1.2330456226880395)</f>
        <v>1.233045623</v>
      </c>
      <c r="AV83" s="48">
        <f>IFERROR(__xludf.DUMMYFUNCTION("""COMPUTED_VALUE"""),4.808877928483354)</f>
        <v>4.808877928</v>
      </c>
      <c r="AW83" s="48">
        <f>IFERROR(__xludf.DUMMYFUNCTION("""COMPUTED_VALUE"""),16.152897657213316)</f>
        <v>16.15289766</v>
      </c>
      <c r="AX83" s="48">
        <f>IFERROR(__xludf.DUMMYFUNCTION("""COMPUTED_VALUE"""),89.27250308261405)</f>
        <v>89.27250308</v>
      </c>
      <c r="AY83" s="48">
        <f>IFERROR(__xludf.DUMMYFUNCTION("""COMPUTED_VALUE"""),410.0)</f>
        <v>410</v>
      </c>
      <c r="AZ83" s="48">
        <f>IFERROR(__xludf.DUMMYFUNCTION("""COMPUTED_VALUE"""),369.0)</f>
        <v>369</v>
      </c>
      <c r="BA83" s="48">
        <f>IFERROR(__xludf.DUMMYFUNCTION("""COMPUTED_VALUE"""),41.0)</f>
        <v>41</v>
      </c>
      <c r="BB83" s="48">
        <f>IFERROR(__xludf.DUMMYFUNCTION("""COMPUTED_VALUE"""),0.0)</f>
        <v>0</v>
      </c>
      <c r="BC83" s="48">
        <f>IFERROR(__xludf.DUMMYFUNCTION("""COMPUTED_VALUE"""),90.0)</f>
        <v>90</v>
      </c>
      <c r="BD83" s="48">
        <f>IFERROR(__xludf.DUMMYFUNCTION("""COMPUTED_VALUE"""),10.0)</f>
        <v>10</v>
      </c>
      <c r="BE83" s="48">
        <f>IFERROR(__xludf.DUMMYFUNCTION("""COMPUTED_VALUE"""),0.0)</f>
        <v>0</v>
      </c>
      <c r="BF83" s="52"/>
      <c r="BG83" s="52"/>
      <c r="BH83" s="52"/>
      <c r="BI83" s="52"/>
      <c r="BJ83" s="52"/>
      <c r="BK83" s="45">
        <v>3.0</v>
      </c>
      <c r="BL83" s="45">
        <v>1.0</v>
      </c>
      <c r="BM83" s="59" t="s">
        <v>96</v>
      </c>
    </row>
    <row r="84">
      <c r="A84" s="42" t="s">
        <v>589</v>
      </c>
      <c r="B84" s="55" t="s">
        <v>590</v>
      </c>
      <c r="C84" s="45" t="s">
        <v>591</v>
      </c>
      <c r="D84" s="45" t="s">
        <v>125</v>
      </c>
      <c r="E84" s="45" t="s">
        <v>71</v>
      </c>
      <c r="F84" s="46">
        <v>41906.0</v>
      </c>
      <c r="G84" s="57"/>
      <c r="H84" s="48">
        <f t="shared" si="1"/>
        <v>77.13815789</v>
      </c>
      <c r="I84" s="49" t="s">
        <v>592</v>
      </c>
      <c r="J84" s="50" t="s">
        <v>593</v>
      </c>
      <c r="K84" s="45" t="s">
        <v>594</v>
      </c>
      <c r="L84" s="45" t="s">
        <v>595</v>
      </c>
      <c r="M84" s="51">
        <v>34335.0</v>
      </c>
      <c r="N84" s="52">
        <f t="shared" si="17"/>
        <v>27</v>
      </c>
      <c r="O84" s="45" t="s">
        <v>104</v>
      </c>
      <c r="P84" s="45" t="s">
        <v>77</v>
      </c>
      <c r="Q84" s="45" t="s">
        <v>77</v>
      </c>
      <c r="R84" s="52"/>
      <c r="S84" s="45" t="s">
        <v>79</v>
      </c>
      <c r="T84" s="45" t="s">
        <v>94</v>
      </c>
      <c r="U84" s="42" t="s">
        <v>81</v>
      </c>
      <c r="V84" s="45" t="s">
        <v>78</v>
      </c>
      <c r="W84" s="45" t="s">
        <v>79</v>
      </c>
      <c r="X84" s="42" t="s">
        <v>82</v>
      </c>
      <c r="Y84" s="45" t="s">
        <v>544</v>
      </c>
      <c r="Z84" s="45" t="s">
        <v>130</v>
      </c>
      <c r="AA84" s="58" t="s">
        <v>596</v>
      </c>
      <c r="AB84" s="52"/>
      <c r="AC84" s="53">
        <f t="shared" si="5"/>
        <v>118</v>
      </c>
      <c r="AD84" s="52"/>
      <c r="AE84" s="53">
        <f t="shared" si="11"/>
        <v>14.5</v>
      </c>
      <c r="AF84" s="53">
        <f t="shared" si="3"/>
        <v>103.5</v>
      </c>
      <c r="AG84" s="52">
        <f>(AF84*6.25)</f>
        <v>646.875</v>
      </c>
      <c r="AH84" s="48">
        <f>IFERROR(__xludf.DUMMYFUNCTION("importrange(C84,""Sheet2!a4:x4"")"),34.71830985915493)</f>
        <v>34.71830986</v>
      </c>
      <c r="AI84" s="48">
        <f>IFERROR(__xludf.DUMMYFUNCTION("""COMPUTED_VALUE"""),4.0)</f>
        <v>4</v>
      </c>
      <c r="AJ84" s="48">
        <f>IFERROR(__xludf.DUMMYFUNCTION("""COMPUTED_VALUE"""),146.0)</f>
        <v>146</v>
      </c>
      <c r="AK84" s="53" t="str">
        <f>IFERROR(__xludf.DUMMYFUNCTION("""COMPUTED_VALUE"""),"Attended")</f>
        <v>Attended</v>
      </c>
      <c r="AL84" s="53">
        <f>IFERROR(__xludf.DUMMYFUNCTION("""COMPUTED_VALUE"""),146.0)</f>
        <v>146</v>
      </c>
      <c r="AM84" s="53">
        <f>IFERROR(__xludf.DUMMYFUNCTION("""COMPUTED_VALUE"""),92.0)</f>
        <v>92</v>
      </c>
      <c r="AN84" s="53">
        <f>IFERROR(__xludf.DUMMYFUNCTION("""COMPUTED_VALUE"""),91.0)</f>
        <v>91</v>
      </c>
      <c r="AO84" s="53">
        <f>IFERROR(__xludf.DUMMYFUNCTION("""COMPUTED_VALUE"""),14.0)</f>
        <v>14</v>
      </c>
      <c r="AP84" s="53">
        <f>IFERROR(__xludf.DUMMYFUNCTION("""COMPUTED_VALUE"""),1.0)</f>
        <v>1</v>
      </c>
      <c r="AQ84" s="53">
        <f>IFERROR(__xludf.DUMMYFUNCTION("""COMPUTED_VALUE"""),14.0)</f>
        <v>14</v>
      </c>
      <c r="AR84" s="53">
        <f>IFERROR(__xludf.DUMMYFUNCTION("""COMPUTED_VALUE"""),26.0)</f>
        <v>26</v>
      </c>
      <c r="AS84" s="53">
        <f>IFERROR(__xludf.DUMMYFUNCTION("""COMPUTED_VALUE"""),88.63636363636364)</f>
        <v>88.63636364</v>
      </c>
      <c r="AT84" s="48">
        <f>IFERROR(__xludf.DUMMYFUNCTION("""COMPUTED_VALUE"""),9.58904109589041)</f>
        <v>9.589041096</v>
      </c>
      <c r="AU84" s="48">
        <f>IFERROR(__xludf.DUMMYFUNCTION("""COMPUTED_VALUE"""),0.684931506849315)</f>
        <v>0.6849315068</v>
      </c>
      <c r="AV84" s="48">
        <f>IFERROR(__xludf.DUMMYFUNCTION("""COMPUTED_VALUE"""),9.58904109589041)</f>
        <v>9.589041096</v>
      </c>
      <c r="AW84" s="48">
        <f>IFERROR(__xludf.DUMMYFUNCTION("""COMPUTED_VALUE"""),17.80821917808219)</f>
        <v>17.80821918</v>
      </c>
      <c r="AX84" s="48">
        <f>IFERROR(__xludf.DUMMYFUNCTION("""COMPUTED_VALUE"""),80.82191780821918)</f>
        <v>80.82191781</v>
      </c>
      <c r="AY84" s="48">
        <f>IFERROR(__xludf.DUMMYFUNCTION("""COMPUTED_VALUE"""),5.0)</f>
        <v>5</v>
      </c>
      <c r="AZ84" s="48">
        <f>IFERROR(__xludf.DUMMYFUNCTION("""COMPUTED_VALUE"""),4.0)</f>
        <v>4</v>
      </c>
      <c r="BA84" s="48">
        <f>IFERROR(__xludf.DUMMYFUNCTION("""COMPUTED_VALUE"""),1.0)</f>
        <v>1</v>
      </c>
      <c r="BB84" s="48">
        <f>IFERROR(__xludf.DUMMYFUNCTION("""COMPUTED_VALUE"""),5.0)</f>
        <v>5</v>
      </c>
      <c r="BC84" s="48">
        <f>IFERROR(__xludf.DUMMYFUNCTION("""COMPUTED_VALUE"""),80.0)</f>
        <v>80</v>
      </c>
      <c r="BD84" s="48">
        <f>IFERROR(__xludf.DUMMYFUNCTION("""COMPUTED_VALUE"""),20.0)</f>
        <v>20</v>
      </c>
      <c r="BE84" s="48">
        <f>IFERROR(__xludf.DUMMYFUNCTION("""COMPUTED_VALUE"""),50.0)</f>
        <v>50</v>
      </c>
      <c r="BF84" s="52"/>
      <c r="BG84" s="52"/>
      <c r="BH84" s="52"/>
      <c r="BI84" s="52"/>
      <c r="BJ84" s="52"/>
      <c r="BK84" s="45">
        <v>2.0</v>
      </c>
      <c r="BL84" s="45">
        <v>1.0</v>
      </c>
      <c r="BM84" s="59" t="s">
        <v>96</v>
      </c>
    </row>
    <row r="85">
      <c r="A85" s="42" t="s">
        <v>412</v>
      </c>
      <c r="B85" s="55" t="s">
        <v>413</v>
      </c>
      <c r="C85" s="45" t="s">
        <v>597</v>
      </c>
      <c r="D85" s="45" t="s">
        <v>70</v>
      </c>
      <c r="E85" s="42" t="s">
        <v>71</v>
      </c>
      <c r="F85" s="46">
        <v>41701.0</v>
      </c>
      <c r="G85" s="47">
        <v>42558.0</v>
      </c>
      <c r="H85" s="48">
        <f t="shared" si="1"/>
        <v>28.19078947</v>
      </c>
      <c r="I85" s="49" t="s">
        <v>415</v>
      </c>
      <c r="J85" s="50" t="s">
        <v>416</v>
      </c>
      <c r="K85" s="42" t="s">
        <v>417</v>
      </c>
      <c r="L85" s="42" t="s">
        <v>418</v>
      </c>
      <c r="M85" s="51">
        <v>27186.0</v>
      </c>
      <c r="N85" s="52">
        <f t="shared" si="17"/>
        <v>46</v>
      </c>
      <c r="O85" s="42" t="s">
        <v>76</v>
      </c>
      <c r="P85" s="42" t="s">
        <v>77</v>
      </c>
      <c r="Q85" s="42" t="s">
        <v>77</v>
      </c>
      <c r="R85" s="52"/>
      <c r="S85" s="42" t="s">
        <v>79</v>
      </c>
      <c r="T85" s="45" t="s">
        <v>94</v>
      </c>
      <c r="U85" s="42" t="s">
        <v>81</v>
      </c>
      <c r="V85" s="45" t="s">
        <v>78</v>
      </c>
      <c r="W85" s="42" t="s">
        <v>79</v>
      </c>
      <c r="X85" s="42" t="s">
        <v>82</v>
      </c>
      <c r="Y85" s="45" t="s">
        <v>556</v>
      </c>
      <c r="Z85" s="45" t="s">
        <v>130</v>
      </c>
      <c r="AA85" s="58" t="s">
        <v>419</v>
      </c>
      <c r="AB85" s="52"/>
      <c r="AC85" s="53">
        <f t="shared" si="5"/>
        <v>176</v>
      </c>
      <c r="AD85" s="52"/>
      <c r="AE85" s="53">
        <f t="shared" si="11"/>
        <v>3</v>
      </c>
      <c r="AF85" s="53">
        <f t="shared" si="3"/>
        <v>173</v>
      </c>
      <c r="AG85" s="52">
        <f t="shared" ref="AG85:AG88" si="18">(AF85*10)</f>
        <v>1730</v>
      </c>
      <c r="AH85" s="48">
        <f>IFERROR(__xludf.DUMMYFUNCTION("importrange(C85,""Sheet2!a4:x4"")"),36.51063829787234)</f>
        <v>36.5106383</v>
      </c>
      <c r="AI85" s="48">
        <f>IFERROR(__xludf.DUMMYFUNCTION("""COMPUTED_VALUE"""),8.0)</f>
        <v>8</v>
      </c>
      <c r="AJ85" s="48">
        <f>IFERROR(__xludf.DUMMYFUNCTION("""COMPUTED_VALUE"""),194.0)</f>
        <v>194</v>
      </c>
      <c r="AK85" s="53" t="str">
        <f>IFERROR(__xludf.DUMMYFUNCTION("""COMPUTED_VALUE"""),"Attended")</f>
        <v>Attended</v>
      </c>
      <c r="AL85" s="53">
        <f>IFERROR(__xludf.DUMMYFUNCTION("""COMPUTED_VALUE"""),194.0)</f>
        <v>194</v>
      </c>
      <c r="AM85" s="53">
        <f>IFERROR(__xludf.DUMMYFUNCTION("""COMPUTED_VALUE"""),147.0)</f>
        <v>147</v>
      </c>
      <c r="AN85" s="53">
        <f>IFERROR(__xludf.DUMMYFUNCTION("""COMPUTED_VALUE"""),147.0)</f>
        <v>147</v>
      </c>
      <c r="AO85" s="53">
        <f>IFERROR(__xludf.DUMMYFUNCTION("""COMPUTED_VALUE"""),3.0)</f>
        <v>3</v>
      </c>
      <c r="AP85" s="53">
        <f>IFERROR(__xludf.DUMMYFUNCTION("""COMPUTED_VALUE"""),0.0)</f>
        <v>0</v>
      </c>
      <c r="AQ85" s="53">
        <f>IFERROR(__xludf.DUMMYFUNCTION("""COMPUTED_VALUE"""),15.0)</f>
        <v>15</v>
      </c>
      <c r="AR85" s="53">
        <f>IFERROR(__xludf.DUMMYFUNCTION("""COMPUTED_VALUE"""),29.0)</f>
        <v>29</v>
      </c>
      <c r="AS85" s="53">
        <f>IFERROR(__xludf.DUMMYFUNCTION("""COMPUTED_VALUE"""),98.32402234636871)</f>
        <v>98.32402235</v>
      </c>
      <c r="AT85" s="48">
        <f>IFERROR(__xludf.DUMMYFUNCTION("""COMPUTED_VALUE"""),1.5463917525773196)</f>
        <v>1.546391753</v>
      </c>
      <c r="AU85" s="48">
        <f>IFERROR(__xludf.DUMMYFUNCTION("""COMPUTED_VALUE"""),0.0)</f>
        <v>0</v>
      </c>
      <c r="AV85" s="48">
        <f>IFERROR(__xludf.DUMMYFUNCTION("""COMPUTED_VALUE"""),7.731958762886598)</f>
        <v>7.731958763</v>
      </c>
      <c r="AW85" s="48">
        <f>IFERROR(__xludf.DUMMYFUNCTION("""COMPUTED_VALUE"""),14.948453608247423)</f>
        <v>14.94845361</v>
      </c>
      <c r="AX85" s="48">
        <f>IFERROR(__xludf.DUMMYFUNCTION("""COMPUTED_VALUE"""),90.72164948453609)</f>
        <v>90.72164948</v>
      </c>
      <c r="AY85" s="48">
        <f>IFERROR(__xludf.DUMMYFUNCTION("""COMPUTED_VALUE"""),27.0)</f>
        <v>27</v>
      </c>
      <c r="AZ85" s="48">
        <f>IFERROR(__xludf.DUMMYFUNCTION("""COMPUTED_VALUE"""),27.0)</f>
        <v>27</v>
      </c>
      <c r="BA85" s="48">
        <f>IFERROR(__xludf.DUMMYFUNCTION("""COMPUTED_VALUE"""),0.0)</f>
        <v>0</v>
      </c>
      <c r="BB85" s="48">
        <f>IFERROR(__xludf.DUMMYFUNCTION("""COMPUTED_VALUE"""),24.0)</f>
        <v>24</v>
      </c>
      <c r="BC85" s="48">
        <f>IFERROR(__xludf.DUMMYFUNCTION("""COMPUTED_VALUE"""),100.0)</f>
        <v>100</v>
      </c>
      <c r="BD85" s="48">
        <f>IFERROR(__xludf.DUMMYFUNCTION("""COMPUTED_VALUE"""),0.0)</f>
        <v>0</v>
      </c>
      <c r="BE85" s="48">
        <f>IFERROR(__xludf.DUMMYFUNCTION("""COMPUTED_VALUE"""),47.05882352941176)</f>
        <v>47.05882353</v>
      </c>
      <c r="BF85" s="52"/>
      <c r="BG85" s="52"/>
      <c r="BH85" s="52"/>
      <c r="BI85" s="52"/>
      <c r="BJ85" s="52"/>
      <c r="BK85" s="52"/>
      <c r="BL85" s="52"/>
      <c r="BM85" s="54" t="s">
        <v>96</v>
      </c>
    </row>
    <row r="86">
      <c r="A86" s="42" t="s">
        <v>598</v>
      </c>
      <c r="B86" s="55" t="s">
        <v>599</v>
      </c>
      <c r="C86" s="45" t="s">
        <v>600</v>
      </c>
      <c r="D86" s="45" t="s">
        <v>125</v>
      </c>
      <c r="E86" s="45" t="s">
        <v>192</v>
      </c>
      <c r="F86" s="46">
        <v>41910.0</v>
      </c>
      <c r="G86" s="57"/>
      <c r="H86" s="48">
        <f t="shared" si="1"/>
        <v>77.00657895</v>
      </c>
      <c r="I86" s="49" t="s">
        <v>601</v>
      </c>
      <c r="J86" s="50" t="s">
        <v>602</v>
      </c>
      <c r="K86" s="45" t="s">
        <v>603</v>
      </c>
      <c r="L86" s="45" t="s">
        <v>604</v>
      </c>
      <c r="M86" s="51">
        <v>29587.0</v>
      </c>
      <c r="N86" s="52">
        <f t="shared" si="17"/>
        <v>40</v>
      </c>
      <c r="O86" s="45" t="s">
        <v>76</v>
      </c>
      <c r="P86" s="45" t="s">
        <v>77</v>
      </c>
      <c r="Q86" s="45" t="s">
        <v>77</v>
      </c>
      <c r="R86" s="52"/>
      <c r="S86" s="45" t="s">
        <v>79</v>
      </c>
      <c r="T86" s="45" t="s">
        <v>80</v>
      </c>
      <c r="U86" s="42" t="s">
        <v>81</v>
      </c>
      <c r="V86" s="45" t="s">
        <v>78</v>
      </c>
      <c r="W86" s="45" t="s">
        <v>79</v>
      </c>
      <c r="X86" s="45" t="s">
        <v>82</v>
      </c>
      <c r="Y86" s="45" t="s">
        <v>544</v>
      </c>
      <c r="Z86" s="45" t="s">
        <v>130</v>
      </c>
      <c r="AA86" s="58" t="s">
        <v>605</v>
      </c>
      <c r="AB86" s="52"/>
      <c r="AC86" s="53">
        <f t="shared" si="5"/>
        <v>84</v>
      </c>
      <c r="AD86" s="45">
        <v>31.0</v>
      </c>
      <c r="AE86" s="53">
        <f t="shared" si="11"/>
        <v>15.5</v>
      </c>
      <c r="AF86" s="53">
        <f t="shared" si="3"/>
        <v>37.5</v>
      </c>
      <c r="AG86" s="52">
        <f t="shared" si="18"/>
        <v>375</v>
      </c>
      <c r="AH86" s="48">
        <f>IFERROR(__xludf.DUMMYFUNCTION("importrange(C86,""Sheet2!a4:x4"")"),30.0)</f>
        <v>30</v>
      </c>
      <c r="AI86" s="48">
        <f>IFERROR(__xludf.DUMMYFUNCTION("""COMPUTED_VALUE"""),5.0)</f>
        <v>5</v>
      </c>
      <c r="AJ86" s="48">
        <f>IFERROR(__xludf.DUMMYFUNCTION("""COMPUTED_VALUE"""),104.0)</f>
        <v>104</v>
      </c>
      <c r="AK86" s="53" t="str">
        <f>IFERROR(__xludf.DUMMYFUNCTION("""COMPUTED_VALUE"""),"Attended No Show")</f>
        <v>Attended No Show</v>
      </c>
      <c r="AL86" s="53">
        <f>IFERROR(__xludf.DUMMYFUNCTION("""COMPUTED_VALUE"""),104.0)</f>
        <v>104</v>
      </c>
      <c r="AM86" s="53">
        <f>IFERROR(__xludf.DUMMYFUNCTION("""COMPUTED_VALUE"""),53.0)</f>
        <v>53</v>
      </c>
      <c r="AN86" s="53">
        <f>IFERROR(__xludf.DUMMYFUNCTION("""COMPUTED_VALUE"""),52.0)</f>
        <v>52</v>
      </c>
      <c r="AO86" s="53">
        <f>IFERROR(__xludf.DUMMYFUNCTION("""COMPUTED_VALUE"""),15.0)</f>
        <v>15</v>
      </c>
      <c r="AP86" s="53">
        <f>IFERROR(__xludf.DUMMYFUNCTION("""COMPUTED_VALUE"""),1.0)</f>
        <v>1</v>
      </c>
      <c r="AQ86" s="53">
        <f>IFERROR(__xludf.DUMMYFUNCTION("""COMPUTED_VALUE"""),5.0)</f>
        <v>5</v>
      </c>
      <c r="AR86" s="53">
        <f>IFERROR(__xludf.DUMMYFUNCTION("""COMPUTED_VALUE"""),31.0)</f>
        <v>31</v>
      </c>
      <c r="AS86" s="53">
        <f>IFERROR(__xludf.DUMMYFUNCTION("""COMPUTED_VALUE"""),83.83838383838383)</f>
        <v>83.83838384</v>
      </c>
      <c r="AT86" s="48">
        <f>IFERROR(__xludf.DUMMYFUNCTION("""COMPUTED_VALUE"""),14.423076923076922)</f>
        <v>14.42307692</v>
      </c>
      <c r="AU86" s="48">
        <f>IFERROR(__xludf.DUMMYFUNCTION("""COMPUTED_VALUE"""),0.9615384615384616)</f>
        <v>0.9615384615</v>
      </c>
      <c r="AV86" s="48">
        <f>IFERROR(__xludf.DUMMYFUNCTION("""COMPUTED_VALUE"""),4.807692307692308)</f>
        <v>4.807692308</v>
      </c>
      <c r="AW86" s="48">
        <f>IFERROR(__xludf.DUMMYFUNCTION("""COMPUTED_VALUE"""),29.807692307692307)</f>
        <v>29.80769231</v>
      </c>
      <c r="AX86" s="48">
        <f>IFERROR(__xludf.DUMMYFUNCTION("""COMPUTED_VALUE"""),80.76923076923077)</f>
        <v>80.76923077</v>
      </c>
      <c r="AY86" s="48">
        <f>IFERROR(__xludf.DUMMYFUNCTION("""COMPUTED_VALUE"""),0.0)</f>
        <v>0</v>
      </c>
      <c r="AZ86" s="48">
        <f>IFERROR(__xludf.DUMMYFUNCTION("""COMPUTED_VALUE"""),0.0)</f>
        <v>0</v>
      </c>
      <c r="BA86" s="48">
        <f>IFERROR(__xludf.DUMMYFUNCTION("""COMPUTED_VALUE"""),0.0)</f>
        <v>0</v>
      </c>
      <c r="BB86" s="48">
        <f>IFERROR(__xludf.DUMMYFUNCTION("""COMPUTED_VALUE"""),0.0)</f>
        <v>0</v>
      </c>
      <c r="BC86" s="48" t="str">
        <f>IFERROR(__xludf.DUMMYFUNCTION("""COMPUTED_VALUE"""),"#DIV/0!")</f>
        <v>#DIV/0!</v>
      </c>
      <c r="BD86" s="48" t="str">
        <f>IFERROR(__xludf.DUMMYFUNCTION("""COMPUTED_VALUE"""),"#DIV/0!")</f>
        <v>#DIV/0!</v>
      </c>
      <c r="BE86" s="48" t="str">
        <f>IFERROR(__xludf.DUMMYFUNCTION("""COMPUTED_VALUE"""),"#DIV/0!")</f>
        <v>#DIV/0!</v>
      </c>
      <c r="BF86" s="52"/>
      <c r="BG86" s="52"/>
      <c r="BH86" s="52"/>
      <c r="BI86" s="52"/>
      <c r="BJ86" s="52"/>
      <c r="BK86" s="45">
        <v>4.0</v>
      </c>
      <c r="BL86" s="45">
        <v>1.0</v>
      </c>
      <c r="BM86" s="59" t="s">
        <v>85</v>
      </c>
    </row>
    <row r="87">
      <c r="A87" s="42" t="s">
        <v>606</v>
      </c>
      <c r="B87" s="55" t="s">
        <v>607</v>
      </c>
      <c r="C87" s="45" t="s">
        <v>608</v>
      </c>
      <c r="D87" s="45" t="s">
        <v>125</v>
      </c>
      <c r="E87" s="45" t="s">
        <v>71</v>
      </c>
      <c r="F87" s="46">
        <v>41927.0</v>
      </c>
      <c r="G87" s="57"/>
      <c r="H87" s="48">
        <f t="shared" si="1"/>
        <v>76.44736842</v>
      </c>
      <c r="I87" s="49" t="s">
        <v>609</v>
      </c>
      <c r="J87" s="50" t="s">
        <v>610</v>
      </c>
      <c r="K87" s="45" t="s">
        <v>611</v>
      </c>
      <c r="L87" s="45" t="s">
        <v>383</v>
      </c>
      <c r="M87" s="51">
        <v>31329.0</v>
      </c>
      <c r="N87" s="52">
        <f t="shared" si="17"/>
        <v>35</v>
      </c>
      <c r="O87" s="45" t="s">
        <v>76</v>
      </c>
      <c r="P87" s="45" t="s">
        <v>77</v>
      </c>
      <c r="Q87" s="45" t="s">
        <v>77</v>
      </c>
      <c r="R87" s="52"/>
      <c r="S87" s="45" t="s">
        <v>79</v>
      </c>
      <c r="T87" s="45" t="s">
        <v>94</v>
      </c>
      <c r="U87" s="42" t="s">
        <v>81</v>
      </c>
      <c r="V87" s="45" t="s">
        <v>78</v>
      </c>
      <c r="W87" s="45" t="s">
        <v>79</v>
      </c>
      <c r="X87" s="45" t="s">
        <v>82</v>
      </c>
      <c r="Y87" s="45" t="s">
        <v>83</v>
      </c>
      <c r="Z87" s="45" t="s">
        <v>130</v>
      </c>
      <c r="AA87" s="58" t="s">
        <v>612</v>
      </c>
      <c r="AB87" s="52"/>
      <c r="AC87" s="53">
        <f t="shared" si="5"/>
        <v>6129</v>
      </c>
      <c r="AD87" s="45">
        <v>2185.0</v>
      </c>
      <c r="AE87" s="53">
        <f t="shared" si="11"/>
        <v>193</v>
      </c>
      <c r="AF87" s="53">
        <f t="shared" si="3"/>
        <v>3751</v>
      </c>
      <c r="AG87" s="52">
        <f t="shared" si="18"/>
        <v>37510</v>
      </c>
      <c r="AH87" s="48">
        <f>IFERROR(__xludf.DUMMYFUNCTION("importrange(C87,""Sheet2!a4:x4"")"),27.55702625193029)</f>
        <v>27.55702625</v>
      </c>
      <c r="AI87" s="48">
        <f>IFERROR(__xludf.DUMMYFUNCTION("""COMPUTED_VALUE"""),94.0)</f>
        <v>94</v>
      </c>
      <c r="AJ87" s="48">
        <f>IFERROR(__xludf.DUMMYFUNCTION("""COMPUTED_VALUE"""),6631.0)</f>
        <v>6631</v>
      </c>
      <c r="AK87" s="53" t="str">
        <f>IFERROR(__xludf.DUMMYFUNCTION("""COMPUTED_VALUE"""),"Attended No Show")</f>
        <v>Attended No Show</v>
      </c>
      <c r="AL87" s="53">
        <f>IFERROR(__xludf.DUMMYFUNCTION("""COMPUTED_VALUE"""),6631.0)</f>
        <v>6631</v>
      </c>
      <c r="AM87" s="53">
        <f>IFERROR(__xludf.DUMMYFUNCTION("""COMPUTED_VALUE"""),4548.0)</f>
        <v>4548</v>
      </c>
      <c r="AN87" s="53">
        <f>IFERROR(__xludf.DUMMYFUNCTION("""COMPUTED_VALUE"""),4402.0)</f>
        <v>4402</v>
      </c>
      <c r="AO87" s="53">
        <f>IFERROR(__xludf.DUMMYFUNCTION("""COMPUTED_VALUE"""),120.0)</f>
        <v>120</v>
      </c>
      <c r="AP87" s="53">
        <f>IFERROR(__xludf.DUMMYFUNCTION("""COMPUTED_VALUE"""),146.0)</f>
        <v>146</v>
      </c>
      <c r="AQ87" s="53">
        <f>IFERROR(__xludf.DUMMYFUNCTION("""COMPUTED_VALUE"""),382.0)</f>
        <v>382</v>
      </c>
      <c r="AR87" s="53">
        <f>IFERROR(__xludf.DUMMYFUNCTION("""COMPUTED_VALUE"""),1581.0)</f>
        <v>1581</v>
      </c>
      <c r="AS87" s="53">
        <f>IFERROR(__xludf.DUMMYFUNCTION("""COMPUTED_VALUE"""),95.74331893102897)</f>
        <v>95.74331893</v>
      </c>
      <c r="AT87" s="48">
        <f>IFERROR(__xludf.DUMMYFUNCTION("""COMPUTED_VALUE"""),1.8096817976172523)</f>
        <v>1.809681798</v>
      </c>
      <c r="AU87" s="48">
        <f>IFERROR(__xludf.DUMMYFUNCTION("""COMPUTED_VALUE"""),2.201779520434324)</f>
        <v>2.20177952</v>
      </c>
      <c r="AV87" s="48">
        <f>IFERROR(__xludf.DUMMYFUNCTION("""COMPUTED_VALUE"""),5.760820389081586)</f>
        <v>5.760820389</v>
      </c>
      <c r="AW87" s="48">
        <f>IFERROR(__xludf.DUMMYFUNCTION("""COMPUTED_VALUE"""),23.8425576836073)</f>
        <v>23.84255768</v>
      </c>
      <c r="AX87" s="48">
        <f>IFERROR(__xludf.DUMMYFUNCTION("""COMPUTED_VALUE"""),92.42949781330117)</f>
        <v>92.42949781</v>
      </c>
      <c r="AY87" s="48">
        <f>IFERROR(__xludf.DUMMYFUNCTION("""COMPUTED_VALUE"""),4382.0)</f>
        <v>4382</v>
      </c>
      <c r="AZ87" s="48">
        <f>IFERROR(__xludf.DUMMYFUNCTION("""COMPUTED_VALUE"""),4323.0)</f>
        <v>4323</v>
      </c>
      <c r="BA87" s="48">
        <f>IFERROR(__xludf.DUMMYFUNCTION("""COMPUTED_VALUE"""),59.0)</f>
        <v>59</v>
      </c>
      <c r="BB87" s="48">
        <f>IFERROR(__xludf.DUMMYFUNCTION("""COMPUTED_VALUE"""),0.0)</f>
        <v>0</v>
      </c>
      <c r="BC87" s="48">
        <f>IFERROR(__xludf.DUMMYFUNCTION("""COMPUTED_VALUE"""),98.65358283888635)</f>
        <v>98.65358284</v>
      </c>
      <c r="BD87" s="48">
        <f>IFERROR(__xludf.DUMMYFUNCTION("""COMPUTED_VALUE"""),1.3464171611136466)</f>
        <v>1.346417161</v>
      </c>
      <c r="BE87" s="48">
        <f>IFERROR(__xludf.DUMMYFUNCTION("""COMPUTED_VALUE"""),0.0)</f>
        <v>0</v>
      </c>
      <c r="BF87" s="52"/>
      <c r="BG87" s="52"/>
      <c r="BH87" s="52"/>
      <c r="BI87" s="52"/>
      <c r="BJ87" s="52"/>
      <c r="BK87" s="45">
        <v>2.0</v>
      </c>
      <c r="BL87" s="45">
        <v>1.0</v>
      </c>
      <c r="BM87" s="59" t="s">
        <v>96</v>
      </c>
    </row>
    <row r="88">
      <c r="A88" s="42" t="s">
        <v>613</v>
      </c>
      <c r="B88" s="55" t="s">
        <v>614</v>
      </c>
      <c r="C88" s="45" t="s">
        <v>615</v>
      </c>
      <c r="D88" s="45" t="s">
        <v>70</v>
      </c>
      <c r="E88" s="45" t="s">
        <v>71</v>
      </c>
      <c r="F88" s="46">
        <v>41934.0</v>
      </c>
      <c r="G88" s="46">
        <v>41934.0</v>
      </c>
      <c r="H88" s="48">
        <f t="shared" si="1"/>
        <v>0</v>
      </c>
      <c r="I88" s="49" t="s">
        <v>616</v>
      </c>
      <c r="J88" s="50" t="s">
        <v>617</v>
      </c>
      <c r="K88" s="45" t="s">
        <v>618</v>
      </c>
      <c r="L88" s="45" t="s">
        <v>619</v>
      </c>
      <c r="M88" s="51">
        <v>26299.0</v>
      </c>
      <c r="N88" s="52">
        <f t="shared" si="17"/>
        <v>49</v>
      </c>
      <c r="O88" s="45" t="s">
        <v>76</v>
      </c>
      <c r="P88" s="45" t="s">
        <v>77</v>
      </c>
      <c r="Q88" s="45" t="s">
        <v>77</v>
      </c>
      <c r="R88" s="52"/>
      <c r="S88" s="45" t="s">
        <v>305</v>
      </c>
      <c r="T88" s="45" t="s">
        <v>306</v>
      </c>
      <c r="U88" s="45" t="s">
        <v>307</v>
      </c>
      <c r="V88" s="45" t="s">
        <v>77</v>
      </c>
      <c r="W88" s="45" t="s">
        <v>79</v>
      </c>
      <c r="X88" s="45" t="s">
        <v>82</v>
      </c>
      <c r="Y88" s="45" t="s">
        <v>544</v>
      </c>
      <c r="Z88" s="52"/>
      <c r="AA88" s="62"/>
      <c r="AB88" s="52"/>
      <c r="AC88" s="53">
        <f t="shared" si="5"/>
        <v>0</v>
      </c>
      <c r="AD88" s="52"/>
      <c r="AE88" s="53">
        <f t="shared" si="11"/>
        <v>0</v>
      </c>
      <c r="AF88" s="53">
        <f t="shared" si="3"/>
        <v>0</v>
      </c>
      <c r="AG88" s="52">
        <f t="shared" si="18"/>
        <v>0</v>
      </c>
      <c r="AH88" s="48" t="str">
        <f>IFERROR(__xludf.DUMMYFUNCTION("importrange(C88,""Sheet2!a4:x4"")"),"#DIV/0!")</f>
        <v>#DIV/0!</v>
      </c>
      <c r="AI88" s="48">
        <f>IFERROR(__xludf.DUMMYFUNCTION("""COMPUTED_VALUE"""),0.0)</f>
        <v>0</v>
      </c>
      <c r="AJ88" s="48">
        <f>IFERROR(__xludf.DUMMYFUNCTION("""COMPUTED_VALUE"""),0.0)</f>
        <v>0</v>
      </c>
      <c r="AK88" s="53" t="str">
        <f>IFERROR(__xludf.DUMMYFUNCTION("""COMPUTED_VALUE"""),"Teacher Attendance")</f>
        <v>Teacher Attendance</v>
      </c>
      <c r="AL88" s="53">
        <f>IFERROR(__xludf.DUMMYFUNCTION("""COMPUTED_VALUE"""),0.0)</f>
        <v>0</v>
      </c>
      <c r="AM88" s="53">
        <f>IFERROR(__xludf.DUMMYFUNCTION("""COMPUTED_VALUE"""),0.0)</f>
        <v>0</v>
      </c>
      <c r="AN88" s="53">
        <f>IFERROR(__xludf.DUMMYFUNCTION("""COMPUTED_VALUE"""),0.0)</f>
        <v>0</v>
      </c>
      <c r="AO88" s="53">
        <f>IFERROR(__xludf.DUMMYFUNCTION("""COMPUTED_VALUE"""),0.0)</f>
        <v>0</v>
      </c>
      <c r="AP88" s="53">
        <f>IFERROR(__xludf.DUMMYFUNCTION("""COMPUTED_VALUE"""),0.0)</f>
        <v>0</v>
      </c>
      <c r="AQ88" s="53">
        <f>IFERROR(__xludf.DUMMYFUNCTION("""COMPUTED_VALUE"""),0.0)</f>
        <v>0</v>
      </c>
      <c r="AR88" s="53">
        <f>IFERROR(__xludf.DUMMYFUNCTION("""COMPUTED_VALUE"""),0.0)</f>
        <v>0</v>
      </c>
      <c r="AS88" s="53" t="str">
        <f>IFERROR(__xludf.DUMMYFUNCTION("""COMPUTED_VALUE"""),"#DIV/0!")</f>
        <v>#DIV/0!</v>
      </c>
      <c r="AT88" s="48" t="str">
        <f>IFERROR(__xludf.DUMMYFUNCTION("""COMPUTED_VALUE"""),"#DIV/0!")</f>
        <v>#DIV/0!</v>
      </c>
      <c r="AU88" s="48" t="str">
        <f>IFERROR(__xludf.DUMMYFUNCTION("""COMPUTED_VALUE"""),"#DIV/0!")</f>
        <v>#DIV/0!</v>
      </c>
      <c r="AV88" s="48" t="str">
        <f>IFERROR(__xludf.DUMMYFUNCTION("""COMPUTED_VALUE"""),"#DIV/0!")</f>
        <v>#DIV/0!</v>
      </c>
      <c r="AW88" s="48" t="str">
        <f>IFERROR(__xludf.DUMMYFUNCTION("""COMPUTED_VALUE"""),"#DIV/0!")</f>
        <v>#DIV/0!</v>
      </c>
      <c r="AX88" s="48" t="str">
        <f>IFERROR(__xludf.DUMMYFUNCTION("""COMPUTED_VALUE"""),"#DIV/0!")</f>
        <v>#DIV/0!</v>
      </c>
      <c r="AY88" s="48">
        <f>IFERROR(__xludf.DUMMYFUNCTION("""COMPUTED_VALUE"""),0.0)</f>
        <v>0</v>
      </c>
      <c r="AZ88" s="48">
        <f>IFERROR(__xludf.DUMMYFUNCTION("""COMPUTED_VALUE"""),0.0)</f>
        <v>0</v>
      </c>
      <c r="BA88" s="48">
        <f>IFERROR(__xludf.DUMMYFUNCTION("""COMPUTED_VALUE"""),0.0)</f>
        <v>0</v>
      </c>
      <c r="BB88" s="48">
        <f>IFERROR(__xludf.DUMMYFUNCTION("""COMPUTED_VALUE"""),0.0)</f>
        <v>0</v>
      </c>
      <c r="BC88" s="48" t="str">
        <f>IFERROR(__xludf.DUMMYFUNCTION("""COMPUTED_VALUE"""),"#DIV/0!")</f>
        <v>#DIV/0!</v>
      </c>
      <c r="BD88" s="48" t="str">
        <f>IFERROR(__xludf.DUMMYFUNCTION("""COMPUTED_VALUE"""),"#DIV/0!")</f>
        <v>#DIV/0!</v>
      </c>
      <c r="BE88" s="48" t="str">
        <f>IFERROR(__xludf.DUMMYFUNCTION("""COMPUTED_VALUE"""),"#DIV/0!")</f>
        <v>#DIV/0!</v>
      </c>
      <c r="BF88" s="52"/>
      <c r="BG88" s="52"/>
      <c r="BH88" s="52"/>
      <c r="BI88" s="52"/>
      <c r="BJ88" s="52"/>
      <c r="BK88" s="52"/>
      <c r="BL88" s="52"/>
      <c r="BM88" s="54" t="s">
        <v>306</v>
      </c>
    </row>
    <row r="89">
      <c r="A89" s="42" t="s">
        <v>620</v>
      </c>
      <c r="B89" s="55" t="s">
        <v>621</v>
      </c>
      <c r="C89" s="45" t="s">
        <v>622</v>
      </c>
      <c r="D89" s="45" t="s">
        <v>125</v>
      </c>
      <c r="E89" s="45" t="s">
        <v>71</v>
      </c>
      <c r="F89" s="46">
        <v>41936.0</v>
      </c>
      <c r="G89" s="57"/>
      <c r="H89" s="48">
        <f t="shared" si="1"/>
        <v>76.15131579</v>
      </c>
      <c r="I89" s="49" t="s">
        <v>623</v>
      </c>
      <c r="J89" s="50" t="s">
        <v>624</v>
      </c>
      <c r="K89" s="45" t="s">
        <v>625</v>
      </c>
      <c r="L89" s="45" t="s">
        <v>626</v>
      </c>
      <c r="M89" s="51">
        <v>29459.0</v>
      </c>
      <c r="N89" s="52">
        <f t="shared" si="17"/>
        <v>40</v>
      </c>
      <c r="O89" s="45" t="s">
        <v>104</v>
      </c>
      <c r="P89" s="45" t="s">
        <v>77</v>
      </c>
      <c r="Q89" s="45" t="s">
        <v>77</v>
      </c>
      <c r="R89" s="52"/>
      <c r="S89" s="45" t="s">
        <v>79</v>
      </c>
      <c r="T89" s="45" t="s">
        <v>94</v>
      </c>
      <c r="U89" s="42" t="s">
        <v>81</v>
      </c>
      <c r="V89" s="45" t="s">
        <v>78</v>
      </c>
      <c r="W89" s="45" t="s">
        <v>79</v>
      </c>
      <c r="X89" s="45" t="s">
        <v>95</v>
      </c>
      <c r="Y89" s="45" t="s">
        <v>556</v>
      </c>
      <c r="Z89" s="52"/>
      <c r="AA89" s="62"/>
      <c r="AB89" s="52"/>
      <c r="AC89" s="53">
        <f t="shared" si="5"/>
        <v>1196</v>
      </c>
      <c r="AD89" s="52"/>
      <c r="AE89" s="53">
        <f t="shared" si="11"/>
        <v>74</v>
      </c>
      <c r="AF89" s="53">
        <f t="shared" si="3"/>
        <v>1122</v>
      </c>
      <c r="AG89" s="52">
        <f>(AF89*6.25)</f>
        <v>7012.5</v>
      </c>
      <c r="AH89" s="48">
        <f>IFERROR(__xludf.DUMMYFUNCTION("importrange(C89,""Sheet2!a4:x4"")"),25.920668058455114)</f>
        <v>25.92066806</v>
      </c>
      <c r="AI89" s="48">
        <f>IFERROR(__xludf.DUMMYFUNCTION("""COMPUTED_VALUE"""),26.0)</f>
        <v>26</v>
      </c>
      <c r="AJ89" s="48">
        <f>IFERROR(__xludf.DUMMYFUNCTION("""COMPUTED_VALUE"""),1324.0)</f>
        <v>1324</v>
      </c>
      <c r="AK89" s="53" t="str">
        <f>IFERROR(__xludf.DUMMYFUNCTION("""COMPUTED_VALUE"""),"Attended No Show")</f>
        <v>Attended No Show</v>
      </c>
      <c r="AL89" s="53">
        <f>IFERROR(__xludf.DUMMYFUNCTION("""COMPUTED_VALUE"""),1324.0)</f>
        <v>1324</v>
      </c>
      <c r="AM89" s="53">
        <f>IFERROR(__xludf.DUMMYFUNCTION("""COMPUTED_VALUE"""),991.0)</f>
        <v>991</v>
      </c>
      <c r="AN89" s="53">
        <f>IFERROR(__xludf.DUMMYFUNCTION("""COMPUTED_VALUE"""),991.0)</f>
        <v>991</v>
      </c>
      <c r="AO89" s="53">
        <f>IFERROR(__xludf.DUMMYFUNCTION("""COMPUTED_VALUE"""),74.0)</f>
        <v>74</v>
      </c>
      <c r="AP89" s="53">
        <f>IFERROR(__xludf.DUMMYFUNCTION("""COMPUTED_VALUE"""),0.0)</f>
        <v>0</v>
      </c>
      <c r="AQ89" s="53">
        <f>IFERROR(__xludf.DUMMYFUNCTION("""COMPUTED_VALUE"""),54.0)</f>
        <v>54</v>
      </c>
      <c r="AR89" s="53">
        <f>IFERROR(__xludf.DUMMYFUNCTION("""COMPUTED_VALUE"""),205.0)</f>
        <v>205</v>
      </c>
      <c r="AS89" s="53">
        <f>IFERROR(__xludf.DUMMYFUNCTION("""COMPUTED_VALUE"""),94.1732283464567)</f>
        <v>94.17322835</v>
      </c>
      <c r="AT89" s="48">
        <f>IFERROR(__xludf.DUMMYFUNCTION("""COMPUTED_VALUE"""),5.589123867069486)</f>
        <v>5.589123867</v>
      </c>
      <c r="AU89" s="48">
        <f>IFERROR(__xludf.DUMMYFUNCTION("""COMPUTED_VALUE"""),0.0)</f>
        <v>0</v>
      </c>
      <c r="AV89" s="48">
        <f>IFERROR(__xludf.DUMMYFUNCTION("""COMPUTED_VALUE"""),4.078549848942599)</f>
        <v>4.078549849</v>
      </c>
      <c r="AW89" s="48">
        <f>IFERROR(__xludf.DUMMYFUNCTION("""COMPUTED_VALUE"""),15.483383685800604)</f>
        <v>15.48338369</v>
      </c>
      <c r="AX89" s="48">
        <f>IFERROR(__xludf.DUMMYFUNCTION("""COMPUTED_VALUE"""),90.33232628398792)</f>
        <v>90.33232628</v>
      </c>
      <c r="AY89" s="48">
        <f>IFERROR(__xludf.DUMMYFUNCTION("""COMPUTED_VALUE"""),805.0)</f>
        <v>805</v>
      </c>
      <c r="AZ89" s="48">
        <f>IFERROR(__xludf.DUMMYFUNCTION("""COMPUTED_VALUE"""),777.0)</f>
        <v>777</v>
      </c>
      <c r="BA89" s="48">
        <f>IFERROR(__xludf.DUMMYFUNCTION("""COMPUTED_VALUE"""),28.0)</f>
        <v>28</v>
      </c>
      <c r="BB89" s="48">
        <f>IFERROR(__xludf.DUMMYFUNCTION("""COMPUTED_VALUE"""),76.0)</f>
        <v>76</v>
      </c>
      <c r="BC89" s="48">
        <f>IFERROR(__xludf.DUMMYFUNCTION("""COMPUTED_VALUE"""),96.52173913043478)</f>
        <v>96.52173913</v>
      </c>
      <c r="BD89" s="48">
        <f>IFERROR(__xludf.DUMMYFUNCTION("""COMPUTED_VALUE"""),3.4782608695652173)</f>
        <v>3.47826087</v>
      </c>
      <c r="BE89" s="48">
        <f>IFERROR(__xludf.DUMMYFUNCTION("""COMPUTED_VALUE"""),8.626560726447218)</f>
        <v>8.626560726</v>
      </c>
      <c r="BF89" s="52"/>
      <c r="BG89" s="52"/>
      <c r="BH89" s="52"/>
      <c r="BI89" s="52"/>
      <c r="BJ89" s="52"/>
      <c r="BK89" s="45">
        <v>3.0</v>
      </c>
      <c r="BL89" s="45">
        <v>1.0</v>
      </c>
      <c r="BM89" s="59" t="s">
        <v>96</v>
      </c>
    </row>
    <row r="90">
      <c r="A90" s="42" t="s">
        <v>627</v>
      </c>
      <c r="B90" s="55" t="s">
        <v>628</v>
      </c>
      <c r="C90" s="45" t="s">
        <v>629</v>
      </c>
      <c r="D90" s="45" t="s">
        <v>125</v>
      </c>
      <c r="E90" s="45" t="s">
        <v>71</v>
      </c>
      <c r="F90" s="46">
        <v>41946.0</v>
      </c>
      <c r="G90" s="57"/>
      <c r="H90" s="48">
        <f t="shared" si="1"/>
        <v>75.82236842</v>
      </c>
      <c r="I90" s="49" t="s">
        <v>630</v>
      </c>
      <c r="J90" s="50" t="s">
        <v>631</v>
      </c>
      <c r="K90" s="45" t="s">
        <v>632</v>
      </c>
      <c r="L90" s="45" t="s">
        <v>633</v>
      </c>
      <c r="M90" s="51">
        <v>27618.0</v>
      </c>
      <c r="N90" s="52">
        <f t="shared" si="17"/>
        <v>45</v>
      </c>
      <c r="O90" s="45" t="s">
        <v>76</v>
      </c>
      <c r="P90" s="45" t="s">
        <v>77</v>
      </c>
      <c r="Q90" s="45" t="s">
        <v>77</v>
      </c>
      <c r="R90" s="52"/>
      <c r="S90" s="45" t="s">
        <v>305</v>
      </c>
      <c r="T90" s="45" t="s">
        <v>306</v>
      </c>
      <c r="U90" s="45" t="s">
        <v>307</v>
      </c>
      <c r="V90" s="45" t="s">
        <v>77</v>
      </c>
      <c r="W90" s="45" t="s">
        <v>79</v>
      </c>
      <c r="X90" s="45" t="s">
        <v>82</v>
      </c>
      <c r="Y90" s="45" t="s">
        <v>556</v>
      </c>
      <c r="Z90" s="45" t="s">
        <v>130</v>
      </c>
      <c r="AA90" s="58" t="s">
        <v>634</v>
      </c>
      <c r="AB90" s="52"/>
      <c r="AC90" s="53">
        <f t="shared" si="5"/>
        <v>603</v>
      </c>
      <c r="AD90" s="52"/>
      <c r="AE90" s="53">
        <f t="shared" si="11"/>
        <v>13</v>
      </c>
      <c r="AF90" s="53">
        <f t="shared" si="3"/>
        <v>590</v>
      </c>
      <c r="AG90" s="52">
        <f t="shared" ref="AG90:AG91" si="19">((AF90*6.25))</f>
        <v>3687.5</v>
      </c>
      <c r="AH90" s="48">
        <f>IFERROR(__xludf.DUMMYFUNCTION("importrange(C90,""Sheet2!a4:x4"")"),33.07587548638132)</f>
        <v>33.07587549</v>
      </c>
      <c r="AI90" s="48">
        <f>IFERROR(__xludf.DUMMYFUNCTION("""COMPUTED_VALUE"""),17.0)</f>
        <v>17</v>
      </c>
      <c r="AJ90" s="48">
        <f>IFERROR(__xludf.DUMMYFUNCTION("""COMPUTED_VALUE"""),640.0)</f>
        <v>640</v>
      </c>
      <c r="AK90" s="53" t="str">
        <f>IFERROR(__xludf.DUMMYFUNCTION("""COMPUTED_VALUE"""),"Attended")</f>
        <v>Attended</v>
      </c>
      <c r="AL90" s="53">
        <f>IFERROR(__xludf.DUMMYFUNCTION("""COMPUTED_VALUE"""),640.0)</f>
        <v>640</v>
      </c>
      <c r="AM90" s="53">
        <f>IFERROR(__xludf.DUMMYFUNCTION("""COMPUTED_VALUE"""),528.0)</f>
        <v>528</v>
      </c>
      <c r="AN90" s="53">
        <f>IFERROR(__xludf.DUMMYFUNCTION("""COMPUTED_VALUE"""),528.0)</f>
        <v>528</v>
      </c>
      <c r="AO90" s="53">
        <f>IFERROR(__xludf.DUMMYFUNCTION("""COMPUTED_VALUE"""),13.0)</f>
        <v>13</v>
      </c>
      <c r="AP90" s="53">
        <f>IFERROR(__xludf.DUMMYFUNCTION("""COMPUTED_VALUE"""),0.0)</f>
        <v>0</v>
      </c>
      <c r="AQ90" s="53">
        <f>IFERROR(__xludf.DUMMYFUNCTION("""COMPUTED_VALUE"""),24.0)</f>
        <v>24</v>
      </c>
      <c r="AR90" s="53">
        <f>IFERROR(__xludf.DUMMYFUNCTION("""COMPUTED_VALUE"""),75.0)</f>
        <v>75</v>
      </c>
      <c r="AS90" s="53">
        <f>IFERROR(__xludf.DUMMYFUNCTION("""COMPUTED_VALUE"""),97.8896103896104)</f>
        <v>97.88961039</v>
      </c>
      <c r="AT90" s="48">
        <f>IFERROR(__xludf.DUMMYFUNCTION("""COMPUTED_VALUE"""),2.03125)</f>
        <v>2.03125</v>
      </c>
      <c r="AU90" s="48">
        <f>IFERROR(__xludf.DUMMYFUNCTION("""COMPUTED_VALUE"""),0.0)</f>
        <v>0</v>
      </c>
      <c r="AV90" s="48">
        <f>IFERROR(__xludf.DUMMYFUNCTION("""COMPUTED_VALUE"""),3.75)</f>
        <v>3.75</v>
      </c>
      <c r="AW90" s="48">
        <f>IFERROR(__xludf.DUMMYFUNCTION("""COMPUTED_VALUE"""),11.71875)</f>
        <v>11.71875</v>
      </c>
      <c r="AX90" s="48">
        <f>IFERROR(__xludf.DUMMYFUNCTION("""COMPUTED_VALUE"""),94.21875)</f>
        <v>94.21875</v>
      </c>
      <c r="AY90" s="48">
        <f>IFERROR(__xludf.DUMMYFUNCTION("""COMPUTED_VALUE"""),375.0)</f>
        <v>375</v>
      </c>
      <c r="AZ90" s="48">
        <f>IFERROR(__xludf.DUMMYFUNCTION("""COMPUTED_VALUE"""),270.0)</f>
        <v>270</v>
      </c>
      <c r="BA90" s="48">
        <f>IFERROR(__xludf.DUMMYFUNCTION("""COMPUTED_VALUE"""),105.0)</f>
        <v>105</v>
      </c>
      <c r="BB90" s="48">
        <f>IFERROR(__xludf.DUMMYFUNCTION("""COMPUTED_VALUE"""),0.0)</f>
        <v>0</v>
      </c>
      <c r="BC90" s="48">
        <f>IFERROR(__xludf.DUMMYFUNCTION("""COMPUTED_VALUE"""),72.0)</f>
        <v>72</v>
      </c>
      <c r="BD90" s="48">
        <f>IFERROR(__xludf.DUMMYFUNCTION("""COMPUTED_VALUE"""),28.000000000000004)</f>
        <v>28</v>
      </c>
      <c r="BE90" s="48">
        <f>IFERROR(__xludf.DUMMYFUNCTION("""COMPUTED_VALUE"""),0.0)</f>
        <v>0</v>
      </c>
      <c r="BF90" s="52"/>
      <c r="BG90" s="52"/>
      <c r="BH90" s="52"/>
      <c r="BI90" s="52"/>
      <c r="BJ90" s="52"/>
      <c r="BK90" s="45">
        <v>4.0</v>
      </c>
      <c r="BL90" s="45">
        <v>1.0</v>
      </c>
      <c r="BM90" s="59" t="s">
        <v>306</v>
      </c>
    </row>
    <row r="91">
      <c r="A91" s="42" t="s">
        <v>635</v>
      </c>
      <c r="B91" s="55" t="s">
        <v>636</v>
      </c>
      <c r="C91" s="45" t="s">
        <v>637</v>
      </c>
      <c r="D91" s="45" t="s">
        <v>70</v>
      </c>
      <c r="E91" s="45" t="s">
        <v>71</v>
      </c>
      <c r="F91" s="46">
        <v>41954.0</v>
      </c>
      <c r="G91" s="47">
        <v>42968.0</v>
      </c>
      <c r="H91" s="48">
        <f t="shared" si="1"/>
        <v>33.35526316</v>
      </c>
      <c r="I91" s="49" t="s">
        <v>638</v>
      </c>
      <c r="J91" s="50" t="s">
        <v>639</v>
      </c>
      <c r="K91" s="45" t="s">
        <v>640</v>
      </c>
      <c r="L91" s="45" t="s">
        <v>641</v>
      </c>
      <c r="M91" s="51">
        <v>31662.0</v>
      </c>
      <c r="N91" s="52">
        <f t="shared" si="17"/>
        <v>34</v>
      </c>
      <c r="O91" s="45" t="s">
        <v>76</v>
      </c>
      <c r="P91" s="45" t="s">
        <v>77</v>
      </c>
      <c r="Q91" s="45" t="s">
        <v>77</v>
      </c>
      <c r="R91" s="52"/>
      <c r="S91" s="45" t="s">
        <v>79</v>
      </c>
      <c r="T91" s="45" t="s">
        <v>94</v>
      </c>
      <c r="U91" s="42" t="s">
        <v>81</v>
      </c>
      <c r="V91" s="45" t="s">
        <v>78</v>
      </c>
      <c r="W91" s="45" t="s">
        <v>79</v>
      </c>
      <c r="X91" s="45" t="s">
        <v>82</v>
      </c>
      <c r="Y91" s="45" t="s">
        <v>556</v>
      </c>
      <c r="Z91" s="45" t="s">
        <v>130</v>
      </c>
      <c r="AA91" s="58" t="s">
        <v>642</v>
      </c>
      <c r="AB91" s="52"/>
      <c r="AC91" s="53">
        <f t="shared" si="5"/>
        <v>288</v>
      </c>
      <c r="AD91" s="52"/>
      <c r="AE91" s="53">
        <f t="shared" si="11"/>
        <v>23</v>
      </c>
      <c r="AF91" s="53">
        <f t="shared" si="3"/>
        <v>265</v>
      </c>
      <c r="AG91" s="52">
        <f t="shared" si="19"/>
        <v>1656.25</v>
      </c>
      <c r="AH91" s="48">
        <f>IFERROR(__xludf.DUMMYFUNCTION("importrange(C91,""Sheet2!a4:x4"")"),27.020661157024794)</f>
        <v>27.02066116</v>
      </c>
      <c r="AI91" s="48">
        <f>IFERROR(__xludf.DUMMYFUNCTION("""COMPUTED_VALUE"""),12.0)</f>
        <v>12</v>
      </c>
      <c r="AJ91" s="48">
        <f>IFERROR(__xludf.DUMMYFUNCTION("""COMPUTED_VALUE"""),335.0)</f>
        <v>335</v>
      </c>
      <c r="AK91" s="53" t="str">
        <f>IFERROR(__xludf.DUMMYFUNCTION("""COMPUTED_VALUE"""),"Absent")</f>
        <v>Absent</v>
      </c>
      <c r="AL91" s="53">
        <f>IFERROR(__xludf.DUMMYFUNCTION("""COMPUTED_VALUE"""),335.0)</f>
        <v>335</v>
      </c>
      <c r="AM91" s="53">
        <f>IFERROR(__xludf.DUMMYFUNCTION("""COMPUTED_VALUE"""),246.0)</f>
        <v>246</v>
      </c>
      <c r="AN91" s="53">
        <f>IFERROR(__xludf.DUMMYFUNCTION("""COMPUTED_VALUE"""),244.0)</f>
        <v>244</v>
      </c>
      <c r="AO91" s="53">
        <f>IFERROR(__xludf.DUMMYFUNCTION("""COMPUTED_VALUE"""),22.0)</f>
        <v>22</v>
      </c>
      <c r="AP91" s="53">
        <f>IFERROR(__xludf.DUMMYFUNCTION("""COMPUTED_VALUE"""),2.0)</f>
        <v>2</v>
      </c>
      <c r="AQ91" s="53">
        <f>IFERROR(__xludf.DUMMYFUNCTION("""COMPUTED_VALUE"""),25.0)</f>
        <v>25</v>
      </c>
      <c r="AR91" s="53">
        <f>IFERROR(__xludf.DUMMYFUNCTION("""COMPUTED_VALUE"""),42.0)</f>
        <v>42</v>
      </c>
      <c r="AS91" s="53">
        <f>IFERROR(__xludf.DUMMYFUNCTION("""COMPUTED_VALUE"""),92.25806451612904)</f>
        <v>92.25806452</v>
      </c>
      <c r="AT91" s="48">
        <f>IFERROR(__xludf.DUMMYFUNCTION("""COMPUTED_VALUE"""),6.567164179104477)</f>
        <v>6.567164179</v>
      </c>
      <c r="AU91" s="48">
        <f>IFERROR(__xludf.DUMMYFUNCTION("""COMPUTED_VALUE"""),0.5970149253731344)</f>
        <v>0.5970149254</v>
      </c>
      <c r="AV91" s="48">
        <f>IFERROR(__xludf.DUMMYFUNCTION("""COMPUTED_VALUE"""),7.462686567164178)</f>
        <v>7.462686567</v>
      </c>
      <c r="AW91" s="48">
        <f>IFERROR(__xludf.DUMMYFUNCTION("""COMPUTED_VALUE"""),12.53731343283582)</f>
        <v>12.53731343</v>
      </c>
      <c r="AX91" s="48">
        <f>IFERROR(__xludf.DUMMYFUNCTION("""COMPUTED_VALUE"""),85.97014925373134)</f>
        <v>85.97014925</v>
      </c>
      <c r="AY91" s="48">
        <f>IFERROR(__xludf.DUMMYFUNCTION("""COMPUTED_VALUE"""),63.0)</f>
        <v>63</v>
      </c>
      <c r="AZ91" s="48">
        <f>IFERROR(__xludf.DUMMYFUNCTION("""COMPUTED_VALUE"""),63.0)</f>
        <v>63</v>
      </c>
      <c r="BA91" s="48">
        <f>IFERROR(__xludf.DUMMYFUNCTION("""COMPUTED_VALUE"""),0.0)</f>
        <v>0</v>
      </c>
      <c r="BB91" s="48">
        <f>IFERROR(__xludf.DUMMYFUNCTION("""COMPUTED_VALUE"""),4.0)</f>
        <v>4</v>
      </c>
      <c r="BC91" s="48">
        <f>IFERROR(__xludf.DUMMYFUNCTION("""COMPUTED_VALUE"""),100.0)</f>
        <v>100</v>
      </c>
      <c r="BD91" s="48">
        <f>IFERROR(__xludf.DUMMYFUNCTION("""COMPUTED_VALUE"""),0.0)</f>
        <v>0</v>
      </c>
      <c r="BE91" s="48">
        <f>IFERROR(__xludf.DUMMYFUNCTION("""COMPUTED_VALUE"""),5.970149253731343)</f>
        <v>5.970149254</v>
      </c>
      <c r="BF91" s="52"/>
      <c r="BG91" s="52"/>
      <c r="BH91" s="52"/>
      <c r="BI91" s="52"/>
      <c r="BJ91" s="52"/>
      <c r="BK91" s="52"/>
      <c r="BL91" s="52"/>
      <c r="BM91" s="54" t="s">
        <v>96</v>
      </c>
    </row>
    <row r="92">
      <c r="A92" s="42" t="s">
        <v>643</v>
      </c>
      <c r="B92" s="55" t="s">
        <v>644</v>
      </c>
      <c r="C92" s="45" t="s">
        <v>645</v>
      </c>
      <c r="D92" s="45" t="s">
        <v>70</v>
      </c>
      <c r="E92" s="45" t="s">
        <v>192</v>
      </c>
      <c r="F92" s="46">
        <v>41965.0</v>
      </c>
      <c r="G92" s="47">
        <v>42651.0</v>
      </c>
      <c r="H92" s="48">
        <f t="shared" si="1"/>
        <v>22.56578947</v>
      </c>
      <c r="I92" s="49" t="s">
        <v>646</v>
      </c>
      <c r="J92" s="50" t="s">
        <v>647</v>
      </c>
      <c r="K92" s="45" t="s">
        <v>648</v>
      </c>
      <c r="L92" s="45" t="s">
        <v>649</v>
      </c>
      <c r="M92" s="51">
        <v>31758.0</v>
      </c>
      <c r="N92" s="52">
        <f t="shared" si="17"/>
        <v>34</v>
      </c>
      <c r="O92" s="45" t="s">
        <v>76</v>
      </c>
      <c r="P92" s="45" t="s">
        <v>77</v>
      </c>
      <c r="Q92" s="45" t="s">
        <v>77</v>
      </c>
      <c r="R92" s="52"/>
      <c r="S92" s="45" t="s">
        <v>79</v>
      </c>
      <c r="T92" s="45" t="s">
        <v>94</v>
      </c>
      <c r="U92" s="45" t="s">
        <v>81</v>
      </c>
      <c r="V92" s="45" t="s">
        <v>78</v>
      </c>
      <c r="W92" s="45" t="s">
        <v>79</v>
      </c>
      <c r="X92" s="45" t="s">
        <v>82</v>
      </c>
      <c r="Y92" s="45" t="s">
        <v>83</v>
      </c>
      <c r="Z92" s="45" t="s">
        <v>130</v>
      </c>
      <c r="AA92" s="58" t="s">
        <v>650</v>
      </c>
      <c r="AB92" s="52"/>
      <c r="AC92" s="53">
        <f t="shared" si="5"/>
        <v>2441</v>
      </c>
      <c r="AD92" s="45">
        <v>2276.0</v>
      </c>
      <c r="AE92" s="53">
        <f t="shared" si="11"/>
        <v>164</v>
      </c>
      <c r="AF92" s="53">
        <f t="shared" si="3"/>
        <v>1</v>
      </c>
      <c r="AG92" s="52">
        <f>((AF92*8))</f>
        <v>8</v>
      </c>
      <c r="AH92" s="48">
        <f>IFERROR(__xludf.DUMMYFUNCTION("importrange(C92,""Sheet2!a4:x4"")"),29.983870967741936)</f>
        <v>29.98387097</v>
      </c>
      <c r="AI92" s="48">
        <f>IFERROR(__xludf.DUMMYFUNCTION("""COMPUTED_VALUE"""),54.0)</f>
        <v>54</v>
      </c>
      <c r="AJ92" s="48">
        <f>IFERROR(__xludf.DUMMYFUNCTION("""COMPUTED_VALUE"""),2678.0)</f>
        <v>2678</v>
      </c>
      <c r="AK92" s="53" t="str">
        <f>IFERROR(__xludf.DUMMYFUNCTION("""COMPUTED_VALUE"""),"Absent")</f>
        <v>Absent</v>
      </c>
      <c r="AL92" s="53">
        <f>IFERROR(__xludf.DUMMYFUNCTION("""COMPUTED_VALUE"""),2678.0)</f>
        <v>2678</v>
      </c>
      <c r="AM92" s="53">
        <f>IFERROR(__xludf.DUMMYFUNCTION("""COMPUTED_VALUE"""),1933.0)</f>
        <v>1933</v>
      </c>
      <c r="AN92" s="53">
        <f>IFERROR(__xludf.DUMMYFUNCTION("""COMPUTED_VALUE"""),1909.0)</f>
        <v>1909</v>
      </c>
      <c r="AO92" s="53">
        <f>IFERROR(__xludf.DUMMYFUNCTION("""COMPUTED_VALUE"""),152.0)</f>
        <v>152</v>
      </c>
      <c r="AP92" s="53">
        <f>IFERROR(__xludf.DUMMYFUNCTION("""COMPUTED_VALUE"""),24.0)</f>
        <v>24</v>
      </c>
      <c r="AQ92" s="53">
        <f>IFERROR(__xludf.DUMMYFUNCTION("""COMPUTED_VALUE"""),85.0)</f>
        <v>85</v>
      </c>
      <c r="AR92" s="53">
        <f>IFERROR(__xludf.DUMMYFUNCTION("""COMPUTED_VALUE"""),508.0)</f>
        <v>508</v>
      </c>
      <c r="AS92" s="53">
        <f>IFERROR(__xludf.DUMMYFUNCTION("""COMPUTED_VALUE"""),93.21249517932895)</f>
        <v>93.21249518</v>
      </c>
      <c r="AT92" s="48">
        <f>IFERROR(__xludf.DUMMYFUNCTION("""COMPUTED_VALUE"""),5.675877520537715)</f>
        <v>5.675877521</v>
      </c>
      <c r="AU92" s="48">
        <f>IFERROR(__xludf.DUMMYFUNCTION("""COMPUTED_VALUE"""),0.8961911874533234)</f>
        <v>0.8961911875</v>
      </c>
      <c r="AV92" s="48">
        <f>IFERROR(__xludf.DUMMYFUNCTION("""COMPUTED_VALUE"""),3.1740104555638533)</f>
        <v>3.174010456</v>
      </c>
      <c r="AW92" s="48">
        <f>IFERROR(__xludf.DUMMYFUNCTION("""COMPUTED_VALUE"""),18.96938013442868)</f>
        <v>18.96938013</v>
      </c>
      <c r="AX92" s="48">
        <f>IFERROR(__xludf.DUMMYFUNCTION("""COMPUTED_VALUE"""),91.15011202389843)</f>
        <v>91.15011202</v>
      </c>
      <c r="AY92" s="48">
        <f>IFERROR(__xludf.DUMMYFUNCTION("""COMPUTED_VALUE"""),235.0)</f>
        <v>235</v>
      </c>
      <c r="AZ92" s="48">
        <f>IFERROR(__xludf.DUMMYFUNCTION("""COMPUTED_VALUE"""),233.0)</f>
        <v>233</v>
      </c>
      <c r="BA92" s="48">
        <f>IFERROR(__xludf.DUMMYFUNCTION("""COMPUTED_VALUE"""),2.0)</f>
        <v>2</v>
      </c>
      <c r="BB92" s="48">
        <f>IFERROR(__xludf.DUMMYFUNCTION("""COMPUTED_VALUE"""),7.0)</f>
        <v>7</v>
      </c>
      <c r="BC92" s="48">
        <f>IFERROR(__xludf.DUMMYFUNCTION("""COMPUTED_VALUE"""),99.14893617021276)</f>
        <v>99.14893617</v>
      </c>
      <c r="BD92" s="48">
        <f>IFERROR(__xludf.DUMMYFUNCTION("""COMPUTED_VALUE"""),0.851063829787234)</f>
        <v>0.8510638298</v>
      </c>
      <c r="BE92" s="48">
        <f>IFERROR(__xludf.DUMMYFUNCTION("""COMPUTED_VALUE"""),2.8925619834710745)</f>
        <v>2.892561983</v>
      </c>
      <c r="BF92" s="52"/>
      <c r="BG92" s="52"/>
      <c r="BH92" s="52"/>
      <c r="BI92" s="52"/>
      <c r="BJ92" s="52"/>
      <c r="BK92" s="52"/>
      <c r="BL92" s="52"/>
      <c r="BM92" s="54" t="s">
        <v>96</v>
      </c>
    </row>
    <row r="93">
      <c r="A93" s="42" t="s">
        <v>651</v>
      </c>
      <c r="B93" s="55" t="s">
        <v>652</v>
      </c>
      <c r="C93" s="45" t="s">
        <v>653</v>
      </c>
      <c r="D93" s="45" t="s">
        <v>70</v>
      </c>
      <c r="E93" s="45" t="s">
        <v>71</v>
      </c>
      <c r="F93" s="46">
        <v>41993.0</v>
      </c>
      <c r="G93" s="47">
        <v>42208.0</v>
      </c>
      <c r="H93" s="48">
        <f t="shared" si="1"/>
        <v>7.072368421</v>
      </c>
      <c r="I93" s="49" t="s">
        <v>654</v>
      </c>
      <c r="J93" s="50" t="s">
        <v>655</v>
      </c>
      <c r="K93" s="45" t="s">
        <v>656</v>
      </c>
      <c r="L93" s="45" t="s">
        <v>657</v>
      </c>
      <c r="M93" s="51">
        <v>32914.0</v>
      </c>
      <c r="N93" s="52">
        <f t="shared" si="17"/>
        <v>31</v>
      </c>
      <c r="O93" s="45" t="s">
        <v>104</v>
      </c>
      <c r="P93" s="45" t="s">
        <v>77</v>
      </c>
      <c r="Q93" s="45" t="s">
        <v>77</v>
      </c>
      <c r="R93" s="52"/>
      <c r="S93" s="45" t="s">
        <v>79</v>
      </c>
      <c r="T93" s="45" t="s">
        <v>94</v>
      </c>
      <c r="U93" s="45" t="s">
        <v>81</v>
      </c>
      <c r="V93" s="45" t="s">
        <v>78</v>
      </c>
      <c r="W93" s="45" t="s">
        <v>79</v>
      </c>
      <c r="X93" s="45" t="s">
        <v>82</v>
      </c>
      <c r="Y93" s="45" t="s">
        <v>83</v>
      </c>
      <c r="Z93" s="45" t="s">
        <v>130</v>
      </c>
      <c r="AA93" s="58" t="s">
        <v>658</v>
      </c>
      <c r="AB93" s="52"/>
      <c r="AC93" s="53">
        <f t="shared" si="5"/>
        <v>224</v>
      </c>
      <c r="AD93" s="45">
        <v>189.0</v>
      </c>
      <c r="AE93" s="53">
        <f t="shared" si="11"/>
        <v>27.5</v>
      </c>
      <c r="AF93" s="53">
        <f t="shared" si="3"/>
        <v>7.5</v>
      </c>
      <c r="AG93" s="52">
        <f t="shared" ref="AG93:AG94" si="20">((AF93*6.25))</f>
        <v>46.875</v>
      </c>
      <c r="AH93" s="48">
        <f>IFERROR(__xludf.DUMMYFUNCTION("importrange(C93,""Sheet2!a4:x4"")"),30.19889502762431)</f>
        <v>30.19889503</v>
      </c>
      <c r="AI93" s="48">
        <f>IFERROR(__xludf.DUMMYFUNCTION("""COMPUTED_VALUE"""),14.0)</f>
        <v>14</v>
      </c>
      <c r="AJ93" s="48">
        <f>IFERROR(__xludf.DUMMYFUNCTION("""COMPUTED_VALUE"""),267.0)</f>
        <v>267</v>
      </c>
      <c r="AK93" s="53" t="str">
        <f>IFERROR(__xludf.DUMMYFUNCTION("""COMPUTED_VALUE"""),"Attended")</f>
        <v>Attended</v>
      </c>
      <c r="AL93" s="53">
        <f>IFERROR(__xludf.DUMMYFUNCTION("""COMPUTED_VALUE"""),267.0)</f>
        <v>267</v>
      </c>
      <c r="AM93" s="53">
        <f>IFERROR(__xludf.DUMMYFUNCTION("""COMPUTED_VALUE"""),192.0)</f>
        <v>192</v>
      </c>
      <c r="AN93" s="53">
        <f>IFERROR(__xludf.DUMMYFUNCTION("""COMPUTED_VALUE"""),187.0)</f>
        <v>187</v>
      </c>
      <c r="AO93" s="53">
        <f>IFERROR(__xludf.DUMMYFUNCTION("""COMPUTED_VALUE"""),25.0)</f>
        <v>25</v>
      </c>
      <c r="AP93" s="53">
        <f>IFERROR(__xludf.DUMMYFUNCTION("""COMPUTED_VALUE"""),5.0)</f>
        <v>5</v>
      </c>
      <c r="AQ93" s="53">
        <f>IFERROR(__xludf.DUMMYFUNCTION("""COMPUTED_VALUE"""),18.0)</f>
        <v>18</v>
      </c>
      <c r="AR93" s="53">
        <f>IFERROR(__xludf.DUMMYFUNCTION("""COMPUTED_VALUE"""),32.0)</f>
        <v>32</v>
      </c>
      <c r="AS93" s="53">
        <f>IFERROR(__xludf.DUMMYFUNCTION("""COMPUTED_VALUE"""),87.95180722891565)</f>
        <v>87.95180723</v>
      </c>
      <c r="AT93" s="48">
        <f>IFERROR(__xludf.DUMMYFUNCTION("""COMPUTED_VALUE"""),9.363295880149813)</f>
        <v>9.36329588</v>
      </c>
      <c r="AU93" s="48">
        <f>IFERROR(__xludf.DUMMYFUNCTION("""COMPUTED_VALUE"""),1.8726591760299627)</f>
        <v>1.872659176</v>
      </c>
      <c r="AV93" s="48">
        <f>IFERROR(__xludf.DUMMYFUNCTION("""COMPUTED_VALUE"""),6.741573033707865)</f>
        <v>6.741573034</v>
      </c>
      <c r="AW93" s="48">
        <f>IFERROR(__xludf.DUMMYFUNCTION("""COMPUTED_VALUE"""),11.985018726591761)</f>
        <v>11.98501873</v>
      </c>
      <c r="AX93" s="48">
        <f>IFERROR(__xludf.DUMMYFUNCTION("""COMPUTED_VALUE"""),83.89513108614233)</f>
        <v>83.89513109</v>
      </c>
      <c r="AY93" s="48">
        <f>IFERROR(__xludf.DUMMYFUNCTION("""COMPUTED_VALUE"""),125.0)</f>
        <v>125</v>
      </c>
      <c r="AZ93" s="48">
        <f>IFERROR(__xludf.DUMMYFUNCTION("""COMPUTED_VALUE"""),100.0)</f>
        <v>100</v>
      </c>
      <c r="BA93" s="48">
        <f>IFERROR(__xludf.DUMMYFUNCTION("""COMPUTED_VALUE"""),25.0)</f>
        <v>25</v>
      </c>
      <c r="BB93" s="48">
        <f>IFERROR(__xludf.DUMMYFUNCTION("""COMPUTED_VALUE"""),0.0)</f>
        <v>0</v>
      </c>
      <c r="BC93" s="48">
        <f>IFERROR(__xludf.DUMMYFUNCTION("""COMPUTED_VALUE"""),80.0)</f>
        <v>80</v>
      </c>
      <c r="BD93" s="48">
        <f>IFERROR(__xludf.DUMMYFUNCTION("""COMPUTED_VALUE"""),20.0)</f>
        <v>20</v>
      </c>
      <c r="BE93" s="48">
        <f>IFERROR(__xludf.DUMMYFUNCTION("""COMPUTED_VALUE"""),0.0)</f>
        <v>0</v>
      </c>
      <c r="BF93" s="52"/>
      <c r="BG93" s="52"/>
      <c r="BH93" s="52"/>
      <c r="BI93" s="52"/>
      <c r="BJ93" s="52"/>
      <c r="BK93" s="52"/>
      <c r="BL93" s="52"/>
      <c r="BM93" s="54" t="s">
        <v>96</v>
      </c>
    </row>
    <row r="94">
      <c r="A94" s="42" t="s">
        <v>659</v>
      </c>
      <c r="B94" s="55" t="s">
        <v>660</v>
      </c>
      <c r="C94" s="45" t="s">
        <v>661</v>
      </c>
      <c r="D94" s="45" t="s">
        <v>125</v>
      </c>
      <c r="E94" s="45" t="s">
        <v>71</v>
      </c>
      <c r="F94" s="46">
        <v>42009.0</v>
      </c>
      <c r="G94" s="57"/>
      <c r="H94" s="48">
        <f t="shared" si="1"/>
        <v>73.75</v>
      </c>
      <c r="I94" s="49" t="s">
        <v>662</v>
      </c>
      <c r="J94" s="50" t="s">
        <v>663</v>
      </c>
      <c r="K94" s="45" t="s">
        <v>664</v>
      </c>
      <c r="L94" s="45" t="s">
        <v>665</v>
      </c>
      <c r="M94" s="51">
        <v>33000.0</v>
      </c>
      <c r="N94" s="52">
        <f t="shared" si="17"/>
        <v>30</v>
      </c>
      <c r="O94" s="45" t="s">
        <v>76</v>
      </c>
      <c r="P94" s="45" t="s">
        <v>77</v>
      </c>
      <c r="Q94" s="45" t="s">
        <v>77</v>
      </c>
      <c r="R94" s="52"/>
      <c r="S94" s="45" t="s">
        <v>79</v>
      </c>
      <c r="T94" s="45" t="s">
        <v>94</v>
      </c>
      <c r="U94" s="45" t="s">
        <v>81</v>
      </c>
      <c r="V94" s="45" t="s">
        <v>78</v>
      </c>
      <c r="W94" s="45" t="s">
        <v>79</v>
      </c>
      <c r="X94" s="45" t="s">
        <v>82</v>
      </c>
      <c r="Y94" s="45" t="s">
        <v>556</v>
      </c>
      <c r="Z94" s="45" t="s">
        <v>130</v>
      </c>
      <c r="AA94" s="58" t="s">
        <v>666</v>
      </c>
      <c r="AB94" s="45"/>
      <c r="AC94" s="53">
        <f t="shared" si="5"/>
        <v>1012</v>
      </c>
      <c r="AD94" s="52"/>
      <c r="AE94" s="53">
        <f t="shared" si="11"/>
        <v>153</v>
      </c>
      <c r="AF94" s="53">
        <f t="shared" si="3"/>
        <v>859</v>
      </c>
      <c r="AG94" s="52">
        <f t="shared" si="20"/>
        <v>5368.75</v>
      </c>
      <c r="AH94" s="48">
        <f>IFERROR(__xludf.DUMMYFUNCTION("importrange(C94,""Sheet2!a4:x4"")"),29.837408312958434)</f>
        <v>29.83740831</v>
      </c>
      <c r="AI94" s="48">
        <f>IFERROR(__xludf.DUMMYFUNCTION("""COMPUTED_VALUE"""),27.0)</f>
        <v>27</v>
      </c>
      <c r="AJ94" s="48">
        <f>IFERROR(__xludf.DUMMYFUNCTION("""COMPUTED_VALUE"""),1202.0)</f>
        <v>1202</v>
      </c>
      <c r="AK94" s="53" t="str">
        <f>IFERROR(__xludf.DUMMYFUNCTION("""COMPUTED_VALUE"""),"Attended No Show")</f>
        <v>Attended No Show</v>
      </c>
      <c r="AL94" s="53">
        <f>IFERROR(__xludf.DUMMYFUNCTION("""COMPUTED_VALUE"""),1202.0)</f>
        <v>1202</v>
      </c>
      <c r="AM94" s="53">
        <f>IFERROR(__xludf.DUMMYFUNCTION("""COMPUTED_VALUE"""),851.0)</f>
        <v>851</v>
      </c>
      <c r="AN94" s="53">
        <f>IFERROR(__xludf.DUMMYFUNCTION("""COMPUTED_VALUE"""),831.0)</f>
        <v>831</v>
      </c>
      <c r="AO94" s="53">
        <f>IFERROR(__xludf.DUMMYFUNCTION("""COMPUTED_VALUE"""),143.0)</f>
        <v>143</v>
      </c>
      <c r="AP94" s="53">
        <f>IFERROR(__xludf.DUMMYFUNCTION("""COMPUTED_VALUE"""),20.0)</f>
        <v>20</v>
      </c>
      <c r="AQ94" s="53">
        <f>IFERROR(__xludf.DUMMYFUNCTION("""COMPUTED_VALUE"""),47.0)</f>
        <v>47</v>
      </c>
      <c r="AR94" s="53">
        <f>IFERROR(__xludf.DUMMYFUNCTION("""COMPUTED_VALUE"""),161.0)</f>
        <v>161</v>
      </c>
      <c r="AS94" s="53">
        <f>IFERROR(__xludf.DUMMYFUNCTION("""COMPUTED_VALUE"""),85.88744588744589)</f>
        <v>85.88744589</v>
      </c>
      <c r="AT94" s="48">
        <f>IFERROR(__xludf.DUMMYFUNCTION("""COMPUTED_VALUE"""),11.896838602329451)</f>
        <v>11.8968386</v>
      </c>
      <c r="AU94" s="48">
        <f>IFERROR(__xludf.DUMMYFUNCTION("""COMPUTED_VALUE"""),1.6638935108153077)</f>
        <v>1.663893511</v>
      </c>
      <c r="AV94" s="48">
        <f>IFERROR(__xludf.DUMMYFUNCTION("""COMPUTED_VALUE"""),3.9101497504159735)</f>
        <v>3.91014975</v>
      </c>
      <c r="AW94" s="48">
        <f>IFERROR(__xludf.DUMMYFUNCTION("""COMPUTED_VALUE"""),13.394342762063227)</f>
        <v>13.39434276</v>
      </c>
      <c r="AX94" s="48">
        <f>IFERROR(__xludf.DUMMYFUNCTION("""COMPUTED_VALUE"""),84.19301164725458)</f>
        <v>84.19301165</v>
      </c>
      <c r="AY94" s="48">
        <f>IFERROR(__xludf.DUMMYFUNCTION("""COMPUTED_VALUE"""),430.0)</f>
        <v>430</v>
      </c>
      <c r="AZ94" s="48">
        <f>IFERROR(__xludf.DUMMYFUNCTION("""COMPUTED_VALUE"""),393.0)</f>
        <v>393</v>
      </c>
      <c r="BA94" s="48">
        <f>IFERROR(__xludf.DUMMYFUNCTION("""COMPUTED_VALUE"""),37.0)</f>
        <v>37</v>
      </c>
      <c r="BB94" s="48">
        <f>IFERROR(__xludf.DUMMYFUNCTION("""COMPUTED_VALUE"""),15.0)</f>
        <v>15</v>
      </c>
      <c r="BC94" s="48">
        <f>IFERROR(__xludf.DUMMYFUNCTION("""COMPUTED_VALUE"""),91.3953488372093)</f>
        <v>91.39534884</v>
      </c>
      <c r="BD94" s="48">
        <f>IFERROR(__xludf.DUMMYFUNCTION("""COMPUTED_VALUE"""),8.604651162790699)</f>
        <v>8.604651163</v>
      </c>
      <c r="BE94" s="48">
        <f>IFERROR(__xludf.DUMMYFUNCTION("""COMPUTED_VALUE"""),3.3707865168539324)</f>
        <v>3.370786517</v>
      </c>
      <c r="BF94" s="52"/>
      <c r="BG94" s="52"/>
      <c r="BH94" s="52"/>
      <c r="BI94" s="52"/>
      <c r="BJ94" s="52"/>
      <c r="BK94" s="45">
        <v>2.0</v>
      </c>
      <c r="BL94" s="45">
        <v>1.0</v>
      </c>
      <c r="BM94" s="59" t="s">
        <v>96</v>
      </c>
    </row>
    <row r="95">
      <c r="A95" s="42" t="s">
        <v>667</v>
      </c>
      <c r="B95" s="55" t="s">
        <v>668</v>
      </c>
      <c r="C95" s="45" t="s">
        <v>669</v>
      </c>
      <c r="D95" s="45" t="s">
        <v>70</v>
      </c>
      <c r="E95" s="45" t="s">
        <v>192</v>
      </c>
      <c r="F95" s="46">
        <v>42059.0</v>
      </c>
      <c r="G95" s="47">
        <v>42323.0</v>
      </c>
      <c r="H95" s="48">
        <f t="shared" si="1"/>
        <v>8.684210526</v>
      </c>
      <c r="I95" s="49" t="s">
        <v>670</v>
      </c>
      <c r="J95" s="50" t="s">
        <v>671</v>
      </c>
      <c r="K95" s="45" t="s">
        <v>672</v>
      </c>
      <c r="L95" s="45" t="s">
        <v>673</v>
      </c>
      <c r="M95" s="51">
        <v>28696.0</v>
      </c>
      <c r="N95" s="52">
        <f t="shared" si="17"/>
        <v>42</v>
      </c>
      <c r="O95" s="45" t="s">
        <v>76</v>
      </c>
      <c r="P95" s="45" t="s">
        <v>77</v>
      </c>
      <c r="Q95" s="45" t="s">
        <v>77</v>
      </c>
      <c r="R95" s="52"/>
      <c r="S95" s="45" t="s">
        <v>79</v>
      </c>
      <c r="T95" s="45" t="s">
        <v>94</v>
      </c>
      <c r="U95" s="45" t="s">
        <v>81</v>
      </c>
      <c r="V95" s="45" t="s">
        <v>78</v>
      </c>
      <c r="W95" s="45" t="s">
        <v>79</v>
      </c>
      <c r="X95" s="45" t="s">
        <v>82</v>
      </c>
      <c r="Y95" s="45" t="s">
        <v>83</v>
      </c>
      <c r="Z95" s="45" t="s">
        <v>130</v>
      </c>
      <c r="AA95" s="58" t="s">
        <v>674</v>
      </c>
      <c r="AB95" s="52"/>
      <c r="AC95" s="53">
        <f t="shared" si="5"/>
        <v>202</v>
      </c>
      <c r="AD95" s="45">
        <v>178.0</v>
      </c>
      <c r="AE95" s="53">
        <f t="shared" si="11"/>
        <v>15</v>
      </c>
      <c r="AF95" s="53">
        <f t="shared" si="3"/>
        <v>9</v>
      </c>
      <c r="AG95" s="52">
        <f>((AF95*7.5))</f>
        <v>67.5</v>
      </c>
      <c r="AH95" s="48">
        <f>IFERROR(__xludf.DUMMYFUNCTION("importrange(C95,""Sheet2!a4:x4"")"),29.69871794871795)</f>
        <v>29.69871795</v>
      </c>
      <c r="AI95" s="48">
        <f>IFERROR(__xludf.DUMMYFUNCTION("""COMPUTED_VALUE"""),14.0)</f>
        <v>14</v>
      </c>
      <c r="AJ95" s="48">
        <f>IFERROR(__xludf.DUMMYFUNCTION("""COMPUTED_VALUE"""),218.0)</f>
        <v>218</v>
      </c>
      <c r="AK95" s="53" t="str">
        <f>IFERROR(__xludf.DUMMYFUNCTION("""COMPUTED_VALUE"""),"Attended")</f>
        <v>Attended</v>
      </c>
      <c r="AL95" s="53">
        <f>IFERROR(__xludf.DUMMYFUNCTION("""COMPUTED_VALUE"""),218.0)</f>
        <v>218</v>
      </c>
      <c r="AM95" s="53">
        <f>IFERROR(__xludf.DUMMYFUNCTION("""COMPUTED_VALUE"""),158.0)</f>
        <v>158</v>
      </c>
      <c r="AN95" s="53">
        <f>IFERROR(__xludf.DUMMYFUNCTION("""COMPUTED_VALUE"""),156.0)</f>
        <v>156</v>
      </c>
      <c r="AO95" s="53">
        <f>IFERROR(__xludf.DUMMYFUNCTION("""COMPUTED_VALUE"""),14.0)</f>
        <v>14</v>
      </c>
      <c r="AP95" s="53">
        <f>IFERROR(__xludf.DUMMYFUNCTION("""COMPUTED_VALUE"""),2.0)</f>
        <v>2</v>
      </c>
      <c r="AQ95" s="53">
        <f>IFERROR(__xludf.DUMMYFUNCTION("""COMPUTED_VALUE"""),2.0)</f>
        <v>2</v>
      </c>
      <c r="AR95" s="53">
        <f>IFERROR(__xludf.DUMMYFUNCTION("""COMPUTED_VALUE"""),44.0)</f>
        <v>44</v>
      </c>
      <c r="AS95" s="53">
        <f>IFERROR(__xludf.DUMMYFUNCTION("""COMPUTED_VALUE"""),92.5925925925926)</f>
        <v>92.59259259</v>
      </c>
      <c r="AT95" s="48">
        <f>IFERROR(__xludf.DUMMYFUNCTION("""COMPUTED_VALUE"""),6.422018348623854)</f>
        <v>6.422018349</v>
      </c>
      <c r="AU95" s="48">
        <f>IFERROR(__xludf.DUMMYFUNCTION("""COMPUTED_VALUE"""),0.9174311926605505)</f>
        <v>0.9174311927</v>
      </c>
      <c r="AV95" s="48">
        <f>IFERROR(__xludf.DUMMYFUNCTION("""COMPUTED_VALUE"""),0.9174311926605505)</f>
        <v>0.9174311927</v>
      </c>
      <c r="AW95" s="48">
        <f>IFERROR(__xludf.DUMMYFUNCTION("""COMPUTED_VALUE"""),20.18348623853211)</f>
        <v>20.18348624</v>
      </c>
      <c r="AX95" s="48">
        <f>IFERROR(__xludf.DUMMYFUNCTION("""COMPUTED_VALUE"""),92.66055045871559)</f>
        <v>92.66055046</v>
      </c>
      <c r="AY95" s="48">
        <f>IFERROR(__xludf.DUMMYFUNCTION("""COMPUTED_VALUE"""),47.0)</f>
        <v>47</v>
      </c>
      <c r="AZ95" s="48">
        <f>IFERROR(__xludf.DUMMYFUNCTION("""COMPUTED_VALUE"""),9.0)</f>
        <v>9</v>
      </c>
      <c r="BA95" s="48">
        <f>IFERROR(__xludf.DUMMYFUNCTION("""COMPUTED_VALUE"""),38.0)</f>
        <v>38</v>
      </c>
      <c r="BB95" s="48">
        <f>IFERROR(__xludf.DUMMYFUNCTION("""COMPUTED_VALUE"""),0.0)</f>
        <v>0</v>
      </c>
      <c r="BC95" s="48">
        <f>IFERROR(__xludf.DUMMYFUNCTION("""COMPUTED_VALUE"""),19.148936170212767)</f>
        <v>19.14893617</v>
      </c>
      <c r="BD95" s="48">
        <f>IFERROR(__xludf.DUMMYFUNCTION("""COMPUTED_VALUE"""),80.85106382978722)</f>
        <v>80.85106383</v>
      </c>
      <c r="BE95" s="48">
        <f>IFERROR(__xludf.DUMMYFUNCTION("""COMPUTED_VALUE"""),0.0)</f>
        <v>0</v>
      </c>
      <c r="BF95" s="52"/>
      <c r="BG95" s="52"/>
      <c r="BH95" s="52"/>
      <c r="BI95" s="52"/>
      <c r="BJ95" s="52"/>
      <c r="BK95" s="52"/>
      <c r="BL95" s="52"/>
      <c r="BM95" s="54" t="s">
        <v>96</v>
      </c>
    </row>
    <row r="96">
      <c r="A96" s="42" t="s">
        <v>675</v>
      </c>
      <c r="B96" s="55" t="s">
        <v>378</v>
      </c>
      <c r="C96" s="45" t="s">
        <v>676</v>
      </c>
      <c r="D96" s="45" t="s">
        <v>70</v>
      </c>
      <c r="E96" s="45" t="s">
        <v>71</v>
      </c>
      <c r="F96" s="46">
        <v>42086.0</v>
      </c>
      <c r="G96" s="47">
        <v>42116.0</v>
      </c>
      <c r="H96" s="48">
        <f t="shared" si="1"/>
        <v>0.9868421053</v>
      </c>
      <c r="I96" s="60" t="s">
        <v>380</v>
      </c>
      <c r="J96" s="50" t="s">
        <v>381</v>
      </c>
      <c r="K96" s="42" t="s">
        <v>382</v>
      </c>
      <c r="L96" s="42" t="s">
        <v>383</v>
      </c>
      <c r="M96" s="51">
        <v>31048.0</v>
      </c>
      <c r="N96" s="52">
        <f t="shared" si="17"/>
        <v>36</v>
      </c>
      <c r="O96" s="42" t="s">
        <v>76</v>
      </c>
      <c r="P96" s="42" t="s">
        <v>78</v>
      </c>
      <c r="Q96" s="42" t="s">
        <v>78</v>
      </c>
      <c r="R96" s="52"/>
      <c r="S96" s="42" t="s">
        <v>79</v>
      </c>
      <c r="T96" s="45" t="s">
        <v>94</v>
      </c>
      <c r="U96" s="42" t="s">
        <v>81</v>
      </c>
      <c r="V96" s="45" t="s">
        <v>78</v>
      </c>
      <c r="W96" s="42" t="s">
        <v>79</v>
      </c>
      <c r="X96" s="42" t="s">
        <v>82</v>
      </c>
      <c r="Y96" s="45" t="s">
        <v>544</v>
      </c>
      <c r="Z96" s="45" t="s">
        <v>130</v>
      </c>
      <c r="AA96" s="58" t="s">
        <v>384</v>
      </c>
      <c r="AB96" s="52"/>
      <c r="AC96" s="53">
        <f t="shared" si="5"/>
        <v>44</v>
      </c>
      <c r="AD96" s="52"/>
      <c r="AE96" s="53">
        <f t="shared" si="11"/>
        <v>0</v>
      </c>
      <c r="AF96" s="53">
        <f t="shared" si="3"/>
        <v>44</v>
      </c>
      <c r="AG96" s="52">
        <f>((AF96*6.25))</f>
        <v>275</v>
      </c>
      <c r="AH96" s="48">
        <f>IFERROR(__xludf.DUMMYFUNCTION("importrange(C96,""Sheet2!a4:x4"")"),58.75)</f>
        <v>58.75</v>
      </c>
      <c r="AI96" s="48">
        <f>IFERROR(__xludf.DUMMYFUNCTION("""COMPUTED_VALUE"""),10.0)</f>
        <v>10</v>
      </c>
      <c r="AJ96" s="48">
        <f>IFERROR(__xludf.DUMMYFUNCTION("""COMPUTED_VALUE"""),44.0)</f>
        <v>44</v>
      </c>
      <c r="AK96" s="53" t="str">
        <f>IFERROR(__xludf.DUMMYFUNCTION("""COMPUTED_VALUE"""),"Attended")</f>
        <v>Attended</v>
      </c>
      <c r="AL96" s="53">
        <f>IFERROR(__xludf.DUMMYFUNCTION("""COMPUTED_VALUE"""),44.0)</f>
        <v>44</v>
      </c>
      <c r="AM96" s="53">
        <f>IFERROR(__xludf.DUMMYFUNCTION("""COMPUTED_VALUE"""),24.0)</f>
        <v>24</v>
      </c>
      <c r="AN96" s="53">
        <f>IFERROR(__xludf.DUMMYFUNCTION("""COMPUTED_VALUE"""),24.0)</f>
        <v>24</v>
      </c>
      <c r="AO96" s="53">
        <f>IFERROR(__xludf.DUMMYFUNCTION("""COMPUTED_VALUE"""),0.0)</f>
        <v>0</v>
      </c>
      <c r="AP96" s="53">
        <f>IFERROR(__xludf.DUMMYFUNCTION("""COMPUTED_VALUE"""),0.0)</f>
        <v>0</v>
      </c>
      <c r="AQ96" s="53">
        <f>IFERROR(__xludf.DUMMYFUNCTION("""COMPUTED_VALUE"""),0.0)</f>
        <v>0</v>
      </c>
      <c r="AR96" s="53">
        <f>IFERROR(__xludf.DUMMYFUNCTION("""COMPUTED_VALUE"""),20.0)</f>
        <v>20</v>
      </c>
      <c r="AS96" s="53">
        <f>IFERROR(__xludf.DUMMYFUNCTION("""COMPUTED_VALUE"""),100.0)</f>
        <v>100</v>
      </c>
      <c r="AT96" s="48">
        <f>IFERROR(__xludf.DUMMYFUNCTION("""COMPUTED_VALUE"""),0.0)</f>
        <v>0</v>
      </c>
      <c r="AU96" s="48">
        <f>IFERROR(__xludf.DUMMYFUNCTION("""COMPUTED_VALUE"""),0.0)</f>
        <v>0</v>
      </c>
      <c r="AV96" s="48">
        <f>IFERROR(__xludf.DUMMYFUNCTION("""COMPUTED_VALUE"""),0.0)</f>
        <v>0</v>
      </c>
      <c r="AW96" s="48">
        <f>IFERROR(__xludf.DUMMYFUNCTION("""COMPUTED_VALUE"""),45.45454545454545)</f>
        <v>45.45454545</v>
      </c>
      <c r="AX96" s="48">
        <f>IFERROR(__xludf.DUMMYFUNCTION("""COMPUTED_VALUE"""),100.0)</f>
        <v>100</v>
      </c>
      <c r="AY96" s="48">
        <f>IFERROR(__xludf.DUMMYFUNCTION("""COMPUTED_VALUE"""),0.0)</f>
        <v>0</v>
      </c>
      <c r="AZ96" s="48">
        <f>IFERROR(__xludf.DUMMYFUNCTION("""COMPUTED_VALUE"""),0.0)</f>
        <v>0</v>
      </c>
      <c r="BA96" s="48">
        <f>IFERROR(__xludf.DUMMYFUNCTION("""COMPUTED_VALUE"""),0.0)</f>
        <v>0</v>
      </c>
      <c r="BB96" s="48">
        <f>IFERROR(__xludf.DUMMYFUNCTION("""COMPUTED_VALUE"""),0.0)</f>
        <v>0</v>
      </c>
      <c r="BC96" s="48" t="str">
        <f>IFERROR(__xludf.DUMMYFUNCTION("""COMPUTED_VALUE"""),"#DIV/0!")</f>
        <v>#DIV/0!</v>
      </c>
      <c r="BD96" s="48" t="str">
        <f>IFERROR(__xludf.DUMMYFUNCTION("""COMPUTED_VALUE"""),"#DIV/0!")</f>
        <v>#DIV/0!</v>
      </c>
      <c r="BE96" s="48" t="str">
        <f>IFERROR(__xludf.DUMMYFUNCTION("""COMPUTED_VALUE"""),"#DIV/0!")</f>
        <v>#DIV/0!</v>
      </c>
      <c r="BF96" s="52"/>
      <c r="BG96" s="52"/>
      <c r="BH96" s="52"/>
      <c r="BI96" s="52"/>
      <c r="BJ96" s="52"/>
      <c r="BK96" s="52"/>
      <c r="BL96" s="52"/>
      <c r="BM96" s="54" t="s">
        <v>96</v>
      </c>
    </row>
    <row r="97">
      <c r="A97" s="42" t="s">
        <v>677</v>
      </c>
      <c r="B97" s="55" t="s">
        <v>678</v>
      </c>
      <c r="C97" s="45" t="s">
        <v>679</v>
      </c>
      <c r="D97" s="45" t="s">
        <v>125</v>
      </c>
      <c r="E97" s="45" t="s">
        <v>192</v>
      </c>
      <c r="F97" s="46">
        <v>42119.0</v>
      </c>
      <c r="G97" s="57"/>
      <c r="H97" s="48">
        <f t="shared" si="1"/>
        <v>70.13157895</v>
      </c>
      <c r="I97" s="49" t="s">
        <v>680</v>
      </c>
      <c r="J97" s="50" t="s">
        <v>681</v>
      </c>
      <c r="K97" s="45" t="s">
        <v>682</v>
      </c>
      <c r="L97" s="45" t="s">
        <v>683</v>
      </c>
      <c r="M97" s="51">
        <v>31808.0</v>
      </c>
      <c r="N97" s="52">
        <f t="shared" si="17"/>
        <v>34</v>
      </c>
      <c r="O97" s="45" t="s">
        <v>104</v>
      </c>
      <c r="P97" s="45" t="s">
        <v>77</v>
      </c>
      <c r="Q97" s="45" t="s">
        <v>77</v>
      </c>
      <c r="R97" s="52"/>
      <c r="S97" s="45" t="s">
        <v>79</v>
      </c>
      <c r="T97" s="45" t="s">
        <v>94</v>
      </c>
      <c r="U97" s="45" t="s">
        <v>81</v>
      </c>
      <c r="V97" s="45" t="s">
        <v>78</v>
      </c>
      <c r="W97" s="45" t="s">
        <v>79</v>
      </c>
      <c r="X97" s="42" t="s">
        <v>82</v>
      </c>
      <c r="Y97" s="45" t="s">
        <v>83</v>
      </c>
      <c r="Z97" s="45" t="s">
        <v>130</v>
      </c>
      <c r="AA97" s="58" t="s">
        <v>684</v>
      </c>
      <c r="AB97" s="52"/>
      <c r="AC97" s="53">
        <f t="shared" si="5"/>
        <v>7550</v>
      </c>
      <c r="AD97" s="45">
        <v>2282.0</v>
      </c>
      <c r="AE97" s="53">
        <f t="shared" si="11"/>
        <v>59</v>
      </c>
      <c r="AF97" s="53">
        <f t="shared" si="3"/>
        <v>5209</v>
      </c>
      <c r="AG97" s="52">
        <f t="shared" ref="AG97:AG98" si="21">(AF97*10)</f>
        <v>52090</v>
      </c>
      <c r="AH97" s="48">
        <f>IFERROR(__xludf.DUMMYFUNCTION("importrange(C97,""Sheet2!a4:x4"")"),26.078710289236604)</f>
        <v>26.07871029</v>
      </c>
      <c r="AI97" s="48">
        <f>IFERROR(__xludf.DUMMYFUNCTION("""COMPUTED_VALUE"""),79.0)</f>
        <v>79</v>
      </c>
      <c r="AJ97" s="48">
        <f>IFERROR(__xludf.DUMMYFUNCTION("""COMPUTED_VALUE"""),7752.0)</f>
        <v>7752</v>
      </c>
      <c r="AK97" s="53" t="str">
        <f>IFERROR(__xludf.DUMMYFUNCTION("""COMPUTED_VALUE"""),"Attended")</f>
        <v>Attended</v>
      </c>
      <c r="AL97" s="53">
        <f>IFERROR(__xludf.DUMMYFUNCTION("""COMPUTED_VALUE"""),7752.0)</f>
        <v>7752</v>
      </c>
      <c r="AM97" s="53">
        <f>IFERROR(__xludf.DUMMYFUNCTION("""COMPUTED_VALUE"""),6341.0)</f>
        <v>6341</v>
      </c>
      <c r="AN97" s="53">
        <f>IFERROR(__xludf.DUMMYFUNCTION("""COMPUTED_VALUE"""),6325.0)</f>
        <v>6325</v>
      </c>
      <c r="AO97" s="53">
        <f>IFERROR(__xludf.DUMMYFUNCTION("""COMPUTED_VALUE"""),51.0)</f>
        <v>51</v>
      </c>
      <c r="AP97" s="53">
        <f>IFERROR(__xludf.DUMMYFUNCTION("""COMPUTED_VALUE"""),16.0)</f>
        <v>16</v>
      </c>
      <c r="AQ97" s="53">
        <f>IFERROR(__xludf.DUMMYFUNCTION("""COMPUTED_VALUE"""),151.0)</f>
        <v>151</v>
      </c>
      <c r="AR97" s="53">
        <f>IFERROR(__xludf.DUMMYFUNCTION("""COMPUTED_VALUE"""),1209.0)</f>
        <v>1209</v>
      </c>
      <c r="AS97" s="53">
        <f>IFERROR(__xludf.DUMMYFUNCTION("""COMPUTED_VALUE"""),99.1185370346007)</f>
        <v>99.11853703</v>
      </c>
      <c r="AT97" s="48">
        <f>IFERROR(__xludf.DUMMYFUNCTION("""COMPUTED_VALUE"""),0.6578947368421052)</f>
        <v>0.6578947368</v>
      </c>
      <c r="AU97" s="48">
        <f>IFERROR(__xludf.DUMMYFUNCTION("""COMPUTED_VALUE"""),0.20639834881320948)</f>
        <v>0.2063983488</v>
      </c>
      <c r="AV97" s="48">
        <f>IFERROR(__xludf.DUMMYFUNCTION("""COMPUTED_VALUE"""),1.9478844169246647)</f>
        <v>1.947884417</v>
      </c>
      <c r="AW97" s="48">
        <f>IFERROR(__xludf.DUMMYFUNCTION("""COMPUTED_VALUE"""),15.595975232198143)</f>
        <v>15.59597523</v>
      </c>
      <c r="AX97" s="48">
        <f>IFERROR(__xludf.DUMMYFUNCTION("""COMPUTED_VALUE"""),97.39422084623322)</f>
        <v>97.39422085</v>
      </c>
      <c r="AY97" s="48">
        <f>IFERROR(__xludf.DUMMYFUNCTION("""COMPUTED_VALUE"""),3441.0)</f>
        <v>3441</v>
      </c>
      <c r="AZ97" s="48">
        <f>IFERROR(__xludf.DUMMYFUNCTION("""COMPUTED_VALUE"""),2202.0)</f>
        <v>2202</v>
      </c>
      <c r="BA97" s="48">
        <f>IFERROR(__xludf.DUMMYFUNCTION("""COMPUTED_VALUE"""),1239.0)</f>
        <v>1239</v>
      </c>
      <c r="BB97" s="48">
        <f>IFERROR(__xludf.DUMMYFUNCTION("""COMPUTED_VALUE"""),24.0)</f>
        <v>24</v>
      </c>
      <c r="BC97" s="48">
        <f>IFERROR(__xludf.DUMMYFUNCTION("""COMPUTED_VALUE"""),63.99302528334786)</f>
        <v>63.99302528</v>
      </c>
      <c r="BD97" s="48">
        <f>IFERROR(__xludf.DUMMYFUNCTION("""COMPUTED_VALUE"""),36.00697471665214)</f>
        <v>36.00697472</v>
      </c>
      <c r="BE97" s="48">
        <f>IFERROR(__xludf.DUMMYFUNCTION("""COMPUTED_VALUE"""),0.6926406926406926)</f>
        <v>0.6926406926</v>
      </c>
      <c r="BF97" s="52"/>
      <c r="BG97" s="52"/>
      <c r="BH97" s="52"/>
      <c r="BI97" s="52"/>
      <c r="BJ97" s="52"/>
      <c r="BK97" s="45">
        <v>2.0</v>
      </c>
      <c r="BL97" s="45">
        <v>1.0</v>
      </c>
      <c r="BM97" s="59" t="s">
        <v>96</v>
      </c>
    </row>
    <row r="98">
      <c r="A98" s="42" t="s">
        <v>685</v>
      </c>
      <c r="B98" s="55" t="s">
        <v>686</v>
      </c>
      <c r="C98" s="45" t="s">
        <v>687</v>
      </c>
      <c r="D98" s="45" t="s">
        <v>70</v>
      </c>
      <c r="E98" s="45" t="s">
        <v>71</v>
      </c>
      <c r="F98" s="46">
        <v>42149.0</v>
      </c>
      <c r="G98" s="47">
        <v>43895.0</v>
      </c>
      <c r="H98" s="48">
        <f t="shared" si="1"/>
        <v>57.43421053</v>
      </c>
      <c r="I98" s="49" t="s">
        <v>688</v>
      </c>
      <c r="J98" s="50" t="s">
        <v>689</v>
      </c>
      <c r="K98" s="45" t="s">
        <v>690</v>
      </c>
      <c r="L98" s="45" t="s">
        <v>691</v>
      </c>
      <c r="M98" s="51">
        <v>31906.0</v>
      </c>
      <c r="N98" s="52">
        <f t="shared" si="17"/>
        <v>33</v>
      </c>
      <c r="O98" s="45" t="s">
        <v>76</v>
      </c>
      <c r="P98" s="45" t="s">
        <v>77</v>
      </c>
      <c r="Q98" s="45" t="s">
        <v>77</v>
      </c>
      <c r="R98" s="52"/>
      <c r="S98" s="45" t="s">
        <v>79</v>
      </c>
      <c r="T98" s="45" t="s">
        <v>692</v>
      </c>
      <c r="U98" s="45" t="s">
        <v>81</v>
      </c>
      <c r="V98" s="45" t="s">
        <v>78</v>
      </c>
      <c r="W98" s="45" t="s">
        <v>79</v>
      </c>
      <c r="X98" s="45" t="s">
        <v>82</v>
      </c>
      <c r="Y98" s="45" t="s">
        <v>83</v>
      </c>
      <c r="Z98" s="45" t="s">
        <v>130</v>
      </c>
      <c r="AA98" s="71" t="s">
        <v>693</v>
      </c>
      <c r="AB98" s="45"/>
      <c r="AC98" s="53">
        <f t="shared" si="5"/>
        <v>4783</v>
      </c>
      <c r="AD98" s="45">
        <v>1042.0</v>
      </c>
      <c r="AE98" s="53">
        <f t="shared" si="11"/>
        <v>385</v>
      </c>
      <c r="AF98" s="53">
        <f t="shared" si="3"/>
        <v>3356</v>
      </c>
      <c r="AG98" s="52">
        <f t="shared" si="21"/>
        <v>33560</v>
      </c>
      <c r="AH98" s="48">
        <f>IFERROR(__xludf.DUMMYFUNCTION("importrange(C98,""Sheet2!a4:x4"")"),26.4638130104196)</f>
        <v>26.46381301</v>
      </c>
      <c r="AI98" s="48">
        <f>IFERROR(__xludf.DUMMYFUNCTION("""COMPUTED_VALUE"""),103.0)</f>
        <v>103</v>
      </c>
      <c r="AJ98" s="48">
        <f>IFERROR(__xludf.DUMMYFUNCTION("""COMPUTED_VALUE"""),5493.0)</f>
        <v>5493</v>
      </c>
      <c r="AK98" s="53" t="str">
        <f>IFERROR(__xludf.DUMMYFUNCTION("""COMPUTED_VALUE"""),"Attended No Show")</f>
        <v>Attended No Show</v>
      </c>
      <c r="AL98" s="53">
        <f>IFERROR(__xludf.DUMMYFUNCTION("""COMPUTED_VALUE"""),5493.0)</f>
        <v>5493</v>
      </c>
      <c r="AM98" s="53">
        <f>IFERROR(__xludf.DUMMYFUNCTION("""COMPUTED_VALUE"""),3624.0)</f>
        <v>3624</v>
      </c>
      <c r="AN98" s="53">
        <f>IFERROR(__xludf.DUMMYFUNCTION("""COMPUTED_VALUE"""),3412.0)</f>
        <v>3412</v>
      </c>
      <c r="AO98" s="53">
        <f>IFERROR(__xludf.DUMMYFUNCTION("""COMPUTED_VALUE"""),279.0)</f>
        <v>279</v>
      </c>
      <c r="AP98" s="53">
        <f>IFERROR(__xludf.DUMMYFUNCTION("""COMPUTED_VALUE"""),212.0)</f>
        <v>212</v>
      </c>
      <c r="AQ98" s="53">
        <f>IFERROR(__xludf.DUMMYFUNCTION("""COMPUTED_VALUE"""),431.0)</f>
        <v>431</v>
      </c>
      <c r="AR98" s="53">
        <f>IFERROR(__xludf.DUMMYFUNCTION("""COMPUTED_VALUE"""),1159.0)</f>
        <v>1159</v>
      </c>
      <c r="AS98" s="53">
        <f>IFERROR(__xludf.DUMMYFUNCTION("""COMPUTED_VALUE"""),90.30027657052548)</f>
        <v>90.30027657</v>
      </c>
      <c r="AT98" s="48">
        <f>IFERROR(__xludf.DUMMYFUNCTION("""COMPUTED_VALUE"""),5.079191698525396)</f>
        <v>5.079191699</v>
      </c>
      <c r="AU98" s="48">
        <f>IFERROR(__xludf.DUMMYFUNCTION("""COMPUTED_VALUE"""),3.8594574913526305)</f>
        <v>3.859457491</v>
      </c>
      <c r="AV98" s="48">
        <f>IFERROR(__xludf.DUMMYFUNCTION("""COMPUTED_VALUE"""),7.846349899872565)</f>
        <v>7.8463499</v>
      </c>
      <c r="AW98" s="48">
        <f>IFERROR(__xludf.DUMMYFUNCTION("""COMPUTED_VALUE"""),21.099581285272166)</f>
        <v>21.09958129</v>
      </c>
      <c r="AX98" s="48">
        <f>IFERROR(__xludf.DUMMYFUNCTION("""COMPUTED_VALUE"""),87.07445840160204)</f>
        <v>87.0744584</v>
      </c>
      <c r="AY98" s="48">
        <f>IFERROR(__xludf.DUMMYFUNCTION("""COMPUTED_VALUE"""),656.0)</f>
        <v>656</v>
      </c>
      <c r="AZ98" s="48">
        <f>IFERROR(__xludf.DUMMYFUNCTION("""COMPUTED_VALUE"""),509.0)</f>
        <v>509</v>
      </c>
      <c r="BA98" s="48">
        <f>IFERROR(__xludf.DUMMYFUNCTION("""COMPUTED_VALUE"""),147.0)</f>
        <v>147</v>
      </c>
      <c r="BB98" s="48">
        <f>IFERROR(__xludf.DUMMYFUNCTION("""COMPUTED_VALUE"""),0.0)</f>
        <v>0</v>
      </c>
      <c r="BC98" s="48">
        <f>IFERROR(__xludf.DUMMYFUNCTION("""COMPUTED_VALUE"""),77.59146341463415)</f>
        <v>77.59146341</v>
      </c>
      <c r="BD98" s="48">
        <f>IFERROR(__xludf.DUMMYFUNCTION("""COMPUTED_VALUE"""),22.408536585365855)</f>
        <v>22.40853659</v>
      </c>
      <c r="BE98" s="48">
        <f>IFERROR(__xludf.DUMMYFUNCTION("""COMPUTED_VALUE"""),0.0)</f>
        <v>0</v>
      </c>
      <c r="BF98" s="52"/>
      <c r="BG98" s="52"/>
      <c r="BH98" s="52"/>
      <c r="BI98" s="52"/>
      <c r="BJ98" s="52"/>
      <c r="BK98" s="45">
        <v>3.0</v>
      </c>
      <c r="BL98" s="45">
        <v>1.0</v>
      </c>
      <c r="BM98" s="59" t="s">
        <v>694</v>
      </c>
    </row>
    <row r="99">
      <c r="A99" s="42" t="s">
        <v>695</v>
      </c>
      <c r="B99" s="55" t="s">
        <v>696</v>
      </c>
      <c r="C99" s="45" t="s">
        <v>697</v>
      </c>
      <c r="D99" s="45" t="s">
        <v>70</v>
      </c>
      <c r="E99" s="45" t="s">
        <v>192</v>
      </c>
      <c r="F99" s="46">
        <v>42168.0</v>
      </c>
      <c r="G99" s="47">
        <v>42210.0</v>
      </c>
      <c r="H99" s="48">
        <f t="shared" si="1"/>
        <v>1.381578947</v>
      </c>
      <c r="I99" s="49" t="s">
        <v>698</v>
      </c>
      <c r="J99" s="50" t="s">
        <v>699</v>
      </c>
      <c r="K99" s="45" t="s">
        <v>700</v>
      </c>
      <c r="L99" s="45" t="s">
        <v>701</v>
      </c>
      <c r="M99" s="51">
        <v>31241.0</v>
      </c>
      <c r="N99" s="52">
        <f t="shared" si="17"/>
        <v>35</v>
      </c>
      <c r="O99" s="45" t="s">
        <v>104</v>
      </c>
      <c r="P99" s="45" t="s">
        <v>77</v>
      </c>
      <c r="Q99" s="45" t="s">
        <v>77</v>
      </c>
      <c r="R99" s="52"/>
      <c r="S99" s="45" t="s">
        <v>79</v>
      </c>
      <c r="T99" s="45" t="s">
        <v>94</v>
      </c>
      <c r="U99" s="45" t="s">
        <v>81</v>
      </c>
      <c r="V99" s="45" t="s">
        <v>78</v>
      </c>
      <c r="W99" s="45" t="s">
        <v>79</v>
      </c>
      <c r="X99" s="45" t="s">
        <v>82</v>
      </c>
      <c r="Y99" s="45" t="s">
        <v>83</v>
      </c>
      <c r="Z99" s="45" t="s">
        <v>367</v>
      </c>
      <c r="AA99" s="58" t="s">
        <v>699</v>
      </c>
      <c r="AB99" s="52"/>
      <c r="AC99" s="53">
        <f t="shared" si="5"/>
        <v>42</v>
      </c>
      <c r="AD99" s="52"/>
      <c r="AE99" s="53">
        <f t="shared" si="11"/>
        <v>10.5</v>
      </c>
      <c r="AF99" s="53">
        <f t="shared" si="3"/>
        <v>31.5</v>
      </c>
      <c r="AG99" s="52">
        <f>((AF99*9))</f>
        <v>283.5</v>
      </c>
      <c r="AH99" s="48">
        <f>IFERROR(__xludf.DUMMYFUNCTION("importrange(C99,""Sheet2!a4:x4"")"),26.625)</f>
        <v>26.625</v>
      </c>
      <c r="AI99" s="48">
        <f>IFERROR(__xludf.DUMMYFUNCTION("""COMPUTED_VALUE"""),7.0)</f>
        <v>7</v>
      </c>
      <c r="AJ99" s="48">
        <f>IFERROR(__xludf.DUMMYFUNCTION("""COMPUTED_VALUE"""),56.0)</f>
        <v>56</v>
      </c>
      <c r="AK99" s="53" t="str">
        <f>IFERROR(__xludf.DUMMYFUNCTION("""COMPUTED_VALUE"""),"Reschedule")</f>
        <v>Reschedule</v>
      </c>
      <c r="AL99" s="53">
        <f>IFERROR(__xludf.DUMMYFUNCTION("""COMPUTED_VALUE"""),56.0)</f>
        <v>56</v>
      </c>
      <c r="AM99" s="53">
        <f>IFERROR(__xludf.DUMMYFUNCTION("""COMPUTED_VALUE"""),33.0)</f>
        <v>33</v>
      </c>
      <c r="AN99" s="53">
        <f>IFERROR(__xludf.DUMMYFUNCTION("""COMPUTED_VALUE"""),24.0)</f>
        <v>24</v>
      </c>
      <c r="AO99" s="53">
        <f>IFERROR(__xludf.DUMMYFUNCTION("""COMPUTED_VALUE"""),6.0)</f>
        <v>6</v>
      </c>
      <c r="AP99" s="53">
        <f>IFERROR(__xludf.DUMMYFUNCTION("""COMPUTED_VALUE"""),9.0)</f>
        <v>9</v>
      </c>
      <c r="AQ99" s="53">
        <f>IFERROR(__xludf.DUMMYFUNCTION("""COMPUTED_VALUE"""),8.0)</f>
        <v>8</v>
      </c>
      <c r="AR99" s="53">
        <f>IFERROR(__xludf.DUMMYFUNCTION("""COMPUTED_VALUE"""),9.0)</f>
        <v>9</v>
      </c>
      <c r="AS99" s="53">
        <f>IFERROR(__xludf.DUMMYFUNCTION("""COMPUTED_VALUE"""),68.75)</f>
        <v>68.75</v>
      </c>
      <c r="AT99" s="48">
        <f>IFERROR(__xludf.DUMMYFUNCTION("""COMPUTED_VALUE"""),10.714285714285714)</f>
        <v>10.71428571</v>
      </c>
      <c r="AU99" s="48">
        <f>IFERROR(__xludf.DUMMYFUNCTION("""COMPUTED_VALUE"""),16.071428571428573)</f>
        <v>16.07142857</v>
      </c>
      <c r="AV99" s="48">
        <f>IFERROR(__xludf.DUMMYFUNCTION("""COMPUTED_VALUE"""),14.285714285714285)</f>
        <v>14.28571429</v>
      </c>
      <c r="AW99" s="48">
        <f>IFERROR(__xludf.DUMMYFUNCTION("""COMPUTED_VALUE"""),16.071428571428573)</f>
        <v>16.07142857</v>
      </c>
      <c r="AX99" s="48">
        <f>IFERROR(__xludf.DUMMYFUNCTION("""COMPUTED_VALUE"""),75.0)</f>
        <v>75</v>
      </c>
      <c r="AY99" s="48">
        <f>IFERROR(__xludf.DUMMYFUNCTION("""COMPUTED_VALUE"""),22.0)</f>
        <v>22</v>
      </c>
      <c r="AZ99" s="48">
        <f>IFERROR(__xludf.DUMMYFUNCTION("""COMPUTED_VALUE"""),14.0)</f>
        <v>14</v>
      </c>
      <c r="BA99" s="48">
        <f>IFERROR(__xludf.DUMMYFUNCTION("""COMPUTED_VALUE"""),8.0)</f>
        <v>8</v>
      </c>
      <c r="BB99" s="48">
        <f>IFERROR(__xludf.DUMMYFUNCTION("""COMPUTED_VALUE"""),0.0)</f>
        <v>0</v>
      </c>
      <c r="BC99" s="48">
        <f>IFERROR(__xludf.DUMMYFUNCTION("""COMPUTED_VALUE"""),63.63636363636363)</f>
        <v>63.63636364</v>
      </c>
      <c r="BD99" s="48">
        <f>IFERROR(__xludf.DUMMYFUNCTION("""COMPUTED_VALUE"""),36.36363636363637)</f>
        <v>36.36363636</v>
      </c>
      <c r="BE99" s="48">
        <f>IFERROR(__xludf.DUMMYFUNCTION("""COMPUTED_VALUE"""),0.0)</f>
        <v>0</v>
      </c>
      <c r="BF99" s="52"/>
      <c r="BG99" s="52"/>
      <c r="BH99" s="52"/>
      <c r="BI99" s="52"/>
      <c r="BJ99" s="52"/>
      <c r="BK99" s="52"/>
      <c r="BL99" s="52"/>
      <c r="BM99" s="54" t="s">
        <v>96</v>
      </c>
    </row>
    <row r="100">
      <c r="A100" s="42" t="s">
        <v>702</v>
      </c>
      <c r="B100" s="55" t="s">
        <v>703</v>
      </c>
      <c r="C100" s="45" t="s">
        <v>704</v>
      </c>
      <c r="D100" s="45" t="s">
        <v>70</v>
      </c>
      <c r="E100" s="45" t="s">
        <v>71</v>
      </c>
      <c r="F100" s="46">
        <v>42186.0</v>
      </c>
      <c r="G100" s="47">
        <v>43425.0</v>
      </c>
      <c r="H100" s="48">
        <f t="shared" si="1"/>
        <v>40.75657895</v>
      </c>
      <c r="I100" s="49" t="s">
        <v>705</v>
      </c>
      <c r="J100" s="50" t="s">
        <v>706</v>
      </c>
      <c r="K100" s="45" t="s">
        <v>707</v>
      </c>
      <c r="L100" s="45" t="s">
        <v>708</v>
      </c>
      <c r="M100" s="51">
        <v>30535.0</v>
      </c>
      <c r="N100" s="52">
        <f t="shared" si="17"/>
        <v>37</v>
      </c>
      <c r="O100" s="45" t="s">
        <v>76</v>
      </c>
      <c r="P100" s="45" t="s">
        <v>77</v>
      </c>
      <c r="Q100" s="45" t="s">
        <v>77</v>
      </c>
      <c r="R100" s="52"/>
      <c r="S100" s="45" t="s">
        <v>79</v>
      </c>
      <c r="T100" s="45" t="s">
        <v>80</v>
      </c>
      <c r="U100" s="45" t="s">
        <v>81</v>
      </c>
      <c r="V100" s="45" t="s">
        <v>78</v>
      </c>
      <c r="W100" s="45" t="s">
        <v>79</v>
      </c>
      <c r="X100" s="45" t="s">
        <v>82</v>
      </c>
      <c r="Y100" s="45" t="s">
        <v>83</v>
      </c>
      <c r="Z100" s="45" t="s">
        <v>130</v>
      </c>
      <c r="AA100" s="72" t="s">
        <v>706</v>
      </c>
      <c r="AB100" s="52"/>
      <c r="AC100" s="53">
        <f t="shared" si="5"/>
        <v>2149</v>
      </c>
      <c r="AD100" s="45">
        <v>591.5</v>
      </c>
      <c r="AE100" s="53">
        <f t="shared" si="11"/>
        <v>82.5</v>
      </c>
      <c r="AF100" s="53">
        <f t="shared" si="3"/>
        <v>1475</v>
      </c>
      <c r="AG100" s="52">
        <f>(AF100*10)</f>
        <v>14750</v>
      </c>
      <c r="AH100" s="48">
        <f>IFERROR(__xludf.DUMMYFUNCTION("importrange(C100,""Sheet2!a4:x4"")"),29.393485342019545)</f>
        <v>29.39348534</v>
      </c>
      <c r="AI100" s="48">
        <f>IFERROR(__xludf.DUMMYFUNCTION("""COMPUTED_VALUE"""),36.0)</f>
        <v>36</v>
      </c>
      <c r="AJ100" s="48">
        <f>IFERROR(__xludf.DUMMYFUNCTION("""COMPUTED_VALUE"""),2352.0)</f>
        <v>2352</v>
      </c>
      <c r="AK100" s="53" t="str">
        <f>IFERROR(__xludf.DUMMYFUNCTION("""COMPUTED_VALUE"""),"Attended No Show")</f>
        <v>Attended No Show</v>
      </c>
      <c r="AL100" s="53">
        <f>IFERROR(__xludf.DUMMYFUNCTION("""COMPUTED_VALUE"""),2352.0)</f>
        <v>2352</v>
      </c>
      <c r="AM100" s="53">
        <f>IFERROR(__xludf.DUMMYFUNCTION("""COMPUTED_VALUE"""),1553.0)</f>
        <v>1553</v>
      </c>
      <c r="AN100" s="53">
        <f>IFERROR(__xludf.DUMMYFUNCTION("""COMPUTED_VALUE"""),1538.0)</f>
        <v>1538</v>
      </c>
      <c r="AO100" s="53">
        <f>IFERROR(__xludf.DUMMYFUNCTION("""COMPUTED_VALUE"""),75.0)</f>
        <v>75</v>
      </c>
      <c r="AP100" s="53">
        <f>IFERROR(__xludf.DUMMYFUNCTION("""COMPUTED_VALUE"""),15.0)</f>
        <v>15</v>
      </c>
      <c r="AQ100" s="53">
        <f>IFERROR(__xludf.DUMMYFUNCTION("""COMPUTED_VALUE"""),128.0)</f>
        <v>128</v>
      </c>
      <c r="AR100" s="53">
        <f>IFERROR(__xludf.DUMMYFUNCTION("""COMPUTED_VALUE"""),596.0)</f>
        <v>596</v>
      </c>
      <c r="AS100" s="53">
        <f>IFERROR(__xludf.DUMMYFUNCTION("""COMPUTED_VALUE"""),95.95323741007195)</f>
        <v>95.95323741</v>
      </c>
      <c r="AT100" s="48">
        <f>IFERROR(__xludf.DUMMYFUNCTION("""COMPUTED_VALUE"""),3.188775510204082)</f>
        <v>3.18877551</v>
      </c>
      <c r="AU100" s="48">
        <f>IFERROR(__xludf.DUMMYFUNCTION("""COMPUTED_VALUE"""),0.6377551020408163)</f>
        <v>0.637755102</v>
      </c>
      <c r="AV100" s="48">
        <f>IFERROR(__xludf.DUMMYFUNCTION("""COMPUTED_VALUE"""),5.442176870748299)</f>
        <v>5.442176871</v>
      </c>
      <c r="AW100" s="48">
        <f>IFERROR(__xludf.DUMMYFUNCTION("""COMPUTED_VALUE"""),25.34013605442177)</f>
        <v>25.34013605</v>
      </c>
      <c r="AX100" s="48">
        <f>IFERROR(__xludf.DUMMYFUNCTION("""COMPUTED_VALUE"""),91.36904761904762)</f>
        <v>91.36904762</v>
      </c>
      <c r="AY100" s="48">
        <f>IFERROR(__xludf.DUMMYFUNCTION("""COMPUTED_VALUE"""),559.0)</f>
        <v>559</v>
      </c>
      <c r="AZ100" s="48">
        <f>IFERROR(__xludf.DUMMYFUNCTION("""COMPUTED_VALUE"""),500.0)</f>
        <v>500</v>
      </c>
      <c r="BA100" s="48">
        <f>IFERROR(__xludf.DUMMYFUNCTION("""COMPUTED_VALUE"""),59.0)</f>
        <v>59</v>
      </c>
      <c r="BB100" s="48">
        <f>IFERROR(__xludf.DUMMYFUNCTION("""COMPUTED_VALUE"""),24.0)</f>
        <v>24</v>
      </c>
      <c r="BC100" s="48">
        <f>IFERROR(__xludf.DUMMYFUNCTION("""COMPUTED_VALUE"""),89.44543828264759)</f>
        <v>89.44543828</v>
      </c>
      <c r="BD100" s="48">
        <f>IFERROR(__xludf.DUMMYFUNCTION("""COMPUTED_VALUE"""),10.554561717352415)</f>
        <v>10.55456172</v>
      </c>
      <c r="BE100" s="48">
        <f>IFERROR(__xludf.DUMMYFUNCTION("""COMPUTED_VALUE"""),4.1166380789022305)</f>
        <v>4.116638079</v>
      </c>
      <c r="BF100" s="52"/>
      <c r="BG100" s="52"/>
      <c r="BH100" s="52"/>
      <c r="BI100" s="52"/>
      <c r="BJ100" s="52"/>
      <c r="BK100" s="52"/>
      <c r="BL100" s="52"/>
      <c r="BM100" s="54" t="s">
        <v>85</v>
      </c>
    </row>
    <row r="101">
      <c r="A101" s="42" t="s">
        <v>709</v>
      </c>
      <c r="B101" s="55" t="s">
        <v>710</v>
      </c>
      <c r="C101" s="45" t="s">
        <v>711</v>
      </c>
      <c r="D101" s="45" t="s">
        <v>70</v>
      </c>
      <c r="E101" s="45" t="s">
        <v>192</v>
      </c>
      <c r="F101" s="46">
        <v>42205.0</v>
      </c>
      <c r="G101" s="47">
        <v>42664.0</v>
      </c>
      <c r="H101" s="48">
        <f t="shared" si="1"/>
        <v>15.09868421</v>
      </c>
      <c r="I101" s="49" t="s">
        <v>712</v>
      </c>
      <c r="J101" s="50" t="s">
        <v>713</v>
      </c>
      <c r="K101" s="45" t="s">
        <v>714</v>
      </c>
      <c r="L101" s="45" t="s">
        <v>715</v>
      </c>
      <c r="M101" s="51">
        <v>33150.0</v>
      </c>
      <c r="N101" s="52">
        <f t="shared" si="17"/>
        <v>30</v>
      </c>
      <c r="O101" s="45" t="s">
        <v>104</v>
      </c>
      <c r="P101" s="45" t="s">
        <v>77</v>
      </c>
      <c r="Q101" s="45" t="s">
        <v>77</v>
      </c>
      <c r="R101" s="52"/>
      <c r="S101" s="45" t="s">
        <v>79</v>
      </c>
      <c r="T101" s="45" t="s">
        <v>716</v>
      </c>
      <c r="U101" s="45" t="s">
        <v>81</v>
      </c>
      <c r="V101" s="45" t="s">
        <v>78</v>
      </c>
      <c r="W101" s="45" t="s">
        <v>79</v>
      </c>
      <c r="X101" s="45" t="s">
        <v>82</v>
      </c>
      <c r="Y101" s="45" t="s">
        <v>83</v>
      </c>
      <c r="Z101" s="45" t="s">
        <v>130</v>
      </c>
      <c r="AA101" s="58" t="s">
        <v>717</v>
      </c>
      <c r="AB101" s="52"/>
      <c r="AC101" s="53">
        <f t="shared" si="5"/>
        <v>1003</v>
      </c>
      <c r="AD101" s="45">
        <v>634.0</v>
      </c>
      <c r="AE101" s="53">
        <f t="shared" si="11"/>
        <v>22</v>
      </c>
      <c r="AF101" s="53">
        <f t="shared" si="3"/>
        <v>347</v>
      </c>
      <c r="AG101" s="52">
        <f>((AF101*7.5))</f>
        <v>2602.5</v>
      </c>
      <c r="AH101" s="48">
        <f>IFERROR(__xludf.DUMMYFUNCTION("importrange(C101,""Sheet2!a4:x4"")"),23.59747409326425)</f>
        <v>23.59747409</v>
      </c>
      <c r="AI101" s="48">
        <f>IFERROR(__xludf.DUMMYFUNCTION("""COMPUTED_VALUE"""),27.0)</f>
        <v>27</v>
      </c>
      <c r="AJ101" s="48">
        <f>IFERROR(__xludf.DUMMYFUNCTION("""COMPUTED_VALUE"""),1057.0)</f>
        <v>1057</v>
      </c>
      <c r="AK101" s="53" t="str">
        <f>IFERROR(__xludf.DUMMYFUNCTION("""COMPUTED_VALUE"""),"Attended")</f>
        <v>Attended</v>
      </c>
      <c r="AL101" s="53">
        <f>IFERROR(__xludf.DUMMYFUNCTION("""COMPUTED_VALUE"""),1057.0)</f>
        <v>1057</v>
      </c>
      <c r="AM101" s="53">
        <f>IFERROR(__xludf.DUMMYFUNCTION("""COMPUTED_VALUE"""),791.0)</f>
        <v>791</v>
      </c>
      <c r="AN101" s="53">
        <f>IFERROR(__xludf.DUMMYFUNCTION("""COMPUTED_VALUE"""),781.0)</f>
        <v>781</v>
      </c>
      <c r="AO101" s="53">
        <f>IFERROR(__xludf.DUMMYFUNCTION("""COMPUTED_VALUE"""),17.0)</f>
        <v>17</v>
      </c>
      <c r="AP101" s="53">
        <f>IFERROR(__xludf.DUMMYFUNCTION("""COMPUTED_VALUE"""),10.0)</f>
        <v>10</v>
      </c>
      <c r="AQ101" s="53">
        <f>IFERROR(__xludf.DUMMYFUNCTION("""COMPUTED_VALUE"""),37.0)</f>
        <v>37</v>
      </c>
      <c r="AR101" s="53">
        <f>IFERROR(__xludf.DUMMYFUNCTION("""COMPUTED_VALUE"""),212.0)</f>
        <v>212</v>
      </c>
      <c r="AS101" s="53">
        <f>IFERROR(__xludf.DUMMYFUNCTION("""COMPUTED_VALUE"""),97.35294117647058)</f>
        <v>97.35294118</v>
      </c>
      <c r="AT101" s="48">
        <f>IFERROR(__xludf.DUMMYFUNCTION("""COMPUTED_VALUE"""),1.608325449385052)</f>
        <v>1.608325449</v>
      </c>
      <c r="AU101" s="48">
        <f>IFERROR(__xludf.DUMMYFUNCTION("""COMPUTED_VALUE"""),0.9460737937559129)</f>
        <v>0.9460737938</v>
      </c>
      <c r="AV101" s="48">
        <f>IFERROR(__xludf.DUMMYFUNCTION("""COMPUTED_VALUE"""),3.5004730368968775)</f>
        <v>3.500473037</v>
      </c>
      <c r="AW101" s="48">
        <f>IFERROR(__xludf.DUMMYFUNCTION("""COMPUTED_VALUE"""),20.056764427625353)</f>
        <v>20.05676443</v>
      </c>
      <c r="AX101" s="48">
        <f>IFERROR(__xludf.DUMMYFUNCTION("""COMPUTED_VALUE"""),94.89120151371807)</f>
        <v>94.89120151</v>
      </c>
      <c r="AY101" s="48">
        <f>IFERROR(__xludf.DUMMYFUNCTION("""COMPUTED_VALUE"""),748.0)</f>
        <v>748</v>
      </c>
      <c r="AZ101" s="48">
        <f>IFERROR(__xludf.DUMMYFUNCTION("""COMPUTED_VALUE"""),728.0)</f>
        <v>728</v>
      </c>
      <c r="BA101" s="48">
        <f>IFERROR(__xludf.DUMMYFUNCTION("""COMPUTED_VALUE"""),20.0)</f>
        <v>20</v>
      </c>
      <c r="BB101" s="48">
        <f>IFERROR(__xludf.DUMMYFUNCTION("""COMPUTED_VALUE"""),4.0)</f>
        <v>4</v>
      </c>
      <c r="BC101" s="48">
        <f>IFERROR(__xludf.DUMMYFUNCTION("""COMPUTED_VALUE"""),97.32620320855615)</f>
        <v>97.32620321</v>
      </c>
      <c r="BD101" s="48">
        <f>IFERROR(__xludf.DUMMYFUNCTION("""COMPUTED_VALUE"""),2.6737967914438503)</f>
        <v>2.673796791</v>
      </c>
      <c r="BE101" s="48">
        <f>IFERROR(__xludf.DUMMYFUNCTION("""COMPUTED_VALUE"""),0.5319148936170213)</f>
        <v>0.5319148936</v>
      </c>
      <c r="BF101" s="52"/>
      <c r="BG101" s="52"/>
      <c r="BH101" s="52"/>
      <c r="BI101" s="52"/>
      <c r="BJ101" s="52"/>
      <c r="BK101" s="52"/>
      <c r="BL101" s="52"/>
      <c r="BM101" s="54" t="s">
        <v>718</v>
      </c>
    </row>
    <row r="102">
      <c r="A102" s="42" t="s">
        <v>719</v>
      </c>
      <c r="B102" s="55" t="s">
        <v>720</v>
      </c>
      <c r="C102" s="45" t="s">
        <v>721</v>
      </c>
      <c r="D102" s="45" t="s">
        <v>125</v>
      </c>
      <c r="E102" s="45" t="s">
        <v>192</v>
      </c>
      <c r="F102" s="46">
        <v>42218.0</v>
      </c>
      <c r="G102" s="57"/>
      <c r="H102" s="48">
        <f t="shared" si="1"/>
        <v>66.875</v>
      </c>
      <c r="I102" s="49" t="s">
        <v>722</v>
      </c>
      <c r="J102" s="50" t="s">
        <v>723</v>
      </c>
      <c r="K102" s="45" t="s">
        <v>724</v>
      </c>
      <c r="L102" s="45" t="s">
        <v>725</v>
      </c>
      <c r="M102" s="51">
        <v>29622.0</v>
      </c>
      <c r="N102" s="52">
        <f t="shared" si="17"/>
        <v>40</v>
      </c>
      <c r="O102" s="45" t="s">
        <v>76</v>
      </c>
      <c r="P102" s="45" t="s">
        <v>77</v>
      </c>
      <c r="Q102" s="45" t="s">
        <v>77</v>
      </c>
      <c r="R102" s="52"/>
      <c r="S102" s="45" t="s">
        <v>79</v>
      </c>
      <c r="T102" s="45" t="s">
        <v>94</v>
      </c>
      <c r="U102" s="45" t="s">
        <v>81</v>
      </c>
      <c r="V102" s="45" t="s">
        <v>78</v>
      </c>
      <c r="W102" s="45" t="s">
        <v>79</v>
      </c>
      <c r="X102" s="45" t="s">
        <v>82</v>
      </c>
      <c r="Y102" s="45" t="s">
        <v>83</v>
      </c>
      <c r="Z102" s="45" t="s">
        <v>130</v>
      </c>
      <c r="AA102" s="58" t="s">
        <v>726</v>
      </c>
      <c r="AB102" s="52"/>
      <c r="AC102" s="53">
        <f t="shared" si="5"/>
        <v>6888</v>
      </c>
      <c r="AD102" s="45">
        <v>6690.5</v>
      </c>
      <c r="AE102" s="53">
        <f t="shared" si="11"/>
        <v>86.5</v>
      </c>
      <c r="AF102" s="53">
        <f t="shared" si="3"/>
        <v>111</v>
      </c>
      <c r="AG102" s="52">
        <f>(AF102*27.5)</f>
        <v>3052.5</v>
      </c>
      <c r="AH102" s="48">
        <f>IFERROR(__xludf.DUMMYFUNCTION("importrange(C102,""Sheet2!a4:x4"")"),26.849624060150376)</f>
        <v>26.84962406</v>
      </c>
      <c r="AI102" s="48">
        <f>IFERROR(__xludf.DUMMYFUNCTION("""COMPUTED_VALUE"""),53.0)</f>
        <v>53</v>
      </c>
      <c r="AJ102" s="48">
        <f>IFERROR(__xludf.DUMMYFUNCTION("""COMPUTED_VALUE"""),7135.0)</f>
        <v>7135</v>
      </c>
      <c r="AK102" s="53" t="str">
        <f>IFERROR(__xludf.DUMMYFUNCTION("""COMPUTED_VALUE"""),"Attended")</f>
        <v>Attended</v>
      </c>
      <c r="AL102" s="53">
        <f>IFERROR(__xludf.DUMMYFUNCTION("""COMPUTED_VALUE"""),7135.0)</f>
        <v>7135</v>
      </c>
      <c r="AM102" s="53">
        <f>IFERROR(__xludf.DUMMYFUNCTION("""COMPUTED_VALUE"""),5752.0)</f>
        <v>5752</v>
      </c>
      <c r="AN102" s="53">
        <f>IFERROR(__xludf.DUMMYFUNCTION("""COMPUTED_VALUE"""),5729.0)</f>
        <v>5729</v>
      </c>
      <c r="AO102" s="53">
        <f>IFERROR(__xludf.DUMMYFUNCTION("""COMPUTED_VALUE"""),75.0)</f>
        <v>75</v>
      </c>
      <c r="AP102" s="53">
        <f>IFERROR(__xludf.DUMMYFUNCTION("""COMPUTED_VALUE"""),23.0)</f>
        <v>23</v>
      </c>
      <c r="AQ102" s="53">
        <f>IFERROR(__xludf.DUMMYFUNCTION("""COMPUTED_VALUE"""),172.0)</f>
        <v>172</v>
      </c>
      <c r="AR102" s="53">
        <f>IFERROR(__xludf.DUMMYFUNCTION("""COMPUTED_VALUE"""),1136.0)</f>
        <v>1136</v>
      </c>
      <c r="AS102" s="53">
        <f>IFERROR(__xludf.DUMMYFUNCTION("""COMPUTED_VALUE"""),98.59256067786873)</f>
        <v>98.59256068</v>
      </c>
      <c r="AT102" s="48">
        <f>IFERROR(__xludf.DUMMYFUNCTION("""COMPUTED_VALUE"""),1.051156271899089)</f>
        <v>1.051156272</v>
      </c>
      <c r="AU102" s="48">
        <f>IFERROR(__xludf.DUMMYFUNCTION("""COMPUTED_VALUE"""),0.322354590049054)</f>
        <v>0.32235459</v>
      </c>
      <c r="AV102" s="48">
        <f>IFERROR(__xludf.DUMMYFUNCTION("""COMPUTED_VALUE"""),2.4106517168885775)</f>
        <v>2.410651717</v>
      </c>
      <c r="AW102" s="48">
        <f>IFERROR(__xludf.DUMMYFUNCTION("""COMPUTED_VALUE"""),15.921513665031533)</f>
        <v>15.92151367</v>
      </c>
      <c r="AX102" s="48">
        <f>IFERROR(__xludf.DUMMYFUNCTION("""COMPUTED_VALUE"""),96.53819201121233)</f>
        <v>96.53819201</v>
      </c>
      <c r="AY102" s="48">
        <f>IFERROR(__xludf.DUMMYFUNCTION("""COMPUTED_VALUE"""),4886.0)</f>
        <v>4886</v>
      </c>
      <c r="AZ102" s="48">
        <f>IFERROR(__xludf.DUMMYFUNCTION("""COMPUTED_VALUE"""),4697.0)</f>
        <v>4697</v>
      </c>
      <c r="BA102" s="48">
        <f>IFERROR(__xludf.DUMMYFUNCTION("""COMPUTED_VALUE"""),189.0)</f>
        <v>189</v>
      </c>
      <c r="BB102" s="48">
        <f>IFERROR(__xludf.DUMMYFUNCTION("""COMPUTED_VALUE"""),0.0)</f>
        <v>0</v>
      </c>
      <c r="BC102" s="48">
        <f>IFERROR(__xludf.DUMMYFUNCTION("""COMPUTED_VALUE"""),96.13180515759312)</f>
        <v>96.13180516</v>
      </c>
      <c r="BD102" s="48">
        <f>IFERROR(__xludf.DUMMYFUNCTION("""COMPUTED_VALUE"""),3.8681948424068766)</f>
        <v>3.868194842</v>
      </c>
      <c r="BE102" s="48">
        <f>IFERROR(__xludf.DUMMYFUNCTION("""COMPUTED_VALUE"""),0.0)</f>
        <v>0</v>
      </c>
      <c r="BF102" s="52"/>
      <c r="BG102" s="52"/>
      <c r="BH102" s="52"/>
      <c r="BI102" s="52"/>
      <c r="BJ102" s="52"/>
      <c r="BK102" s="45">
        <v>4.0</v>
      </c>
      <c r="BL102" s="45">
        <v>1.0</v>
      </c>
      <c r="BM102" s="59" t="s">
        <v>96</v>
      </c>
    </row>
    <row r="103">
      <c r="A103" s="42" t="s">
        <v>727</v>
      </c>
      <c r="B103" s="55" t="s">
        <v>728</v>
      </c>
      <c r="C103" s="45" t="s">
        <v>729</v>
      </c>
      <c r="D103" s="45" t="s">
        <v>70</v>
      </c>
      <c r="E103" s="45" t="s">
        <v>71</v>
      </c>
      <c r="F103" s="46">
        <v>42226.0</v>
      </c>
      <c r="G103" s="47">
        <v>43008.0</v>
      </c>
      <c r="H103" s="48">
        <f t="shared" si="1"/>
        <v>25.72368421</v>
      </c>
      <c r="I103" s="49" t="s">
        <v>730</v>
      </c>
      <c r="J103" s="73" t="s">
        <v>731</v>
      </c>
      <c r="K103" s="45" t="s">
        <v>732</v>
      </c>
      <c r="L103" s="45" t="s">
        <v>733</v>
      </c>
      <c r="M103" s="74">
        <v>24662.0</v>
      </c>
      <c r="N103" s="52">
        <f t="shared" si="17"/>
        <v>53</v>
      </c>
      <c r="O103" s="45" t="s">
        <v>76</v>
      </c>
      <c r="P103" s="45" t="s">
        <v>77</v>
      </c>
      <c r="Q103" s="45" t="s">
        <v>77</v>
      </c>
      <c r="R103" s="52"/>
      <c r="S103" s="45" t="s">
        <v>79</v>
      </c>
      <c r="T103" s="45" t="s">
        <v>734</v>
      </c>
      <c r="U103" s="45" t="s">
        <v>81</v>
      </c>
      <c r="V103" s="45" t="s">
        <v>78</v>
      </c>
      <c r="W103" s="45" t="s">
        <v>79</v>
      </c>
      <c r="X103" s="45" t="s">
        <v>82</v>
      </c>
      <c r="Y103" s="45" t="s">
        <v>556</v>
      </c>
      <c r="Z103" s="45" t="s">
        <v>130</v>
      </c>
      <c r="AA103" s="58" t="s">
        <v>735</v>
      </c>
      <c r="AB103" s="52"/>
      <c r="AC103" s="53">
        <f t="shared" si="5"/>
        <v>441</v>
      </c>
      <c r="AD103" s="52"/>
      <c r="AE103" s="53">
        <f t="shared" si="11"/>
        <v>2</v>
      </c>
      <c r="AF103" s="53">
        <f t="shared" si="3"/>
        <v>439</v>
      </c>
      <c r="AG103" s="52">
        <f>((AF103*7.5))</f>
        <v>3292.5</v>
      </c>
      <c r="AH103" s="48">
        <f>IFERROR(__xludf.DUMMYFUNCTION("importrange(C103,""Sheet2!a4:x4"")"),27.022694020356237)</f>
        <v>27.02269402</v>
      </c>
      <c r="AI103" s="48">
        <f>IFERROR(__xludf.DUMMYFUNCTION("""COMPUTED_VALUE"""),14.0)</f>
        <v>14</v>
      </c>
      <c r="AJ103" s="48">
        <f>IFERROR(__xludf.DUMMYFUNCTION("""COMPUTED_VALUE"""),445.0)</f>
        <v>445</v>
      </c>
      <c r="AK103" s="53" t="str">
        <f>IFERROR(__xludf.DUMMYFUNCTION("""COMPUTED_VALUE"""),"Attended")</f>
        <v>Attended</v>
      </c>
      <c r="AL103" s="53">
        <f>IFERROR(__xludf.DUMMYFUNCTION("""COMPUTED_VALUE"""),445.0)</f>
        <v>445</v>
      </c>
      <c r="AM103" s="53">
        <f>IFERROR(__xludf.DUMMYFUNCTION("""COMPUTED_VALUE"""),394.0)</f>
        <v>394</v>
      </c>
      <c r="AN103" s="53">
        <f>IFERROR(__xludf.DUMMYFUNCTION("""COMPUTED_VALUE"""),394.0)</f>
        <v>394</v>
      </c>
      <c r="AO103" s="53">
        <f>IFERROR(__xludf.DUMMYFUNCTION("""COMPUTED_VALUE"""),2.0)</f>
        <v>2</v>
      </c>
      <c r="AP103" s="53">
        <f>IFERROR(__xludf.DUMMYFUNCTION("""COMPUTED_VALUE"""),0.0)</f>
        <v>0</v>
      </c>
      <c r="AQ103" s="53">
        <f>IFERROR(__xludf.DUMMYFUNCTION("""COMPUTED_VALUE"""),2.0)</f>
        <v>2</v>
      </c>
      <c r="AR103" s="53">
        <f>IFERROR(__xludf.DUMMYFUNCTION("""COMPUTED_VALUE"""),47.0)</f>
        <v>47</v>
      </c>
      <c r="AS103" s="53">
        <f>IFERROR(__xludf.DUMMYFUNCTION("""COMPUTED_VALUE"""),99.54853273137697)</f>
        <v>99.54853273</v>
      </c>
      <c r="AT103" s="48">
        <f>IFERROR(__xludf.DUMMYFUNCTION("""COMPUTED_VALUE"""),0.44943820224719105)</f>
        <v>0.4494382022</v>
      </c>
      <c r="AU103" s="48">
        <f>IFERROR(__xludf.DUMMYFUNCTION("""COMPUTED_VALUE"""),0.0)</f>
        <v>0</v>
      </c>
      <c r="AV103" s="48">
        <f>IFERROR(__xludf.DUMMYFUNCTION("""COMPUTED_VALUE"""),0.44943820224719105)</f>
        <v>0.4494382022</v>
      </c>
      <c r="AW103" s="48">
        <f>IFERROR(__xludf.DUMMYFUNCTION("""COMPUTED_VALUE"""),10.561797752808989)</f>
        <v>10.56179775</v>
      </c>
      <c r="AX103" s="48">
        <f>IFERROR(__xludf.DUMMYFUNCTION("""COMPUTED_VALUE"""),99.10112359550561)</f>
        <v>99.1011236</v>
      </c>
      <c r="AY103" s="48">
        <f>IFERROR(__xludf.DUMMYFUNCTION("""COMPUTED_VALUE"""),336.0)</f>
        <v>336</v>
      </c>
      <c r="AZ103" s="48">
        <f>IFERROR(__xludf.DUMMYFUNCTION("""COMPUTED_VALUE"""),317.0)</f>
        <v>317</v>
      </c>
      <c r="BA103" s="48">
        <f>IFERROR(__xludf.DUMMYFUNCTION("""COMPUTED_VALUE"""),19.0)</f>
        <v>19</v>
      </c>
      <c r="BB103" s="48">
        <f>IFERROR(__xludf.DUMMYFUNCTION("""COMPUTED_VALUE"""),5.0)</f>
        <v>5</v>
      </c>
      <c r="BC103" s="48">
        <f>IFERROR(__xludf.DUMMYFUNCTION("""COMPUTED_VALUE"""),94.34523809523809)</f>
        <v>94.3452381</v>
      </c>
      <c r="BD103" s="48">
        <f>IFERROR(__xludf.DUMMYFUNCTION("""COMPUTED_VALUE"""),5.654761904761905)</f>
        <v>5.654761905</v>
      </c>
      <c r="BE103" s="48">
        <f>IFERROR(__xludf.DUMMYFUNCTION("""COMPUTED_VALUE"""),1.466275659824047)</f>
        <v>1.46627566</v>
      </c>
      <c r="BF103" s="52"/>
      <c r="BG103" s="52"/>
      <c r="BH103" s="52"/>
      <c r="BI103" s="52"/>
      <c r="BJ103" s="52"/>
      <c r="BK103" s="52"/>
      <c r="BL103" s="52"/>
      <c r="BM103" s="54" t="s">
        <v>736</v>
      </c>
    </row>
    <row r="104">
      <c r="A104" s="42" t="s">
        <v>737</v>
      </c>
      <c r="B104" s="55" t="s">
        <v>738</v>
      </c>
      <c r="C104" s="45" t="s">
        <v>739</v>
      </c>
      <c r="D104" s="45" t="s">
        <v>70</v>
      </c>
      <c r="E104" s="45" t="s">
        <v>192</v>
      </c>
      <c r="F104" s="46">
        <v>42253.0</v>
      </c>
      <c r="G104" s="47">
        <v>42721.0</v>
      </c>
      <c r="H104" s="48">
        <f t="shared" si="1"/>
        <v>15.39473684</v>
      </c>
      <c r="I104" s="68" t="s">
        <v>740</v>
      </c>
      <c r="J104" s="50" t="s">
        <v>741</v>
      </c>
      <c r="K104" s="45" t="s">
        <v>742</v>
      </c>
      <c r="L104" s="68" t="s">
        <v>743</v>
      </c>
      <c r="M104" s="51">
        <v>29712.0</v>
      </c>
      <c r="N104" s="52">
        <f t="shared" si="17"/>
        <v>39</v>
      </c>
      <c r="O104" s="45" t="s">
        <v>76</v>
      </c>
      <c r="P104" s="45" t="s">
        <v>77</v>
      </c>
      <c r="Q104" s="45" t="s">
        <v>77</v>
      </c>
      <c r="R104" s="52"/>
      <c r="S104" s="45" t="s">
        <v>79</v>
      </c>
      <c r="T104" s="45" t="s">
        <v>94</v>
      </c>
      <c r="U104" s="45" t="s">
        <v>81</v>
      </c>
      <c r="V104" s="45" t="s">
        <v>78</v>
      </c>
      <c r="W104" s="45" t="s">
        <v>79</v>
      </c>
      <c r="X104" s="45" t="s">
        <v>82</v>
      </c>
      <c r="Y104" s="45" t="s">
        <v>83</v>
      </c>
      <c r="Z104" s="45" t="s">
        <v>130</v>
      </c>
      <c r="AA104" s="58" t="s">
        <v>744</v>
      </c>
      <c r="AB104" s="52"/>
      <c r="AC104" s="53">
        <f t="shared" si="5"/>
        <v>586</v>
      </c>
      <c r="AD104" s="45">
        <v>221.5</v>
      </c>
      <c r="AE104" s="53">
        <f t="shared" si="11"/>
        <v>40</v>
      </c>
      <c r="AF104" s="53">
        <f t="shared" si="3"/>
        <v>324.5</v>
      </c>
      <c r="AG104" s="52">
        <f>(AF104*10)</f>
        <v>3245</v>
      </c>
      <c r="AH104" s="48">
        <f>IFERROR(__xludf.DUMMYFUNCTION("importrange(C104,""Sheet2!a4:x4"")"),30.132450331125828)</f>
        <v>30.13245033</v>
      </c>
      <c r="AI104" s="48">
        <f>IFERROR(__xludf.DUMMYFUNCTION("""COMPUTED_VALUE"""),19.0)</f>
        <v>19</v>
      </c>
      <c r="AJ104" s="48">
        <f>IFERROR(__xludf.DUMMYFUNCTION("""COMPUTED_VALUE"""),650.0)</f>
        <v>650</v>
      </c>
      <c r="AK104" s="53" t="str">
        <f>IFERROR(__xludf.DUMMYFUNCTION("""COMPUTED_VALUE"""),"Absent")</f>
        <v>Absent</v>
      </c>
      <c r="AL104" s="53">
        <f>IFERROR(__xludf.DUMMYFUNCTION("""COMPUTED_VALUE"""),650.0)</f>
        <v>650</v>
      </c>
      <c r="AM104" s="53">
        <f>IFERROR(__xludf.DUMMYFUNCTION("""COMPUTED_VALUE"""),489.0)</f>
        <v>489</v>
      </c>
      <c r="AN104" s="53">
        <f>IFERROR(__xludf.DUMMYFUNCTION("""COMPUTED_VALUE"""),475.0)</f>
        <v>475</v>
      </c>
      <c r="AO104" s="53">
        <f>IFERROR(__xludf.DUMMYFUNCTION("""COMPUTED_VALUE"""),33.0)</f>
        <v>33</v>
      </c>
      <c r="AP104" s="53">
        <f>IFERROR(__xludf.DUMMYFUNCTION("""COMPUTED_VALUE"""),14.0)</f>
        <v>14</v>
      </c>
      <c r="AQ104" s="53">
        <f>IFERROR(__xludf.DUMMYFUNCTION("""COMPUTED_VALUE"""),31.0)</f>
        <v>31</v>
      </c>
      <c r="AR104" s="53">
        <f>IFERROR(__xludf.DUMMYFUNCTION("""COMPUTED_VALUE"""),97.0)</f>
        <v>97</v>
      </c>
      <c r="AS104" s="53">
        <f>IFERROR(__xludf.DUMMYFUNCTION("""COMPUTED_VALUE"""),92.40710823909531)</f>
        <v>92.40710824</v>
      </c>
      <c r="AT104" s="48">
        <f>IFERROR(__xludf.DUMMYFUNCTION("""COMPUTED_VALUE"""),5.076923076923077)</f>
        <v>5.076923077</v>
      </c>
      <c r="AU104" s="48">
        <f>IFERROR(__xludf.DUMMYFUNCTION("""COMPUTED_VALUE"""),2.1538461538461537)</f>
        <v>2.153846154</v>
      </c>
      <c r="AV104" s="48">
        <f>IFERROR(__xludf.DUMMYFUNCTION("""COMPUTED_VALUE"""),4.769230769230769)</f>
        <v>4.769230769</v>
      </c>
      <c r="AW104" s="48">
        <f>IFERROR(__xludf.DUMMYFUNCTION("""COMPUTED_VALUE"""),14.923076923076922)</f>
        <v>14.92307692</v>
      </c>
      <c r="AX104" s="48">
        <f>IFERROR(__xludf.DUMMYFUNCTION("""COMPUTED_VALUE"""),90.15384615384615)</f>
        <v>90.15384615</v>
      </c>
      <c r="AY104" s="48">
        <f>IFERROR(__xludf.DUMMYFUNCTION("""COMPUTED_VALUE"""),122.0)</f>
        <v>122</v>
      </c>
      <c r="AZ104" s="48">
        <f>IFERROR(__xludf.DUMMYFUNCTION("""COMPUTED_VALUE"""),122.0)</f>
        <v>122</v>
      </c>
      <c r="BA104" s="48">
        <f>IFERROR(__xludf.DUMMYFUNCTION("""COMPUTED_VALUE"""),0.0)</f>
        <v>0</v>
      </c>
      <c r="BB104" s="48">
        <f>IFERROR(__xludf.DUMMYFUNCTION("""COMPUTED_VALUE"""),15.0)</f>
        <v>15</v>
      </c>
      <c r="BC104" s="48">
        <f>IFERROR(__xludf.DUMMYFUNCTION("""COMPUTED_VALUE"""),100.0)</f>
        <v>100</v>
      </c>
      <c r="BD104" s="48">
        <f>IFERROR(__xludf.DUMMYFUNCTION("""COMPUTED_VALUE"""),0.0)</f>
        <v>0</v>
      </c>
      <c r="BE104" s="48">
        <f>IFERROR(__xludf.DUMMYFUNCTION("""COMPUTED_VALUE"""),10.948905109489052)</f>
        <v>10.94890511</v>
      </c>
      <c r="BF104" s="52"/>
      <c r="BG104" s="52"/>
      <c r="BH104" s="52"/>
      <c r="BI104" s="52"/>
      <c r="BJ104" s="52"/>
      <c r="BK104" s="52"/>
      <c r="BL104" s="52"/>
      <c r="BM104" s="54" t="s">
        <v>96</v>
      </c>
    </row>
    <row r="105">
      <c r="A105" s="42" t="s">
        <v>745</v>
      </c>
      <c r="B105" s="55" t="s">
        <v>746</v>
      </c>
      <c r="C105" s="45" t="s">
        <v>747</v>
      </c>
      <c r="D105" s="45" t="s">
        <v>125</v>
      </c>
      <c r="E105" s="45" t="s">
        <v>192</v>
      </c>
      <c r="F105" s="46">
        <v>42357.0</v>
      </c>
      <c r="G105" s="57"/>
      <c r="H105" s="48">
        <f t="shared" si="1"/>
        <v>62.30263158</v>
      </c>
      <c r="I105" s="49" t="s">
        <v>748</v>
      </c>
      <c r="J105" s="50" t="s">
        <v>749</v>
      </c>
      <c r="K105" s="45" t="s">
        <v>750</v>
      </c>
      <c r="L105" s="45" t="s">
        <v>751</v>
      </c>
      <c r="M105" s="51">
        <v>30069.0</v>
      </c>
      <c r="N105" s="52">
        <f t="shared" si="17"/>
        <v>38</v>
      </c>
      <c r="O105" s="45" t="s">
        <v>76</v>
      </c>
      <c r="P105" s="45" t="s">
        <v>77</v>
      </c>
      <c r="Q105" s="45" t="s">
        <v>77</v>
      </c>
      <c r="R105" s="52"/>
      <c r="S105" s="45" t="s">
        <v>79</v>
      </c>
      <c r="T105" s="45" t="s">
        <v>752</v>
      </c>
      <c r="U105" s="45" t="s">
        <v>81</v>
      </c>
      <c r="V105" s="45" t="s">
        <v>78</v>
      </c>
      <c r="W105" s="45" t="s">
        <v>79</v>
      </c>
      <c r="X105" s="45" t="s">
        <v>82</v>
      </c>
      <c r="Y105" s="45" t="s">
        <v>83</v>
      </c>
      <c r="Z105" s="45" t="s">
        <v>130</v>
      </c>
      <c r="AA105" s="58" t="s">
        <v>753</v>
      </c>
      <c r="AB105" s="52"/>
      <c r="AC105" s="53">
        <f t="shared" si="5"/>
        <v>5221</v>
      </c>
      <c r="AD105" s="45">
        <v>2262.0</v>
      </c>
      <c r="AE105" s="53">
        <f t="shared" si="11"/>
        <v>49.5</v>
      </c>
      <c r="AF105" s="53">
        <f t="shared" si="3"/>
        <v>2909.5</v>
      </c>
      <c r="AG105" s="52">
        <f>(AF105*22.5)</f>
        <v>65463.75</v>
      </c>
      <c r="AH105" s="48">
        <f>IFERROR(__xludf.DUMMYFUNCTION("importrange(C105,""Sheet2!a4:x4"")"),27.954449401267905)</f>
        <v>27.9544494</v>
      </c>
      <c r="AI105" s="48">
        <f>IFERROR(__xludf.DUMMYFUNCTION("""COMPUTED_VALUE"""),60.0)</f>
        <v>60</v>
      </c>
      <c r="AJ105" s="48">
        <f>IFERROR(__xludf.DUMMYFUNCTION("""COMPUTED_VALUE"""),5547.0)</f>
        <v>5547</v>
      </c>
      <c r="AK105" s="53" t="str">
        <f>IFERROR(__xludf.DUMMYFUNCTION("""COMPUTED_VALUE"""),"Attended No Show")</f>
        <v>Attended No Show</v>
      </c>
      <c r="AL105" s="53">
        <f>IFERROR(__xludf.DUMMYFUNCTION("""COMPUTED_VALUE"""),5547.0)</f>
        <v>5547</v>
      </c>
      <c r="AM105" s="53">
        <f>IFERROR(__xludf.DUMMYFUNCTION("""COMPUTED_VALUE"""),4271.0)</f>
        <v>4271</v>
      </c>
      <c r="AN105" s="53">
        <f>IFERROR(__xludf.DUMMYFUNCTION("""COMPUTED_VALUE"""),4260.0)</f>
        <v>4260</v>
      </c>
      <c r="AO105" s="53">
        <f>IFERROR(__xludf.DUMMYFUNCTION("""COMPUTED_VALUE"""),44.0)</f>
        <v>44</v>
      </c>
      <c r="AP105" s="53">
        <f>IFERROR(__xludf.DUMMYFUNCTION("""COMPUTED_VALUE"""),11.0)</f>
        <v>11</v>
      </c>
      <c r="AQ105" s="53">
        <f>IFERROR(__xludf.DUMMYFUNCTION("""COMPUTED_VALUE"""),282.0)</f>
        <v>282</v>
      </c>
      <c r="AR105" s="53">
        <f>IFERROR(__xludf.DUMMYFUNCTION("""COMPUTED_VALUE"""),950.0)</f>
        <v>950</v>
      </c>
      <c r="AS105" s="53">
        <f>IFERROR(__xludf.DUMMYFUNCTION("""COMPUTED_VALUE"""),98.95536562203229)</f>
        <v>98.95536562</v>
      </c>
      <c r="AT105" s="48">
        <f>IFERROR(__xludf.DUMMYFUNCTION("""COMPUTED_VALUE"""),0.7932215612042546)</f>
        <v>0.7932215612</v>
      </c>
      <c r="AU105" s="48">
        <f>IFERROR(__xludf.DUMMYFUNCTION("""COMPUTED_VALUE"""),0.19830539030106364)</f>
        <v>0.1983053903</v>
      </c>
      <c r="AV105" s="48">
        <f>IFERROR(__xludf.DUMMYFUNCTION("""COMPUTED_VALUE"""),5.083829096809086)</f>
        <v>5.083829097</v>
      </c>
      <c r="AW105" s="48">
        <f>IFERROR(__xludf.DUMMYFUNCTION("""COMPUTED_VALUE"""),17.12637461691004)</f>
        <v>17.12637462</v>
      </c>
      <c r="AX105" s="48">
        <f>IFERROR(__xludf.DUMMYFUNCTION("""COMPUTED_VALUE"""),94.12294934198667)</f>
        <v>94.12294934</v>
      </c>
      <c r="AY105" s="48">
        <f>IFERROR(__xludf.DUMMYFUNCTION("""COMPUTED_VALUE"""),1921.0)</f>
        <v>1921</v>
      </c>
      <c r="AZ105" s="48">
        <f>IFERROR(__xludf.DUMMYFUNCTION("""COMPUTED_VALUE"""),1724.0)</f>
        <v>1724</v>
      </c>
      <c r="BA105" s="48">
        <f>IFERROR(__xludf.DUMMYFUNCTION("""COMPUTED_VALUE"""),197.0)</f>
        <v>197</v>
      </c>
      <c r="BB105" s="48">
        <f>IFERROR(__xludf.DUMMYFUNCTION("""COMPUTED_VALUE"""),14.0)</f>
        <v>14</v>
      </c>
      <c r="BC105" s="48">
        <f>IFERROR(__xludf.DUMMYFUNCTION("""COMPUTED_VALUE"""),89.74492451847996)</f>
        <v>89.74492452</v>
      </c>
      <c r="BD105" s="48">
        <f>IFERROR(__xludf.DUMMYFUNCTION("""COMPUTED_VALUE"""),10.255075481520041)</f>
        <v>10.25507548</v>
      </c>
      <c r="BE105" s="48">
        <f>IFERROR(__xludf.DUMMYFUNCTION("""COMPUTED_VALUE"""),0.7235142118863048)</f>
        <v>0.7235142119</v>
      </c>
      <c r="BF105" s="52"/>
      <c r="BG105" s="52"/>
      <c r="BH105" s="52"/>
      <c r="BI105" s="52"/>
      <c r="BJ105" s="52"/>
      <c r="BK105" s="45">
        <v>6.0</v>
      </c>
      <c r="BL105" s="45">
        <v>1.0</v>
      </c>
      <c r="BM105" s="59" t="s">
        <v>754</v>
      </c>
    </row>
    <row r="106">
      <c r="A106" s="42" t="s">
        <v>755</v>
      </c>
      <c r="B106" s="45" t="s">
        <v>756</v>
      </c>
      <c r="C106" s="45" t="s">
        <v>757</v>
      </c>
      <c r="D106" s="45" t="s">
        <v>70</v>
      </c>
      <c r="E106" s="45" t="s">
        <v>71</v>
      </c>
      <c r="F106" s="46">
        <v>42370.0</v>
      </c>
      <c r="G106" s="47">
        <v>43008.0</v>
      </c>
      <c r="H106" s="48">
        <f t="shared" si="1"/>
        <v>20.98684211</v>
      </c>
      <c r="I106" s="49" t="s">
        <v>730</v>
      </c>
      <c r="J106" s="73" t="s">
        <v>731</v>
      </c>
      <c r="K106" s="45" t="s">
        <v>732</v>
      </c>
      <c r="L106" s="45" t="s">
        <v>733</v>
      </c>
      <c r="M106" s="74">
        <v>24662.0</v>
      </c>
      <c r="N106" s="52">
        <f t="shared" si="17"/>
        <v>53</v>
      </c>
      <c r="O106" s="45" t="s">
        <v>76</v>
      </c>
      <c r="P106" s="45" t="s">
        <v>77</v>
      </c>
      <c r="Q106" s="45" t="s">
        <v>77</v>
      </c>
      <c r="R106" s="52"/>
      <c r="S106" s="45" t="s">
        <v>79</v>
      </c>
      <c r="T106" s="45" t="s">
        <v>734</v>
      </c>
      <c r="U106" s="45" t="s">
        <v>81</v>
      </c>
      <c r="V106" s="45" t="s">
        <v>78</v>
      </c>
      <c r="W106" s="45" t="s">
        <v>79</v>
      </c>
      <c r="X106" s="45" t="s">
        <v>82</v>
      </c>
      <c r="Y106" s="45" t="s">
        <v>83</v>
      </c>
      <c r="Z106" s="45" t="s">
        <v>84</v>
      </c>
      <c r="AA106" s="58" t="s">
        <v>735</v>
      </c>
      <c r="AB106" s="52"/>
      <c r="AC106" s="53">
        <f t="shared" si="5"/>
        <v>1749</v>
      </c>
      <c r="AD106" s="45">
        <v>113.0</v>
      </c>
      <c r="AE106" s="53">
        <f t="shared" si="11"/>
        <v>5</v>
      </c>
      <c r="AF106" s="53">
        <f t="shared" si="3"/>
        <v>1631</v>
      </c>
      <c r="AG106" s="52">
        <f t="shared" ref="AG106:AG113" si="22">(AF106*10)</f>
        <v>16310</v>
      </c>
      <c r="AH106" s="48">
        <f>IFERROR(__xludf.DUMMYFUNCTION("importrange(C106,""Sheet2!a4:x4"")"),25.26044577792803)</f>
        <v>25.26044578</v>
      </c>
      <c r="AI106" s="48">
        <f>IFERROR(__xludf.DUMMYFUNCTION("""COMPUTED_VALUE"""),31.0)</f>
        <v>31</v>
      </c>
      <c r="AJ106" s="48">
        <f>IFERROR(__xludf.DUMMYFUNCTION("""COMPUTED_VALUE"""),1769.0)</f>
        <v>1769</v>
      </c>
      <c r="AK106" s="53" t="str">
        <f>IFERROR(__xludf.DUMMYFUNCTION("""COMPUTED_VALUE"""),"Attended No Show")</f>
        <v>Attended No Show</v>
      </c>
      <c r="AL106" s="53">
        <f>IFERROR(__xludf.DUMMYFUNCTION("""COMPUTED_VALUE"""),1769.0)</f>
        <v>1769</v>
      </c>
      <c r="AM106" s="53">
        <f>IFERROR(__xludf.DUMMYFUNCTION("""COMPUTED_VALUE"""),1480.0)</f>
        <v>1480</v>
      </c>
      <c r="AN106" s="53">
        <f>IFERROR(__xludf.DUMMYFUNCTION("""COMPUTED_VALUE"""),1480.0)</f>
        <v>1480</v>
      </c>
      <c r="AO106" s="53">
        <f>IFERROR(__xludf.DUMMYFUNCTION("""COMPUTED_VALUE"""),5.0)</f>
        <v>5</v>
      </c>
      <c r="AP106" s="53">
        <f>IFERROR(__xludf.DUMMYFUNCTION("""COMPUTED_VALUE"""),0.0)</f>
        <v>0</v>
      </c>
      <c r="AQ106" s="53">
        <f>IFERROR(__xludf.DUMMYFUNCTION("""COMPUTED_VALUE"""),15.0)</f>
        <v>15</v>
      </c>
      <c r="AR106" s="53">
        <f>IFERROR(__xludf.DUMMYFUNCTION("""COMPUTED_VALUE"""),269.0)</f>
        <v>269</v>
      </c>
      <c r="AS106" s="53">
        <f>IFERROR(__xludf.DUMMYFUNCTION("""COMPUTED_VALUE"""),99.71493728620297)</f>
        <v>99.71493729</v>
      </c>
      <c r="AT106" s="48">
        <f>IFERROR(__xludf.DUMMYFUNCTION("""COMPUTED_VALUE"""),0.2826455624646693)</f>
        <v>0.2826455625</v>
      </c>
      <c r="AU106" s="48">
        <f>IFERROR(__xludf.DUMMYFUNCTION("""COMPUTED_VALUE"""),0.0)</f>
        <v>0</v>
      </c>
      <c r="AV106" s="48">
        <f>IFERROR(__xludf.DUMMYFUNCTION("""COMPUTED_VALUE"""),0.8479366873940078)</f>
        <v>0.8479366874</v>
      </c>
      <c r="AW106" s="48">
        <f>IFERROR(__xludf.DUMMYFUNCTION("""COMPUTED_VALUE"""),15.20633126059921)</f>
        <v>15.20633126</v>
      </c>
      <c r="AX106" s="48">
        <f>IFERROR(__xludf.DUMMYFUNCTION("""COMPUTED_VALUE"""),98.86941775014132)</f>
        <v>98.86941775</v>
      </c>
      <c r="AY106" s="48">
        <f>IFERROR(__xludf.DUMMYFUNCTION("""COMPUTED_VALUE"""),1261.0)</f>
        <v>1261</v>
      </c>
      <c r="AZ106" s="48">
        <f>IFERROR(__xludf.DUMMYFUNCTION("""COMPUTED_VALUE"""),1234.0)</f>
        <v>1234</v>
      </c>
      <c r="BA106" s="48">
        <f>IFERROR(__xludf.DUMMYFUNCTION("""COMPUTED_VALUE"""),27.0)</f>
        <v>27</v>
      </c>
      <c r="BB106" s="48">
        <f>IFERROR(__xludf.DUMMYFUNCTION("""COMPUTED_VALUE"""),15.0)</f>
        <v>15</v>
      </c>
      <c r="BC106" s="48">
        <f>IFERROR(__xludf.DUMMYFUNCTION("""COMPUTED_VALUE"""),97.85884218873909)</f>
        <v>97.85884219</v>
      </c>
      <c r="BD106" s="48">
        <f>IFERROR(__xludf.DUMMYFUNCTION("""COMPUTED_VALUE"""),2.141157811260904)</f>
        <v>2.141157811</v>
      </c>
      <c r="BE106" s="48">
        <f>IFERROR(__xludf.DUMMYFUNCTION("""COMPUTED_VALUE"""),1.1755485893416928)</f>
        <v>1.175548589</v>
      </c>
      <c r="BF106" s="52"/>
      <c r="BG106" s="52"/>
      <c r="BH106" s="52"/>
      <c r="BI106" s="52"/>
      <c r="BJ106" s="52"/>
      <c r="BK106" s="52"/>
      <c r="BL106" s="52"/>
      <c r="BM106" s="54" t="s">
        <v>736</v>
      </c>
    </row>
    <row r="107">
      <c r="A107" s="42" t="s">
        <v>758</v>
      </c>
      <c r="B107" s="45" t="s">
        <v>759</v>
      </c>
      <c r="C107" s="45" t="s">
        <v>760</v>
      </c>
      <c r="D107" s="45" t="s">
        <v>70</v>
      </c>
      <c r="E107" s="45" t="s">
        <v>71</v>
      </c>
      <c r="F107" s="46">
        <v>42401.0</v>
      </c>
      <c r="G107" s="47">
        <v>42401.0</v>
      </c>
      <c r="H107" s="48">
        <f t="shared" si="1"/>
        <v>0</v>
      </c>
      <c r="I107" s="49" t="s">
        <v>761</v>
      </c>
      <c r="J107" s="50" t="s">
        <v>762</v>
      </c>
      <c r="K107" s="45" t="s">
        <v>763</v>
      </c>
      <c r="L107" s="45" t="s">
        <v>764</v>
      </c>
      <c r="M107" s="51">
        <v>25569.0</v>
      </c>
      <c r="N107" s="52">
        <f t="shared" si="17"/>
        <v>51</v>
      </c>
      <c r="O107" s="45" t="s">
        <v>104</v>
      </c>
      <c r="P107" s="45" t="s">
        <v>77</v>
      </c>
      <c r="Q107" s="45" t="s">
        <v>77</v>
      </c>
      <c r="R107" s="52"/>
      <c r="S107" s="45" t="s">
        <v>79</v>
      </c>
      <c r="T107" s="45" t="s">
        <v>94</v>
      </c>
      <c r="U107" s="45" t="s">
        <v>81</v>
      </c>
      <c r="V107" s="45" t="s">
        <v>78</v>
      </c>
      <c r="W107" s="45" t="s">
        <v>79</v>
      </c>
      <c r="X107" s="45" t="s">
        <v>82</v>
      </c>
      <c r="Y107" s="45" t="s">
        <v>556</v>
      </c>
      <c r="Z107" s="52"/>
      <c r="AA107" s="62"/>
      <c r="AB107" s="52"/>
      <c r="AC107" s="53">
        <f t="shared" si="5"/>
        <v>0</v>
      </c>
      <c r="AD107" s="52"/>
      <c r="AE107" s="53">
        <f t="shared" si="11"/>
        <v>0</v>
      </c>
      <c r="AF107" s="53">
        <f t="shared" si="3"/>
        <v>0</v>
      </c>
      <c r="AG107" s="52">
        <f t="shared" si="22"/>
        <v>0</v>
      </c>
      <c r="AH107" s="48" t="str">
        <f>IFERROR(__xludf.DUMMYFUNCTION("importrange(C107,""Sheet2!a4:x4"")"),"#DIV/0!")</f>
        <v>#DIV/0!</v>
      </c>
      <c r="AI107" s="48">
        <f>IFERROR(__xludf.DUMMYFUNCTION("""COMPUTED_VALUE"""),0.0)</f>
        <v>0</v>
      </c>
      <c r="AJ107" s="48">
        <f>IFERROR(__xludf.DUMMYFUNCTION("""COMPUTED_VALUE"""),0.0)</f>
        <v>0</v>
      </c>
      <c r="AK107" s="53" t="str">
        <f>IFERROR(__xludf.DUMMYFUNCTION("""COMPUTED_VALUE"""),"Teacher Attendance")</f>
        <v>Teacher Attendance</v>
      </c>
      <c r="AL107" s="53">
        <f>IFERROR(__xludf.DUMMYFUNCTION("""COMPUTED_VALUE"""),0.0)</f>
        <v>0</v>
      </c>
      <c r="AM107" s="53">
        <f>IFERROR(__xludf.DUMMYFUNCTION("""COMPUTED_VALUE"""),0.0)</f>
        <v>0</v>
      </c>
      <c r="AN107" s="53">
        <f>IFERROR(__xludf.DUMMYFUNCTION("""COMPUTED_VALUE"""),0.0)</f>
        <v>0</v>
      </c>
      <c r="AO107" s="53">
        <f>IFERROR(__xludf.DUMMYFUNCTION("""COMPUTED_VALUE"""),0.0)</f>
        <v>0</v>
      </c>
      <c r="AP107" s="53">
        <f>IFERROR(__xludf.DUMMYFUNCTION("""COMPUTED_VALUE"""),0.0)</f>
        <v>0</v>
      </c>
      <c r="AQ107" s="53">
        <f>IFERROR(__xludf.DUMMYFUNCTION("""COMPUTED_VALUE"""),0.0)</f>
        <v>0</v>
      </c>
      <c r="AR107" s="53">
        <f>IFERROR(__xludf.DUMMYFUNCTION("""COMPUTED_VALUE"""),0.0)</f>
        <v>0</v>
      </c>
      <c r="AS107" s="53" t="str">
        <f>IFERROR(__xludf.DUMMYFUNCTION("""COMPUTED_VALUE"""),"#DIV/0!")</f>
        <v>#DIV/0!</v>
      </c>
      <c r="AT107" s="48" t="str">
        <f>IFERROR(__xludf.DUMMYFUNCTION("""COMPUTED_VALUE"""),"#DIV/0!")</f>
        <v>#DIV/0!</v>
      </c>
      <c r="AU107" s="48" t="str">
        <f>IFERROR(__xludf.DUMMYFUNCTION("""COMPUTED_VALUE"""),"#DIV/0!")</f>
        <v>#DIV/0!</v>
      </c>
      <c r="AV107" s="48" t="str">
        <f>IFERROR(__xludf.DUMMYFUNCTION("""COMPUTED_VALUE"""),"#DIV/0!")</f>
        <v>#DIV/0!</v>
      </c>
      <c r="AW107" s="48" t="str">
        <f>IFERROR(__xludf.DUMMYFUNCTION("""COMPUTED_VALUE"""),"#DIV/0!")</f>
        <v>#DIV/0!</v>
      </c>
      <c r="AX107" s="48" t="str">
        <f>IFERROR(__xludf.DUMMYFUNCTION("""COMPUTED_VALUE"""),"#DIV/0!")</f>
        <v>#DIV/0!</v>
      </c>
      <c r="AY107" s="48">
        <f>IFERROR(__xludf.DUMMYFUNCTION("""COMPUTED_VALUE"""),0.0)</f>
        <v>0</v>
      </c>
      <c r="AZ107" s="48">
        <f>IFERROR(__xludf.DUMMYFUNCTION("""COMPUTED_VALUE"""),0.0)</f>
        <v>0</v>
      </c>
      <c r="BA107" s="48">
        <f>IFERROR(__xludf.DUMMYFUNCTION("""COMPUTED_VALUE"""),0.0)</f>
        <v>0</v>
      </c>
      <c r="BB107" s="48">
        <f>IFERROR(__xludf.DUMMYFUNCTION("""COMPUTED_VALUE"""),0.0)</f>
        <v>0</v>
      </c>
      <c r="BC107" s="48" t="str">
        <f>IFERROR(__xludf.DUMMYFUNCTION("""COMPUTED_VALUE"""),"#DIV/0!")</f>
        <v>#DIV/0!</v>
      </c>
      <c r="BD107" s="48" t="str">
        <f>IFERROR(__xludf.DUMMYFUNCTION("""COMPUTED_VALUE"""),"#DIV/0!")</f>
        <v>#DIV/0!</v>
      </c>
      <c r="BE107" s="48" t="str">
        <f>IFERROR(__xludf.DUMMYFUNCTION("""COMPUTED_VALUE"""),"#DIV/0!")</f>
        <v>#DIV/0!</v>
      </c>
      <c r="BF107" s="52"/>
      <c r="BG107" s="52"/>
      <c r="BH107" s="52"/>
      <c r="BI107" s="52"/>
      <c r="BJ107" s="52"/>
      <c r="BK107" s="52"/>
      <c r="BL107" s="52"/>
      <c r="BM107" s="54" t="s">
        <v>96</v>
      </c>
    </row>
    <row r="108">
      <c r="A108" s="42" t="s">
        <v>765</v>
      </c>
      <c r="B108" s="45" t="s">
        <v>766</v>
      </c>
      <c r="C108" s="45" t="s">
        <v>767</v>
      </c>
      <c r="D108" s="45" t="s">
        <v>70</v>
      </c>
      <c r="E108" s="45" t="s">
        <v>71</v>
      </c>
      <c r="F108" s="46">
        <v>42572.0</v>
      </c>
      <c r="G108" s="47">
        <v>42662.0</v>
      </c>
      <c r="H108" s="48">
        <f t="shared" si="1"/>
        <v>2.960526316</v>
      </c>
      <c r="I108" s="49" t="s">
        <v>768</v>
      </c>
      <c r="J108" s="50" t="s">
        <v>769</v>
      </c>
      <c r="K108" s="45" t="s">
        <v>770</v>
      </c>
      <c r="L108" s="45" t="s">
        <v>771</v>
      </c>
      <c r="M108" s="51">
        <v>25934.0</v>
      </c>
      <c r="N108" s="52">
        <f t="shared" si="17"/>
        <v>50</v>
      </c>
      <c r="O108" s="45" t="s">
        <v>76</v>
      </c>
      <c r="P108" s="45" t="s">
        <v>77</v>
      </c>
      <c r="Q108" s="45" t="s">
        <v>77</v>
      </c>
      <c r="R108" s="52"/>
      <c r="S108" s="45" t="s">
        <v>79</v>
      </c>
      <c r="T108" s="45" t="s">
        <v>94</v>
      </c>
      <c r="U108" s="45" t="s">
        <v>81</v>
      </c>
      <c r="V108" s="45" t="s">
        <v>78</v>
      </c>
      <c r="W108" s="45" t="s">
        <v>79</v>
      </c>
      <c r="X108" s="45" t="s">
        <v>82</v>
      </c>
      <c r="Y108" s="45" t="s">
        <v>544</v>
      </c>
      <c r="Z108" s="52"/>
      <c r="AA108" s="62"/>
      <c r="AB108" s="52"/>
      <c r="AC108" s="53">
        <f t="shared" si="5"/>
        <v>41</v>
      </c>
      <c r="AD108" s="52"/>
      <c r="AE108" s="53">
        <f t="shared" si="11"/>
        <v>4</v>
      </c>
      <c r="AF108" s="53">
        <f t="shared" si="3"/>
        <v>37</v>
      </c>
      <c r="AG108" s="52">
        <f t="shared" si="22"/>
        <v>370</v>
      </c>
      <c r="AH108" s="48">
        <f>IFERROR(__xludf.DUMMYFUNCTION("importrange(C108,""Sheet2!a4:x4"")"),38.2)</f>
        <v>38.2</v>
      </c>
      <c r="AI108" s="48">
        <f>IFERROR(__xludf.DUMMYFUNCTION("""COMPUTED_VALUE"""),6.0)</f>
        <v>6</v>
      </c>
      <c r="AJ108" s="48">
        <f>IFERROR(__xludf.DUMMYFUNCTION("""COMPUTED_VALUE"""),48.0)</f>
        <v>48</v>
      </c>
      <c r="AK108" s="53" t="str">
        <f>IFERROR(__xludf.DUMMYFUNCTION("""COMPUTED_VALUE"""),"Attended")</f>
        <v>Attended</v>
      </c>
      <c r="AL108" s="53">
        <f>IFERROR(__xludf.DUMMYFUNCTION("""COMPUTED_VALUE"""),48.0)</f>
        <v>48</v>
      </c>
      <c r="AM108" s="53">
        <f>IFERROR(__xludf.DUMMYFUNCTION("""COMPUTED_VALUE"""),27.0)</f>
        <v>27</v>
      </c>
      <c r="AN108" s="53">
        <f>IFERROR(__xludf.DUMMYFUNCTION("""COMPUTED_VALUE"""),27.0)</f>
        <v>27</v>
      </c>
      <c r="AO108" s="53">
        <f>IFERROR(__xludf.DUMMYFUNCTION("""COMPUTED_VALUE"""),4.0)</f>
        <v>4</v>
      </c>
      <c r="AP108" s="53">
        <f>IFERROR(__xludf.DUMMYFUNCTION("""COMPUTED_VALUE"""),0.0)</f>
        <v>0</v>
      </c>
      <c r="AQ108" s="53">
        <f>IFERROR(__xludf.DUMMYFUNCTION("""COMPUTED_VALUE"""),3.0)</f>
        <v>3</v>
      </c>
      <c r="AR108" s="53">
        <f>IFERROR(__xludf.DUMMYFUNCTION("""COMPUTED_VALUE"""),14.0)</f>
        <v>14</v>
      </c>
      <c r="AS108" s="53">
        <f>IFERROR(__xludf.DUMMYFUNCTION("""COMPUTED_VALUE"""),91.11111111111111)</f>
        <v>91.11111111</v>
      </c>
      <c r="AT108" s="48">
        <f>IFERROR(__xludf.DUMMYFUNCTION("""COMPUTED_VALUE"""),8.333333333333332)</f>
        <v>8.333333333</v>
      </c>
      <c r="AU108" s="48">
        <f>IFERROR(__xludf.DUMMYFUNCTION("""COMPUTED_VALUE"""),0.0)</f>
        <v>0</v>
      </c>
      <c r="AV108" s="48">
        <f>IFERROR(__xludf.DUMMYFUNCTION("""COMPUTED_VALUE"""),6.25)</f>
        <v>6.25</v>
      </c>
      <c r="AW108" s="48">
        <f>IFERROR(__xludf.DUMMYFUNCTION("""COMPUTED_VALUE"""),29.166666666666668)</f>
        <v>29.16666667</v>
      </c>
      <c r="AX108" s="48">
        <f>IFERROR(__xludf.DUMMYFUNCTION("""COMPUTED_VALUE"""),85.41666666666666)</f>
        <v>85.41666667</v>
      </c>
      <c r="AY108" s="48">
        <f>IFERROR(__xludf.DUMMYFUNCTION("""COMPUTED_VALUE"""),2.0)</f>
        <v>2</v>
      </c>
      <c r="AZ108" s="48">
        <f>IFERROR(__xludf.DUMMYFUNCTION("""COMPUTED_VALUE"""),2.0)</f>
        <v>2</v>
      </c>
      <c r="BA108" s="48">
        <f>IFERROR(__xludf.DUMMYFUNCTION("""COMPUTED_VALUE"""),0.0)</f>
        <v>0</v>
      </c>
      <c r="BB108" s="48">
        <f>IFERROR(__xludf.DUMMYFUNCTION("""COMPUTED_VALUE"""),0.0)</f>
        <v>0</v>
      </c>
      <c r="BC108" s="48">
        <f>IFERROR(__xludf.DUMMYFUNCTION("""COMPUTED_VALUE"""),100.0)</f>
        <v>100</v>
      </c>
      <c r="BD108" s="48">
        <f>IFERROR(__xludf.DUMMYFUNCTION("""COMPUTED_VALUE"""),0.0)</f>
        <v>0</v>
      </c>
      <c r="BE108" s="48">
        <f>IFERROR(__xludf.DUMMYFUNCTION("""COMPUTED_VALUE"""),0.0)</f>
        <v>0</v>
      </c>
      <c r="BF108" s="52"/>
      <c r="BG108" s="52"/>
      <c r="BH108" s="52"/>
      <c r="BI108" s="52"/>
      <c r="BJ108" s="52"/>
      <c r="BK108" s="52"/>
      <c r="BL108" s="52"/>
      <c r="BM108" s="54" t="s">
        <v>96</v>
      </c>
    </row>
    <row r="109">
      <c r="A109" s="42" t="s">
        <v>772</v>
      </c>
      <c r="B109" s="45" t="s">
        <v>773</v>
      </c>
      <c r="C109" s="45" t="s">
        <v>774</v>
      </c>
      <c r="D109" s="45" t="s">
        <v>70</v>
      </c>
      <c r="E109" s="45" t="s">
        <v>71</v>
      </c>
      <c r="F109" s="46">
        <v>42612.0</v>
      </c>
      <c r="G109" s="47">
        <v>42693.0</v>
      </c>
      <c r="H109" s="48">
        <f t="shared" si="1"/>
        <v>2.664473684</v>
      </c>
      <c r="I109" s="49" t="s">
        <v>775</v>
      </c>
      <c r="J109" s="50" t="s">
        <v>776</v>
      </c>
      <c r="K109" s="45" t="s">
        <v>777</v>
      </c>
      <c r="L109" s="45" t="s">
        <v>778</v>
      </c>
      <c r="M109" s="75">
        <v>30157.0</v>
      </c>
      <c r="N109" s="52">
        <f t="shared" si="17"/>
        <v>38</v>
      </c>
      <c r="O109" s="52"/>
      <c r="P109" s="45" t="s">
        <v>77</v>
      </c>
      <c r="Q109" s="45" t="s">
        <v>77</v>
      </c>
      <c r="R109" s="52"/>
      <c r="S109" s="45" t="s">
        <v>79</v>
      </c>
      <c r="T109" s="45" t="s">
        <v>94</v>
      </c>
      <c r="U109" s="45" t="s">
        <v>81</v>
      </c>
      <c r="V109" s="45" t="s">
        <v>78</v>
      </c>
      <c r="W109" s="45" t="s">
        <v>79</v>
      </c>
      <c r="X109" s="45" t="s">
        <v>82</v>
      </c>
      <c r="Y109" s="45" t="s">
        <v>556</v>
      </c>
      <c r="Z109" s="52"/>
      <c r="AA109" s="62"/>
      <c r="AB109" s="52"/>
      <c r="AC109" s="53">
        <f t="shared" si="5"/>
        <v>12</v>
      </c>
      <c r="AD109" s="52"/>
      <c r="AE109" s="53">
        <f t="shared" si="11"/>
        <v>5.5</v>
      </c>
      <c r="AF109" s="53">
        <f t="shared" si="3"/>
        <v>6.5</v>
      </c>
      <c r="AG109" s="52">
        <f t="shared" si="22"/>
        <v>65</v>
      </c>
      <c r="AH109" s="48">
        <f>IFERROR(__xludf.DUMMYFUNCTION("importrange(C109,""Sheet2!a4:x4"")"),38.25)</f>
        <v>38.25</v>
      </c>
      <c r="AI109" s="48">
        <f>IFERROR(__xludf.DUMMYFUNCTION("""COMPUTED_VALUE"""),4.0)</f>
        <v>4</v>
      </c>
      <c r="AJ109" s="48">
        <f>IFERROR(__xludf.DUMMYFUNCTION("""COMPUTED_VALUE"""),21.0)</f>
        <v>21</v>
      </c>
      <c r="AK109" s="53" t="str">
        <f>IFERROR(__xludf.DUMMYFUNCTION("""COMPUTED_VALUE"""),"Absent")</f>
        <v>Absent</v>
      </c>
      <c r="AL109" s="53">
        <f>IFERROR(__xludf.DUMMYFUNCTION("""COMPUTED_VALUE"""),21.0)</f>
        <v>21</v>
      </c>
      <c r="AM109" s="53">
        <f>IFERROR(__xludf.DUMMYFUNCTION("""COMPUTED_VALUE"""),9.0)</f>
        <v>9</v>
      </c>
      <c r="AN109" s="53">
        <f>IFERROR(__xludf.DUMMYFUNCTION("""COMPUTED_VALUE"""),8.0)</f>
        <v>8</v>
      </c>
      <c r="AO109" s="53">
        <f>IFERROR(__xludf.DUMMYFUNCTION("""COMPUTED_VALUE"""),5.0)</f>
        <v>5</v>
      </c>
      <c r="AP109" s="53">
        <f>IFERROR(__xludf.DUMMYFUNCTION("""COMPUTED_VALUE"""),1.0)</f>
        <v>1</v>
      </c>
      <c r="AQ109" s="53">
        <f>IFERROR(__xludf.DUMMYFUNCTION("""COMPUTED_VALUE"""),4.0)</f>
        <v>4</v>
      </c>
      <c r="AR109" s="53">
        <f>IFERROR(__xludf.DUMMYFUNCTION("""COMPUTED_VALUE"""),3.0)</f>
        <v>3</v>
      </c>
      <c r="AS109" s="53">
        <f>IFERROR(__xludf.DUMMYFUNCTION("""COMPUTED_VALUE"""),64.70588235294117)</f>
        <v>64.70588235</v>
      </c>
      <c r="AT109" s="48">
        <f>IFERROR(__xludf.DUMMYFUNCTION("""COMPUTED_VALUE"""),23.809523809523807)</f>
        <v>23.80952381</v>
      </c>
      <c r="AU109" s="48">
        <f>IFERROR(__xludf.DUMMYFUNCTION("""COMPUTED_VALUE"""),4.761904761904762)</f>
        <v>4.761904762</v>
      </c>
      <c r="AV109" s="48">
        <f>IFERROR(__xludf.DUMMYFUNCTION("""COMPUTED_VALUE"""),19.047619047619047)</f>
        <v>19.04761905</v>
      </c>
      <c r="AW109" s="48">
        <f>IFERROR(__xludf.DUMMYFUNCTION("""COMPUTED_VALUE"""),14.285714285714285)</f>
        <v>14.28571429</v>
      </c>
      <c r="AX109" s="48">
        <f>IFERROR(__xludf.DUMMYFUNCTION("""COMPUTED_VALUE"""),57.14285714285714)</f>
        <v>57.14285714</v>
      </c>
      <c r="AY109" s="48">
        <f>IFERROR(__xludf.DUMMYFUNCTION("""COMPUTED_VALUE"""),1.0)</f>
        <v>1</v>
      </c>
      <c r="AZ109" s="48">
        <f>IFERROR(__xludf.DUMMYFUNCTION("""COMPUTED_VALUE"""),0.0)</f>
        <v>0</v>
      </c>
      <c r="BA109" s="48">
        <f>IFERROR(__xludf.DUMMYFUNCTION("""COMPUTED_VALUE"""),1.0)</f>
        <v>1</v>
      </c>
      <c r="BB109" s="48">
        <f>IFERROR(__xludf.DUMMYFUNCTION("""COMPUTED_VALUE"""),0.0)</f>
        <v>0</v>
      </c>
      <c r="BC109" s="48">
        <f>IFERROR(__xludf.DUMMYFUNCTION("""COMPUTED_VALUE"""),0.0)</f>
        <v>0</v>
      </c>
      <c r="BD109" s="48">
        <f>IFERROR(__xludf.DUMMYFUNCTION("""COMPUTED_VALUE"""),100.0)</f>
        <v>100</v>
      </c>
      <c r="BE109" s="48">
        <f>IFERROR(__xludf.DUMMYFUNCTION("""COMPUTED_VALUE"""),0.0)</f>
        <v>0</v>
      </c>
      <c r="BF109" s="52"/>
      <c r="BG109" s="52"/>
      <c r="BH109" s="52"/>
      <c r="BI109" s="52"/>
      <c r="BJ109" s="52"/>
      <c r="BK109" s="52"/>
      <c r="BL109" s="52"/>
      <c r="BM109" s="54" t="s">
        <v>96</v>
      </c>
    </row>
    <row r="110">
      <c r="A110" s="42" t="s">
        <v>779</v>
      </c>
      <c r="B110" s="45" t="s">
        <v>780</v>
      </c>
      <c r="C110" s="45" t="s">
        <v>781</v>
      </c>
      <c r="D110" s="45" t="s">
        <v>125</v>
      </c>
      <c r="E110" s="45" t="s">
        <v>71</v>
      </c>
      <c r="F110" s="46">
        <v>42612.0</v>
      </c>
      <c r="G110" s="57"/>
      <c r="H110" s="48">
        <f t="shared" si="1"/>
        <v>53.91447368</v>
      </c>
      <c r="I110" s="49" t="s">
        <v>782</v>
      </c>
      <c r="J110" s="50" t="s">
        <v>783</v>
      </c>
      <c r="K110" s="45" t="s">
        <v>784</v>
      </c>
      <c r="L110" s="45" t="s">
        <v>785</v>
      </c>
      <c r="M110" s="51">
        <v>32431.0</v>
      </c>
      <c r="N110" s="52">
        <f t="shared" si="17"/>
        <v>32</v>
      </c>
      <c r="O110" s="45" t="s">
        <v>76</v>
      </c>
      <c r="P110" s="45" t="s">
        <v>77</v>
      </c>
      <c r="Q110" s="45" t="s">
        <v>77</v>
      </c>
      <c r="R110" s="52"/>
      <c r="S110" s="45" t="s">
        <v>79</v>
      </c>
      <c r="T110" s="45" t="s">
        <v>80</v>
      </c>
      <c r="U110" s="45" t="s">
        <v>81</v>
      </c>
      <c r="V110" s="45" t="s">
        <v>78</v>
      </c>
      <c r="W110" s="45" t="s">
        <v>79</v>
      </c>
      <c r="X110" s="45" t="s">
        <v>82</v>
      </c>
      <c r="Y110" s="45" t="s">
        <v>556</v>
      </c>
      <c r="Z110" s="45" t="s">
        <v>367</v>
      </c>
      <c r="AA110" s="58" t="s">
        <v>786</v>
      </c>
      <c r="AB110" s="52"/>
      <c r="AC110" s="53">
        <f t="shared" si="5"/>
        <v>828</v>
      </c>
      <c r="AD110" s="52"/>
      <c r="AE110" s="53">
        <f t="shared" si="11"/>
        <v>31</v>
      </c>
      <c r="AF110" s="53">
        <f t="shared" si="3"/>
        <v>797</v>
      </c>
      <c r="AG110" s="52">
        <f t="shared" si="22"/>
        <v>7970</v>
      </c>
      <c r="AH110" s="48">
        <f>IFERROR(__xludf.DUMMYFUNCTION("importrange(C110,""Sheet2!a4:x4"")"),30.066104078762308)</f>
        <v>30.06610408</v>
      </c>
      <c r="AI110" s="48">
        <f>IFERROR(__xludf.DUMMYFUNCTION("""COMPUTED_VALUE"""),24.0)</f>
        <v>24</v>
      </c>
      <c r="AJ110" s="48">
        <f>IFERROR(__xludf.DUMMYFUNCTION("""COMPUTED_VALUE"""),856.0)</f>
        <v>856</v>
      </c>
      <c r="AK110" s="53" t="str">
        <f>IFERROR(__xludf.DUMMYFUNCTION("""COMPUTED_VALUE"""),"Attended")</f>
        <v>Attended</v>
      </c>
      <c r="AL110" s="53">
        <f>IFERROR(__xludf.DUMMYFUNCTION("""COMPUTED_VALUE"""),856.0)</f>
        <v>856</v>
      </c>
      <c r="AM110" s="53">
        <f>IFERROR(__xludf.DUMMYFUNCTION("""COMPUTED_VALUE"""),723.0)</f>
        <v>723</v>
      </c>
      <c r="AN110" s="53">
        <f>IFERROR(__xludf.DUMMYFUNCTION("""COMPUTED_VALUE"""),715.0)</f>
        <v>715</v>
      </c>
      <c r="AO110" s="53">
        <f>IFERROR(__xludf.DUMMYFUNCTION("""COMPUTED_VALUE"""),27.0)</f>
        <v>27</v>
      </c>
      <c r="AP110" s="53">
        <f>IFERROR(__xludf.DUMMYFUNCTION("""COMPUTED_VALUE"""),8.0)</f>
        <v>8</v>
      </c>
      <c r="AQ110" s="53">
        <f>IFERROR(__xludf.DUMMYFUNCTION("""COMPUTED_VALUE"""),1.0)</f>
        <v>1</v>
      </c>
      <c r="AR110" s="53">
        <f>IFERROR(__xludf.DUMMYFUNCTION("""COMPUTED_VALUE"""),105.0)</f>
        <v>105</v>
      </c>
      <c r="AS110" s="53">
        <f>IFERROR(__xludf.DUMMYFUNCTION("""COMPUTED_VALUE"""),95.90643274853801)</f>
        <v>95.90643275</v>
      </c>
      <c r="AT110" s="48">
        <f>IFERROR(__xludf.DUMMYFUNCTION("""COMPUTED_VALUE"""),3.1542056074766354)</f>
        <v>3.154205607</v>
      </c>
      <c r="AU110" s="48">
        <f>IFERROR(__xludf.DUMMYFUNCTION("""COMPUTED_VALUE"""),0.9345794392523363)</f>
        <v>0.9345794393</v>
      </c>
      <c r="AV110" s="48">
        <f>IFERROR(__xludf.DUMMYFUNCTION("""COMPUTED_VALUE"""),0.11682242990654204)</f>
        <v>0.1168224299</v>
      </c>
      <c r="AW110" s="48">
        <f>IFERROR(__xludf.DUMMYFUNCTION("""COMPUTED_VALUE"""),12.266355140186915)</f>
        <v>12.26635514</v>
      </c>
      <c r="AX110" s="48">
        <f>IFERROR(__xludf.DUMMYFUNCTION("""COMPUTED_VALUE"""),96.72897196261682)</f>
        <v>96.72897196</v>
      </c>
      <c r="AY110" s="48">
        <f>IFERROR(__xludf.DUMMYFUNCTION("""COMPUTED_VALUE"""),2.0)</f>
        <v>2</v>
      </c>
      <c r="AZ110" s="48">
        <f>IFERROR(__xludf.DUMMYFUNCTION("""COMPUTED_VALUE"""),2.0)</f>
        <v>2</v>
      </c>
      <c r="BA110" s="48">
        <f>IFERROR(__xludf.DUMMYFUNCTION("""COMPUTED_VALUE"""),0.0)</f>
        <v>0</v>
      </c>
      <c r="BB110" s="48">
        <f>IFERROR(__xludf.DUMMYFUNCTION("""COMPUTED_VALUE"""),0.0)</f>
        <v>0</v>
      </c>
      <c r="BC110" s="48">
        <f>IFERROR(__xludf.DUMMYFUNCTION("""COMPUTED_VALUE"""),100.0)</f>
        <v>100</v>
      </c>
      <c r="BD110" s="48">
        <f>IFERROR(__xludf.DUMMYFUNCTION("""COMPUTED_VALUE"""),0.0)</f>
        <v>0</v>
      </c>
      <c r="BE110" s="48">
        <f>IFERROR(__xludf.DUMMYFUNCTION("""COMPUTED_VALUE"""),0.0)</f>
        <v>0</v>
      </c>
      <c r="BF110" s="52"/>
      <c r="BG110" s="52"/>
      <c r="BH110" s="52"/>
      <c r="BI110" s="52"/>
      <c r="BJ110" s="52"/>
      <c r="BK110" s="45">
        <v>2.0</v>
      </c>
      <c r="BL110" s="45">
        <v>1.0</v>
      </c>
      <c r="BM110" s="59" t="s">
        <v>85</v>
      </c>
    </row>
    <row r="111">
      <c r="A111" s="42" t="s">
        <v>787</v>
      </c>
      <c r="B111" s="45" t="s">
        <v>788</v>
      </c>
      <c r="C111" s="45" t="s">
        <v>789</v>
      </c>
      <c r="D111" s="45" t="s">
        <v>70</v>
      </c>
      <c r="E111" s="45" t="s">
        <v>71</v>
      </c>
      <c r="F111" s="46">
        <v>42666.0</v>
      </c>
      <c r="G111" s="47">
        <v>42733.0</v>
      </c>
      <c r="H111" s="48">
        <f t="shared" si="1"/>
        <v>2.203947368</v>
      </c>
      <c r="I111" s="49" t="s">
        <v>790</v>
      </c>
      <c r="J111" s="50" t="s">
        <v>791</v>
      </c>
      <c r="K111" s="45" t="s">
        <v>792</v>
      </c>
      <c r="L111" s="45" t="s">
        <v>793</v>
      </c>
      <c r="M111" s="76"/>
      <c r="N111" s="52">
        <f t="shared" si="17"/>
        <v>0</v>
      </c>
      <c r="O111" s="45" t="s">
        <v>76</v>
      </c>
      <c r="P111" s="45" t="s">
        <v>77</v>
      </c>
      <c r="Q111" s="45" t="s">
        <v>77</v>
      </c>
      <c r="R111" s="52"/>
      <c r="S111" s="45" t="s">
        <v>79</v>
      </c>
      <c r="T111" s="45" t="s">
        <v>94</v>
      </c>
      <c r="U111" s="45" t="s">
        <v>81</v>
      </c>
      <c r="V111" s="45" t="s">
        <v>78</v>
      </c>
      <c r="W111" s="45" t="s">
        <v>79</v>
      </c>
      <c r="X111" s="45" t="s">
        <v>82</v>
      </c>
      <c r="Y111" s="45" t="s">
        <v>544</v>
      </c>
      <c r="Z111" s="52"/>
      <c r="AA111" s="62"/>
      <c r="AB111" s="52"/>
      <c r="AC111" s="53">
        <f t="shared" si="5"/>
        <v>15</v>
      </c>
      <c r="AD111" s="52"/>
      <c r="AE111" s="53">
        <f t="shared" si="11"/>
        <v>2</v>
      </c>
      <c r="AF111" s="53">
        <f t="shared" si="3"/>
        <v>13</v>
      </c>
      <c r="AG111" s="52">
        <f t="shared" si="22"/>
        <v>130</v>
      </c>
      <c r="AH111" s="48">
        <f>IFERROR(__xludf.DUMMYFUNCTION("importrange(C111,""Sheet2!a4:x4"")"),36.1)</f>
        <v>36.1</v>
      </c>
      <c r="AI111" s="48">
        <f>IFERROR(__xludf.DUMMYFUNCTION("""COMPUTED_VALUE"""),2.0)</f>
        <v>2</v>
      </c>
      <c r="AJ111" s="48">
        <f>IFERROR(__xludf.DUMMYFUNCTION("""COMPUTED_VALUE"""),17.0)</f>
        <v>17</v>
      </c>
      <c r="AK111" s="53" t="str">
        <f>IFERROR(__xludf.DUMMYFUNCTION("""COMPUTED_VALUE"""),"Absent")</f>
        <v>Absent</v>
      </c>
      <c r="AL111" s="53">
        <f>IFERROR(__xludf.DUMMYFUNCTION("""COMPUTED_VALUE"""),17.0)</f>
        <v>17</v>
      </c>
      <c r="AM111" s="53">
        <f>IFERROR(__xludf.DUMMYFUNCTION("""COMPUTED_VALUE"""),10.0)</f>
        <v>10</v>
      </c>
      <c r="AN111" s="53">
        <f>IFERROR(__xludf.DUMMYFUNCTION("""COMPUTED_VALUE"""),10.0)</f>
        <v>10</v>
      </c>
      <c r="AO111" s="53">
        <f>IFERROR(__xludf.DUMMYFUNCTION("""COMPUTED_VALUE"""),2.0)</f>
        <v>2</v>
      </c>
      <c r="AP111" s="53">
        <f>IFERROR(__xludf.DUMMYFUNCTION("""COMPUTED_VALUE"""),0.0)</f>
        <v>0</v>
      </c>
      <c r="AQ111" s="53">
        <f>IFERROR(__xludf.DUMMYFUNCTION("""COMPUTED_VALUE"""),0.0)</f>
        <v>0</v>
      </c>
      <c r="AR111" s="53">
        <f>IFERROR(__xludf.DUMMYFUNCTION("""COMPUTED_VALUE"""),5.0)</f>
        <v>5</v>
      </c>
      <c r="AS111" s="53">
        <f>IFERROR(__xludf.DUMMYFUNCTION("""COMPUTED_VALUE"""),88.23529411764706)</f>
        <v>88.23529412</v>
      </c>
      <c r="AT111" s="48">
        <f>IFERROR(__xludf.DUMMYFUNCTION("""COMPUTED_VALUE"""),11.76470588235294)</f>
        <v>11.76470588</v>
      </c>
      <c r="AU111" s="48">
        <f>IFERROR(__xludf.DUMMYFUNCTION("""COMPUTED_VALUE"""),0.0)</f>
        <v>0</v>
      </c>
      <c r="AV111" s="48">
        <f>IFERROR(__xludf.DUMMYFUNCTION("""COMPUTED_VALUE"""),0.0)</f>
        <v>0</v>
      </c>
      <c r="AW111" s="48">
        <f>IFERROR(__xludf.DUMMYFUNCTION("""COMPUTED_VALUE"""),29.411764705882355)</f>
        <v>29.41176471</v>
      </c>
      <c r="AX111" s="48">
        <f>IFERROR(__xludf.DUMMYFUNCTION("""COMPUTED_VALUE"""),88.23529411764706)</f>
        <v>88.23529412</v>
      </c>
      <c r="AY111" s="48">
        <f>IFERROR(__xludf.DUMMYFUNCTION("""COMPUTED_VALUE"""),8.0)</f>
        <v>8</v>
      </c>
      <c r="AZ111" s="48">
        <f>IFERROR(__xludf.DUMMYFUNCTION("""COMPUTED_VALUE"""),7.0)</f>
        <v>7</v>
      </c>
      <c r="BA111" s="48">
        <f>IFERROR(__xludf.DUMMYFUNCTION("""COMPUTED_VALUE"""),1.0)</f>
        <v>1</v>
      </c>
      <c r="BB111" s="48">
        <f>IFERROR(__xludf.DUMMYFUNCTION("""COMPUTED_VALUE"""),0.0)</f>
        <v>0</v>
      </c>
      <c r="BC111" s="48">
        <f>IFERROR(__xludf.DUMMYFUNCTION("""COMPUTED_VALUE"""),87.5)</f>
        <v>87.5</v>
      </c>
      <c r="BD111" s="48">
        <f>IFERROR(__xludf.DUMMYFUNCTION("""COMPUTED_VALUE"""),12.5)</f>
        <v>12.5</v>
      </c>
      <c r="BE111" s="48">
        <f>IFERROR(__xludf.DUMMYFUNCTION("""COMPUTED_VALUE"""),0.0)</f>
        <v>0</v>
      </c>
      <c r="BF111" s="52"/>
      <c r="BG111" s="52"/>
      <c r="BH111" s="52"/>
      <c r="BI111" s="52"/>
      <c r="BJ111" s="52"/>
      <c r="BK111" s="52"/>
      <c r="BL111" s="52"/>
      <c r="BM111" s="54" t="s">
        <v>96</v>
      </c>
    </row>
    <row r="112">
      <c r="A112" s="42" t="s">
        <v>794</v>
      </c>
      <c r="B112" s="45" t="s">
        <v>795</v>
      </c>
      <c r="C112" s="45" t="s">
        <v>796</v>
      </c>
      <c r="D112" s="45" t="s">
        <v>125</v>
      </c>
      <c r="E112" s="45" t="s">
        <v>71</v>
      </c>
      <c r="F112" s="46">
        <v>42702.0</v>
      </c>
      <c r="G112" s="57"/>
      <c r="H112" s="48">
        <f t="shared" si="1"/>
        <v>50.95394737</v>
      </c>
      <c r="I112" s="49" t="s">
        <v>797</v>
      </c>
      <c r="J112" s="50" t="s">
        <v>798</v>
      </c>
      <c r="K112" s="45" t="s">
        <v>799</v>
      </c>
      <c r="L112" s="45" t="s">
        <v>800</v>
      </c>
      <c r="M112" s="51">
        <v>32841.0</v>
      </c>
      <c r="N112" s="52">
        <f t="shared" si="17"/>
        <v>31</v>
      </c>
      <c r="O112" s="45" t="s">
        <v>76</v>
      </c>
      <c r="P112" s="45" t="s">
        <v>77</v>
      </c>
      <c r="Q112" s="45" t="s">
        <v>77</v>
      </c>
      <c r="R112" s="52"/>
      <c r="S112" s="45" t="s">
        <v>79</v>
      </c>
      <c r="T112" s="45" t="s">
        <v>94</v>
      </c>
      <c r="U112" s="45" t="s">
        <v>81</v>
      </c>
      <c r="V112" s="45" t="s">
        <v>78</v>
      </c>
      <c r="W112" s="45" t="s">
        <v>79</v>
      </c>
      <c r="X112" s="45" t="s">
        <v>82</v>
      </c>
      <c r="Y112" s="45" t="s">
        <v>556</v>
      </c>
      <c r="Z112" s="52"/>
      <c r="AA112" s="58" t="s">
        <v>801</v>
      </c>
      <c r="AB112" s="45">
        <v>1.006451139E9</v>
      </c>
      <c r="AC112" s="53">
        <f t="shared" si="5"/>
        <v>226</v>
      </c>
      <c r="AD112" s="52"/>
      <c r="AE112" s="53">
        <f t="shared" si="11"/>
        <v>12</v>
      </c>
      <c r="AF112" s="53">
        <f t="shared" si="3"/>
        <v>214</v>
      </c>
      <c r="AG112" s="52">
        <f t="shared" si="22"/>
        <v>2140</v>
      </c>
      <c r="AH112" s="48">
        <f>IFERROR(__xludf.DUMMYFUNCTION("importrange(C112,""Sheet2!a4:x4"")"),30.666666666666668)</f>
        <v>30.66666667</v>
      </c>
      <c r="AI112" s="48">
        <f>IFERROR(__xludf.DUMMYFUNCTION("""COMPUTED_VALUE"""),11.0)</f>
        <v>11</v>
      </c>
      <c r="AJ112" s="48">
        <f>IFERROR(__xludf.DUMMYFUNCTION("""COMPUTED_VALUE"""),245.0)</f>
        <v>245</v>
      </c>
      <c r="AK112" s="53" t="str">
        <f>IFERROR(__xludf.DUMMYFUNCTION("""COMPUTED_VALUE"""),"Attended")</f>
        <v>Attended</v>
      </c>
      <c r="AL112" s="53">
        <f>IFERROR(__xludf.DUMMYFUNCTION("""COMPUTED_VALUE"""),245.0)</f>
        <v>245</v>
      </c>
      <c r="AM112" s="53">
        <f>IFERROR(__xludf.DUMMYFUNCTION("""COMPUTED_VALUE"""),194.0)</f>
        <v>194</v>
      </c>
      <c r="AN112" s="53">
        <f>IFERROR(__xludf.DUMMYFUNCTION("""COMPUTED_VALUE"""),188.0)</f>
        <v>188</v>
      </c>
      <c r="AO112" s="53">
        <f>IFERROR(__xludf.DUMMYFUNCTION("""COMPUTED_VALUE"""),9.0)</f>
        <v>9</v>
      </c>
      <c r="AP112" s="53">
        <f>IFERROR(__xludf.DUMMYFUNCTION("""COMPUTED_VALUE"""),6.0)</f>
        <v>6</v>
      </c>
      <c r="AQ112" s="53">
        <f>IFERROR(__xludf.DUMMYFUNCTION("""COMPUTED_VALUE"""),10.0)</f>
        <v>10</v>
      </c>
      <c r="AR112" s="53">
        <f>IFERROR(__xludf.DUMMYFUNCTION("""COMPUTED_VALUE"""),32.0)</f>
        <v>32</v>
      </c>
      <c r="AS112" s="53">
        <f>IFERROR(__xludf.DUMMYFUNCTION("""COMPUTED_VALUE"""),93.61702127659575)</f>
        <v>93.61702128</v>
      </c>
      <c r="AT112" s="48">
        <f>IFERROR(__xludf.DUMMYFUNCTION("""COMPUTED_VALUE"""),3.6734693877551026)</f>
        <v>3.673469388</v>
      </c>
      <c r="AU112" s="48">
        <f>IFERROR(__xludf.DUMMYFUNCTION("""COMPUTED_VALUE"""),2.4489795918367347)</f>
        <v>2.448979592</v>
      </c>
      <c r="AV112" s="48">
        <f>IFERROR(__xludf.DUMMYFUNCTION("""COMPUTED_VALUE"""),4.081632653061225)</f>
        <v>4.081632653</v>
      </c>
      <c r="AW112" s="48">
        <f>IFERROR(__xludf.DUMMYFUNCTION("""COMPUTED_VALUE"""),13.061224489795919)</f>
        <v>13.06122449</v>
      </c>
      <c r="AX112" s="48">
        <f>IFERROR(__xludf.DUMMYFUNCTION("""COMPUTED_VALUE"""),92.24489795918367)</f>
        <v>92.24489796</v>
      </c>
      <c r="AY112" s="48">
        <f>IFERROR(__xludf.DUMMYFUNCTION("""COMPUTED_VALUE"""),101.0)</f>
        <v>101</v>
      </c>
      <c r="AZ112" s="48">
        <f>IFERROR(__xludf.DUMMYFUNCTION("""COMPUTED_VALUE"""),86.0)</f>
        <v>86</v>
      </c>
      <c r="BA112" s="48">
        <f>IFERROR(__xludf.DUMMYFUNCTION("""COMPUTED_VALUE"""),15.0)</f>
        <v>15</v>
      </c>
      <c r="BB112" s="48">
        <f>IFERROR(__xludf.DUMMYFUNCTION("""COMPUTED_VALUE"""),1.0)</f>
        <v>1</v>
      </c>
      <c r="BC112" s="48">
        <f>IFERROR(__xludf.DUMMYFUNCTION("""COMPUTED_VALUE"""),85.14851485148515)</f>
        <v>85.14851485</v>
      </c>
      <c r="BD112" s="48">
        <f>IFERROR(__xludf.DUMMYFUNCTION("""COMPUTED_VALUE"""),14.85148514851485)</f>
        <v>14.85148515</v>
      </c>
      <c r="BE112" s="48">
        <f>IFERROR(__xludf.DUMMYFUNCTION("""COMPUTED_VALUE"""),0.9803921568627451)</f>
        <v>0.9803921569</v>
      </c>
      <c r="BF112" s="52"/>
      <c r="BG112" s="52"/>
      <c r="BH112" s="52"/>
      <c r="BI112" s="52"/>
      <c r="BJ112" s="52"/>
      <c r="BK112" s="45">
        <v>2.0</v>
      </c>
      <c r="BL112" s="45">
        <v>1.0</v>
      </c>
      <c r="BM112" s="59" t="s">
        <v>96</v>
      </c>
    </row>
    <row r="113">
      <c r="A113" s="42" t="s">
        <v>802</v>
      </c>
      <c r="B113" s="45" t="s">
        <v>123</v>
      </c>
      <c r="C113" s="45" t="s">
        <v>803</v>
      </c>
      <c r="D113" s="42" t="s">
        <v>125</v>
      </c>
      <c r="E113" s="42" t="s">
        <v>71</v>
      </c>
      <c r="F113" s="46">
        <v>40700.0</v>
      </c>
      <c r="G113" s="57"/>
      <c r="H113" s="48">
        <f t="shared" si="1"/>
        <v>116.8092105</v>
      </c>
      <c r="I113" s="77"/>
      <c r="J113" s="50" t="s">
        <v>804</v>
      </c>
      <c r="K113" s="42" t="s">
        <v>127</v>
      </c>
      <c r="L113" s="42" t="s">
        <v>805</v>
      </c>
      <c r="M113" s="51">
        <v>26665.0</v>
      </c>
      <c r="N113" s="52">
        <f t="shared" si="17"/>
        <v>48</v>
      </c>
      <c r="O113" s="45" t="s">
        <v>76</v>
      </c>
      <c r="P113" s="52"/>
      <c r="Q113" s="52"/>
      <c r="R113" s="52"/>
      <c r="S113" s="42" t="s">
        <v>79</v>
      </c>
      <c r="T113" s="45" t="s">
        <v>129</v>
      </c>
      <c r="U113" s="45" t="s">
        <v>81</v>
      </c>
      <c r="V113" s="45" t="s">
        <v>78</v>
      </c>
      <c r="W113" s="42" t="s">
        <v>79</v>
      </c>
      <c r="X113" s="42" t="s">
        <v>82</v>
      </c>
      <c r="Y113" s="45" t="s">
        <v>556</v>
      </c>
      <c r="Z113" s="45" t="s">
        <v>84</v>
      </c>
      <c r="AA113" s="64"/>
      <c r="AB113" s="52"/>
      <c r="AC113" s="53">
        <f t="shared" si="5"/>
        <v>125</v>
      </c>
      <c r="AD113" s="52"/>
      <c r="AE113" s="53">
        <f t="shared" si="11"/>
        <v>14</v>
      </c>
      <c r="AF113" s="53">
        <f t="shared" si="3"/>
        <v>111</v>
      </c>
      <c r="AG113" s="52">
        <f t="shared" si="22"/>
        <v>1110</v>
      </c>
      <c r="AH113" s="48">
        <f>IFERROR(__xludf.DUMMYFUNCTION("importrange(C113,""Sheet2!a4:x4"")"),30.97222222222222)</f>
        <v>30.97222222</v>
      </c>
      <c r="AI113" s="48">
        <f>IFERROR(__xludf.DUMMYFUNCTION("""COMPUTED_VALUE"""),11.0)</f>
        <v>11</v>
      </c>
      <c r="AJ113" s="48">
        <f>IFERROR(__xludf.DUMMYFUNCTION("""COMPUTED_VALUE"""),139.0)</f>
        <v>139</v>
      </c>
      <c r="AK113" s="53" t="str">
        <f>IFERROR(__xludf.DUMMYFUNCTION("""COMPUTED_VALUE"""),"Attended")</f>
        <v>Attended</v>
      </c>
      <c r="AL113" s="53">
        <f>IFERROR(__xludf.DUMMYFUNCTION("""COMPUTED_VALUE"""),139.0)</f>
        <v>139</v>
      </c>
      <c r="AM113" s="53">
        <f>IFERROR(__xludf.DUMMYFUNCTION("""COMPUTED_VALUE"""),74.0)</f>
        <v>74</v>
      </c>
      <c r="AN113" s="53">
        <f>IFERROR(__xludf.DUMMYFUNCTION("""COMPUTED_VALUE"""),72.0)</f>
        <v>72</v>
      </c>
      <c r="AO113" s="53">
        <f>IFERROR(__xludf.DUMMYFUNCTION("""COMPUTED_VALUE"""),13.0)</f>
        <v>13</v>
      </c>
      <c r="AP113" s="53">
        <f>IFERROR(__xludf.DUMMYFUNCTION("""COMPUTED_VALUE"""),2.0)</f>
        <v>2</v>
      </c>
      <c r="AQ113" s="53">
        <f>IFERROR(__xludf.DUMMYFUNCTION("""COMPUTED_VALUE"""),1.0)</f>
        <v>1</v>
      </c>
      <c r="AR113" s="53">
        <f>IFERROR(__xludf.DUMMYFUNCTION("""COMPUTED_VALUE"""),51.0)</f>
        <v>51</v>
      </c>
      <c r="AS113" s="53">
        <f>IFERROR(__xludf.DUMMYFUNCTION("""COMPUTED_VALUE"""),89.13043478260869)</f>
        <v>89.13043478</v>
      </c>
      <c r="AT113" s="48">
        <f>IFERROR(__xludf.DUMMYFUNCTION("""COMPUTED_VALUE"""),9.352517985611511)</f>
        <v>9.352517986</v>
      </c>
      <c r="AU113" s="48">
        <f>IFERROR(__xludf.DUMMYFUNCTION("""COMPUTED_VALUE"""),1.4388489208633095)</f>
        <v>1.438848921</v>
      </c>
      <c r="AV113" s="48">
        <f>IFERROR(__xludf.DUMMYFUNCTION("""COMPUTED_VALUE"""),0.7194244604316548)</f>
        <v>0.7194244604</v>
      </c>
      <c r="AW113" s="48">
        <f>IFERROR(__xludf.DUMMYFUNCTION("""COMPUTED_VALUE"""),36.69064748201439)</f>
        <v>36.69064748</v>
      </c>
      <c r="AX113" s="48">
        <f>IFERROR(__xludf.DUMMYFUNCTION("""COMPUTED_VALUE"""),89.92805755395683)</f>
        <v>89.92805755</v>
      </c>
      <c r="AY113" s="48">
        <f>IFERROR(__xludf.DUMMYFUNCTION("""COMPUTED_VALUE"""),52.0)</f>
        <v>52</v>
      </c>
      <c r="AZ113" s="48">
        <f>IFERROR(__xludf.DUMMYFUNCTION("""COMPUTED_VALUE"""),52.0)</f>
        <v>52</v>
      </c>
      <c r="BA113" s="48">
        <f>IFERROR(__xludf.DUMMYFUNCTION("""COMPUTED_VALUE"""),0.0)</f>
        <v>0</v>
      </c>
      <c r="BB113" s="48">
        <f>IFERROR(__xludf.DUMMYFUNCTION("""COMPUTED_VALUE"""),0.0)</f>
        <v>0</v>
      </c>
      <c r="BC113" s="48">
        <f>IFERROR(__xludf.DUMMYFUNCTION("""COMPUTED_VALUE"""),100.0)</f>
        <v>100</v>
      </c>
      <c r="BD113" s="48">
        <f>IFERROR(__xludf.DUMMYFUNCTION("""COMPUTED_VALUE"""),0.0)</f>
        <v>0</v>
      </c>
      <c r="BE113" s="48">
        <f>IFERROR(__xludf.DUMMYFUNCTION("""COMPUTED_VALUE"""),0.0)</f>
        <v>0</v>
      </c>
      <c r="BF113" s="52"/>
      <c r="BG113" s="52"/>
      <c r="BH113" s="52"/>
      <c r="BI113" s="52"/>
      <c r="BJ113" s="52"/>
      <c r="BK113" s="45">
        <v>4.0</v>
      </c>
      <c r="BL113" s="45">
        <v>1.0</v>
      </c>
      <c r="BM113" s="59" t="s">
        <v>132</v>
      </c>
    </row>
    <row r="114">
      <c r="A114" s="42" t="s">
        <v>806</v>
      </c>
      <c r="B114" s="45" t="s">
        <v>807</v>
      </c>
      <c r="C114" s="45" t="s">
        <v>808</v>
      </c>
      <c r="D114" s="45" t="s">
        <v>125</v>
      </c>
      <c r="E114" s="45" t="s">
        <v>71</v>
      </c>
      <c r="F114" s="46">
        <v>43417.0</v>
      </c>
      <c r="G114" s="57"/>
      <c r="H114" s="48">
        <f t="shared" si="1"/>
        <v>27.43421053</v>
      </c>
      <c r="I114" s="49" t="s">
        <v>809</v>
      </c>
      <c r="J114" s="50" t="s">
        <v>810</v>
      </c>
      <c r="K114" s="45" t="s">
        <v>811</v>
      </c>
      <c r="L114" s="45" t="s">
        <v>812</v>
      </c>
      <c r="M114" s="51">
        <v>33239.0</v>
      </c>
      <c r="N114" s="52">
        <f t="shared" si="17"/>
        <v>30</v>
      </c>
      <c r="O114" s="52"/>
      <c r="P114" s="45" t="s">
        <v>77</v>
      </c>
      <c r="Q114" s="45" t="s">
        <v>77</v>
      </c>
      <c r="R114" s="52"/>
      <c r="S114" s="42" t="s">
        <v>79</v>
      </c>
      <c r="T114" s="45" t="s">
        <v>80</v>
      </c>
      <c r="U114" s="45" t="s">
        <v>81</v>
      </c>
      <c r="V114" s="45" t="s">
        <v>78</v>
      </c>
      <c r="W114" s="42" t="s">
        <v>79</v>
      </c>
      <c r="X114" s="42" t="s">
        <v>82</v>
      </c>
      <c r="Y114" s="45" t="s">
        <v>813</v>
      </c>
      <c r="Z114" s="45" t="s">
        <v>84</v>
      </c>
      <c r="AA114" s="62"/>
      <c r="AB114" s="52"/>
      <c r="AC114" s="53">
        <f t="shared" si="5"/>
        <v>679</v>
      </c>
      <c r="AD114" s="45">
        <v>598.0</v>
      </c>
      <c r="AE114" s="53">
        <f t="shared" si="11"/>
        <v>23</v>
      </c>
      <c r="AF114" s="53">
        <f t="shared" si="3"/>
        <v>58</v>
      </c>
      <c r="AG114" s="52">
        <f t="shared" ref="AG114:AG118" si="23">(AF114*50)</f>
        <v>2900</v>
      </c>
      <c r="AH114" s="48">
        <f>IFERROR(__xludf.DUMMYFUNCTION("importrange(C114,""Sheet2!a4:x4"")"),54.91619047619048)</f>
        <v>54.91619048</v>
      </c>
      <c r="AI114" s="48">
        <f>IFERROR(__xludf.DUMMYFUNCTION("""COMPUTED_VALUE"""),19.0)</f>
        <v>19</v>
      </c>
      <c r="AJ114" s="48">
        <f>IFERROR(__xludf.DUMMYFUNCTION("""COMPUTED_VALUE"""),734.0)</f>
        <v>734</v>
      </c>
      <c r="AK114" s="53" t="str">
        <f>IFERROR(__xludf.DUMMYFUNCTION("""COMPUTED_VALUE"""),"Attended")</f>
        <v>Attended</v>
      </c>
      <c r="AL114" s="53">
        <f>IFERROR(__xludf.DUMMYFUNCTION("""COMPUTED_VALUE"""),734.0)</f>
        <v>734</v>
      </c>
      <c r="AM114" s="53">
        <f>IFERROR(__xludf.DUMMYFUNCTION("""COMPUTED_VALUE"""),556.0)</f>
        <v>556</v>
      </c>
      <c r="AN114" s="53">
        <f>IFERROR(__xludf.DUMMYFUNCTION("""COMPUTED_VALUE"""),556.0)</f>
        <v>556</v>
      </c>
      <c r="AO114" s="53">
        <f>IFERROR(__xludf.DUMMYFUNCTION("""COMPUTED_VALUE"""),23.0)</f>
        <v>23</v>
      </c>
      <c r="AP114" s="53">
        <f>IFERROR(__xludf.DUMMYFUNCTION("""COMPUTED_VALUE"""),0.0)</f>
        <v>0</v>
      </c>
      <c r="AQ114" s="53">
        <f>IFERROR(__xludf.DUMMYFUNCTION("""COMPUTED_VALUE"""),32.0)</f>
        <v>32</v>
      </c>
      <c r="AR114" s="53">
        <f>IFERROR(__xludf.DUMMYFUNCTION("""COMPUTED_VALUE"""),123.0)</f>
        <v>123</v>
      </c>
      <c r="AS114" s="53">
        <f>IFERROR(__xludf.DUMMYFUNCTION("""COMPUTED_VALUE"""),96.72364672364672)</f>
        <v>96.72364672</v>
      </c>
      <c r="AT114" s="48">
        <f>IFERROR(__xludf.DUMMYFUNCTION("""COMPUTED_VALUE"""),3.1335149863760217)</f>
        <v>3.133514986</v>
      </c>
      <c r="AU114" s="48">
        <f>IFERROR(__xludf.DUMMYFUNCTION("""COMPUTED_VALUE"""),0.0)</f>
        <v>0</v>
      </c>
      <c r="AV114" s="48">
        <f>IFERROR(__xludf.DUMMYFUNCTION("""COMPUTED_VALUE"""),4.35967302452316)</f>
        <v>4.359673025</v>
      </c>
      <c r="AW114" s="48">
        <f>IFERROR(__xludf.DUMMYFUNCTION("""COMPUTED_VALUE"""),16.7574931880109)</f>
        <v>16.75749319</v>
      </c>
      <c r="AX114" s="48">
        <f>IFERROR(__xludf.DUMMYFUNCTION("""COMPUTED_VALUE"""),92.50681198910081)</f>
        <v>92.50681199</v>
      </c>
      <c r="AY114" s="48">
        <f>IFERROR(__xludf.DUMMYFUNCTION("""COMPUTED_VALUE"""),25.0)</f>
        <v>25</v>
      </c>
      <c r="AZ114" s="48">
        <f>IFERROR(__xludf.DUMMYFUNCTION("""COMPUTED_VALUE"""),5.0)</f>
        <v>5</v>
      </c>
      <c r="BA114" s="48">
        <f>IFERROR(__xludf.DUMMYFUNCTION("""COMPUTED_VALUE"""),20.0)</f>
        <v>20</v>
      </c>
      <c r="BB114" s="48">
        <f>IFERROR(__xludf.DUMMYFUNCTION("""COMPUTED_VALUE"""),1.0)</f>
        <v>1</v>
      </c>
      <c r="BC114" s="48">
        <f>IFERROR(__xludf.DUMMYFUNCTION("""COMPUTED_VALUE"""),20.0)</f>
        <v>20</v>
      </c>
      <c r="BD114" s="48">
        <f>IFERROR(__xludf.DUMMYFUNCTION("""COMPUTED_VALUE"""),80.0)</f>
        <v>80</v>
      </c>
      <c r="BE114" s="48">
        <f>IFERROR(__xludf.DUMMYFUNCTION("""COMPUTED_VALUE"""),3.8461538461538463)</f>
        <v>3.846153846</v>
      </c>
      <c r="BF114" s="52"/>
      <c r="BG114" s="52"/>
      <c r="BH114" s="52"/>
      <c r="BI114" s="52"/>
      <c r="BJ114" s="52"/>
      <c r="BK114" s="45">
        <v>4.0</v>
      </c>
      <c r="BL114" s="45">
        <v>1.0</v>
      </c>
      <c r="BM114" s="59" t="s">
        <v>85</v>
      </c>
    </row>
    <row r="115">
      <c r="A115" s="42" t="s">
        <v>814</v>
      </c>
      <c r="B115" s="45" t="s">
        <v>815</v>
      </c>
      <c r="C115" s="45" t="s">
        <v>816</v>
      </c>
      <c r="D115" s="45" t="s">
        <v>125</v>
      </c>
      <c r="E115" s="45" t="s">
        <v>192</v>
      </c>
      <c r="F115" s="46">
        <v>43569.0</v>
      </c>
      <c r="G115" s="57"/>
      <c r="H115" s="48">
        <f t="shared" si="1"/>
        <v>22.43421053</v>
      </c>
      <c r="I115" s="49" t="s">
        <v>817</v>
      </c>
      <c r="J115" s="50" t="s">
        <v>818</v>
      </c>
      <c r="K115" s="45" t="s">
        <v>819</v>
      </c>
      <c r="L115" s="45" t="s">
        <v>820</v>
      </c>
      <c r="M115" s="51">
        <v>34182.0</v>
      </c>
      <c r="N115" s="52">
        <f t="shared" si="17"/>
        <v>27</v>
      </c>
      <c r="O115" s="45" t="s">
        <v>104</v>
      </c>
      <c r="P115" s="45" t="s">
        <v>77</v>
      </c>
      <c r="Q115" s="45" t="s">
        <v>77</v>
      </c>
      <c r="R115" s="52"/>
      <c r="S115" s="45" t="s">
        <v>79</v>
      </c>
      <c r="T115" s="45" t="s">
        <v>129</v>
      </c>
      <c r="U115" s="45" t="s">
        <v>81</v>
      </c>
      <c r="V115" s="45" t="s">
        <v>78</v>
      </c>
      <c r="W115" s="42" t="s">
        <v>79</v>
      </c>
      <c r="X115" s="45" t="s">
        <v>82</v>
      </c>
      <c r="Y115" s="45" t="s">
        <v>813</v>
      </c>
      <c r="Z115" s="45" t="s">
        <v>84</v>
      </c>
      <c r="AA115" s="62"/>
      <c r="AB115" s="52"/>
      <c r="AC115" s="53">
        <f t="shared" si="5"/>
        <v>103</v>
      </c>
      <c r="AD115" s="45">
        <v>99.5</v>
      </c>
      <c r="AE115" s="53">
        <f t="shared" si="11"/>
        <v>3.5</v>
      </c>
      <c r="AF115" s="53">
        <f t="shared" si="3"/>
        <v>0</v>
      </c>
      <c r="AG115" s="52">
        <f t="shared" si="23"/>
        <v>0</v>
      </c>
      <c r="AH115" s="48">
        <f>IFERROR(__xludf.DUMMYFUNCTION("importrange(C115,""Sheet2!a4:x4"")"),59.776119402985074)</f>
        <v>59.7761194</v>
      </c>
      <c r="AI115" s="48">
        <f>IFERROR(__xludf.DUMMYFUNCTION("""COMPUTED_VALUE"""),5.0)</f>
        <v>5</v>
      </c>
      <c r="AJ115" s="48">
        <f>IFERROR(__xludf.DUMMYFUNCTION("""COMPUTED_VALUE"""),106.0)</f>
        <v>106</v>
      </c>
      <c r="AK115" s="53" t="str">
        <f>IFERROR(__xludf.DUMMYFUNCTION("""COMPUTED_VALUE"""),"Attended")</f>
        <v>Attended</v>
      </c>
      <c r="AL115" s="53">
        <f>IFERROR(__xludf.DUMMYFUNCTION("""COMPUTED_VALUE"""),106.0)</f>
        <v>106</v>
      </c>
      <c r="AM115" s="53">
        <f>IFERROR(__xludf.DUMMYFUNCTION("""COMPUTED_VALUE"""),67.0)</f>
        <v>67</v>
      </c>
      <c r="AN115" s="53">
        <f>IFERROR(__xludf.DUMMYFUNCTION("""COMPUTED_VALUE"""),66.0)</f>
        <v>66</v>
      </c>
      <c r="AO115" s="53">
        <f>IFERROR(__xludf.DUMMYFUNCTION("""COMPUTED_VALUE"""),3.0)</f>
        <v>3</v>
      </c>
      <c r="AP115" s="53">
        <f>IFERROR(__xludf.DUMMYFUNCTION("""COMPUTED_VALUE"""),1.0)</f>
        <v>1</v>
      </c>
      <c r="AQ115" s="53">
        <f>IFERROR(__xludf.DUMMYFUNCTION("""COMPUTED_VALUE"""),0.0)</f>
        <v>0</v>
      </c>
      <c r="AR115" s="53">
        <f>IFERROR(__xludf.DUMMYFUNCTION("""COMPUTED_VALUE"""),36.0)</f>
        <v>36</v>
      </c>
      <c r="AS115" s="53">
        <f>IFERROR(__xludf.DUMMYFUNCTION("""COMPUTED_VALUE"""),96.22641509433963)</f>
        <v>96.22641509</v>
      </c>
      <c r="AT115" s="48">
        <f>IFERROR(__xludf.DUMMYFUNCTION("""COMPUTED_VALUE"""),2.8301886792452833)</f>
        <v>2.830188679</v>
      </c>
      <c r="AU115" s="48">
        <f>IFERROR(__xludf.DUMMYFUNCTION("""COMPUTED_VALUE"""),0.9433962264150944)</f>
        <v>0.9433962264</v>
      </c>
      <c r="AV115" s="48">
        <f>IFERROR(__xludf.DUMMYFUNCTION("""COMPUTED_VALUE"""),0.0)</f>
        <v>0</v>
      </c>
      <c r="AW115" s="48">
        <f>IFERROR(__xludf.DUMMYFUNCTION("""COMPUTED_VALUE"""),33.9622641509434)</f>
        <v>33.96226415</v>
      </c>
      <c r="AX115" s="48">
        <f>IFERROR(__xludf.DUMMYFUNCTION("""COMPUTED_VALUE"""),97.16981132075472)</f>
        <v>97.16981132</v>
      </c>
      <c r="AY115" s="48">
        <f>IFERROR(__xludf.DUMMYFUNCTION("""COMPUTED_VALUE"""),30.0)</f>
        <v>30</v>
      </c>
      <c r="AZ115" s="48">
        <f>IFERROR(__xludf.DUMMYFUNCTION("""COMPUTED_VALUE"""),15.0)</f>
        <v>15</v>
      </c>
      <c r="BA115" s="48">
        <f>IFERROR(__xludf.DUMMYFUNCTION("""COMPUTED_VALUE"""),15.0)</f>
        <v>15</v>
      </c>
      <c r="BB115" s="48">
        <f>IFERROR(__xludf.DUMMYFUNCTION("""COMPUTED_VALUE"""),2.0)</f>
        <v>2</v>
      </c>
      <c r="BC115" s="48">
        <f>IFERROR(__xludf.DUMMYFUNCTION("""COMPUTED_VALUE"""),50.0)</f>
        <v>50</v>
      </c>
      <c r="BD115" s="48">
        <f>IFERROR(__xludf.DUMMYFUNCTION("""COMPUTED_VALUE"""),50.0)</f>
        <v>50</v>
      </c>
      <c r="BE115" s="48">
        <f>IFERROR(__xludf.DUMMYFUNCTION("""COMPUTED_VALUE"""),6.25)</f>
        <v>6.25</v>
      </c>
      <c r="BF115" s="52"/>
      <c r="BG115" s="52"/>
      <c r="BH115" s="52"/>
      <c r="BI115" s="52"/>
      <c r="BJ115" s="52"/>
      <c r="BK115" s="52"/>
      <c r="BL115" s="52"/>
      <c r="BM115" s="54" t="s">
        <v>132</v>
      </c>
    </row>
    <row r="116">
      <c r="A116" s="42" t="s">
        <v>821</v>
      </c>
      <c r="B116" s="45" t="s">
        <v>822</v>
      </c>
      <c r="C116" s="45" t="s">
        <v>823</v>
      </c>
      <c r="D116" s="45" t="s">
        <v>125</v>
      </c>
      <c r="E116" s="45" t="s">
        <v>71</v>
      </c>
      <c r="F116" s="46">
        <v>43732.0</v>
      </c>
      <c r="G116" s="57"/>
      <c r="H116" s="48">
        <f t="shared" si="1"/>
        <v>17.07236842</v>
      </c>
      <c r="I116" s="49" t="s">
        <v>824</v>
      </c>
      <c r="J116" s="50" t="s">
        <v>825</v>
      </c>
      <c r="K116" s="45" t="s">
        <v>826</v>
      </c>
      <c r="L116" s="45" t="s">
        <v>827</v>
      </c>
      <c r="M116" s="51">
        <v>31643.0</v>
      </c>
      <c r="N116" s="52">
        <f t="shared" si="17"/>
        <v>34</v>
      </c>
      <c r="O116" s="45" t="s">
        <v>76</v>
      </c>
      <c r="P116" s="45" t="s">
        <v>77</v>
      </c>
      <c r="Q116" s="45" t="s">
        <v>78</v>
      </c>
      <c r="R116" s="52"/>
      <c r="S116" s="45" t="s">
        <v>79</v>
      </c>
      <c r="T116" s="45" t="s">
        <v>80</v>
      </c>
      <c r="U116" s="45" t="s">
        <v>81</v>
      </c>
      <c r="V116" s="45" t="s">
        <v>77</v>
      </c>
      <c r="W116" s="42" t="s">
        <v>79</v>
      </c>
      <c r="X116" s="45" t="s">
        <v>82</v>
      </c>
      <c r="Y116" s="45" t="s">
        <v>813</v>
      </c>
      <c r="Z116" s="45" t="s">
        <v>84</v>
      </c>
      <c r="AA116" s="50" t="s">
        <v>828</v>
      </c>
      <c r="AB116" s="52"/>
      <c r="AC116" s="53">
        <f t="shared" si="5"/>
        <v>188</v>
      </c>
      <c r="AD116" s="45">
        <v>162.0</v>
      </c>
      <c r="AE116" s="53">
        <f t="shared" si="11"/>
        <v>7</v>
      </c>
      <c r="AF116" s="53">
        <f t="shared" si="3"/>
        <v>19</v>
      </c>
      <c r="AG116" s="52">
        <f t="shared" si="23"/>
        <v>950</v>
      </c>
      <c r="AH116" s="48">
        <f>IFERROR(__xludf.DUMMYFUNCTION("importrange(C116,""Sheet2!a4:x4"")"),51.107594936708864)</f>
        <v>51.10759494</v>
      </c>
      <c r="AI116" s="48">
        <f>IFERROR(__xludf.DUMMYFUNCTION("""COMPUTED_VALUE"""),4.0)</f>
        <v>4</v>
      </c>
      <c r="AJ116" s="48">
        <f>IFERROR(__xludf.DUMMYFUNCTION("""COMPUTED_VALUE"""),205.0)</f>
        <v>205</v>
      </c>
      <c r="AK116" s="53" t="str">
        <f>IFERROR(__xludf.DUMMYFUNCTION("""COMPUTED_VALUE"""),"Attended")</f>
        <v>Attended</v>
      </c>
      <c r="AL116" s="53">
        <f>IFERROR(__xludf.DUMMYFUNCTION("""COMPUTED_VALUE"""),205.0)</f>
        <v>205</v>
      </c>
      <c r="AM116" s="53">
        <f>IFERROR(__xludf.DUMMYFUNCTION("""COMPUTED_VALUE"""),160.0)</f>
        <v>160</v>
      </c>
      <c r="AN116" s="53">
        <f>IFERROR(__xludf.DUMMYFUNCTION("""COMPUTED_VALUE"""),158.0)</f>
        <v>158</v>
      </c>
      <c r="AO116" s="53">
        <f>IFERROR(__xludf.DUMMYFUNCTION("""COMPUTED_VALUE"""),6.0)</f>
        <v>6</v>
      </c>
      <c r="AP116" s="53">
        <f>IFERROR(__xludf.DUMMYFUNCTION("""COMPUTED_VALUE"""),2.0)</f>
        <v>2</v>
      </c>
      <c r="AQ116" s="53">
        <f>IFERROR(__xludf.DUMMYFUNCTION("""COMPUTED_VALUE"""),11.0)</f>
        <v>11</v>
      </c>
      <c r="AR116" s="53">
        <f>IFERROR(__xludf.DUMMYFUNCTION("""COMPUTED_VALUE"""),28.0)</f>
        <v>28</v>
      </c>
      <c r="AS116" s="53">
        <f>IFERROR(__xludf.DUMMYFUNCTION("""COMPUTED_VALUE"""),95.87628865979381)</f>
        <v>95.87628866</v>
      </c>
      <c r="AT116" s="48">
        <f>IFERROR(__xludf.DUMMYFUNCTION("""COMPUTED_VALUE"""),2.9268292682926833)</f>
        <v>2.926829268</v>
      </c>
      <c r="AU116" s="48">
        <f>IFERROR(__xludf.DUMMYFUNCTION("""COMPUTED_VALUE"""),0.975609756097561)</f>
        <v>0.9756097561</v>
      </c>
      <c r="AV116" s="48">
        <f>IFERROR(__xludf.DUMMYFUNCTION("""COMPUTED_VALUE"""),5.365853658536586)</f>
        <v>5.365853659</v>
      </c>
      <c r="AW116" s="48">
        <f>IFERROR(__xludf.DUMMYFUNCTION("""COMPUTED_VALUE"""),13.658536585365855)</f>
        <v>13.65853659</v>
      </c>
      <c r="AX116" s="48">
        <f>IFERROR(__xludf.DUMMYFUNCTION("""COMPUTED_VALUE"""),91.70731707317074)</f>
        <v>91.70731707</v>
      </c>
      <c r="AY116" s="48">
        <f>IFERROR(__xludf.DUMMYFUNCTION("""COMPUTED_VALUE"""),66.0)</f>
        <v>66</v>
      </c>
      <c r="AZ116" s="48">
        <f>IFERROR(__xludf.DUMMYFUNCTION("""COMPUTED_VALUE"""),58.0)</f>
        <v>58</v>
      </c>
      <c r="BA116" s="48">
        <f>IFERROR(__xludf.DUMMYFUNCTION("""COMPUTED_VALUE"""),8.0)</f>
        <v>8</v>
      </c>
      <c r="BB116" s="48">
        <f>IFERROR(__xludf.DUMMYFUNCTION("""COMPUTED_VALUE"""),3.0)</f>
        <v>3</v>
      </c>
      <c r="BC116" s="48">
        <f>IFERROR(__xludf.DUMMYFUNCTION("""COMPUTED_VALUE"""),87.87878787878788)</f>
        <v>87.87878788</v>
      </c>
      <c r="BD116" s="48">
        <f>IFERROR(__xludf.DUMMYFUNCTION("""COMPUTED_VALUE"""),12.121212121212121)</f>
        <v>12.12121212</v>
      </c>
      <c r="BE116" s="48">
        <f>IFERROR(__xludf.DUMMYFUNCTION("""COMPUTED_VALUE"""),4.3478260869565215)</f>
        <v>4.347826087</v>
      </c>
      <c r="BF116" s="52"/>
      <c r="BG116" s="52"/>
      <c r="BH116" s="52"/>
      <c r="BI116" s="52"/>
      <c r="BJ116" s="52"/>
      <c r="BK116" s="52"/>
      <c r="BL116" s="52"/>
      <c r="BM116" s="59" t="s">
        <v>85</v>
      </c>
    </row>
    <row r="117">
      <c r="A117" s="42" t="s">
        <v>829</v>
      </c>
      <c r="B117" s="45" t="s">
        <v>830</v>
      </c>
      <c r="C117" s="45" t="s">
        <v>831</v>
      </c>
      <c r="D117" s="45" t="s">
        <v>125</v>
      </c>
      <c r="E117" s="45" t="s">
        <v>71</v>
      </c>
      <c r="F117" s="46">
        <v>43927.0</v>
      </c>
      <c r="G117" s="57"/>
      <c r="H117" s="48">
        <f t="shared" si="1"/>
        <v>10.65789474</v>
      </c>
      <c r="I117" s="49" t="s">
        <v>832</v>
      </c>
      <c r="J117" s="50" t="s">
        <v>833</v>
      </c>
      <c r="K117" s="45" t="s">
        <v>834</v>
      </c>
      <c r="L117" s="45" t="s">
        <v>835</v>
      </c>
      <c r="M117" s="51">
        <v>31644.0</v>
      </c>
      <c r="N117" s="52">
        <f t="shared" si="17"/>
        <v>34</v>
      </c>
      <c r="O117" s="45" t="s">
        <v>76</v>
      </c>
      <c r="P117" s="45" t="s">
        <v>77</v>
      </c>
      <c r="Q117" s="45" t="s">
        <v>78</v>
      </c>
      <c r="R117" s="52"/>
      <c r="S117" s="45" t="s">
        <v>79</v>
      </c>
      <c r="T117" s="45" t="s">
        <v>80</v>
      </c>
      <c r="U117" s="45" t="s">
        <v>81</v>
      </c>
      <c r="V117" s="45" t="s">
        <v>77</v>
      </c>
      <c r="W117" s="42" t="s">
        <v>79</v>
      </c>
      <c r="X117" s="45" t="s">
        <v>82</v>
      </c>
      <c r="Y117" s="45" t="s">
        <v>813</v>
      </c>
      <c r="Z117" s="45" t="s">
        <v>84</v>
      </c>
      <c r="AA117" s="62"/>
      <c r="AB117" s="52"/>
      <c r="AC117" s="53">
        <f t="shared" si="5"/>
        <v>283</v>
      </c>
      <c r="AD117" s="45">
        <v>231.0</v>
      </c>
      <c r="AE117" s="53">
        <f t="shared" si="11"/>
        <v>4</v>
      </c>
      <c r="AF117" s="53">
        <f t="shared" si="3"/>
        <v>48</v>
      </c>
      <c r="AG117" s="52">
        <f t="shared" si="23"/>
        <v>2400</v>
      </c>
      <c r="AH117" s="48">
        <f>IFERROR(__xludf.DUMMYFUNCTION("importrange(C117,""Sheet2!a4:x4"")"),49.6173285198556)</f>
        <v>49.61732852</v>
      </c>
      <c r="AI117" s="48">
        <f>IFERROR(__xludf.DUMMYFUNCTION("""COMPUTED_VALUE"""),9.0)</f>
        <v>9</v>
      </c>
      <c r="AJ117" s="48">
        <f>IFERROR(__xludf.DUMMYFUNCTION("""COMPUTED_VALUE"""),292.0)</f>
        <v>292</v>
      </c>
      <c r="AK117" s="53" t="str">
        <f>IFERROR(__xludf.DUMMYFUNCTION("""COMPUTED_VALUE"""),"Attended")</f>
        <v>Attended</v>
      </c>
      <c r="AL117" s="53">
        <f>IFERROR(__xludf.DUMMYFUNCTION("""COMPUTED_VALUE"""),292.0)</f>
        <v>292</v>
      </c>
      <c r="AM117" s="53">
        <f>IFERROR(__xludf.DUMMYFUNCTION("""COMPUTED_VALUE"""),278.0)</f>
        <v>278</v>
      </c>
      <c r="AN117" s="53">
        <f>IFERROR(__xludf.DUMMYFUNCTION("""COMPUTED_VALUE"""),278.0)</f>
        <v>278</v>
      </c>
      <c r="AO117" s="53">
        <f>IFERROR(__xludf.DUMMYFUNCTION("""COMPUTED_VALUE"""),4.0)</f>
        <v>4</v>
      </c>
      <c r="AP117" s="53">
        <f>IFERROR(__xludf.DUMMYFUNCTION("""COMPUTED_VALUE"""),0.0)</f>
        <v>0</v>
      </c>
      <c r="AQ117" s="53">
        <f>IFERROR(__xludf.DUMMYFUNCTION("""COMPUTED_VALUE"""),5.0)</f>
        <v>5</v>
      </c>
      <c r="AR117" s="53">
        <f>IFERROR(__xludf.DUMMYFUNCTION("""COMPUTED_VALUE"""),5.0)</f>
        <v>5</v>
      </c>
      <c r="AS117" s="53">
        <f>IFERROR(__xludf.DUMMYFUNCTION("""COMPUTED_VALUE"""),98.60627177700349)</f>
        <v>98.60627178</v>
      </c>
      <c r="AT117" s="48">
        <f>IFERROR(__xludf.DUMMYFUNCTION("""COMPUTED_VALUE"""),1.36986301369863)</f>
        <v>1.369863014</v>
      </c>
      <c r="AU117" s="48">
        <f>IFERROR(__xludf.DUMMYFUNCTION("""COMPUTED_VALUE"""),0.0)</f>
        <v>0</v>
      </c>
      <c r="AV117" s="48">
        <f>IFERROR(__xludf.DUMMYFUNCTION("""COMPUTED_VALUE"""),1.7123287671232876)</f>
        <v>1.712328767</v>
      </c>
      <c r="AW117" s="48">
        <f>IFERROR(__xludf.DUMMYFUNCTION("""COMPUTED_VALUE"""),1.7123287671232876)</f>
        <v>1.712328767</v>
      </c>
      <c r="AX117" s="48">
        <f>IFERROR(__xludf.DUMMYFUNCTION("""COMPUTED_VALUE"""),96.91780821917808)</f>
        <v>96.91780822</v>
      </c>
      <c r="AY117" s="48">
        <f>IFERROR(__xludf.DUMMYFUNCTION("""COMPUTED_VALUE"""),5.0)</f>
        <v>5</v>
      </c>
      <c r="AZ117" s="48">
        <f>IFERROR(__xludf.DUMMYFUNCTION("""COMPUTED_VALUE"""),0.0)</f>
        <v>0</v>
      </c>
      <c r="BA117" s="48">
        <f>IFERROR(__xludf.DUMMYFUNCTION("""COMPUTED_VALUE"""),5.0)</f>
        <v>5</v>
      </c>
      <c r="BB117" s="48">
        <f>IFERROR(__xludf.DUMMYFUNCTION("""COMPUTED_VALUE"""),0.0)</f>
        <v>0</v>
      </c>
      <c r="BC117" s="48">
        <f>IFERROR(__xludf.DUMMYFUNCTION("""COMPUTED_VALUE"""),0.0)</f>
        <v>0</v>
      </c>
      <c r="BD117" s="48">
        <f>IFERROR(__xludf.DUMMYFUNCTION("""COMPUTED_VALUE"""),100.0)</f>
        <v>100</v>
      </c>
      <c r="BE117" s="48">
        <f>IFERROR(__xludf.DUMMYFUNCTION("""COMPUTED_VALUE"""),0.0)</f>
        <v>0</v>
      </c>
      <c r="BF117" s="52"/>
      <c r="BG117" s="52"/>
      <c r="BH117" s="52"/>
      <c r="BI117" s="52"/>
      <c r="BJ117" s="52"/>
      <c r="BK117" s="52"/>
      <c r="BL117" s="52"/>
      <c r="BM117" s="59" t="s">
        <v>85</v>
      </c>
    </row>
    <row r="118">
      <c r="A118" s="42" t="s">
        <v>836</v>
      </c>
      <c r="B118" s="45" t="s">
        <v>837</v>
      </c>
      <c r="C118" s="45" t="s">
        <v>838</v>
      </c>
      <c r="D118" s="45" t="s">
        <v>125</v>
      </c>
      <c r="E118" s="45" t="s">
        <v>71</v>
      </c>
      <c r="F118" s="46">
        <v>43928.0</v>
      </c>
      <c r="G118" s="57"/>
      <c r="H118" s="48">
        <f t="shared" si="1"/>
        <v>10.625</v>
      </c>
      <c r="I118" s="49" t="s">
        <v>839</v>
      </c>
      <c r="J118" s="50" t="s">
        <v>840</v>
      </c>
      <c r="K118" s="45" t="s">
        <v>841</v>
      </c>
      <c r="L118" s="45" t="s">
        <v>842</v>
      </c>
      <c r="M118" s="51">
        <v>31645.0</v>
      </c>
      <c r="N118" s="52">
        <f t="shared" si="17"/>
        <v>34</v>
      </c>
      <c r="O118" s="52"/>
      <c r="P118" s="45" t="s">
        <v>77</v>
      </c>
      <c r="Q118" s="45" t="s">
        <v>77</v>
      </c>
      <c r="R118" s="52"/>
      <c r="S118" s="45" t="s">
        <v>79</v>
      </c>
      <c r="T118" s="45" t="s">
        <v>80</v>
      </c>
      <c r="U118" s="45" t="s">
        <v>81</v>
      </c>
      <c r="V118" s="45" t="s">
        <v>77</v>
      </c>
      <c r="W118" s="45" t="s">
        <v>79</v>
      </c>
      <c r="X118" s="45" t="s">
        <v>82</v>
      </c>
      <c r="Y118" s="45" t="s">
        <v>813</v>
      </c>
      <c r="Z118" s="45" t="s">
        <v>84</v>
      </c>
      <c r="AA118" s="62"/>
      <c r="AB118" s="52"/>
      <c r="AC118" s="53">
        <f t="shared" si="5"/>
        <v>55</v>
      </c>
      <c r="AD118" s="45">
        <v>13.0</v>
      </c>
      <c r="AE118" s="53">
        <f t="shared" si="11"/>
        <v>2</v>
      </c>
      <c r="AF118" s="53">
        <f t="shared" si="3"/>
        <v>40</v>
      </c>
      <c r="AG118" s="52">
        <f t="shared" si="23"/>
        <v>2000</v>
      </c>
      <c r="AH118" s="48">
        <f>IFERROR(__xludf.DUMMYFUNCTION("importrange(C118,""Sheet2!a4:x4"")"),38.86666666666667)</f>
        <v>38.86666667</v>
      </c>
      <c r="AI118" s="48">
        <f>IFERROR(__xludf.DUMMYFUNCTION("""COMPUTED_VALUE"""),6.0)</f>
        <v>6</v>
      </c>
      <c r="AJ118" s="48">
        <f>IFERROR(__xludf.DUMMYFUNCTION("""COMPUTED_VALUE"""),59.0)</f>
        <v>59</v>
      </c>
      <c r="AK118" s="53" t="str">
        <f>IFERROR(__xludf.DUMMYFUNCTION("""COMPUTED_VALUE"""),"Attended")</f>
        <v>Attended</v>
      </c>
      <c r="AL118" s="53">
        <f>IFERROR(__xludf.DUMMYFUNCTION("""COMPUTED_VALUE"""),59.0)</f>
        <v>59</v>
      </c>
      <c r="AM118" s="53">
        <f>IFERROR(__xludf.DUMMYFUNCTION("""COMPUTED_VALUE"""),44.0)</f>
        <v>44</v>
      </c>
      <c r="AN118" s="53">
        <f>IFERROR(__xludf.DUMMYFUNCTION("""COMPUTED_VALUE"""),44.0)</f>
        <v>44</v>
      </c>
      <c r="AO118" s="53">
        <f>IFERROR(__xludf.DUMMYFUNCTION("""COMPUTED_VALUE"""),2.0)</f>
        <v>2</v>
      </c>
      <c r="AP118" s="53">
        <f>IFERROR(__xludf.DUMMYFUNCTION("""COMPUTED_VALUE"""),0.0)</f>
        <v>0</v>
      </c>
      <c r="AQ118" s="53">
        <f>IFERROR(__xludf.DUMMYFUNCTION("""COMPUTED_VALUE"""),2.0)</f>
        <v>2</v>
      </c>
      <c r="AR118" s="53">
        <f>IFERROR(__xludf.DUMMYFUNCTION("""COMPUTED_VALUE"""),11.0)</f>
        <v>11</v>
      </c>
      <c r="AS118" s="53">
        <f>IFERROR(__xludf.DUMMYFUNCTION("""COMPUTED_VALUE"""),96.49122807017544)</f>
        <v>96.49122807</v>
      </c>
      <c r="AT118" s="48">
        <f>IFERROR(__xludf.DUMMYFUNCTION("""COMPUTED_VALUE"""),3.389830508474576)</f>
        <v>3.389830508</v>
      </c>
      <c r="AU118" s="48">
        <f>IFERROR(__xludf.DUMMYFUNCTION("""COMPUTED_VALUE"""),0.0)</f>
        <v>0</v>
      </c>
      <c r="AV118" s="48">
        <f>IFERROR(__xludf.DUMMYFUNCTION("""COMPUTED_VALUE"""),3.389830508474576)</f>
        <v>3.389830508</v>
      </c>
      <c r="AW118" s="48">
        <f>IFERROR(__xludf.DUMMYFUNCTION("""COMPUTED_VALUE"""),18.64406779661017)</f>
        <v>18.6440678</v>
      </c>
      <c r="AX118" s="48">
        <f>IFERROR(__xludf.DUMMYFUNCTION("""COMPUTED_VALUE"""),93.22033898305084)</f>
        <v>93.22033898</v>
      </c>
      <c r="AY118" s="48">
        <f>IFERROR(__xludf.DUMMYFUNCTION("""COMPUTED_VALUE"""),3.0)</f>
        <v>3</v>
      </c>
      <c r="AZ118" s="48">
        <f>IFERROR(__xludf.DUMMYFUNCTION("""COMPUTED_VALUE"""),1.0)</f>
        <v>1</v>
      </c>
      <c r="BA118" s="48">
        <f>IFERROR(__xludf.DUMMYFUNCTION("""COMPUTED_VALUE"""),2.0)</f>
        <v>2</v>
      </c>
      <c r="BB118" s="48">
        <f>IFERROR(__xludf.DUMMYFUNCTION("""COMPUTED_VALUE"""),0.0)</f>
        <v>0</v>
      </c>
      <c r="BC118" s="48">
        <f>IFERROR(__xludf.DUMMYFUNCTION("""COMPUTED_VALUE"""),33.33333333333333)</f>
        <v>33.33333333</v>
      </c>
      <c r="BD118" s="48">
        <f>IFERROR(__xludf.DUMMYFUNCTION("""COMPUTED_VALUE"""),66.66666666666666)</f>
        <v>66.66666667</v>
      </c>
      <c r="BE118" s="48">
        <f>IFERROR(__xludf.DUMMYFUNCTION("""COMPUTED_VALUE"""),0.0)</f>
        <v>0</v>
      </c>
      <c r="BF118" s="52"/>
      <c r="BG118" s="52"/>
      <c r="BH118" s="52"/>
      <c r="BI118" s="52"/>
      <c r="BJ118" s="52"/>
      <c r="BK118" s="52"/>
      <c r="BL118" s="52"/>
      <c r="BM118" s="59" t="s">
        <v>85</v>
      </c>
    </row>
    <row r="119">
      <c r="A119" s="42" t="s">
        <v>843</v>
      </c>
      <c r="B119" s="45" t="s">
        <v>844</v>
      </c>
      <c r="C119" s="45" t="s">
        <v>845</v>
      </c>
      <c r="D119" s="45" t="s">
        <v>125</v>
      </c>
      <c r="E119" s="45" t="s">
        <v>192</v>
      </c>
      <c r="F119" s="46">
        <v>43967.0</v>
      </c>
      <c r="G119" s="57"/>
      <c r="H119" s="48">
        <f t="shared" si="1"/>
        <v>9.342105263</v>
      </c>
      <c r="I119" s="49" t="s">
        <v>846</v>
      </c>
      <c r="J119" s="50" t="s">
        <v>847</v>
      </c>
      <c r="K119" s="45" t="s">
        <v>848</v>
      </c>
      <c r="L119" s="45" t="s">
        <v>849</v>
      </c>
      <c r="M119" s="51">
        <v>34736.0</v>
      </c>
      <c r="N119" s="52">
        <f t="shared" si="17"/>
        <v>26</v>
      </c>
      <c r="O119" s="52"/>
      <c r="P119" s="52"/>
      <c r="Q119" s="52"/>
      <c r="R119" s="52"/>
      <c r="S119" s="45" t="s">
        <v>79</v>
      </c>
      <c r="T119" s="45" t="s">
        <v>80</v>
      </c>
      <c r="U119" s="45" t="s">
        <v>81</v>
      </c>
      <c r="V119" s="45" t="s">
        <v>78</v>
      </c>
      <c r="W119" s="45" t="s">
        <v>79</v>
      </c>
      <c r="X119" s="45" t="s">
        <v>82</v>
      </c>
      <c r="Y119" s="45" t="s">
        <v>813</v>
      </c>
      <c r="Z119" s="45" t="s">
        <v>130</v>
      </c>
      <c r="AA119" s="50" t="s">
        <v>850</v>
      </c>
      <c r="AB119" s="52"/>
      <c r="AC119" s="53">
        <f t="shared" si="5"/>
        <v>47</v>
      </c>
      <c r="AD119" s="45">
        <v>21.0</v>
      </c>
      <c r="AE119" s="53">
        <f t="shared" si="11"/>
        <v>2</v>
      </c>
      <c r="AF119" s="53">
        <f t="shared" si="3"/>
        <v>24</v>
      </c>
      <c r="AG119" s="52">
        <f>(AF119*25)</f>
        <v>600</v>
      </c>
      <c r="AH119" s="48">
        <f>IFERROR(__xludf.DUMMYFUNCTION("importrange(C119,""Sheet2!a4:x4"")"),30.0)</f>
        <v>30</v>
      </c>
      <c r="AI119" s="48">
        <f>IFERROR(__xludf.DUMMYFUNCTION("""COMPUTED_VALUE"""),3.0)</f>
        <v>3</v>
      </c>
      <c r="AJ119" s="48">
        <f>IFERROR(__xludf.DUMMYFUNCTION("""COMPUTED_VALUE"""),51.0)</f>
        <v>51</v>
      </c>
      <c r="AK119" s="53" t="str">
        <f>IFERROR(__xludf.DUMMYFUNCTION("""COMPUTED_VALUE"""),"Attended")</f>
        <v>Attended</v>
      </c>
      <c r="AL119" s="53">
        <f>IFERROR(__xludf.DUMMYFUNCTION("""COMPUTED_VALUE"""),51.0)</f>
        <v>51</v>
      </c>
      <c r="AM119" s="53">
        <f>IFERROR(__xludf.DUMMYFUNCTION("""COMPUTED_VALUE"""),44.0)</f>
        <v>44</v>
      </c>
      <c r="AN119" s="53">
        <f>IFERROR(__xludf.DUMMYFUNCTION("""COMPUTED_VALUE"""),44.0)</f>
        <v>44</v>
      </c>
      <c r="AO119" s="53">
        <f>IFERROR(__xludf.DUMMYFUNCTION("""COMPUTED_VALUE"""),2.0)</f>
        <v>2</v>
      </c>
      <c r="AP119" s="53">
        <f>IFERROR(__xludf.DUMMYFUNCTION("""COMPUTED_VALUE"""),0.0)</f>
        <v>0</v>
      </c>
      <c r="AQ119" s="53">
        <f>IFERROR(__xludf.DUMMYFUNCTION("""COMPUTED_VALUE"""),2.0)</f>
        <v>2</v>
      </c>
      <c r="AR119" s="53">
        <f>IFERROR(__xludf.DUMMYFUNCTION("""COMPUTED_VALUE"""),3.0)</f>
        <v>3</v>
      </c>
      <c r="AS119" s="53">
        <f>IFERROR(__xludf.DUMMYFUNCTION("""COMPUTED_VALUE"""),95.91836734693877)</f>
        <v>95.91836735</v>
      </c>
      <c r="AT119" s="48">
        <f>IFERROR(__xludf.DUMMYFUNCTION("""COMPUTED_VALUE"""),3.9215686274509802)</f>
        <v>3.921568627</v>
      </c>
      <c r="AU119" s="48">
        <f>IFERROR(__xludf.DUMMYFUNCTION("""COMPUTED_VALUE"""),0.0)</f>
        <v>0</v>
      </c>
      <c r="AV119" s="48">
        <f>IFERROR(__xludf.DUMMYFUNCTION("""COMPUTED_VALUE"""),3.9215686274509802)</f>
        <v>3.921568627</v>
      </c>
      <c r="AW119" s="48">
        <f>IFERROR(__xludf.DUMMYFUNCTION("""COMPUTED_VALUE"""),5.88235294117647)</f>
        <v>5.882352941</v>
      </c>
      <c r="AX119" s="48">
        <f>IFERROR(__xludf.DUMMYFUNCTION("""COMPUTED_VALUE"""),92.15686274509804)</f>
        <v>92.15686275</v>
      </c>
      <c r="AY119" s="48">
        <f>IFERROR(__xludf.DUMMYFUNCTION("""COMPUTED_VALUE"""),0.0)</f>
        <v>0</v>
      </c>
      <c r="AZ119" s="48">
        <f>IFERROR(__xludf.DUMMYFUNCTION("""COMPUTED_VALUE"""),0.0)</f>
        <v>0</v>
      </c>
      <c r="BA119" s="48">
        <f>IFERROR(__xludf.DUMMYFUNCTION("""COMPUTED_VALUE"""),0.0)</f>
        <v>0</v>
      </c>
      <c r="BB119" s="48">
        <f>IFERROR(__xludf.DUMMYFUNCTION("""COMPUTED_VALUE"""),0.0)</f>
        <v>0</v>
      </c>
      <c r="BC119" s="48" t="str">
        <f>IFERROR(__xludf.DUMMYFUNCTION("""COMPUTED_VALUE"""),"#DIV/0!")</f>
        <v>#DIV/0!</v>
      </c>
      <c r="BD119" s="48" t="str">
        <f>IFERROR(__xludf.DUMMYFUNCTION("""COMPUTED_VALUE"""),"#DIV/0!")</f>
        <v>#DIV/0!</v>
      </c>
      <c r="BE119" s="48" t="str">
        <f>IFERROR(__xludf.DUMMYFUNCTION("""COMPUTED_VALUE"""),"#DIV/0!")</f>
        <v>#DIV/0!</v>
      </c>
      <c r="BF119" s="52"/>
      <c r="BG119" s="52"/>
      <c r="BH119" s="52"/>
      <c r="BI119" s="52"/>
      <c r="BJ119" s="52"/>
      <c r="BK119" s="52"/>
      <c r="BL119" s="52"/>
      <c r="BM119" s="59" t="s">
        <v>85</v>
      </c>
    </row>
    <row r="120">
      <c r="A120" s="42" t="s">
        <v>851</v>
      </c>
      <c r="B120" s="45" t="s">
        <v>852</v>
      </c>
      <c r="C120" s="45" t="s">
        <v>853</v>
      </c>
      <c r="D120" s="45" t="s">
        <v>125</v>
      </c>
      <c r="E120" s="45" t="s">
        <v>192</v>
      </c>
      <c r="F120" s="46">
        <v>43992.0</v>
      </c>
      <c r="G120" s="57"/>
      <c r="H120" s="48">
        <f t="shared" si="1"/>
        <v>8.519736842</v>
      </c>
      <c r="I120" s="49" t="s">
        <v>854</v>
      </c>
      <c r="J120" s="50" t="s">
        <v>855</v>
      </c>
      <c r="K120" s="45" t="s">
        <v>856</v>
      </c>
      <c r="L120" s="45" t="s">
        <v>857</v>
      </c>
      <c r="M120" s="51">
        <v>34716.0</v>
      </c>
      <c r="N120" s="52">
        <f t="shared" si="17"/>
        <v>26</v>
      </c>
      <c r="O120" s="45" t="s">
        <v>104</v>
      </c>
      <c r="P120" s="45" t="s">
        <v>77</v>
      </c>
      <c r="Q120" s="45" t="s">
        <v>77</v>
      </c>
      <c r="R120" s="52"/>
      <c r="S120" s="45" t="s">
        <v>79</v>
      </c>
      <c r="T120" s="45" t="s">
        <v>80</v>
      </c>
      <c r="U120" s="45" t="s">
        <v>81</v>
      </c>
      <c r="V120" s="45" t="s">
        <v>78</v>
      </c>
      <c r="W120" s="45" t="s">
        <v>79</v>
      </c>
      <c r="X120" s="45" t="s">
        <v>82</v>
      </c>
      <c r="Y120" s="45" t="s">
        <v>83</v>
      </c>
      <c r="Z120" s="45" t="s">
        <v>130</v>
      </c>
      <c r="AA120" s="58" t="s">
        <v>858</v>
      </c>
      <c r="AB120" s="52"/>
      <c r="AC120" s="53">
        <f t="shared" si="5"/>
        <v>743</v>
      </c>
      <c r="AD120" s="45">
        <v>269.0</v>
      </c>
      <c r="AE120" s="53">
        <f t="shared" si="11"/>
        <v>11</v>
      </c>
      <c r="AF120" s="53">
        <f t="shared" si="3"/>
        <v>463</v>
      </c>
      <c r="AG120" s="52">
        <f t="shared" ref="AG120:AG122" si="24">(AF120*50)</f>
        <v>23150</v>
      </c>
      <c r="AH120" s="48">
        <f>IFERROR(__xludf.DUMMYFUNCTION("importrange(C120,""Sheet2!a4:x4"")"),29.67878787878788)</f>
        <v>29.67878788</v>
      </c>
      <c r="AI120" s="48">
        <f>IFERROR(__xludf.DUMMYFUNCTION("""COMPUTED_VALUE"""),25.0)</f>
        <v>25</v>
      </c>
      <c r="AJ120" s="48">
        <f>IFERROR(__xludf.DUMMYFUNCTION("""COMPUTED_VALUE"""),969.0)</f>
        <v>969</v>
      </c>
      <c r="AK120" s="53" t="str">
        <f>IFERROR(__xludf.DUMMYFUNCTION("""COMPUTED_VALUE"""),"Reschedule")</f>
        <v>Reschedule</v>
      </c>
      <c r="AL120" s="53">
        <f>IFERROR(__xludf.DUMMYFUNCTION("""COMPUTED_VALUE"""),969.0)</f>
        <v>969</v>
      </c>
      <c r="AM120" s="53">
        <f>IFERROR(__xludf.DUMMYFUNCTION("""COMPUTED_VALUE"""),667.0)</f>
        <v>667</v>
      </c>
      <c r="AN120" s="53">
        <f>IFERROR(__xludf.DUMMYFUNCTION("""COMPUTED_VALUE"""),667.0)</f>
        <v>667</v>
      </c>
      <c r="AO120" s="53">
        <f>IFERROR(__xludf.DUMMYFUNCTION("""COMPUTED_VALUE"""),11.0)</f>
        <v>11</v>
      </c>
      <c r="AP120" s="53">
        <f>IFERROR(__xludf.DUMMYFUNCTION("""COMPUTED_VALUE"""),0.0)</f>
        <v>0</v>
      </c>
      <c r="AQ120" s="53">
        <f>IFERROR(__xludf.DUMMYFUNCTION("""COMPUTED_VALUE"""),215.0)</f>
        <v>215</v>
      </c>
      <c r="AR120" s="53">
        <f>IFERROR(__xludf.DUMMYFUNCTION("""COMPUTED_VALUE"""),76.0)</f>
        <v>76</v>
      </c>
      <c r="AS120" s="53">
        <f>IFERROR(__xludf.DUMMYFUNCTION("""COMPUTED_VALUE"""),98.54111405835543)</f>
        <v>98.54111406</v>
      </c>
      <c r="AT120" s="48">
        <f>IFERROR(__xludf.DUMMYFUNCTION("""COMPUTED_VALUE"""),1.1351909184726523)</f>
        <v>1.135190918</v>
      </c>
      <c r="AU120" s="48">
        <f>IFERROR(__xludf.DUMMYFUNCTION("""COMPUTED_VALUE"""),0.0)</f>
        <v>0</v>
      </c>
      <c r="AV120" s="48">
        <f>IFERROR(__xludf.DUMMYFUNCTION("""COMPUTED_VALUE"""),22.187822497420022)</f>
        <v>22.1878225</v>
      </c>
      <c r="AW120" s="48">
        <f>IFERROR(__xludf.DUMMYFUNCTION("""COMPUTED_VALUE"""),7.8431372549019605)</f>
        <v>7.843137255</v>
      </c>
      <c r="AX120" s="48">
        <f>IFERROR(__xludf.DUMMYFUNCTION("""COMPUTED_VALUE"""),76.67698658410733)</f>
        <v>76.67698658</v>
      </c>
      <c r="AY120" s="48">
        <f>IFERROR(__xludf.DUMMYFUNCTION("""COMPUTED_VALUE"""),58.0)</f>
        <v>58</v>
      </c>
      <c r="AZ120" s="48">
        <f>IFERROR(__xludf.DUMMYFUNCTION("""COMPUTED_VALUE"""),0.0)</f>
        <v>0</v>
      </c>
      <c r="BA120" s="48">
        <f>IFERROR(__xludf.DUMMYFUNCTION("""COMPUTED_VALUE"""),58.0)</f>
        <v>58</v>
      </c>
      <c r="BB120" s="48">
        <f>IFERROR(__xludf.DUMMYFUNCTION("""COMPUTED_VALUE"""),74.0)</f>
        <v>74</v>
      </c>
      <c r="BC120" s="48">
        <f>IFERROR(__xludf.DUMMYFUNCTION("""COMPUTED_VALUE"""),0.0)</f>
        <v>0</v>
      </c>
      <c r="BD120" s="48">
        <f>IFERROR(__xludf.DUMMYFUNCTION("""COMPUTED_VALUE"""),100.0)</f>
        <v>100</v>
      </c>
      <c r="BE120" s="48">
        <f>IFERROR(__xludf.DUMMYFUNCTION("""COMPUTED_VALUE"""),56.060606060606055)</f>
        <v>56.06060606</v>
      </c>
      <c r="BF120" s="52"/>
      <c r="BG120" s="52"/>
      <c r="BH120" s="52"/>
      <c r="BI120" s="52"/>
      <c r="BJ120" s="52"/>
      <c r="BK120" s="52"/>
      <c r="BL120" s="52"/>
      <c r="BM120" s="78" t="s">
        <v>85</v>
      </c>
    </row>
    <row r="121">
      <c r="A121" s="42" t="s">
        <v>859</v>
      </c>
      <c r="B121" s="45" t="s">
        <v>860</v>
      </c>
      <c r="C121" s="45" t="s">
        <v>861</v>
      </c>
      <c r="D121" s="45" t="s">
        <v>125</v>
      </c>
      <c r="E121" s="45" t="s">
        <v>192</v>
      </c>
      <c r="F121" s="46">
        <v>44020.0</v>
      </c>
      <c r="G121" s="57"/>
      <c r="H121" s="48">
        <f t="shared" si="1"/>
        <v>7.598684211</v>
      </c>
      <c r="I121" s="49" t="s">
        <v>862</v>
      </c>
      <c r="J121" s="50" t="s">
        <v>863</v>
      </c>
      <c r="K121" s="45" t="s">
        <v>864</v>
      </c>
      <c r="L121" s="45" t="s">
        <v>865</v>
      </c>
      <c r="M121" s="51">
        <v>32851.0</v>
      </c>
      <c r="N121" s="52">
        <f t="shared" si="17"/>
        <v>31</v>
      </c>
      <c r="O121" s="45" t="s">
        <v>76</v>
      </c>
      <c r="P121" s="45" t="s">
        <v>78</v>
      </c>
      <c r="Q121" s="45" t="s">
        <v>78</v>
      </c>
      <c r="R121" s="52"/>
      <c r="S121" s="45" t="s">
        <v>79</v>
      </c>
      <c r="T121" s="45" t="s">
        <v>80</v>
      </c>
      <c r="U121" s="45" t="s">
        <v>81</v>
      </c>
      <c r="V121" s="45" t="s">
        <v>78</v>
      </c>
      <c r="W121" s="45" t="s">
        <v>79</v>
      </c>
      <c r="X121" s="45" t="s">
        <v>82</v>
      </c>
      <c r="Y121" s="45" t="s">
        <v>813</v>
      </c>
      <c r="Z121" s="52"/>
      <c r="AA121" s="62"/>
      <c r="AB121" s="52"/>
      <c r="AC121" s="53">
        <f t="shared" si="5"/>
        <v>0</v>
      </c>
      <c r="AD121" s="45">
        <v>0.0</v>
      </c>
      <c r="AE121" s="53">
        <f t="shared" si="11"/>
        <v>0</v>
      </c>
      <c r="AF121" s="53">
        <f t="shared" si="3"/>
        <v>0</v>
      </c>
      <c r="AG121" s="52">
        <f t="shared" si="24"/>
        <v>0</v>
      </c>
      <c r="AH121" s="48" t="str">
        <f>IFERROR(__xludf.DUMMYFUNCTION("importrange(C121,""Sheet2!a4:x4"")"),"#DIV/0!")</f>
        <v>#DIV/0!</v>
      </c>
      <c r="AI121" s="48">
        <f>IFERROR(__xludf.DUMMYFUNCTION("""COMPUTED_VALUE"""),0.0)</f>
        <v>0</v>
      </c>
      <c r="AJ121" s="48">
        <f>IFERROR(__xludf.DUMMYFUNCTION("""COMPUTED_VALUE"""),0.0)</f>
        <v>0</v>
      </c>
      <c r="AK121" s="53" t="str">
        <f>IFERROR(__xludf.DUMMYFUNCTION("""COMPUTED_VALUE"""),"Teacher Attendance")</f>
        <v>Teacher Attendance</v>
      </c>
      <c r="AL121" s="53">
        <f>IFERROR(__xludf.DUMMYFUNCTION("""COMPUTED_VALUE"""),0.0)</f>
        <v>0</v>
      </c>
      <c r="AM121" s="53">
        <f>IFERROR(__xludf.DUMMYFUNCTION("""COMPUTED_VALUE"""),0.0)</f>
        <v>0</v>
      </c>
      <c r="AN121" s="53">
        <f>IFERROR(__xludf.DUMMYFUNCTION("""COMPUTED_VALUE"""),0.0)</f>
        <v>0</v>
      </c>
      <c r="AO121" s="53">
        <f>IFERROR(__xludf.DUMMYFUNCTION("""COMPUTED_VALUE"""),0.0)</f>
        <v>0</v>
      </c>
      <c r="AP121" s="53">
        <f>IFERROR(__xludf.DUMMYFUNCTION("""COMPUTED_VALUE"""),0.0)</f>
        <v>0</v>
      </c>
      <c r="AQ121" s="53">
        <f>IFERROR(__xludf.DUMMYFUNCTION("""COMPUTED_VALUE"""),0.0)</f>
        <v>0</v>
      </c>
      <c r="AR121" s="53">
        <f>IFERROR(__xludf.DUMMYFUNCTION("""COMPUTED_VALUE"""),0.0)</f>
        <v>0</v>
      </c>
      <c r="AS121" s="53" t="str">
        <f>IFERROR(__xludf.DUMMYFUNCTION("""COMPUTED_VALUE"""),"#DIV/0!")</f>
        <v>#DIV/0!</v>
      </c>
      <c r="AT121" s="48" t="str">
        <f>IFERROR(__xludf.DUMMYFUNCTION("""COMPUTED_VALUE"""),"#DIV/0!")</f>
        <v>#DIV/0!</v>
      </c>
      <c r="AU121" s="48" t="str">
        <f>IFERROR(__xludf.DUMMYFUNCTION("""COMPUTED_VALUE"""),"#DIV/0!")</f>
        <v>#DIV/0!</v>
      </c>
      <c r="AV121" s="48" t="str">
        <f>IFERROR(__xludf.DUMMYFUNCTION("""COMPUTED_VALUE"""),"#DIV/0!")</f>
        <v>#DIV/0!</v>
      </c>
      <c r="AW121" s="48" t="str">
        <f>IFERROR(__xludf.DUMMYFUNCTION("""COMPUTED_VALUE"""),"#DIV/0!")</f>
        <v>#DIV/0!</v>
      </c>
      <c r="AX121" s="48" t="str">
        <f>IFERROR(__xludf.DUMMYFUNCTION("""COMPUTED_VALUE"""),"#DIV/0!")</f>
        <v>#DIV/0!</v>
      </c>
      <c r="AY121" s="48">
        <f>IFERROR(__xludf.DUMMYFUNCTION("""COMPUTED_VALUE"""),0.0)</f>
        <v>0</v>
      </c>
      <c r="AZ121" s="48">
        <f>IFERROR(__xludf.DUMMYFUNCTION("""COMPUTED_VALUE"""),0.0)</f>
        <v>0</v>
      </c>
      <c r="BA121" s="48">
        <f>IFERROR(__xludf.DUMMYFUNCTION("""COMPUTED_VALUE"""),0.0)</f>
        <v>0</v>
      </c>
      <c r="BB121" s="48">
        <f>IFERROR(__xludf.DUMMYFUNCTION("""COMPUTED_VALUE"""),0.0)</f>
        <v>0</v>
      </c>
      <c r="BC121" s="48" t="str">
        <f>IFERROR(__xludf.DUMMYFUNCTION("""COMPUTED_VALUE"""),"#DIV/0!")</f>
        <v>#DIV/0!</v>
      </c>
      <c r="BD121" s="48" t="str">
        <f>IFERROR(__xludf.DUMMYFUNCTION("""COMPUTED_VALUE"""),"#DIV/0!")</f>
        <v>#DIV/0!</v>
      </c>
      <c r="BE121" s="48" t="str">
        <f>IFERROR(__xludf.DUMMYFUNCTION("""COMPUTED_VALUE"""),"#DIV/0!")</f>
        <v>#DIV/0!</v>
      </c>
      <c r="BF121" s="52"/>
      <c r="BG121" s="52"/>
      <c r="BH121" s="52"/>
      <c r="BI121" s="52"/>
      <c r="BJ121" s="52"/>
      <c r="BK121" s="52"/>
      <c r="BL121" s="52"/>
      <c r="BM121" s="78" t="s">
        <v>85</v>
      </c>
    </row>
    <row r="122">
      <c r="A122" s="42" t="s">
        <v>866</v>
      </c>
      <c r="B122" s="45" t="s">
        <v>867</v>
      </c>
      <c r="C122" s="45" t="s">
        <v>868</v>
      </c>
      <c r="D122" s="45" t="s">
        <v>125</v>
      </c>
      <c r="E122" s="45" t="s">
        <v>71</v>
      </c>
      <c r="F122" s="46">
        <v>44051.0</v>
      </c>
      <c r="G122" s="57"/>
      <c r="H122" s="48">
        <f t="shared" si="1"/>
        <v>6.578947368</v>
      </c>
      <c r="I122" s="49" t="s">
        <v>869</v>
      </c>
      <c r="J122" s="50" t="s">
        <v>870</v>
      </c>
      <c r="K122" s="45" t="s">
        <v>871</v>
      </c>
      <c r="L122" s="45" t="s">
        <v>872</v>
      </c>
      <c r="M122" s="79">
        <v>30858.0</v>
      </c>
      <c r="N122" s="52">
        <f t="shared" si="17"/>
        <v>36</v>
      </c>
      <c r="O122" s="45" t="s">
        <v>104</v>
      </c>
      <c r="P122" s="45" t="s">
        <v>77</v>
      </c>
      <c r="Q122" s="45" t="s">
        <v>77</v>
      </c>
      <c r="R122" s="52"/>
      <c r="S122" s="45" t="s">
        <v>79</v>
      </c>
      <c r="T122" s="45" t="s">
        <v>80</v>
      </c>
      <c r="U122" s="45" t="s">
        <v>81</v>
      </c>
      <c r="V122" s="45" t="s">
        <v>78</v>
      </c>
      <c r="W122" s="45" t="s">
        <v>79</v>
      </c>
      <c r="X122" s="45" t="s">
        <v>82</v>
      </c>
      <c r="Y122" s="45" t="s">
        <v>83</v>
      </c>
      <c r="Z122" s="52"/>
      <c r="AA122" s="62"/>
      <c r="AB122" s="52"/>
      <c r="AC122" s="53">
        <f t="shared" si="5"/>
        <v>879</v>
      </c>
      <c r="AD122" s="52"/>
      <c r="AE122" s="53">
        <f t="shared" si="11"/>
        <v>3</v>
      </c>
      <c r="AF122" s="53">
        <f t="shared" si="3"/>
        <v>876</v>
      </c>
      <c r="AG122" s="52">
        <f t="shared" si="24"/>
        <v>43800</v>
      </c>
      <c r="AH122" s="48">
        <f>IFERROR(__xludf.DUMMYFUNCTION("importrange(C122,""Sheet2!a4:x4"")"),28.438095238095237)</f>
        <v>28.43809524</v>
      </c>
      <c r="AI122" s="48">
        <f>IFERROR(__xludf.DUMMYFUNCTION("""COMPUTED_VALUE"""),35.0)</f>
        <v>35</v>
      </c>
      <c r="AJ122" s="48">
        <f>IFERROR(__xludf.DUMMYFUNCTION("""COMPUTED_VALUE"""),945.0)</f>
        <v>945</v>
      </c>
      <c r="AK122" s="53" t="str">
        <f>IFERROR(__xludf.DUMMYFUNCTION("""COMPUTED_VALUE"""),"Attended")</f>
        <v>Attended</v>
      </c>
      <c r="AL122" s="53">
        <f>IFERROR(__xludf.DUMMYFUNCTION("""COMPUTED_VALUE"""),945.0)</f>
        <v>945</v>
      </c>
      <c r="AM122" s="53">
        <f>IFERROR(__xludf.DUMMYFUNCTION("""COMPUTED_VALUE"""),755.0)</f>
        <v>755</v>
      </c>
      <c r="AN122" s="53">
        <f>IFERROR(__xludf.DUMMYFUNCTION("""COMPUTED_VALUE"""),753.0)</f>
        <v>753</v>
      </c>
      <c r="AO122" s="53">
        <f>IFERROR(__xludf.DUMMYFUNCTION("""COMPUTED_VALUE"""),2.0)</f>
        <v>2</v>
      </c>
      <c r="AP122" s="53">
        <f>IFERROR(__xludf.DUMMYFUNCTION("""COMPUTED_VALUE"""),2.0)</f>
        <v>2</v>
      </c>
      <c r="AQ122" s="53">
        <f>IFERROR(__xludf.DUMMYFUNCTION("""COMPUTED_VALUE"""),64.0)</f>
        <v>64</v>
      </c>
      <c r="AR122" s="53">
        <f>IFERROR(__xludf.DUMMYFUNCTION("""COMPUTED_VALUE"""),124.0)</f>
        <v>124</v>
      </c>
      <c r="AS122" s="53">
        <f>IFERROR(__xludf.DUMMYFUNCTION("""COMPUTED_VALUE"""),99.54597048808172)</f>
        <v>99.54597049</v>
      </c>
      <c r="AT122" s="48">
        <f>IFERROR(__xludf.DUMMYFUNCTION("""COMPUTED_VALUE"""),0.21164021164021166)</f>
        <v>0.2116402116</v>
      </c>
      <c r="AU122" s="48">
        <f>IFERROR(__xludf.DUMMYFUNCTION("""COMPUTED_VALUE"""),0.21164021164021166)</f>
        <v>0.2116402116</v>
      </c>
      <c r="AV122" s="48">
        <f>IFERROR(__xludf.DUMMYFUNCTION("""COMPUTED_VALUE"""),6.772486772486773)</f>
        <v>6.772486772</v>
      </c>
      <c r="AW122" s="48">
        <f>IFERROR(__xludf.DUMMYFUNCTION("""COMPUTED_VALUE"""),13.12169312169312)</f>
        <v>13.12169312</v>
      </c>
      <c r="AX122" s="48">
        <f>IFERROR(__xludf.DUMMYFUNCTION("""COMPUTED_VALUE"""),93.01587301587301)</f>
        <v>93.01587302</v>
      </c>
      <c r="AY122" s="48">
        <f>IFERROR(__xludf.DUMMYFUNCTION("""COMPUTED_VALUE"""),624.0)</f>
        <v>624</v>
      </c>
      <c r="AZ122" s="48">
        <f>IFERROR(__xludf.DUMMYFUNCTION("""COMPUTED_VALUE"""),564.0)</f>
        <v>564</v>
      </c>
      <c r="BA122" s="48">
        <f>IFERROR(__xludf.DUMMYFUNCTION("""COMPUTED_VALUE"""),60.0)</f>
        <v>60</v>
      </c>
      <c r="BB122" s="48">
        <f>IFERROR(__xludf.DUMMYFUNCTION("""COMPUTED_VALUE"""),48.0)</f>
        <v>48</v>
      </c>
      <c r="BC122" s="48">
        <f>IFERROR(__xludf.DUMMYFUNCTION("""COMPUTED_VALUE"""),90.38461538461539)</f>
        <v>90.38461538</v>
      </c>
      <c r="BD122" s="48">
        <f>IFERROR(__xludf.DUMMYFUNCTION("""COMPUTED_VALUE"""),9.615384615384617)</f>
        <v>9.615384615</v>
      </c>
      <c r="BE122" s="48">
        <f>IFERROR(__xludf.DUMMYFUNCTION("""COMPUTED_VALUE"""),7.142857142857142)</f>
        <v>7.142857143</v>
      </c>
      <c r="BF122" s="52"/>
      <c r="BG122" s="52"/>
      <c r="BH122" s="52"/>
      <c r="BI122" s="52"/>
      <c r="BJ122" s="52"/>
      <c r="BK122" s="52"/>
      <c r="BL122" s="52"/>
      <c r="BM122" s="78" t="s">
        <v>85</v>
      </c>
    </row>
    <row r="123">
      <c r="A123" s="42" t="s">
        <v>873</v>
      </c>
      <c r="B123" s="45" t="s">
        <v>874</v>
      </c>
      <c r="C123" s="45" t="s">
        <v>875</v>
      </c>
      <c r="D123" s="45" t="s">
        <v>125</v>
      </c>
      <c r="E123" s="45" t="s">
        <v>71</v>
      </c>
      <c r="F123" s="46">
        <v>44083.0</v>
      </c>
      <c r="G123" s="57"/>
      <c r="H123" s="48">
        <f t="shared" si="1"/>
        <v>5.526315789</v>
      </c>
      <c r="I123" s="49" t="s">
        <v>876</v>
      </c>
      <c r="J123" s="50" t="s">
        <v>877</v>
      </c>
      <c r="K123" s="45" t="s">
        <v>878</v>
      </c>
      <c r="L123" s="45" t="s">
        <v>879</v>
      </c>
      <c r="M123" s="79">
        <v>32441.0</v>
      </c>
      <c r="N123" s="52">
        <f t="shared" si="17"/>
        <v>32</v>
      </c>
      <c r="O123" s="45" t="s">
        <v>76</v>
      </c>
      <c r="P123" s="45" t="s">
        <v>77</v>
      </c>
      <c r="Q123" s="45" t="s">
        <v>77</v>
      </c>
      <c r="R123" s="52"/>
      <c r="S123" s="45" t="s">
        <v>79</v>
      </c>
      <c r="T123" s="45" t="s">
        <v>80</v>
      </c>
      <c r="U123" s="45" t="s">
        <v>81</v>
      </c>
      <c r="V123" s="45" t="s">
        <v>78</v>
      </c>
      <c r="W123" s="45" t="s">
        <v>79</v>
      </c>
      <c r="X123" s="45" t="s">
        <v>82</v>
      </c>
      <c r="Y123" s="45" t="s">
        <v>880</v>
      </c>
      <c r="Z123" s="52"/>
      <c r="AA123" s="62"/>
      <c r="AB123" s="52"/>
      <c r="AC123" s="53">
        <f t="shared" si="5"/>
        <v>117</v>
      </c>
      <c r="AD123" s="45">
        <v>64.0</v>
      </c>
      <c r="AE123" s="53">
        <f t="shared" si="11"/>
        <v>1</v>
      </c>
      <c r="AF123" s="53">
        <f t="shared" si="3"/>
        <v>52</v>
      </c>
      <c r="AG123" s="52">
        <f>(AF123*25)</f>
        <v>1300</v>
      </c>
      <c r="AH123" s="48">
        <f>IFERROR(__xludf.DUMMYFUNCTION("importrange(C123,""Sheet2!a4:x4"")"),30.0)</f>
        <v>30</v>
      </c>
      <c r="AI123" s="48">
        <f>IFERROR(__xludf.DUMMYFUNCTION("""COMPUTED_VALUE"""),5.0)</f>
        <v>5</v>
      </c>
      <c r="AJ123" s="48">
        <f>IFERROR(__xludf.DUMMYFUNCTION("""COMPUTED_VALUE"""),118.0)</f>
        <v>118</v>
      </c>
      <c r="AK123" s="53" t="str">
        <f>IFERROR(__xludf.DUMMYFUNCTION("""COMPUTED_VALUE"""),"Attended")</f>
        <v>Attended</v>
      </c>
      <c r="AL123" s="53">
        <f>IFERROR(__xludf.DUMMYFUNCTION("""COMPUTED_VALUE"""),118.0)</f>
        <v>118</v>
      </c>
      <c r="AM123" s="53">
        <f>IFERROR(__xludf.DUMMYFUNCTION("""COMPUTED_VALUE"""),102.0)</f>
        <v>102</v>
      </c>
      <c r="AN123" s="53">
        <f>IFERROR(__xludf.DUMMYFUNCTION("""COMPUTED_VALUE"""),102.0)</f>
        <v>102</v>
      </c>
      <c r="AO123" s="53">
        <f>IFERROR(__xludf.DUMMYFUNCTION("""COMPUTED_VALUE"""),1.0)</f>
        <v>1</v>
      </c>
      <c r="AP123" s="53">
        <f>IFERROR(__xludf.DUMMYFUNCTION("""COMPUTED_VALUE"""),0.0)</f>
        <v>0</v>
      </c>
      <c r="AQ123" s="53">
        <f>IFERROR(__xludf.DUMMYFUNCTION("""COMPUTED_VALUE"""),0.0)</f>
        <v>0</v>
      </c>
      <c r="AR123" s="53">
        <f>IFERROR(__xludf.DUMMYFUNCTION("""COMPUTED_VALUE"""),15.0)</f>
        <v>15</v>
      </c>
      <c r="AS123" s="53">
        <f>IFERROR(__xludf.DUMMYFUNCTION("""COMPUTED_VALUE"""),99.15254237288136)</f>
        <v>99.15254237</v>
      </c>
      <c r="AT123" s="48">
        <f>IFERROR(__xludf.DUMMYFUNCTION("""COMPUTED_VALUE"""),0.847457627118644)</f>
        <v>0.8474576271</v>
      </c>
      <c r="AU123" s="48">
        <f>IFERROR(__xludf.DUMMYFUNCTION("""COMPUTED_VALUE"""),0.0)</f>
        <v>0</v>
      </c>
      <c r="AV123" s="48">
        <f>IFERROR(__xludf.DUMMYFUNCTION("""COMPUTED_VALUE"""),0.0)</f>
        <v>0</v>
      </c>
      <c r="AW123" s="48">
        <f>IFERROR(__xludf.DUMMYFUNCTION("""COMPUTED_VALUE"""),12.711864406779661)</f>
        <v>12.71186441</v>
      </c>
      <c r="AX123" s="48">
        <f>IFERROR(__xludf.DUMMYFUNCTION("""COMPUTED_VALUE"""),99.15254237288136)</f>
        <v>99.15254237</v>
      </c>
      <c r="AY123" s="48">
        <f>IFERROR(__xludf.DUMMYFUNCTION("""COMPUTED_VALUE"""),0.0)</f>
        <v>0</v>
      </c>
      <c r="AZ123" s="48">
        <f>IFERROR(__xludf.DUMMYFUNCTION("""COMPUTED_VALUE"""),0.0)</f>
        <v>0</v>
      </c>
      <c r="BA123" s="48">
        <f>IFERROR(__xludf.DUMMYFUNCTION("""COMPUTED_VALUE"""),0.0)</f>
        <v>0</v>
      </c>
      <c r="BB123" s="48">
        <f>IFERROR(__xludf.DUMMYFUNCTION("""COMPUTED_VALUE"""),0.0)</f>
        <v>0</v>
      </c>
      <c r="BC123" s="48" t="str">
        <f>IFERROR(__xludf.DUMMYFUNCTION("""COMPUTED_VALUE"""),"#DIV/0!")</f>
        <v>#DIV/0!</v>
      </c>
      <c r="BD123" s="48" t="str">
        <f>IFERROR(__xludf.DUMMYFUNCTION("""COMPUTED_VALUE"""),"#DIV/0!")</f>
        <v>#DIV/0!</v>
      </c>
      <c r="BE123" s="48" t="str">
        <f>IFERROR(__xludf.DUMMYFUNCTION("""COMPUTED_VALUE"""),"#DIV/0!")</f>
        <v>#DIV/0!</v>
      </c>
      <c r="BF123" s="52"/>
      <c r="BG123" s="52"/>
      <c r="BH123" s="52"/>
      <c r="BI123" s="52"/>
      <c r="BJ123" s="52"/>
      <c r="BK123" s="52"/>
      <c r="BL123" s="52"/>
      <c r="BM123" s="78" t="s">
        <v>85</v>
      </c>
    </row>
    <row r="124">
      <c r="A124" s="42" t="s">
        <v>881</v>
      </c>
      <c r="B124" s="45" t="s">
        <v>822</v>
      </c>
      <c r="C124" s="45" t="s">
        <v>882</v>
      </c>
      <c r="D124" s="45" t="s">
        <v>125</v>
      </c>
      <c r="E124" s="45" t="s">
        <v>71</v>
      </c>
      <c r="F124" s="46">
        <v>43732.0</v>
      </c>
      <c r="G124" s="57"/>
      <c r="H124" s="48">
        <f t="shared" si="1"/>
        <v>17.07236842</v>
      </c>
      <c r="I124" s="49" t="s">
        <v>824</v>
      </c>
      <c r="J124" s="50" t="s">
        <v>825</v>
      </c>
      <c r="K124" s="45" t="s">
        <v>826</v>
      </c>
      <c r="L124" s="45" t="s">
        <v>827</v>
      </c>
      <c r="M124" s="51">
        <v>31643.0</v>
      </c>
      <c r="N124" s="52">
        <f t="shared" si="17"/>
        <v>34</v>
      </c>
      <c r="O124" s="45" t="s">
        <v>76</v>
      </c>
      <c r="P124" s="45" t="s">
        <v>77</v>
      </c>
      <c r="Q124" s="45" t="s">
        <v>78</v>
      </c>
      <c r="R124" s="52"/>
      <c r="S124" s="45" t="s">
        <v>79</v>
      </c>
      <c r="T124" s="45" t="s">
        <v>80</v>
      </c>
      <c r="U124" s="45" t="s">
        <v>81</v>
      </c>
      <c r="V124" s="45" t="s">
        <v>77</v>
      </c>
      <c r="W124" s="42" t="s">
        <v>79</v>
      </c>
      <c r="X124" s="45" t="s">
        <v>82</v>
      </c>
      <c r="Y124" s="45" t="s">
        <v>880</v>
      </c>
      <c r="Z124" s="45" t="s">
        <v>84</v>
      </c>
      <c r="AA124" s="50" t="s">
        <v>828</v>
      </c>
      <c r="AB124" s="52"/>
      <c r="AC124" s="53">
        <f t="shared" si="5"/>
        <v>336</v>
      </c>
      <c r="AD124" s="45">
        <v>276.5</v>
      </c>
      <c r="AE124" s="53">
        <f t="shared" si="11"/>
        <v>22.5</v>
      </c>
      <c r="AF124" s="53">
        <f t="shared" si="3"/>
        <v>37</v>
      </c>
      <c r="AG124" s="52">
        <f>(AF124*50)</f>
        <v>1850</v>
      </c>
      <c r="AH124" s="48">
        <f>IFERROR(__xludf.DUMMYFUNCTION("importrange(C124,""Sheet2!a4:x4"")"),31.02112676056338)</f>
        <v>31.02112676</v>
      </c>
      <c r="AI124" s="48">
        <f>IFERROR(__xludf.DUMMYFUNCTION("""COMPUTED_VALUE"""),13.0)</f>
        <v>13</v>
      </c>
      <c r="AJ124" s="48">
        <f>IFERROR(__xludf.DUMMYFUNCTION("""COMPUTED_VALUE"""),386.0)</f>
        <v>386</v>
      </c>
      <c r="AK124" s="53" t="str">
        <f>IFERROR(__xludf.DUMMYFUNCTION("""COMPUTED_VALUE"""),"Attended")</f>
        <v>Attended</v>
      </c>
      <c r="AL124" s="53">
        <f>IFERROR(__xludf.DUMMYFUNCTION("""COMPUTED_VALUE"""),386.0)</f>
        <v>386</v>
      </c>
      <c r="AM124" s="53">
        <f>IFERROR(__xludf.DUMMYFUNCTION("""COMPUTED_VALUE"""),288.0)</f>
        <v>288</v>
      </c>
      <c r="AN124" s="53">
        <f>IFERROR(__xludf.DUMMYFUNCTION("""COMPUTED_VALUE"""),287.0)</f>
        <v>287</v>
      </c>
      <c r="AO124" s="53">
        <f>IFERROR(__xludf.DUMMYFUNCTION("""COMPUTED_VALUE"""),22.0)</f>
        <v>22</v>
      </c>
      <c r="AP124" s="53">
        <f>IFERROR(__xludf.DUMMYFUNCTION("""COMPUTED_VALUE"""),1.0)</f>
        <v>1</v>
      </c>
      <c r="AQ124" s="53">
        <f>IFERROR(__xludf.DUMMYFUNCTION("""COMPUTED_VALUE"""),28.0)</f>
        <v>28</v>
      </c>
      <c r="AR124" s="53">
        <f>IFERROR(__xludf.DUMMYFUNCTION("""COMPUTED_VALUE"""),48.0)</f>
        <v>48</v>
      </c>
      <c r="AS124" s="53">
        <f>IFERROR(__xludf.DUMMYFUNCTION("""COMPUTED_VALUE"""),93.57541899441341)</f>
        <v>93.57541899</v>
      </c>
      <c r="AT124" s="48">
        <f>IFERROR(__xludf.DUMMYFUNCTION("""COMPUTED_VALUE"""),5.699481865284974)</f>
        <v>5.699481865</v>
      </c>
      <c r="AU124" s="48">
        <f>IFERROR(__xludf.DUMMYFUNCTION("""COMPUTED_VALUE"""),0.2590673575129534)</f>
        <v>0.2590673575</v>
      </c>
      <c r="AV124" s="48">
        <f>IFERROR(__xludf.DUMMYFUNCTION("""COMPUTED_VALUE"""),7.253886010362693)</f>
        <v>7.25388601</v>
      </c>
      <c r="AW124" s="48">
        <f>IFERROR(__xludf.DUMMYFUNCTION("""COMPUTED_VALUE"""),12.435233160621761)</f>
        <v>12.43523316</v>
      </c>
      <c r="AX124" s="48">
        <f>IFERROR(__xludf.DUMMYFUNCTION("""COMPUTED_VALUE"""),87.04663212435233)</f>
        <v>87.04663212</v>
      </c>
      <c r="AY124" s="48">
        <f>IFERROR(__xludf.DUMMYFUNCTION("""COMPUTED_VALUE"""),0.0)</f>
        <v>0</v>
      </c>
      <c r="AZ124" s="48">
        <f>IFERROR(__xludf.DUMMYFUNCTION("""COMPUTED_VALUE"""),0.0)</f>
        <v>0</v>
      </c>
      <c r="BA124" s="48">
        <f>IFERROR(__xludf.DUMMYFUNCTION("""COMPUTED_VALUE"""),0.0)</f>
        <v>0</v>
      </c>
      <c r="BB124" s="48">
        <f>IFERROR(__xludf.DUMMYFUNCTION("""COMPUTED_VALUE"""),2.0)</f>
        <v>2</v>
      </c>
      <c r="BC124" s="48" t="str">
        <f>IFERROR(__xludf.DUMMYFUNCTION("""COMPUTED_VALUE"""),"#DIV/0!")</f>
        <v>#DIV/0!</v>
      </c>
      <c r="BD124" s="48" t="str">
        <f>IFERROR(__xludf.DUMMYFUNCTION("""COMPUTED_VALUE"""),"#DIV/0!")</f>
        <v>#DIV/0!</v>
      </c>
      <c r="BE124" s="48">
        <f>IFERROR(__xludf.DUMMYFUNCTION("""COMPUTED_VALUE"""),100.0)</f>
        <v>100</v>
      </c>
      <c r="BF124" s="52"/>
      <c r="BG124" s="52"/>
      <c r="BH124" s="52"/>
      <c r="BI124" s="52"/>
      <c r="BJ124" s="52"/>
      <c r="BK124" s="52"/>
      <c r="BL124" s="52"/>
      <c r="BM124" s="78" t="s">
        <v>85</v>
      </c>
    </row>
    <row r="125">
      <c r="A125" s="42" t="s">
        <v>883</v>
      </c>
      <c r="B125" s="45" t="s">
        <v>837</v>
      </c>
      <c r="C125" s="45" t="s">
        <v>884</v>
      </c>
      <c r="D125" s="45" t="s">
        <v>125</v>
      </c>
      <c r="E125" s="45" t="s">
        <v>71</v>
      </c>
      <c r="F125" s="46">
        <v>43928.0</v>
      </c>
      <c r="G125" s="57"/>
      <c r="H125" s="48">
        <f t="shared" si="1"/>
        <v>10.625</v>
      </c>
      <c r="I125" s="49" t="s">
        <v>839</v>
      </c>
      <c r="J125" s="50" t="s">
        <v>840</v>
      </c>
      <c r="K125" s="45" t="s">
        <v>841</v>
      </c>
      <c r="L125" s="45" t="s">
        <v>842</v>
      </c>
      <c r="M125" s="51">
        <v>31645.0</v>
      </c>
      <c r="N125" s="52">
        <f t="shared" si="17"/>
        <v>34</v>
      </c>
      <c r="O125" s="52"/>
      <c r="P125" s="45" t="s">
        <v>77</v>
      </c>
      <c r="Q125" s="45" t="s">
        <v>77</v>
      </c>
      <c r="R125" s="52"/>
      <c r="S125" s="45" t="s">
        <v>79</v>
      </c>
      <c r="T125" s="45" t="s">
        <v>80</v>
      </c>
      <c r="U125" s="45" t="s">
        <v>81</v>
      </c>
      <c r="V125" s="45" t="s">
        <v>77</v>
      </c>
      <c r="W125" s="45" t="s">
        <v>79</v>
      </c>
      <c r="X125" s="45" t="s">
        <v>82</v>
      </c>
      <c r="Y125" s="45" t="s">
        <v>880</v>
      </c>
      <c r="Z125" s="45" t="s">
        <v>84</v>
      </c>
      <c r="AA125" s="62"/>
      <c r="AB125" s="52"/>
      <c r="AC125" s="53">
        <f t="shared" si="5"/>
        <v>43</v>
      </c>
      <c r="AD125" s="45">
        <v>54.0</v>
      </c>
      <c r="AE125" s="53">
        <f t="shared" si="11"/>
        <v>3</v>
      </c>
      <c r="AF125" s="53">
        <f t="shared" si="3"/>
        <v>-14</v>
      </c>
      <c r="AG125" s="52">
        <f>(AF125*25)</f>
        <v>-350</v>
      </c>
      <c r="AH125" s="48">
        <f>IFERROR(__xludf.DUMMYFUNCTION("importrange(C125,""Sheet2!a4:x4"")"),39.78378378378378)</f>
        <v>39.78378378</v>
      </c>
      <c r="AI125" s="48">
        <f>IFERROR(__xludf.DUMMYFUNCTION("""COMPUTED_VALUE"""),5.0)</f>
        <v>5</v>
      </c>
      <c r="AJ125" s="48">
        <f>IFERROR(__xludf.DUMMYFUNCTION("""COMPUTED_VALUE"""),49.0)</f>
        <v>49</v>
      </c>
      <c r="AK125" s="53" t="str">
        <f>IFERROR(__xludf.DUMMYFUNCTION("""COMPUTED_VALUE"""),"Attended")</f>
        <v>Attended</v>
      </c>
      <c r="AL125" s="53">
        <f>IFERROR(__xludf.DUMMYFUNCTION("""COMPUTED_VALUE"""),49.0)</f>
        <v>49</v>
      </c>
      <c r="AM125" s="53">
        <f>IFERROR(__xludf.DUMMYFUNCTION("""COMPUTED_VALUE"""),37.0)</f>
        <v>37</v>
      </c>
      <c r="AN125" s="53">
        <f>IFERROR(__xludf.DUMMYFUNCTION("""COMPUTED_VALUE"""),37.0)</f>
        <v>37</v>
      </c>
      <c r="AO125" s="53">
        <f>IFERROR(__xludf.DUMMYFUNCTION("""COMPUTED_VALUE"""),3.0)</f>
        <v>3</v>
      </c>
      <c r="AP125" s="53">
        <f>IFERROR(__xludf.DUMMYFUNCTION("""COMPUTED_VALUE"""),0.0)</f>
        <v>0</v>
      </c>
      <c r="AQ125" s="53">
        <f>IFERROR(__xludf.DUMMYFUNCTION("""COMPUTED_VALUE"""),3.0)</f>
        <v>3</v>
      </c>
      <c r="AR125" s="53">
        <f>IFERROR(__xludf.DUMMYFUNCTION("""COMPUTED_VALUE"""),6.0)</f>
        <v>6</v>
      </c>
      <c r="AS125" s="53">
        <f>IFERROR(__xludf.DUMMYFUNCTION("""COMPUTED_VALUE"""),93.47826086956522)</f>
        <v>93.47826087</v>
      </c>
      <c r="AT125" s="48">
        <f>IFERROR(__xludf.DUMMYFUNCTION("""COMPUTED_VALUE"""),6.122448979591836)</f>
        <v>6.12244898</v>
      </c>
      <c r="AU125" s="48">
        <f>IFERROR(__xludf.DUMMYFUNCTION("""COMPUTED_VALUE"""),0.0)</f>
        <v>0</v>
      </c>
      <c r="AV125" s="48">
        <f>IFERROR(__xludf.DUMMYFUNCTION("""COMPUTED_VALUE"""),6.122448979591836)</f>
        <v>6.12244898</v>
      </c>
      <c r="AW125" s="48">
        <f>IFERROR(__xludf.DUMMYFUNCTION("""COMPUTED_VALUE"""),12.244897959183673)</f>
        <v>12.24489796</v>
      </c>
      <c r="AX125" s="48">
        <f>IFERROR(__xludf.DUMMYFUNCTION("""COMPUTED_VALUE"""),87.75510204081633)</f>
        <v>87.75510204</v>
      </c>
      <c r="AY125" s="48">
        <f>IFERROR(__xludf.DUMMYFUNCTION("""COMPUTED_VALUE"""),0.0)</f>
        <v>0</v>
      </c>
      <c r="AZ125" s="48">
        <f>IFERROR(__xludf.DUMMYFUNCTION("""COMPUTED_VALUE"""),0.0)</f>
        <v>0</v>
      </c>
      <c r="BA125" s="48">
        <f>IFERROR(__xludf.DUMMYFUNCTION("""COMPUTED_VALUE"""),0.0)</f>
        <v>0</v>
      </c>
      <c r="BB125" s="48">
        <f>IFERROR(__xludf.DUMMYFUNCTION("""COMPUTED_VALUE"""),0.0)</f>
        <v>0</v>
      </c>
      <c r="BC125" s="48" t="str">
        <f>IFERROR(__xludf.DUMMYFUNCTION("""COMPUTED_VALUE"""),"#DIV/0!")</f>
        <v>#DIV/0!</v>
      </c>
      <c r="BD125" s="48" t="str">
        <f>IFERROR(__xludf.DUMMYFUNCTION("""COMPUTED_VALUE"""),"#DIV/0!")</f>
        <v>#DIV/0!</v>
      </c>
      <c r="BE125" s="48" t="str">
        <f>IFERROR(__xludf.DUMMYFUNCTION("""COMPUTED_VALUE"""),"#DIV/0!")</f>
        <v>#DIV/0!</v>
      </c>
      <c r="BF125" s="52"/>
      <c r="BG125" s="52"/>
      <c r="BH125" s="52"/>
      <c r="BI125" s="52"/>
      <c r="BJ125" s="52"/>
      <c r="BK125" s="52"/>
      <c r="BL125" s="52"/>
      <c r="BM125" s="78" t="s">
        <v>85</v>
      </c>
    </row>
    <row r="126">
      <c r="A126" s="42" t="s">
        <v>885</v>
      </c>
      <c r="B126" s="45" t="s">
        <v>815</v>
      </c>
      <c r="C126" s="45" t="s">
        <v>886</v>
      </c>
      <c r="D126" s="45" t="s">
        <v>125</v>
      </c>
      <c r="E126" s="45" t="s">
        <v>192</v>
      </c>
      <c r="F126" s="46">
        <v>43569.0</v>
      </c>
      <c r="G126" s="57"/>
      <c r="H126" s="48">
        <f t="shared" si="1"/>
        <v>22.43421053</v>
      </c>
      <c r="I126" s="49" t="s">
        <v>817</v>
      </c>
      <c r="J126" s="50" t="s">
        <v>818</v>
      </c>
      <c r="K126" s="45" t="s">
        <v>819</v>
      </c>
      <c r="L126" s="45" t="s">
        <v>820</v>
      </c>
      <c r="M126" s="51">
        <v>34182.0</v>
      </c>
      <c r="N126" s="52">
        <f t="shared" si="17"/>
        <v>27</v>
      </c>
      <c r="O126" s="45" t="s">
        <v>104</v>
      </c>
      <c r="P126" s="45" t="s">
        <v>77</v>
      </c>
      <c r="Q126" s="45" t="s">
        <v>77</v>
      </c>
      <c r="R126" s="52"/>
      <c r="S126" s="45" t="s">
        <v>79</v>
      </c>
      <c r="T126" s="45" t="s">
        <v>129</v>
      </c>
      <c r="U126" s="45" t="s">
        <v>81</v>
      </c>
      <c r="V126" s="45" t="s">
        <v>78</v>
      </c>
      <c r="W126" s="42" t="s">
        <v>79</v>
      </c>
      <c r="X126" s="45" t="s">
        <v>82</v>
      </c>
      <c r="Y126" s="45" t="s">
        <v>880</v>
      </c>
      <c r="Z126" s="45" t="s">
        <v>84</v>
      </c>
      <c r="AA126" s="62"/>
      <c r="AB126" s="52"/>
      <c r="AC126" s="53">
        <f t="shared" si="5"/>
        <v>1</v>
      </c>
      <c r="AD126" s="52"/>
      <c r="AE126" s="53">
        <f t="shared" si="11"/>
        <v>0</v>
      </c>
      <c r="AF126" s="53">
        <f t="shared" si="3"/>
        <v>1</v>
      </c>
      <c r="AG126" s="52">
        <f>(AF126*50)</f>
        <v>50</v>
      </c>
      <c r="AH126" s="48">
        <f>IFERROR(__xludf.DUMMYFUNCTION("importrange(C126,""Sheet2!a4:x4"")"),60.0)</f>
        <v>60</v>
      </c>
      <c r="AI126" s="48">
        <f>IFERROR(__xludf.DUMMYFUNCTION("""COMPUTED_VALUE"""),1.0)</f>
        <v>1</v>
      </c>
      <c r="AJ126" s="48">
        <f>IFERROR(__xludf.DUMMYFUNCTION("""COMPUTED_VALUE"""),1.0)</f>
        <v>1</v>
      </c>
      <c r="AK126" s="53" t="str">
        <f>IFERROR(__xludf.DUMMYFUNCTION("""COMPUTED_VALUE"""),"Attended")</f>
        <v>Attended</v>
      </c>
      <c r="AL126" s="53">
        <f>IFERROR(__xludf.DUMMYFUNCTION("""COMPUTED_VALUE"""),1.0)</f>
        <v>1</v>
      </c>
      <c r="AM126" s="53">
        <f>IFERROR(__xludf.DUMMYFUNCTION("""COMPUTED_VALUE"""),1.0)</f>
        <v>1</v>
      </c>
      <c r="AN126" s="53">
        <f>IFERROR(__xludf.DUMMYFUNCTION("""COMPUTED_VALUE"""),1.0)</f>
        <v>1</v>
      </c>
      <c r="AO126" s="53">
        <f>IFERROR(__xludf.DUMMYFUNCTION("""COMPUTED_VALUE"""),0.0)</f>
        <v>0</v>
      </c>
      <c r="AP126" s="53">
        <f>IFERROR(__xludf.DUMMYFUNCTION("""COMPUTED_VALUE"""),0.0)</f>
        <v>0</v>
      </c>
      <c r="AQ126" s="53">
        <f>IFERROR(__xludf.DUMMYFUNCTION("""COMPUTED_VALUE"""),0.0)</f>
        <v>0</v>
      </c>
      <c r="AR126" s="53">
        <f>IFERROR(__xludf.DUMMYFUNCTION("""COMPUTED_VALUE"""),0.0)</f>
        <v>0</v>
      </c>
      <c r="AS126" s="53">
        <f>IFERROR(__xludf.DUMMYFUNCTION("""COMPUTED_VALUE"""),100.0)</f>
        <v>100</v>
      </c>
      <c r="AT126" s="48">
        <f>IFERROR(__xludf.DUMMYFUNCTION("""COMPUTED_VALUE"""),0.0)</f>
        <v>0</v>
      </c>
      <c r="AU126" s="48">
        <f>IFERROR(__xludf.DUMMYFUNCTION("""COMPUTED_VALUE"""),0.0)</f>
        <v>0</v>
      </c>
      <c r="AV126" s="48">
        <f>IFERROR(__xludf.DUMMYFUNCTION("""COMPUTED_VALUE"""),0.0)</f>
        <v>0</v>
      </c>
      <c r="AW126" s="48">
        <f>IFERROR(__xludf.DUMMYFUNCTION("""COMPUTED_VALUE"""),0.0)</f>
        <v>0</v>
      </c>
      <c r="AX126" s="48">
        <f>IFERROR(__xludf.DUMMYFUNCTION("""COMPUTED_VALUE"""),100.0)</f>
        <v>100</v>
      </c>
      <c r="AY126" s="48">
        <f>IFERROR(__xludf.DUMMYFUNCTION("""COMPUTED_VALUE"""),0.0)</f>
        <v>0</v>
      </c>
      <c r="AZ126" s="48">
        <f>IFERROR(__xludf.DUMMYFUNCTION("""COMPUTED_VALUE"""),0.0)</f>
        <v>0</v>
      </c>
      <c r="BA126" s="48">
        <f>IFERROR(__xludf.DUMMYFUNCTION("""COMPUTED_VALUE"""),0.0)</f>
        <v>0</v>
      </c>
      <c r="BB126" s="48">
        <f>IFERROR(__xludf.DUMMYFUNCTION("""COMPUTED_VALUE"""),0.0)</f>
        <v>0</v>
      </c>
      <c r="BC126" s="48" t="str">
        <f>IFERROR(__xludf.DUMMYFUNCTION("""COMPUTED_VALUE"""),"#DIV/0!")</f>
        <v>#DIV/0!</v>
      </c>
      <c r="BD126" s="48" t="str">
        <f>IFERROR(__xludf.DUMMYFUNCTION("""COMPUTED_VALUE"""),"#DIV/0!")</f>
        <v>#DIV/0!</v>
      </c>
      <c r="BE126" s="48" t="str">
        <f>IFERROR(__xludf.DUMMYFUNCTION("""COMPUTED_VALUE"""),"#DIV/0!")</f>
        <v>#DIV/0!</v>
      </c>
      <c r="BF126" s="52"/>
      <c r="BG126" s="52"/>
      <c r="BH126" s="52"/>
      <c r="BI126" s="52"/>
      <c r="BJ126" s="52"/>
      <c r="BK126" s="52"/>
      <c r="BL126" s="52"/>
      <c r="BM126" s="78" t="s">
        <v>85</v>
      </c>
    </row>
    <row r="127">
      <c r="A127" s="42" t="s">
        <v>887</v>
      </c>
      <c r="B127" s="45" t="s">
        <v>844</v>
      </c>
      <c r="C127" s="45" t="s">
        <v>888</v>
      </c>
      <c r="D127" s="45" t="s">
        <v>125</v>
      </c>
      <c r="E127" s="45" t="s">
        <v>192</v>
      </c>
      <c r="F127" s="46">
        <v>43967.0</v>
      </c>
      <c r="G127" s="57"/>
      <c r="H127" s="48">
        <f t="shared" si="1"/>
        <v>9.342105263</v>
      </c>
      <c r="I127" s="49" t="s">
        <v>846</v>
      </c>
      <c r="J127" s="50" t="s">
        <v>847</v>
      </c>
      <c r="K127" s="45" t="s">
        <v>848</v>
      </c>
      <c r="L127" s="45" t="s">
        <v>849</v>
      </c>
      <c r="M127" s="51">
        <v>34736.0</v>
      </c>
      <c r="N127" s="52">
        <f t="shared" si="17"/>
        <v>26</v>
      </c>
      <c r="O127" s="52"/>
      <c r="P127" s="52"/>
      <c r="Q127" s="52"/>
      <c r="R127" s="52"/>
      <c r="S127" s="45" t="s">
        <v>79</v>
      </c>
      <c r="T127" s="45" t="s">
        <v>80</v>
      </c>
      <c r="U127" s="45" t="s">
        <v>81</v>
      </c>
      <c r="V127" s="45" t="s">
        <v>78</v>
      </c>
      <c r="W127" s="45" t="s">
        <v>79</v>
      </c>
      <c r="X127" s="45" t="s">
        <v>82</v>
      </c>
      <c r="Y127" s="45" t="s">
        <v>880</v>
      </c>
      <c r="Z127" s="45" t="s">
        <v>84</v>
      </c>
      <c r="AA127" s="50" t="s">
        <v>850</v>
      </c>
      <c r="AB127" s="52"/>
      <c r="AC127" s="53">
        <f t="shared" si="5"/>
        <v>120</v>
      </c>
      <c r="AD127" s="45">
        <v>64.0</v>
      </c>
      <c r="AE127" s="53">
        <f t="shared" si="11"/>
        <v>8</v>
      </c>
      <c r="AF127" s="53">
        <f t="shared" si="3"/>
        <v>48</v>
      </c>
      <c r="AG127" s="52">
        <f t="shared" ref="AG127:AG129" si="25">(AF127*25)</f>
        <v>1200</v>
      </c>
      <c r="AH127" s="48">
        <f>IFERROR(__xludf.DUMMYFUNCTION("importrange(C127,""Sheet2!a4:x4"")"),29.725274725274726)</f>
        <v>29.72527473</v>
      </c>
      <c r="AI127" s="48">
        <f>IFERROR(__xludf.DUMMYFUNCTION("""COMPUTED_VALUE"""),10.0)</f>
        <v>10</v>
      </c>
      <c r="AJ127" s="48">
        <f>IFERROR(__xludf.DUMMYFUNCTION("""COMPUTED_VALUE"""),134.0)</f>
        <v>134</v>
      </c>
      <c r="AK127" s="53" t="str">
        <f>IFERROR(__xludf.DUMMYFUNCTION("""COMPUTED_VALUE"""),"Attended")</f>
        <v>Attended</v>
      </c>
      <c r="AL127" s="53">
        <f>IFERROR(__xludf.DUMMYFUNCTION("""COMPUTED_VALUE"""),134.0)</f>
        <v>134</v>
      </c>
      <c r="AM127" s="53">
        <f>IFERROR(__xludf.DUMMYFUNCTION("""COMPUTED_VALUE"""),94.0)</f>
        <v>94</v>
      </c>
      <c r="AN127" s="53">
        <f>IFERROR(__xludf.DUMMYFUNCTION("""COMPUTED_VALUE"""),94.0)</f>
        <v>94</v>
      </c>
      <c r="AO127" s="53">
        <f>IFERROR(__xludf.DUMMYFUNCTION("""COMPUTED_VALUE"""),8.0)</f>
        <v>8</v>
      </c>
      <c r="AP127" s="53">
        <f>IFERROR(__xludf.DUMMYFUNCTION("""COMPUTED_VALUE"""),0.0)</f>
        <v>0</v>
      </c>
      <c r="AQ127" s="53">
        <f>IFERROR(__xludf.DUMMYFUNCTION("""COMPUTED_VALUE"""),6.0)</f>
        <v>6</v>
      </c>
      <c r="AR127" s="53">
        <f>IFERROR(__xludf.DUMMYFUNCTION("""COMPUTED_VALUE"""),26.0)</f>
        <v>26</v>
      </c>
      <c r="AS127" s="53">
        <f>IFERROR(__xludf.DUMMYFUNCTION("""COMPUTED_VALUE"""),93.75)</f>
        <v>93.75</v>
      </c>
      <c r="AT127" s="48">
        <f>IFERROR(__xludf.DUMMYFUNCTION("""COMPUTED_VALUE"""),5.970149253731343)</f>
        <v>5.970149254</v>
      </c>
      <c r="AU127" s="48">
        <f>IFERROR(__xludf.DUMMYFUNCTION("""COMPUTED_VALUE"""),0.0)</f>
        <v>0</v>
      </c>
      <c r="AV127" s="48">
        <f>IFERROR(__xludf.DUMMYFUNCTION("""COMPUTED_VALUE"""),4.477611940298507)</f>
        <v>4.47761194</v>
      </c>
      <c r="AW127" s="48">
        <f>IFERROR(__xludf.DUMMYFUNCTION("""COMPUTED_VALUE"""),19.402985074626866)</f>
        <v>19.40298507</v>
      </c>
      <c r="AX127" s="48">
        <f>IFERROR(__xludf.DUMMYFUNCTION("""COMPUTED_VALUE"""),89.55223880597015)</f>
        <v>89.55223881</v>
      </c>
      <c r="AY127" s="48">
        <f>IFERROR(__xludf.DUMMYFUNCTION("""COMPUTED_VALUE"""),0.0)</f>
        <v>0</v>
      </c>
      <c r="AZ127" s="48">
        <f>IFERROR(__xludf.DUMMYFUNCTION("""COMPUTED_VALUE"""),0.0)</f>
        <v>0</v>
      </c>
      <c r="BA127" s="48">
        <f>IFERROR(__xludf.DUMMYFUNCTION("""COMPUTED_VALUE"""),0.0)</f>
        <v>0</v>
      </c>
      <c r="BB127" s="48">
        <f>IFERROR(__xludf.DUMMYFUNCTION("""COMPUTED_VALUE"""),0.0)</f>
        <v>0</v>
      </c>
      <c r="BC127" s="48" t="str">
        <f>IFERROR(__xludf.DUMMYFUNCTION("""COMPUTED_VALUE"""),"#DIV/0!")</f>
        <v>#DIV/0!</v>
      </c>
      <c r="BD127" s="48" t="str">
        <f>IFERROR(__xludf.DUMMYFUNCTION("""COMPUTED_VALUE"""),"#DIV/0!")</f>
        <v>#DIV/0!</v>
      </c>
      <c r="BE127" s="48" t="str">
        <f>IFERROR(__xludf.DUMMYFUNCTION("""COMPUTED_VALUE"""),"#DIV/0!")</f>
        <v>#DIV/0!</v>
      </c>
      <c r="BF127" s="52"/>
      <c r="BG127" s="52"/>
      <c r="BH127" s="52"/>
      <c r="BI127" s="52"/>
      <c r="BJ127" s="52"/>
      <c r="BK127" s="52"/>
      <c r="BL127" s="52"/>
      <c r="BM127" s="78" t="s">
        <v>85</v>
      </c>
    </row>
    <row r="128">
      <c r="A128" s="42" t="s">
        <v>889</v>
      </c>
      <c r="B128" s="45" t="s">
        <v>807</v>
      </c>
      <c r="C128" s="45" t="s">
        <v>890</v>
      </c>
      <c r="D128" s="45" t="s">
        <v>125</v>
      </c>
      <c r="E128" s="45" t="s">
        <v>71</v>
      </c>
      <c r="F128" s="46">
        <v>43417.0</v>
      </c>
      <c r="G128" s="57"/>
      <c r="H128" s="48">
        <f t="shared" si="1"/>
        <v>27.43421053</v>
      </c>
      <c r="I128" s="49" t="s">
        <v>809</v>
      </c>
      <c r="J128" s="50" t="s">
        <v>810</v>
      </c>
      <c r="K128" s="45" t="s">
        <v>811</v>
      </c>
      <c r="L128" s="45" t="s">
        <v>812</v>
      </c>
      <c r="M128" s="51">
        <v>33239.0</v>
      </c>
      <c r="N128" s="52">
        <f t="shared" si="17"/>
        <v>30</v>
      </c>
      <c r="O128" s="52"/>
      <c r="P128" s="45" t="s">
        <v>77</v>
      </c>
      <c r="Q128" s="45" t="s">
        <v>77</v>
      </c>
      <c r="R128" s="52"/>
      <c r="S128" s="42" t="s">
        <v>79</v>
      </c>
      <c r="T128" s="45" t="s">
        <v>80</v>
      </c>
      <c r="U128" s="45" t="s">
        <v>81</v>
      </c>
      <c r="V128" s="45" t="s">
        <v>78</v>
      </c>
      <c r="W128" s="42" t="s">
        <v>79</v>
      </c>
      <c r="X128" s="42" t="s">
        <v>82</v>
      </c>
      <c r="Y128" s="45" t="s">
        <v>880</v>
      </c>
      <c r="Z128" s="45" t="s">
        <v>84</v>
      </c>
      <c r="AA128" s="62"/>
      <c r="AB128" s="52"/>
      <c r="AC128" s="53">
        <f t="shared" si="5"/>
        <v>133</v>
      </c>
      <c r="AD128" s="45">
        <v>96.0</v>
      </c>
      <c r="AE128" s="53">
        <f t="shared" si="11"/>
        <v>0</v>
      </c>
      <c r="AF128" s="53">
        <f t="shared" si="3"/>
        <v>37</v>
      </c>
      <c r="AG128" s="52">
        <f t="shared" si="25"/>
        <v>925</v>
      </c>
      <c r="AH128" s="48">
        <f>IFERROR(__xludf.DUMMYFUNCTION("importrange(C128,""Sheet2!a4:x4"")"),35.588235294117645)</f>
        <v>35.58823529</v>
      </c>
      <c r="AI128" s="48">
        <f>IFERROR(__xludf.DUMMYFUNCTION("""COMPUTED_VALUE"""),5.0)</f>
        <v>5</v>
      </c>
      <c r="AJ128" s="48">
        <f>IFERROR(__xludf.DUMMYFUNCTION("""COMPUTED_VALUE"""),139.0)</f>
        <v>139</v>
      </c>
      <c r="AK128" s="53" t="str">
        <f>IFERROR(__xludf.DUMMYFUNCTION("""COMPUTED_VALUE"""),"Attended")</f>
        <v>Attended</v>
      </c>
      <c r="AL128" s="53">
        <f>IFERROR(__xludf.DUMMYFUNCTION("""COMPUTED_VALUE"""),139.0)</f>
        <v>139</v>
      </c>
      <c r="AM128" s="53">
        <f>IFERROR(__xludf.DUMMYFUNCTION("""COMPUTED_VALUE"""),111.0)</f>
        <v>111</v>
      </c>
      <c r="AN128" s="53">
        <f>IFERROR(__xludf.DUMMYFUNCTION("""COMPUTED_VALUE"""),111.0)</f>
        <v>111</v>
      </c>
      <c r="AO128" s="53">
        <f>IFERROR(__xludf.DUMMYFUNCTION("""COMPUTED_VALUE"""),0.0)</f>
        <v>0</v>
      </c>
      <c r="AP128" s="53">
        <f>IFERROR(__xludf.DUMMYFUNCTION("""COMPUTED_VALUE"""),0.0)</f>
        <v>0</v>
      </c>
      <c r="AQ128" s="53">
        <f>IFERROR(__xludf.DUMMYFUNCTION("""COMPUTED_VALUE"""),6.0)</f>
        <v>6</v>
      </c>
      <c r="AR128" s="53">
        <f>IFERROR(__xludf.DUMMYFUNCTION("""COMPUTED_VALUE"""),22.0)</f>
        <v>22</v>
      </c>
      <c r="AS128" s="53">
        <f>IFERROR(__xludf.DUMMYFUNCTION("""COMPUTED_VALUE"""),100.0)</f>
        <v>100</v>
      </c>
      <c r="AT128" s="48">
        <f>IFERROR(__xludf.DUMMYFUNCTION("""COMPUTED_VALUE"""),0.0)</f>
        <v>0</v>
      </c>
      <c r="AU128" s="48">
        <f>IFERROR(__xludf.DUMMYFUNCTION("""COMPUTED_VALUE"""),0.0)</f>
        <v>0</v>
      </c>
      <c r="AV128" s="48">
        <f>IFERROR(__xludf.DUMMYFUNCTION("""COMPUTED_VALUE"""),4.316546762589928)</f>
        <v>4.316546763</v>
      </c>
      <c r="AW128" s="48">
        <f>IFERROR(__xludf.DUMMYFUNCTION("""COMPUTED_VALUE"""),15.827338129496402)</f>
        <v>15.82733813</v>
      </c>
      <c r="AX128" s="48">
        <f>IFERROR(__xludf.DUMMYFUNCTION("""COMPUTED_VALUE"""),95.68345323741008)</f>
        <v>95.68345324</v>
      </c>
      <c r="AY128" s="48">
        <f>IFERROR(__xludf.DUMMYFUNCTION("""COMPUTED_VALUE"""),0.0)</f>
        <v>0</v>
      </c>
      <c r="AZ128" s="48">
        <f>IFERROR(__xludf.DUMMYFUNCTION("""COMPUTED_VALUE"""),0.0)</f>
        <v>0</v>
      </c>
      <c r="BA128" s="48">
        <f>IFERROR(__xludf.DUMMYFUNCTION("""COMPUTED_VALUE"""),0.0)</f>
        <v>0</v>
      </c>
      <c r="BB128" s="48">
        <f>IFERROR(__xludf.DUMMYFUNCTION("""COMPUTED_VALUE"""),0.0)</f>
        <v>0</v>
      </c>
      <c r="BC128" s="48" t="str">
        <f>IFERROR(__xludf.DUMMYFUNCTION("""COMPUTED_VALUE"""),"#DIV/0!")</f>
        <v>#DIV/0!</v>
      </c>
      <c r="BD128" s="48" t="str">
        <f>IFERROR(__xludf.DUMMYFUNCTION("""COMPUTED_VALUE"""),"#DIV/0!")</f>
        <v>#DIV/0!</v>
      </c>
      <c r="BE128" s="48" t="str">
        <f>IFERROR(__xludf.DUMMYFUNCTION("""COMPUTED_VALUE"""),"#DIV/0!")</f>
        <v>#DIV/0!</v>
      </c>
      <c r="BF128" s="52"/>
      <c r="BG128" s="52"/>
      <c r="BH128" s="52"/>
      <c r="BI128" s="52"/>
      <c r="BJ128" s="52"/>
      <c r="BK128" s="52"/>
      <c r="BL128" s="52"/>
      <c r="BM128" s="78" t="s">
        <v>85</v>
      </c>
    </row>
    <row r="129">
      <c r="A129" s="42" t="s">
        <v>891</v>
      </c>
      <c r="B129" s="45" t="s">
        <v>830</v>
      </c>
      <c r="C129" s="45" t="s">
        <v>892</v>
      </c>
      <c r="D129" s="45" t="s">
        <v>125</v>
      </c>
      <c r="E129" s="45" t="s">
        <v>71</v>
      </c>
      <c r="F129" s="46">
        <v>43927.0</v>
      </c>
      <c r="G129" s="57"/>
      <c r="H129" s="48">
        <f t="shared" si="1"/>
        <v>10.65789474</v>
      </c>
      <c r="I129" s="49" t="s">
        <v>832</v>
      </c>
      <c r="J129" s="50" t="s">
        <v>833</v>
      </c>
      <c r="K129" s="45" t="s">
        <v>834</v>
      </c>
      <c r="L129" s="45" t="s">
        <v>835</v>
      </c>
      <c r="M129" s="51">
        <v>31644.0</v>
      </c>
      <c r="N129" s="52">
        <f t="shared" si="17"/>
        <v>34</v>
      </c>
      <c r="O129" s="45" t="s">
        <v>76</v>
      </c>
      <c r="P129" s="45" t="s">
        <v>77</v>
      </c>
      <c r="Q129" s="45" t="s">
        <v>78</v>
      </c>
      <c r="R129" s="52"/>
      <c r="S129" s="45" t="s">
        <v>79</v>
      </c>
      <c r="T129" s="45" t="s">
        <v>80</v>
      </c>
      <c r="U129" s="45" t="s">
        <v>81</v>
      </c>
      <c r="V129" s="45" t="s">
        <v>77</v>
      </c>
      <c r="W129" s="42" t="s">
        <v>79</v>
      </c>
      <c r="X129" s="45" t="s">
        <v>82</v>
      </c>
      <c r="Y129" s="45" t="s">
        <v>880</v>
      </c>
      <c r="Z129" s="45" t="s">
        <v>84</v>
      </c>
      <c r="AA129" s="62"/>
      <c r="AB129" s="52"/>
      <c r="AC129" s="53">
        <f t="shared" si="5"/>
        <v>82</v>
      </c>
      <c r="AD129" s="45">
        <v>79.0</v>
      </c>
      <c r="AE129" s="53">
        <f t="shared" si="11"/>
        <v>3</v>
      </c>
      <c r="AF129" s="53">
        <f t="shared" si="3"/>
        <v>0</v>
      </c>
      <c r="AG129" s="52">
        <f t="shared" si="25"/>
        <v>0</v>
      </c>
      <c r="AH129" s="48">
        <f>IFERROR(__xludf.DUMMYFUNCTION("importrange(C129,""Sheet2!a4:x4"")"),46.73684210526316)</f>
        <v>46.73684211</v>
      </c>
      <c r="AI129" s="48">
        <f>IFERROR(__xludf.DUMMYFUNCTION("""COMPUTED_VALUE"""),4.0)</f>
        <v>4</v>
      </c>
      <c r="AJ129" s="48">
        <f>IFERROR(__xludf.DUMMYFUNCTION("""COMPUTED_VALUE"""),85.0)</f>
        <v>85</v>
      </c>
      <c r="AK129" s="53" t="str">
        <f>IFERROR(__xludf.DUMMYFUNCTION("""COMPUTED_VALUE"""),"Attended")</f>
        <v>Attended</v>
      </c>
      <c r="AL129" s="53">
        <f>IFERROR(__xludf.DUMMYFUNCTION("""COMPUTED_VALUE"""),85.0)</f>
        <v>85</v>
      </c>
      <c r="AM129" s="53">
        <f>IFERROR(__xludf.DUMMYFUNCTION("""COMPUTED_VALUE"""),75.0)</f>
        <v>75</v>
      </c>
      <c r="AN129" s="53">
        <f>IFERROR(__xludf.DUMMYFUNCTION("""COMPUTED_VALUE"""),75.0)</f>
        <v>75</v>
      </c>
      <c r="AO129" s="53">
        <f>IFERROR(__xludf.DUMMYFUNCTION("""COMPUTED_VALUE"""),3.0)</f>
        <v>3</v>
      </c>
      <c r="AP129" s="53">
        <f>IFERROR(__xludf.DUMMYFUNCTION("""COMPUTED_VALUE"""),0.0)</f>
        <v>0</v>
      </c>
      <c r="AQ129" s="53">
        <f>IFERROR(__xludf.DUMMYFUNCTION("""COMPUTED_VALUE"""),0.0)</f>
        <v>0</v>
      </c>
      <c r="AR129" s="53">
        <f>IFERROR(__xludf.DUMMYFUNCTION("""COMPUTED_VALUE"""),7.0)</f>
        <v>7</v>
      </c>
      <c r="AS129" s="53">
        <f>IFERROR(__xludf.DUMMYFUNCTION("""COMPUTED_VALUE"""),96.47058823529412)</f>
        <v>96.47058824</v>
      </c>
      <c r="AT129" s="48">
        <f>IFERROR(__xludf.DUMMYFUNCTION("""COMPUTED_VALUE"""),3.5294117647058822)</f>
        <v>3.529411765</v>
      </c>
      <c r="AU129" s="48">
        <f>IFERROR(__xludf.DUMMYFUNCTION("""COMPUTED_VALUE"""),0.0)</f>
        <v>0</v>
      </c>
      <c r="AV129" s="48">
        <f>IFERROR(__xludf.DUMMYFUNCTION("""COMPUTED_VALUE"""),0.0)</f>
        <v>0</v>
      </c>
      <c r="AW129" s="48">
        <f>IFERROR(__xludf.DUMMYFUNCTION("""COMPUTED_VALUE"""),8.235294117647058)</f>
        <v>8.235294118</v>
      </c>
      <c r="AX129" s="48">
        <f>IFERROR(__xludf.DUMMYFUNCTION("""COMPUTED_VALUE"""),96.47058823529412)</f>
        <v>96.47058824</v>
      </c>
      <c r="AY129" s="48">
        <f>IFERROR(__xludf.DUMMYFUNCTION("""COMPUTED_VALUE"""),3.0)</f>
        <v>3</v>
      </c>
      <c r="AZ129" s="48">
        <f>IFERROR(__xludf.DUMMYFUNCTION("""COMPUTED_VALUE"""),0.0)</f>
        <v>0</v>
      </c>
      <c r="BA129" s="48">
        <f>IFERROR(__xludf.DUMMYFUNCTION("""COMPUTED_VALUE"""),3.0)</f>
        <v>3</v>
      </c>
      <c r="BB129" s="48">
        <f>IFERROR(__xludf.DUMMYFUNCTION("""COMPUTED_VALUE"""),0.0)</f>
        <v>0</v>
      </c>
      <c r="BC129" s="48">
        <f>IFERROR(__xludf.DUMMYFUNCTION("""COMPUTED_VALUE"""),0.0)</f>
        <v>0</v>
      </c>
      <c r="BD129" s="48">
        <f>IFERROR(__xludf.DUMMYFUNCTION("""COMPUTED_VALUE"""),100.0)</f>
        <v>100</v>
      </c>
      <c r="BE129" s="48">
        <f>IFERROR(__xludf.DUMMYFUNCTION("""COMPUTED_VALUE"""),0.0)</f>
        <v>0</v>
      </c>
      <c r="BF129" s="52"/>
      <c r="BG129" s="52"/>
      <c r="BH129" s="52"/>
      <c r="BI129" s="52"/>
      <c r="BJ129" s="52"/>
      <c r="BK129" s="52"/>
      <c r="BL129" s="52"/>
      <c r="BM129" s="78" t="s">
        <v>85</v>
      </c>
    </row>
    <row r="130">
      <c r="A130" s="42" t="s">
        <v>893</v>
      </c>
      <c r="B130" s="45" t="s">
        <v>894</v>
      </c>
      <c r="C130" s="45" t="s">
        <v>895</v>
      </c>
      <c r="D130" s="45" t="s">
        <v>125</v>
      </c>
      <c r="E130" s="45" t="s">
        <v>192</v>
      </c>
      <c r="F130" s="46">
        <v>44105.0</v>
      </c>
      <c r="G130" s="57"/>
      <c r="H130" s="48">
        <f t="shared" si="1"/>
        <v>4.802631579</v>
      </c>
      <c r="I130" s="49" t="s">
        <v>896</v>
      </c>
      <c r="J130" s="50" t="s">
        <v>897</v>
      </c>
      <c r="K130" s="45" t="s">
        <v>898</v>
      </c>
      <c r="L130" s="45" t="s">
        <v>899</v>
      </c>
      <c r="M130" s="51">
        <v>31658.0</v>
      </c>
      <c r="N130" s="52">
        <f t="shared" si="17"/>
        <v>34</v>
      </c>
      <c r="O130" s="45" t="s">
        <v>104</v>
      </c>
      <c r="P130" s="45" t="s">
        <v>77</v>
      </c>
      <c r="Q130" s="45" t="s">
        <v>77</v>
      </c>
      <c r="R130" s="52"/>
      <c r="S130" s="45" t="s">
        <v>79</v>
      </c>
      <c r="T130" s="45" t="s">
        <v>94</v>
      </c>
      <c r="U130" s="45" t="s">
        <v>81</v>
      </c>
      <c r="V130" s="45" t="s">
        <v>77</v>
      </c>
      <c r="W130" s="42" t="s">
        <v>79</v>
      </c>
      <c r="X130" s="45" t="s">
        <v>82</v>
      </c>
      <c r="Y130" s="45" t="s">
        <v>83</v>
      </c>
      <c r="Z130" s="45" t="s">
        <v>130</v>
      </c>
      <c r="AA130" s="62"/>
      <c r="AB130" s="52"/>
      <c r="AC130" s="53">
        <f t="shared" si="5"/>
        <v>200</v>
      </c>
      <c r="AD130" s="52"/>
      <c r="AE130" s="53">
        <f t="shared" si="11"/>
        <v>0</v>
      </c>
      <c r="AF130" s="53">
        <f t="shared" si="3"/>
        <v>200</v>
      </c>
      <c r="AG130" s="52"/>
      <c r="AH130" s="48">
        <f>IFERROR(__xludf.DUMMYFUNCTION("importrange(C130,""Sheet2!a4:x4"")"),30.11731843575419)</f>
        <v>30.11731844</v>
      </c>
      <c r="AI130" s="48">
        <f>IFERROR(__xludf.DUMMYFUNCTION("""COMPUTED_VALUE"""),14.0)</f>
        <v>14</v>
      </c>
      <c r="AJ130" s="48">
        <f>IFERROR(__xludf.DUMMYFUNCTION("""COMPUTED_VALUE"""),200.0)</f>
        <v>200</v>
      </c>
      <c r="AK130" s="53" t="str">
        <f>IFERROR(__xludf.DUMMYFUNCTION("""COMPUTED_VALUE"""),"Attended")</f>
        <v>Attended</v>
      </c>
      <c r="AL130" s="53">
        <f>IFERROR(__xludf.DUMMYFUNCTION("""COMPUTED_VALUE"""),200.0)</f>
        <v>200</v>
      </c>
      <c r="AM130" s="53">
        <f>IFERROR(__xludf.DUMMYFUNCTION("""COMPUTED_VALUE"""),184.0)</f>
        <v>184</v>
      </c>
      <c r="AN130" s="53">
        <f>IFERROR(__xludf.DUMMYFUNCTION("""COMPUTED_VALUE"""),184.0)</f>
        <v>184</v>
      </c>
      <c r="AO130" s="53">
        <f>IFERROR(__xludf.DUMMYFUNCTION("""COMPUTED_VALUE"""),0.0)</f>
        <v>0</v>
      </c>
      <c r="AP130" s="53">
        <f>IFERROR(__xludf.DUMMYFUNCTION("""COMPUTED_VALUE"""),0.0)</f>
        <v>0</v>
      </c>
      <c r="AQ130" s="53">
        <f>IFERROR(__xludf.DUMMYFUNCTION("""COMPUTED_VALUE"""),0.0)</f>
        <v>0</v>
      </c>
      <c r="AR130" s="53">
        <f>IFERROR(__xludf.DUMMYFUNCTION("""COMPUTED_VALUE"""),16.0)</f>
        <v>16</v>
      </c>
      <c r="AS130" s="53">
        <f>IFERROR(__xludf.DUMMYFUNCTION("""COMPUTED_VALUE"""),100.0)</f>
        <v>100</v>
      </c>
      <c r="AT130" s="48">
        <f>IFERROR(__xludf.DUMMYFUNCTION("""COMPUTED_VALUE"""),0.0)</f>
        <v>0</v>
      </c>
      <c r="AU130" s="48">
        <f>IFERROR(__xludf.DUMMYFUNCTION("""COMPUTED_VALUE"""),0.0)</f>
        <v>0</v>
      </c>
      <c r="AV130" s="48">
        <f>IFERROR(__xludf.DUMMYFUNCTION("""COMPUTED_VALUE"""),0.0)</f>
        <v>0</v>
      </c>
      <c r="AW130" s="48">
        <f>IFERROR(__xludf.DUMMYFUNCTION("""COMPUTED_VALUE"""),8.0)</f>
        <v>8</v>
      </c>
      <c r="AX130" s="48">
        <f>IFERROR(__xludf.DUMMYFUNCTION("""COMPUTED_VALUE"""),100.0)</f>
        <v>100</v>
      </c>
      <c r="AY130" s="48">
        <f>IFERROR(__xludf.DUMMYFUNCTION("""COMPUTED_VALUE"""),117.0)</f>
        <v>117</v>
      </c>
      <c r="AZ130" s="48">
        <f>IFERROR(__xludf.DUMMYFUNCTION("""COMPUTED_VALUE"""),108.0)</f>
        <v>108</v>
      </c>
      <c r="BA130" s="48">
        <f>IFERROR(__xludf.DUMMYFUNCTION("""COMPUTED_VALUE"""),9.0)</f>
        <v>9</v>
      </c>
      <c r="BB130" s="48">
        <f>IFERROR(__xludf.DUMMYFUNCTION("""COMPUTED_VALUE"""),13.0)</f>
        <v>13</v>
      </c>
      <c r="BC130" s="48">
        <f>IFERROR(__xludf.DUMMYFUNCTION("""COMPUTED_VALUE"""),92.3076923076923)</f>
        <v>92.30769231</v>
      </c>
      <c r="BD130" s="48">
        <f>IFERROR(__xludf.DUMMYFUNCTION("""COMPUTED_VALUE"""),7.6923076923076925)</f>
        <v>7.692307692</v>
      </c>
      <c r="BE130" s="48">
        <f>IFERROR(__xludf.DUMMYFUNCTION("""COMPUTED_VALUE"""),10.0)</f>
        <v>10</v>
      </c>
      <c r="BF130" s="52"/>
      <c r="BG130" s="52"/>
      <c r="BH130" s="52"/>
      <c r="BI130" s="52"/>
      <c r="BJ130" s="52"/>
      <c r="BK130" s="52"/>
      <c r="BL130" s="52"/>
      <c r="BM130" s="80" t="s">
        <v>96</v>
      </c>
    </row>
    <row r="131">
      <c r="A131" s="42" t="s">
        <v>900</v>
      </c>
      <c r="B131" s="45" t="s">
        <v>780</v>
      </c>
      <c r="C131" s="45" t="s">
        <v>901</v>
      </c>
      <c r="D131" s="45" t="s">
        <v>125</v>
      </c>
      <c r="E131" s="45" t="s">
        <v>71</v>
      </c>
      <c r="F131" s="46">
        <v>44228.0</v>
      </c>
      <c r="G131" s="57"/>
      <c r="H131" s="48">
        <f t="shared" si="1"/>
        <v>0.7565789474</v>
      </c>
      <c r="I131" s="49" t="s">
        <v>782</v>
      </c>
      <c r="J131" s="50" t="s">
        <v>783</v>
      </c>
      <c r="K131" s="45" t="s">
        <v>784</v>
      </c>
      <c r="L131" s="45" t="s">
        <v>785</v>
      </c>
      <c r="M131" s="51">
        <v>32431.0</v>
      </c>
      <c r="N131" s="52">
        <f t="shared" si="17"/>
        <v>32</v>
      </c>
      <c r="O131" s="45" t="s">
        <v>76</v>
      </c>
      <c r="P131" s="45" t="s">
        <v>77</v>
      </c>
      <c r="Q131" s="45" t="s">
        <v>77</v>
      </c>
      <c r="R131" s="52"/>
      <c r="S131" s="45" t="s">
        <v>79</v>
      </c>
      <c r="T131" s="45" t="s">
        <v>80</v>
      </c>
      <c r="U131" s="45" t="s">
        <v>81</v>
      </c>
      <c r="V131" s="45" t="s">
        <v>78</v>
      </c>
      <c r="W131" s="45" t="s">
        <v>79</v>
      </c>
      <c r="X131" s="45" t="s">
        <v>82</v>
      </c>
      <c r="Y131" s="45" t="s">
        <v>83</v>
      </c>
      <c r="Z131" s="45" t="s">
        <v>130</v>
      </c>
      <c r="AA131" s="58" t="s">
        <v>902</v>
      </c>
      <c r="AB131" s="52"/>
      <c r="AC131" s="53">
        <f t="shared" si="5"/>
        <v>0</v>
      </c>
      <c r="AD131" s="52"/>
      <c r="AE131" s="53">
        <f t="shared" si="11"/>
        <v>0</v>
      </c>
      <c r="AF131" s="53">
        <f t="shared" si="3"/>
        <v>0</v>
      </c>
      <c r="AG131" s="52">
        <f>(AF131*10)</f>
        <v>0</v>
      </c>
      <c r="AH131" s="48" t="str">
        <f>IFERROR(__xludf.DUMMYFUNCTION("importrange(C131,""Sheet2!a4:x4"")"),"#REF!")</f>
        <v>#REF!</v>
      </c>
      <c r="AI131" s="48"/>
      <c r="AJ131" s="48"/>
      <c r="AK131" s="53"/>
      <c r="AL131" s="53"/>
      <c r="AM131" s="53"/>
      <c r="AN131" s="53"/>
      <c r="AO131" s="53"/>
      <c r="AP131" s="53"/>
      <c r="AQ131" s="53"/>
      <c r="AR131" s="53"/>
      <c r="AS131" s="53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52"/>
      <c r="BG131" s="52"/>
      <c r="BH131" s="52"/>
      <c r="BI131" s="52"/>
      <c r="BJ131" s="52"/>
      <c r="BK131" s="52"/>
      <c r="BL131" s="52"/>
      <c r="BM131" s="54"/>
    </row>
    <row r="132">
      <c r="A132" s="42" t="s">
        <v>903</v>
      </c>
      <c r="B132" s="52"/>
      <c r="C132" s="52"/>
      <c r="D132" s="52"/>
      <c r="E132" s="52"/>
      <c r="F132" s="46"/>
      <c r="G132" s="57"/>
      <c r="H132" s="48">
        <f t="shared" si="1"/>
        <v>1455.625</v>
      </c>
      <c r="I132" s="77"/>
      <c r="J132" s="62"/>
      <c r="K132" s="52"/>
      <c r="L132" s="52"/>
      <c r="M132" s="76"/>
      <c r="N132" s="52">
        <f t="shared" si="17"/>
        <v>0</v>
      </c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62"/>
      <c r="AB132" s="52"/>
      <c r="AC132" s="53">
        <f t="shared" si="5"/>
        <v>0</v>
      </c>
      <c r="AD132" s="52"/>
      <c r="AE132" s="53">
        <f t="shared" si="11"/>
        <v>0</v>
      </c>
      <c r="AF132" s="53">
        <f t="shared" si="3"/>
        <v>0</v>
      </c>
      <c r="AG132" s="52"/>
      <c r="AH132" s="48" t="str">
        <f>IFERROR(__xludf.DUMMYFUNCTION("importrange(C132,""Sheet2!a4:x4"")"),"#N/A")</f>
        <v>#N/A</v>
      </c>
      <c r="AI132" s="48"/>
      <c r="AJ132" s="48"/>
      <c r="AK132" s="53"/>
      <c r="AL132" s="53"/>
      <c r="AM132" s="53"/>
      <c r="AN132" s="53"/>
      <c r="AO132" s="53"/>
      <c r="AP132" s="53"/>
      <c r="AQ132" s="53"/>
      <c r="AR132" s="53"/>
      <c r="AS132" s="53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52"/>
      <c r="BG132" s="52"/>
      <c r="BH132" s="52"/>
      <c r="BI132" s="52"/>
      <c r="BJ132" s="52"/>
      <c r="BK132" s="52"/>
      <c r="BL132" s="52"/>
      <c r="BM132" s="54"/>
    </row>
    <row r="133">
      <c r="A133" s="42" t="s">
        <v>904</v>
      </c>
      <c r="B133" s="52"/>
      <c r="C133" s="52"/>
      <c r="D133" s="52"/>
      <c r="E133" s="52"/>
      <c r="F133" s="46"/>
      <c r="G133" s="57"/>
      <c r="H133" s="48">
        <f t="shared" si="1"/>
        <v>1455.625</v>
      </c>
      <c r="I133" s="77"/>
      <c r="J133" s="62"/>
      <c r="K133" s="52"/>
      <c r="L133" s="52"/>
      <c r="M133" s="76"/>
      <c r="N133" s="52">
        <f t="shared" si="17"/>
        <v>0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62"/>
      <c r="AB133" s="52"/>
      <c r="AC133" s="53">
        <f t="shared" si="5"/>
        <v>0</v>
      </c>
      <c r="AD133" s="52"/>
      <c r="AE133" s="53">
        <f t="shared" si="11"/>
        <v>0</v>
      </c>
      <c r="AF133" s="53">
        <f t="shared" si="3"/>
        <v>0</v>
      </c>
      <c r="AG133" s="52"/>
      <c r="AH133" s="48" t="str">
        <f>IFERROR(__xludf.DUMMYFUNCTION("importrange(C133,""Sheet2!a4:x4"")"),"#N/A")</f>
        <v>#N/A</v>
      </c>
      <c r="AI133" s="48"/>
      <c r="AJ133" s="48"/>
      <c r="AK133" s="53"/>
      <c r="AL133" s="53"/>
      <c r="AM133" s="53"/>
      <c r="AN133" s="53"/>
      <c r="AO133" s="53"/>
      <c r="AP133" s="53"/>
      <c r="AQ133" s="53"/>
      <c r="AR133" s="53"/>
      <c r="AS133" s="53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52"/>
      <c r="BG133" s="52"/>
      <c r="BH133" s="52"/>
      <c r="BI133" s="52"/>
      <c r="BJ133" s="52"/>
      <c r="BK133" s="52"/>
      <c r="BL133" s="52"/>
      <c r="BM133" s="54"/>
    </row>
    <row r="134">
      <c r="A134" s="42" t="s">
        <v>905</v>
      </c>
      <c r="B134" s="52"/>
      <c r="C134" s="52"/>
      <c r="D134" s="52"/>
      <c r="E134" s="52"/>
      <c r="F134" s="81"/>
      <c r="G134" s="57"/>
      <c r="H134" s="48">
        <f t="shared" si="1"/>
        <v>1455.625</v>
      </c>
      <c r="I134" s="77"/>
      <c r="J134" s="62"/>
      <c r="K134" s="52"/>
      <c r="L134" s="52"/>
      <c r="M134" s="76"/>
      <c r="N134" s="52">
        <f t="shared" si="17"/>
        <v>0</v>
      </c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62"/>
      <c r="AB134" s="52"/>
      <c r="AC134" s="53">
        <f t="shared" si="5"/>
        <v>0</v>
      </c>
      <c r="AD134" s="52"/>
      <c r="AE134" s="53">
        <f t="shared" si="11"/>
        <v>0</v>
      </c>
      <c r="AF134" s="53">
        <f t="shared" si="3"/>
        <v>0</v>
      </c>
      <c r="AG134" s="52"/>
      <c r="AH134" s="48" t="str">
        <f>IFERROR(__xludf.DUMMYFUNCTION("importrange(C134,""Sheet2!a4:x4"")"),"#N/A")</f>
        <v>#N/A</v>
      </c>
      <c r="AI134" s="48"/>
      <c r="AJ134" s="48"/>
      <c r="AK134" s="53"/>
      <c r="AL134" s="53"/>
      <c r="AM134" s="53"/>
      <c r="AN134" s="53"/>
      <c r="AO134" s="53"/>
      <c r="AP134" s="53"/>
      <c r="AQ134" s="53"/>
      <c r="AR134" s="53"/>
      <c r="AS134" s="53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52"/>
      <c r="BG134" s="52"/>
      <c r="BH134" s="52"/>
      <c r="BI134" s="52"/>
      <c r="BJ134" s="52"/>
      <c r="BK134" s="52"/>
      <c r="BL134" s="52"/>
      <c r="BM134" s="54"/>
    </row>
    <row r="135">
      <c r="A135" s="42" t="s">
        <v>906</v>
      </c>
      <c r="B135" s="52"/>
      <c r="C135" s="52"/>
      <c r="D135" s="52"/>
      <c r="E135" s="52"/>
      <c r="F135" s="81"/>
      <c r="G135" s="57"/>
      <c r="H135" s="48">
        <f t="shared" si="1"/>
        <v>1455.625</v>
      </c>
      <c r="I135" s="77"/>
      <c r="J135" s="62"/>
      <c r="K135" s="52"/>
      <c r="L135" s="52"/>
      <c r="M135" s="76"/>
      <c r="N135" s="52">
        <f t="shared" si="17"/>
        <v>0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62"/>
      <c r="AB135" s="52"/>
      <c r="AC135" s="53">
        <f t="shared" si="5"/>
        <v>0</v>
      </c>
      <c r="AD135" s="52"/>
      <c r="AE135" s="53">
        <f t="shared" si="11"/>
        <v>0</v>
      </c>
      <c r="AF135" s="53">
        <f t="shared" si="3"/>
        <v>0</v>
      </c>
      <c r="AG135" s="52"/>
      <c r="AH135" s="48" t="str">
        <f>IFERROR(__xludf.DUMMYFUNCTION("importrange(C135,""Sheet2!a4:x4"")"),"#N/A")</f>
        <v>#N/A</v>
      </c>
      <c r="AI135" s="48"/>
      <c r="AJ135" s="48"/>
      <c r="AK135" s="53"/>
      <c r="AL135" s="53"/>
      <c r="AM135" s="53"/>
      <c r="AN135" s="53"/>
      <c r="AO135" s="53"/>
      <c r="AP135" s="53"/>
      <c r="AQ135" s="53"/>
      <c r="AR135" s="53"/>
      <c r="AS135" s="53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52"/>
      <c r="BG135" s="52"/>
      <c r="BH135" s="52"/>
      <c r="BI135" s="52"/>
      <c r="BJ135" s="52"/>
      <c r="BK135" s="52"/>
      <c r="BL135" s="52"/>
      <c r="BM135" s="54"/>
    </row>
    <row r="136">
      <c r="A136" s="42" t="s">
        <v>907</v>
      </c>
      <c r="B136" s="52"/>
      <c r="C136" s="52"/>
      <c r="D136" s="52"/>
      <c r="E136" s="52"/>
      <c r="F136" s="81"/>
      <c r="G136" s="57"/>
      <c r="H136" s="48">
        <f t="shared" si="1"/>
        <v>1455.625</v>
      </c>
      <c r="I136" s="77"/>
      <c r="J136" s="62"/>
      <c r="K136" s="52"/>
      <c r="L136" s="52"/>
      <c r="M136" s="76"/>
      <c r="N136" s="52">
        <f t="shared" si="17"/>
        <v>0</v>
      </c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62"/>
      <c r="AB136" s="52"/>
      <c r="AC136" s="53">
        <f t="shared" si="5"/>
        <v>0</v>
      </c>
      <c r="AD136" s="52"/>
      <c r="AE136" s="53">
        <f t="shared" si="11"/>
        <v>0</v>
      </c>
      <c r="AF136" s="53">
        <f t="shared" si="3"/>
        <v>0</v>
      </c>
      <c r="AG136" s="52"/>
      <c r="AH136" s="48" t="str">
        <f>IFERROR(__xludf.DUMMYFUNCTION("importrange(C136,""Sheet2!a4:x4"")"),"#N/A")</f>
        <v>#N/A</v>
      </c>
      <c r="AI136" s="48"/>
      <c r="AJ136" s="48"/>
      <c r="AK136" s="53"/>
      <c r="AL136" s="53"/>
      <c r="AM136" s="53"/>
      <c r="AN136" s="53"/>
      <c r="AO136" s="53"/>
      <c r="AP136" s="53"/>
      <c r="AQ136" s="53"/>
      <c r="AR136" s="53"/>
      <c r="AS136" s="53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52"/>
      <c r="BG136" s="52"/>
      <c r="BH136" s="52"/>
      <c r="BI136" s="52"/>
      <c r="BJ136" s="52"/>
      <c r="BK136" s="52"/>
      <c r="BL136" s="52"/>
      <c r="BM136" s="54"/>
    </row>
    <row r="137">
      <c r="A137" s="42" t="s">
        <v>908</v>
      </c>
      <c r="B137" s="52"/>
      <c r="C137" s="52"/>
      <c r="D137" s="52"/>
      <c r="E137" s="52"/>
      <c r="F137" s="81"/>
      <c r="G137" s="57"/>
      <c r="H137" s="48">
        <f t="shared" si="1"/>
        <v>1455.625</v>
      </c>
      <c r="I137" s="77"/>
      <c r="J137" s="62"/>
      <c r="K137" s="52"/>
      <c r="L137" s="52"/>
      <c r="M137" s="76"/>
      <c r="N137" s="52">
        <f t="shared" si="17"/>
        <v>0</v>
      </c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62"/>
      <c r="AB137" s="52"/>
      <c r="AC137" s="53">
        <f t="shared" si="5"/>
        <v>0</v>
      </c>
      <c r="AD137" s="52"/>
      <c r="AE137" s="53">
        <f t="shared" si="11"/>
        <v>0</v>
      </c>
      <c r="AF137" s="53">
        <f t="shared" si="3"/>
        <v>0</v>
      </c>
      <c r="AG137" s="52"/>
      <c r="AH137" s="48" t="str">
        <f>IFERROR(__xludf.DUMMYFUNCTION("importrange(C137,""Sheet2!a4:x4"")"),"#N/A")</f>
        <v>#N/A</v>
      </c>
      <c r="AI137" s="48"/>
      <c r="AJ137" s="48"/>
      <c r="AK137" s="53"/>
      <c r="AL137" s="53"/>
      <c r="AM137" s="53"/>
      <c r="AN137" s="53"/>
      <c r="AO137" s="53"/>
      <c r="AP137" s="53"/>
      <c r="AQ137" s="53"/>
      <c r="AR137" s="53"/>
      <c r="AS137" s="53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52"/>
      <c r="BG137" s="52"/>
      <c r="BH137" s="52"/>
      <c r="BI137" s="52"/>
      <c r="BJ137" s="52"/>
      <c r="BK137" s="52"/>
      <c r="BL137" s="52"/>
      <c r="BM137" s="54"/>
    </row>
    <row r="138">
      <c r="A138" s="42" t="s">
        <v>909</v>
      </c>
      <c r="B138" s="52"/>
      <c r="C138" s="52"/>
      <c r="D138" s="52"/>
      <c r="E138" s="52"/>
      <c r="F138" s="81"/>
      <c r="G138" s="57"/>
      <c r="H138" s="48">
        <f t="shared" si="1"/>
        <v>1455.625</v>
      </c>
      <c r="I138" s="77"/>
      <c r="J138" s="62"/>
      <c r="K138" s="52"/>
      <c r="L138" s="52"/>
      <c r="M138" s="76"/>
      <c r="N138" s="52">
        <f t="shared" si="17"/>
        <v>0</v>
      </c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62"/>
      <c r="AB138" s="52"/>
      <c r="AC138" s="53">
        <f t="shared" si="5"/>
        <v>0</v>
      </c>
      <c r="AD138" s="52"/>
      <c r="AE138" s="53">
        <f t="shared" si="11"/>
        <v>0</v>
      </c>
      <c r="AF138" s="53">
        <f t="shared" si="3"/>
        <v>0</v>
      </c>
      <c r="AG138" s="52"/>
      <c r="AH138" s="48" t="str">
        <f>IFERROR(__xludf.DUMMYFUNCTION("importrange(C138,""Sheet2!a4:x4"")"),"#N/A")</f>
        <v>#N/A</v>
      </c>
      <c r="AI138" s="48"/>
      <c r="AJ138" s="48"/>
      <c r="AK138" s="53"/>
      <c r="AL138" s="53"/>
      <c r="AM138" s="53"/>
      <c r="AN138" s="53"/>
      <c r="AO138" s="53"/>
      <c r="AP138" s="53"/>
      <c r="AQ138" s="53"/>
      <c r="AR138" s="53"/>
      <c r="AS138" s="53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52"/>
      <c r="BG138" s="52"/>
      <c r="BH138" s="52"/>
      <c r="BI138" s="52"/>
      <c r="BJ138" s="52"/>
      <c r="BK138" s="52"/>
      <c r="BL138" s="52"/>
      <c r="BM138" s="54"/>
    </row>
    <row r="139">
      <c r="A139" s="42" t="s">
        <v>910</v>
      </c>
      <c r="B139" s="52"/>
      <c r="C139" s="52"/>
      <c r="D139" s="52"/>
      <c r="E139" s="52"/>
      <c r="F139" s="81"/>
      <c r="G139" s="57"/>
      <c r="H139" s="48">
        <f t="shared" si="1"/>
        <v>1455.625</v>
      </c>
      <c r="I139" s="77"/>
      <c r="J139" s="62"/>
      <c r="K139" s="52"/>
      <c r="L139" s="52"/>
      <c r="M139" s="76"/>
      <c r="N139" s="52">
        <f t="shared" si="17"/>
        <v>0</v>
      </c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62"/>
      <c r="AB139" s="52"/>
      <c r="AC139" s="53">
        <f t="shared" si="5"/>
        <v>0</v>
      </c>
      <c r="AD139" s="52"/>
      <c r="AE139" s="53">
        <f t="shared" si="11"/>
        <v>0</v>
      </c>
      <c r="AF139" s="53">
        <f t="shared" si="3"/>
        <v>0</v>
      </c>
      <c r="AG139" s="52"/>
      <c r="AH139" s="48" t="str">
        <f>IFERROR(__xludf.DUMMYFUNCTION("importrange(C139,""Sheet2!a4:x4"")"),"#N/A")</f>
        <v>#N/A</v>
      </c>
      <c r="AI139" s="48"/>
      <c r="AJ139" s="48"/>
      <c r="AK139" s="53"/>
      <c r="AL139" s="53"/>
      <c r="AM139" s="53"/>
      <c r="AN139" s="53"/>
      <c r="AO139" s="53"/>
      <c r="AP139" s="53"/>
      <c r="AQ139" s="53"/>
      <c r="AR139" s="53"/>
      <c r="AS139" s="53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52"/>
      <c r="BG139" s="52"/>
      <c r="BH139" s="52"/>
      <c r="BI139" s="52"/>
      <c r="BJ139" s="52"/>
      <c r="BK139" s="52"/>
      <c r="BL139" s="52"/>
      <c r="BM139" s="54"/>
    </row>
    <row r="140">
      <c r="A140" s="42" t="s">
        <v>911</v>
      </c>
      <c r="B140" s="52"/>
      <c r="C140" s="52"/>
      <c r="D140" s="52"/>
      <c r="E140" s="52"/>
      <c r="F140" s="81"/>
      <c r="G140" s="57"/>
      <c r="H140" s="48">
        <f t="shared" si="1"/>
        <v>1455.625</v>
      </c>
      <c r="I140" s="77"/>
      <c r="J140" s="62"/>
      <c r="K140" s="52"/>
      <c r="L140" s="52"/>
      <c r="M140" s="76"/>
      <c r="N140" s="52">
        <f t="shared" si="17"/>
        <v>0</v>
      </c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62"/>
      <c r="AB140" s="52"/>
      <c r="AC140" s="53">
        <f t="shared" si="5"/>
        <v>0</v>
      </c>
      <c r="AD140" s="52"/>
      <c r="AE140" s="53">
        <f t="shared" si="11"/>
        <v>0</v>
      </c>
      <c r="AF140" s="53">
        <f t="shared" si="3"/>
        <v>0</v>
      </c>
      <c r="AG140" s="52"/>
      <c r="AH140" s="48" t="str">
        <f>IFERROR(__xludf.DUMMYFUNCTION("importrange(C140,""Sheet2!a4:x4"")"),"#N/A")</f>
        <v>#N/A</v>
      </c>
      <c r="AI140" s="48"/>
      <c r="AJ140" s="48"/>
      <c r="AK140" s="53"/>
      <c r="AL140" s="53"/>
      <c r="AM140" s="53"/>
      <c r="AN140" s="53"/>
      <c r="AO140" s="53"/>
      <c r="AP140" s="53"/>
      <c r="AQ140" s="53"/>
      <c r="AR140" s="53"/>
      <c r="AS140" s="53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52"/>
      <c r="BG140" s="52"/>
      <c r="BH140" s="52"/>
      <c r="BI140" s="52"/>
      <c r="BJ140" s="52"/>
      <c r="BK140" s="52"/>
      <c r="BL140" s="52"/>
      <c r="BM140" s="54"/>
    </row>
    <row r="141">
      <c r="A141" s="42" t="s">
        <v>912</v>
      </c>
      <c r="B141" s="52"/>
      <c r="C141" s="52"/>
      <c r="D141" s="52"/>
      <c r="E141" s="52"/>
      <c r="F141" s="81"/>
      <c r="G141" s="57"/>
      <c r="H141" s="48">
        <f t="shared" si="1"/>
        <v>1455.625</v>
      </c>
      <c r="I141" s="77"/>
      <c r="J141" s="62"/>
      <c r="K141" s="52"/>
      <c r="L141" s="52"/>
      <c r="M141" s="76"/>
      <c r="N141" s="52">
        <f t="shared" si="17"/>
        <v>0</v>
      </c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62"/>
      <c r="AB141" s="52"/>
      <c r="AC141" s="53">
        <f t="shared" si="5"/>
        <v>0</v>
      </c>
      <c r="AD141" s="52"/>
      <c r="AE141" s="53">
        <f t="shared" si="11"/>
        <v>0</v>
      </c>
      <c r="AF141" s="53">
        <f t="shared" si="3"/>
        <v>0</v>
      </c>
      <c r="AG141" s="52"/>
      <c r="AH141" s="48" t="str">
        <f>IFERROR(__xludf.DUMMYFUNCTION("importrange(C141,""Sheet2!a4:x4"")"),"#N/A")</f>
        <v>#N/A</v>
      </c>
      <c r="AI141" s="48"/>
      <c r="AJ141" s="48"/>
      <c r="AK141" s="53"/>
      <c r="AL141" s="53"/>
      <c r="AM141" s="53"/>
      <c r="AN141" s="53"/>
      <c r="AO141" s="53"/>
      <c r="AP141" s="53"/>
      <c r="AQ141" s="53"/>
      <c r="AR141" s="53"/>
      <c r="AS141" s="53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52"/>
      <c r="BG141" s="52"/>
      <c r="BH141" s="52"/>
      <c r="BI141" s="52"/>
      <c r="BJ141" s="52"/>
      <c r="BK141" s="52"/>
      <c r="BL141" s="52"/>
      <c r="BM141" s="54"/>
    </row>
    <row r="142">
      <c r="A142" s="42" t="s">
        <v>913</v>
      </c>
      <c r="B142" s="52"/>
      <c r="C142" s="52"/>
      <c r="D142" s="52"/>
      <c r="E142" s="52"/>
      <c r="F142" s="81"/>
      <c r="G142" s="57"/>
      <c r="H142" s="48">
        <f t="shared" si="1"/>
        <v>1455.625</v>
      </c>
      <c r="I142" s="77"/>
      <c r="J142" s="62"/>
      <c r="K142" s="52"/>
      <c r="L142" s="52"/>
      <c r="M142" s="76"/>
      <c r="N142" s="52">
        <f t="shared" si="17"/>
        <v>0</v>
      </c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62"/>
      <c r="AB142" s="52"/>
      <c r="AC142" s="53">
        <f t="shared" si="5"/>
        <v>0</v>
      </c>
      <c r="AD142" s="52"/>
      <c r="AE142" s="53">
        <f t="shared" si="11"/>
        <v>0</v>
      </c>
      <c r="AF142" s="53">
        <f t="shared" si="3"/>
        <v>0</v>
      </c>
      <c r="AG142" s="52"/>
      <c r="AH142" s="48" t="str">
        <f>IFERROR(__xludf.DUMMYFUNCTION("importrange(C142,""Sheet2!a4:x4"")"),"#N/A")</f>
        <v>#N/A</v>
      </c>
      <c r="AI142" s="48"/>
      <c r="AJ142" s="48"/>
      <c r="AK142" s="53"/>
      <c r="AL142" s="53"/>
      <c r="AM142" s="53"/>
      <c r="AN142" s="53"/>
      <c r="AO142" s="53"/>
      <c r="AP142" s="53"/>
      <c r="AQ142" s="53"/>
      <c r="AR142" s="53"/>
      <c r="AS142" s="53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52"/>
      <c r="BG142" s="52"/>
      <c r="BH142" s="52"/>
      <c r="BI142" s="52"/>
      <c r="BJ142" s="52"/>
      <c r="BK142" s="52"/>
      <c r="BL142" s="52"/>
      <c r="BM142" s="54"/>
    </row>
    <row r="143">
      <c r="A143" s="42" t="s">
        <v>914</v>
      </c>
      <c r="B143" s="52"/>
      <c r="C143" s="52"/>
      <c r="D143" s="52"/>
      <c r="E143" s="52"/>
      <c r="F143" s="81"/>
      <c r="G143" s="57"/>
      <c r="H143" s="48">
        <f t="shared" si="1"/>
        <v>1455.625</v>
      </c>
      <c r="I143" s="77"/>
      <c r="J143" s="62"/>
      <c r="K143" s="52"/>
      <c r="L143" s="52"/>
      <c r="M143" s="76"/>
      <c r="N143" s="52">
        <f t="shared" si="17"/>
        <v>0</v>
      </c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62"/>
      <c r="AB143" s="52"/>
      <c r="AC143" s="53">
        <f t="shared" si="5"/>
        <v>0</v>
      </c>
      <c r="AD143" s="52"/>
      <c r="AE143" s="53">
        <f t="shared" si="11"/>
        <v>0</v>
      </c>
      <c r="AF143" s="53">
        <f t="shared" si="3"/>
        <v>0</v>
      </c>
      <c r="AG143" s="52"/>
      <c r="AH143" s="48" t="str">
        <f>IFERROR(__xludf.DUMMYFUNCTION("importrange(C143,""Sheet2!a4:x4"")"),"#N/A")</f>
        <v>#N/A</v>
      </c>
      <c r="AI143" s="48"/>
      <c r="AJ143" s="48"/>
      <c r="AK143" s="53"/>
      <c r="AL143" s="53"/>
      <c r="AM143" s="53"/>
      <c r="AN143" s="53"/>
      <c r="AO143" s="53"/>
      <c r="AP143" s="53"/>
      <c r="AQ143" s="53"/>
      <c r="AR143" s="53"/>
      <c r="AS143" s="53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52"/>
      <c r="BG143" s="52"/>
      <c r="BH143" s="52"/>
      <c r="BI143" s="52"/>
      <c r="BJ143" s="52"/>
      <c r="BK143" s="52"/>
      <c r="BL143" s="52"/>
      <c r="BM143" s="54"/>
    </row>
    <row r="144">
      <c r="A144" s="42" t="s">
        <v>915</v>
      </c>
      <c r="B144" s="52"/>
      <c r="C144" s="52"/>
      <c r="D144" s="52"/>
      <c r="E144" s="52"/>
      <c r="F144" s="81"/>
      <c r="G144" s="57"/>
      <c r="H144" s="48">
        <f t="shared" si="1"/>
        <v>1455.625</v>
      </c>
      <c r="I144" s="77"/>
      <c r="J144" s="62"/>
      <c r="K144" s="52"/>
      <c r="L144" s="52"/>
      <c r="M144" s="76"/>
      <c r="N144" s="52">
        <f t="shared" si="17"/>
        <v>0</v>
      </c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62"/>
      <c r="AB144" s="52"/>
      <c r="AC144" s="53">
        <f t="shared" si="5"/>
        <v>0</v>
      </c>
      <c r="AD144" s="52"/>
      <c r="AE144" s="53">
        <f t="shared" si="11"/>
        <v>0</v>
      </c>
      <c r="AF144" s="53">
        <f t="shared" si="3"/>
        <v>0</v>
      </c>
      <c r="AG144" s="52"/>
      <c r="AH144" s="48" t="str">
        <f>IFERROR(__xludf.DUMMYFUNCTION("importrange(C144,""Sheet2!a4:x4"")"),"#N/A")</f>
        <v>#N/A</v>
      </c>
      <c r="AI144" s="48"/>
      <c r="AJ144" s="48"/>
      <c r="AK144" s="53"/>
      <c r="AL144" s="53"/>
      <c r="AM144" s="53"/>
      <c r="AN144" s="53"/>
      <c r="AO144" s="53"/>
      <c r="AP144" s="53"/>
      <c r="AQ144" s="53"/>
      <c r="AR144" s="53"/>
      <c r="AS144" s="53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52"/>
      <c r="BG144" s="52"/>
      <c r="BH144" s="52"/>
      <c r="BI144" s="52"/>
      <c r="BJ144" s="52"/>
      <c r="BK144" s="52"/>
      <c r="BL144" s="52"/>
      <c r="BM144" s="54"/>
    </row>
    <row r="145">
      <c r="A145" s="42" t="s">
        <v>916</v>
      </c>
      <c r="B145" s="52"/>
      <c r="C145" s="52"/>
      <c r="D145" s="52"/>
      <c r="E145" s="52"/>
      <c r="F145" s="81"/>
      <c r="G145" s="57"/>
      <c r="H145" s="48">
        <f t="shared" si="1"/>
        <v>1455.625</v>
      </c>
      <c r="I145" s="77"/>
      <c r="J145" s="62"/>
      <c r="K145" s="52"/>
      <c r="L145" s="52"/>
      <c r="M145" s="76"/>
      <c r="N145" s="52">
        <f t="shared" si="17"/>
        <v>0</v>
      </c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62"/>
      <c r="AB145" s="52"/>
      <c r="AC145" s="53">
        <f t="shared" si="5"/>
        <v>0</v>
      </c>
      <c r="AD145" s="52"/>
      <c r="AE145" s="53">
        <f t="shared" si="11"/>
        <v>0</v>
      </c>
      <c r="AF145" s="53">
        <f t="shared" si="3"/>
        <v>0</v>
      </c>
      <c r="AG145" s="52"/>
      <c r="AH145" s="48" t="str">
        <f>IFERROR(__xludf.DUMMYFUNCTION("importrange(C145,""Sheet2!a4:x4"")"),"#N/A")</f>
        <v>#N/A</v>
      </c>
      <c r="AI145" s="48"/>
      <c r="AJ145" s="48"/>
      <c r="AK145" s="53"/>
      <c r="AL145" s="53"/>
      <c r="AM145" s="53"/>
      <c r="AN145" s="53"/>
      <c r="AO145" s="53"/>
      <c r="AP145" s="53"/>
      <c r="AQ145" s="53"/>
      <c r="AR145" s="53"/>
      <c r="AS145" s="53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52"/>
      <c r="BG145" s="52"/>
      <c r="BH145" s="52"/>
      <c r="BI145" s="52"/>
      <c r="BJ145" s="52"/>
      <c r="BK145" s="52"/>
      <c r="BL145" s="52"/>
      <c r="BM145" s="54"/>
    </row>
    <row r="146">
      <c r="A146" s="42" t="s">
        <v>917</v>
      </c>
      <c r="B146" s="52"/>
      <c r="C146" s="52"/>
      <c r="D146" s="52"/>
      <c r="E146" s="52"/>
      <c r="F146" s="81"/>
      <c r="G146" s="57"/>
      <c r="H146" s="48">
        <f t="shared" si="1"/>
        <v>1455.625</v>
      </c>
      <c r="I146" s="77"/>
      <c r="J146" s="62"/>
      <c r="K146" s="52"/>
      <c r="L146" s="52"/>
      <c r="M146" s="76"/>
      <c r="N146" s="52">
        <f t="shared" si="17"/>
        <v>0</v>
      </c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62"/>
      <c r="AB146" s="52"/>
      <c r="AC146" s="53">
        <f t="shared" si="5"/>
        <v>0</v>
      </c>
      <c r="AD146" s="52"/>
      <c r="AE146" s="53">
        <f t="shared" si="11"/>
        <v>0</v>
      </c>
      <c r="AF146" s="53">
        <f t="shared" si="3"/>
        <v>0</v>
      </c>
      <c r="AG146" s="52"/>
      <c r="AH146" s="48" t="str">
        <f>IFERROR(__xludf.DUMMYFUNCTION("importrange(C146,""Sheet2!a4:x4"")"),"#N/A")</f>
        <v>#N/A</v>
      </c>
      <c r="AI146" s="48"/>
      <c r="AJ146" s="48"/>
      <c r="AK146" s="53"/>
      <c r="AL146" s="53"/>
      <c r="AM146" s="53"/>
      <c r="AN146" s="53"/>
      <c r="AO146" s="53"/>
      <c r="AP146" s="53"/>
      <c r="AQ146" s="53"/>
      <c r="AR146" s="53"/>
      <c r="AS146" s="53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52"/>
      <c r="BG146" s="52"/>
      <c r="BH146" s="52"/>
      <c r="BI146" s="52"/>
      <c r="BJ146" s="52"/>
      <c r="BK146" s="52"/>
      <c r="BL146" s="52"/>
      <c r="BM146" s="54"/>
    </row>
    <row r="147">
      <c r="A147" s="42" t="s">
        <v>918</v>
      </c>
      <c r="B147" s="52"/>
      <c r="C147" s="52"/>
      <c r="D147" s="52"/>
      <c r="E147" s="52"/>
      <c r="F147" s="81"/>
      <c r="G147" s="57"/>
      <c r="H147" s="48">
        <f t="shared" si="1"/>
        <v>1455.625</v>
      </c>
      <c r="I147" s="77"/>
      <c r="J147" s="62"/>
      <c r="K147" s="52"/>
      <c r="L147" s="52"/>
      <c r="M147" s="76"/>
      <c r="N147" s="52">
        <f t="shared" si="17"/>
        <v>0</v>
      </c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62"/>
      <c r="AB147" s="52"/>
      <c r="AC147" s="53">
        <f t="shared" si="5"/>
        <v>0</v>
      </c>
      <c r="AD147" s="52"/>
      <c r="AE147" s="53">
        <f t="shared" si="11"/>
        <v>0</v>
      </c>
      <c r="AF147" s="53">
        <f t="shared" si="3"/>
        <v>0</v>
      </c>
      <c r="AG147" s="52"/>
      <c r="AH147" s="48" t="str">
        <f>IFERROR(__xludf.DUMMYFUNCTION("importrange(C147,""Sheet2!a4:x4"")"),"#N/A")</f>
        <v>#N/A</v>
      </c>
      <c r="AI147" s="48"/>
      <c r="AJ147" s="48"/>
      <c r="AK147" s="53"/>
      <c r="AL147" s="53"/>
      <c r="AM147" s="53"/>
      <c r="AN147" s="53"/>
      <c r="AO147" s="53"/>
      <c r="AP147" s="53"/>
      <c r="AQ147" s="53"/>
      <c r="AR147" s="53"/>
      <c r="AS147" s="53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52"/>
      <c r="BG147" s="52"/>
      <c r="BH147" s="52"/>
      <c r="BI147" s="52"/>
      <c r="BJ147" s="52"/>
      <c r="BK147" s="52"/>
      <c r="BL147" s="52"/>
      <c r="BM147" s="54"/>
    </row>
    <row r="148">
      <c r="A148" s="42" t="s">
        <v>919</v>
      </c>
      <c r="B148" s="52"/>
      <c r="C148" s="52"/>
      <c r="D148" s="52"/>
      <c r="E148" s="52"/>
      <c r="F148" s="81"/>
      <c r="G148" s="57"/>
      <c r="H148" s="48">
        <f t="shared" si="1"/>
        <v>1455.625</v>
      </c>
      <c r="I148" s="77"/>
      <c r="J148" s="62"/>
      <c r="K148" s="52"/>
      <c r="L148" s="52"/>
      <c r="M148" s="76"/>
      <c r="N148" s="52">
        <f t="shared" si="17"/>
        <v>0</v>
      </c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62"/>
      <c r="AB148" s="52"/>
      <c r="AC148" s="53">
        <f t="shared" si="5"/>
        <v>0</v>
      </c>
      <c r="AD148" s="52"/>
      <c r="AE148" s="53">
        <f t="shared" si="11"/>
        <v>0</v>
      </c>
      <c r="AF148" s="53">
        <f t="shared" si="3"/>
        <v>0</v>
      </c>
      <c r="AG148" s="52"/>
      <c r="AH148" s="48" t="str">
        <f>IFERROR(__xludf.DUMMYFUNCTION("importrange(C148,""Sheet2!a4:x4"")"),"#N/A")</f>
        <v>#N/A</v>
      </c>
      <c r="AI148" s="48"/>
      <c r="AJ148" s="48"/>
      <c r="AK148" s="53"/>
      <c r="AL148" s="53"/>
      <c r="AM148" s="53"/>
      <c r="AN148" s="53"/>
      <c r="AO148" s="53"/>
      <c r="AP148" s="53"/>
      <c r="AQ148" s="53"/>
      <c r="AR148" s="53"/>
      <c r="AS148" s="53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52"/>
      <c r="BG148" s="52"/>
      <c r="BH148" s="52"/>
      <c r="BI148" s="52"/>
      <c r="BJ148" s="52"/>
      <c r="BK148" s="52"/>
      <c r="BL148" s="52"/>
      <c r="BM148" s="54"/>
    </row>
    <row r="149">
      <c r="A149" s="42" t="s">
        <v>920</v>
      </c>
      <c r="B149" s="52"/>
      <c r="C149" s="52"/>
      <c r="D149" s="52"/>
      <c r="E149" s="52"/>
      <c r="F149" s="81"/>
      <c r="G149" s="57"/>
      <c r="H149" s="48">
        <f t="shared" si="1"/>
        <v>1455.625</v>
      </c>
      <c r="I149" s="77"/>
      <c r="J149" s="62"/>
      <c r="K149" s="52"/>
      <c r="L149" s="52"/>
      <c r="M149" s="76"/>
      <c r="N149" s="52">
        <f t="shared" si="17"/>
        <v>0</v>
      </c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62"/>
      <c r="AB149" s="52"/>
      <c r="AC149" s="53">
        <f t="shared" si="5"/>
        <v>0</v>
      </c>
      <c r="AD149" s="52"/>
      <c r="AE149" s="53">
        <f t="shared" si="11"/>
        <v>0</v>
      </c>
      <c r="AF149" s="53">
        <f t="shared" si="3"/>
        <v>0</v>
      </c>
      <c r="AG149" s="52"/>
      <c r="AH149" s="48" t="str">
        <f>IFERROR(__xludf.DUMMYFUNCTION("importrange(C149,""Sheet2!a4:x4"")"),"#N/A")</f>
        <v>#N/A</v>
      </c>
      <c r="AI149" s="48"/>
      <c r="AJ149" s="48"/>
      <c r="AK149" s="53"/>
      <c r="AL149" s="53"/>
      <c r="AM149" s="53"/>
      <c r="AN149" s="53"/>
      <c r="AO149" s="53"/>
      <c r="AP149" s="53"/>
      <c r="AQ149" s="53"/>
      <c r="AR149" s="53"/>
      <c r="AS149" s="53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52"/>
      <c r="BG149" s="52"/>
      <c r="BH149" s="52"/>
      <c r="BI149" s="52"/>
      <c r="BJ149" s="52"/>
      <c r="BK149" s="52"/>
      <c r="BL149" s="52"/>
      <c r="BM149" s="54"/>
    </row>
    <row r="150">
      <c r="A150" s="42" t="s">
        <v>921</v>
      </c>
      <c r="B150" s="52"/>
      <c r="C150" s="52"/>
      <c r="D150" s="52"/>
      <c r="E150" s="52"/>
      <c r="F150" s="81"/>
      <c r="G150" s="57"/>
      <c r="H150" s="48">
        <f t="shared" si="1"/>
        <v>1455.625</v>
      </c>
      <c r="I150" s="77"/>
      <c r="J150" s="62"/>
      <c r="K150" s="52"/>
      <c r="L150" s="52"/>
      <c r="M150" s="76"/>
      <c r="N150" s="52">
        <f t="shared" si="17"/>
        <v>0</v>
      </c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62"/>
      <c r="AB150" s="52"/>
      <c r="AC150" s="53">
        <f t="shared" si="5"/>
        <v>0</v>
      </c>
      <c r="AD150" s="52"/>
      <c r="AE150" s="53">
        <f t="shared" si="11"/>
        <v>0</v>
      </c>
      <c r="AF150" s="53">
        <f t="shared" si="3"/>
        <v>0</v>
      </c>
      <c r="AG150" s="52"/>
      <c r="AH150" s="48" t="str">
        <f>IFERROR(__xludf.DUMMYFUNCTION("importrange(C150,""Sheet2!a4:x4"")"),"#N/A")</f>
        <v>#N/A</v>
      </c>
      <c r="AI150" s="48"/>
      <c r="AJ150" s="48"/>
      <c r="AK150" s="53"/>
      <c r="AL150" s="53"/>
      <c r="AM150" s="53"/>
      <c r="AN150" s="53"/>
      <c r="AO150" s="53"/>
      <c r="AP150" s="53"/>
      <c r="AQ150" s="53"/>
      <c r="AR150" s="53"/>
      <c r="AS150" s="53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52"/>
      <c r="BG150" s="52"/>
      <c r="BH150" s="52"/>
      <c r="BI150" s="52"/>
      <c r="BJ150" s="52"/>
      <c r="BK150" s="52"/>
      <c r="BL150" s="52"/>
      <c r="BM150" s="54"/>
    </row>
    <row r="151">
      <c r="A151" s="42" t="s">
        <v>922</v>
      </c>
      <c r="B151" s="52"/>
      <c r="C151" s="52"/>
      <c r="D151" s="52"/>
      <c r="E151" s="52"/>
      <c r="F151" s="81"/>
      <c r="G151" s="57"/>
      <c r="H151" s="48">
        <f t="shared" si="1"/>
        <v>1455.625</v>
      </c>
      <c r="I151" s="77"/>
      <c r="J151" s="62"/>
      <c r="K151" s="52"/>
      <c r="L151" s="52"/>
      <c r="M151" s="76"/>
      <c r="N151" s="52">
        <f t="shared" si="17"/>
        <v>0</v>
      </c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62"/>
      <c r="AB151" s="52"/>
      <c r="AC151" s="53">
        <f t="shared" si="5"/>
        <v>0</v>
      </c>
      <c r="AD151" s="52"/>
      <c r="AE151" s="53">
        <f t="shared" si="11"/>
        <v>0</v>
      </c>
      <c r="AF151" s="53">
        <f t="shared" si="3"/>
        <v>0</v>
      </c>
      <c r="AG151" s="52"/>
      <c r="AH151" s="48" t="str">
        <f>IFERROR(__xludf.DUMMYFUNCTION("importrange(C151,""Sheet2!a4:x4"")"),"#N/A")</f>
        <v>#N/A</v>
      </c>
      <c r="AI151" s="48"/>
      <c r="AJ151" s="48"/>
      <c r="AK151" s="53"/>
      <c r="AL151" s="53"/>
      <c r="AM151" s="53"/>
      <c r="AN151" s="53"/>
      <c r="AO151" s="53"/>
      <c r="AP151" s="53"/>
      <c r="AQ151" s="53"/>
      <c r="AR151" s="53"/>
      <c r="AS151" s="53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52"/>
      <c r="BG151" s="52"/>
      <c r="BH151" s="52"/>
      <c r="BI151" s="52"/>
      <c r="BJ151" s="52"/>
      <c r="BK151" s="52"/>
      <c r="BL151" s="52"/>
      <c r="BM151" s="54"/>
    </row>
    <row r="152">
      <c r="A152" s="42" t="s">
        <v>923</v>
      </c>
      <c r="B152" s="52"/>
      <c r="C152" s="52"/>
      <c r="D152" s="52"/>
      <c r="E152" s="52"/>
      <c r="F152" s="81"/>
      <c r="G152" s="57"/>
      <c r="H152" s="48">
        <f t="shared" si="1"/>
        <v>1455.625</v>
      </c>
      <c r="I152" s="77"/>
      <c r="J152" s="62"/>
      <c r="K152" s="52"/>
      <c r="L152" s="52"/>
      <c r="M152" s="76"/>
      <c r="N152" s="52">
        <f t="shared" si="17"/>
        <v>0</v>
      </c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62"/>
      <c r="AB152" s="52"/>
      <c r="AC152" s="53">
        <f t="shared" si="5"/>
        <v>0</v>
      </c>
      <c r="AD152" s="52"/>
      <c r="AE152" s="53">
        <f t="shared" si="11"/>
        <v>0</v>
      </c>
      <c r="AF152" s="53">
        <f t="shared" si="3"/>
        <v>0</v>
      </c>
      <c r="AG152" s="52"/>
      <c r="AH152" s="48" t="str">
        <f>IFERROR(__xludf.DUMMYFUNCTION("importrange(C152,""Sheet2!a4:x4"")"),"#N/A")</f>
        <v>#N/A</v>
      </c>
      <c r="AI152" s="48"/>
      <c r="AJ152" s="48"/>
      <c r="AK152" s="53"/>
      <c r="AL152" s="53"/>
      <c r="AM152" s="53"/>
      <c r="AN152" s="53"/>
      <c r="AO152" s="53"/>
      <c r="AP152" s="53"/>
      <c r="AQ152" s="53"/>
      <c r="AR152" s="53"/>
      <c r="AS152" s="53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52"/>
      <c r="BG152" s="52"/>
      <c r="BH152" s="52"/>
      <c r="BI152" s="52"/>
      <c r="BJ152" s="52"/>
      <c r="BK152" s="52"/>
      <c r="BL152" s="52"/>
      <c r="BM152" s="54"/>
    </row>
    <row r="153">
      <c r="A153" s="42" t="s">
        <v>924</v>
      </c>
      <c r="B153" s="52"/>
      <c r="C153" s="52"/>
      <c r="D153" s="52"/>
      <c r="E153" s="52"/>
      <c r="F153" s="81"/>
      <c r="G153" s="57"/>
      <c r="H153" s="48">
        <f t="shared" si="1"/>
        <v>1455.625</v>
      </c>
      <c r="I153" s="77"/>
      <c r="J153" s="62"/>
      <c r="K153" s="52"/>
      <c r="L153" s="52"/>
      <c r="M153" s="76"/>
      <c r="N153" s="52">
        <f t="shared" si="17"/>
        <v>0</v>
      </c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62"/>
      <c r="AB153" s="52"/>
      <c r="AC153" s="53">
        <f t="shared" si="5"/>
        <v>0</v>
      </c>
      <c r="AD153" s="52"/>
      <c r="AE153" s="53">
        <f t="shared" si="11"/>
        <v>0</v>
      </c>
      <c r="AF153" s="53">
        <f t="shared" si="3"/>
        <v>0</v>
      </c>
      <c r="AG153" s="52"/>
      <c r="AH153" s="48" t="str">
        <f>IFERROR(__xludf.DUMMYFUNCTION("importrange(C153,""Sheet2!a4:x4"")"),"#N/A")</f>
        <v>#N/A</v>
      </c>
      <c r="AI153" s="48"/>
      <c r="AJ153" s="48"/>
      <c r="AK153" s="53"/>
      <c r="AL153" s="53"/>
      <c r="AM153" s="53"/>
      <c r="AN153" s="53"/>
      <c r="AO153" s="53"/>
      <c r="AP153" s="53"/>
      <c r="AQ153" s="53"/>
      <c r="AR153" s="53"/>
      <c r="AS153" s="53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52"/>
      <c r="BG153" s="52"/>
      <c r="BH153" s="52"/>
      <c r="BI153" s="52"/>
      <c r="BJ153" s="52"/>
      <c r="BK153" s="52"/>
      <c r="BL153" s="52"/>
      <c r="BM153" s="54"/>
    </row>
    <row r="154">
      <c r="A154" s="42" t="s">
        <v>925</v>
      </c>
      <c r="B154" s="52"/>
      <c r="C154" s="52"/>
      <c r="D154" s="52"/>
      <c r="E154" s="52"/>
      <c r="F154" s="81"/>
      <c r="G154" s="57"/>
      <c r="H154" s="48">
        <f t="shared" si="1"/>
        <v>1455.625</v>
      </c>
      <c r="I154" s="77"/>
      <c r="J154" s="62"/>
      <c r="K154" s="52"/>
      <c r="L154" s="52"/>
      <c r="M154" s="76"/>
      <c r="N154" s="52">
        <f t="shared" si="17"/>
        <v>0</v>
      </c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62"/>
      <c r="AB154" s="52"/>
      <c r="AC154" s="53">
        <f t="shared" si="5"/>
        <v>0</v>
      </c>
      <c r="AD154" s="52"/>
      <c r="AE154" s="53">
        <f t="shared" si="11"/>
        <v>0</v>
      </c>
      <c r="AF154" s="53">
        <f t="shared" si="3"/>
        <v>0</v>
      </c>
      <c r="AG154" s="52"/>
      <c r="AH154" s="48" t="str">
        <f>IFERROR(__xludf.DUMMYFUNCTION("importrange(C154,""Sheet2!a4:x4"")"),"#N/A")</f>
        <v>#N/A</v>
      </c>
      <c r="AI154" s="48"/>
      <c r="AJ154" s="48"/>
      <c r="AK154" s="53"/>
      <c r="AL154" s="53"/>
      <c r="AM154" s="53"/>
      <c r="AN154" s="53"/>
      <c r="AO154" s="53"/>
      <c r="AP154" s="53"/>
      <c r="AQ154" s="53"/>
      <c r="AR154" s="53"/>
      <c r="AS154" s="53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52"/>
      <c r="BG154" s="52"/>
      <c r="BH154" s="52"/>
      <c r="BI154" s="52"/>
      <c r="BJ154" s="52"/>
      <c r="BK154" s="52"/>
      <c r="BL154" s="52"/>
      <c r="BM154" s="54"/>
    </row>
    <row r="155">
      <c r="A155" s="42" t="s">
        <v>926</v>
      </c>
      <c r="B155" s="52"/>
      <c r="C155" s="52"/>
      <c r="D155" s="52"/>
      <c r="E155" s="52"/>
      <c r="F155" s="81"/>
      <c r="G155" s="57"/>
      <c r="H155" s="48">
        <f t="shared" si="1"/>
        <v>1455.625</v>
      </c>
      <c r="I155" s="77"/>
      <c r="J155" s="62"/>
      <c r="K155" s="52"/>
      <c r="L155" s="52"/>
      <c r="M155" s="76"/>
      <c r="N155" s="52">
        <f t="shared" si="17"/>
        <v>0</v>
      </c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62"/>
      <c r="AB155" s="52"/>
      <c r="AC155" s="53">
        <f t="shared" si="5"/>
        <v>0</v>
      </c>
      <c r="AD155" s="52"/>
      <c r="AE155" s="53">
        <f t="shared" si="11"/>
        <v>0</v>
      </c>
      <c r="AF155" s="53">
        <f t="shared" si="3"/>
        <v>0</v>
      </c>
      <c r="AG155" s="52"/>
      <c r="AH155" s="48" t="str">
        <f>IFERROR(__xludf.DUMMYFUNCTION("importrange(C155,""Sheet2!a4:x4"")"),"#N/A")</f>
        <v>#N/A</v>
      </c>
      <c r="AI155" s="48"/>
      <c r="AJ155" s="48"/>
      <c r="AK155" s="53"/>
      <c r="AL155" s="53"/>
      <c r="AM155" s="53"/>
      <c r="AN155" s="53"/>
      <c r="AO155" s="53"/>
      <c r="AP155" s="53"/>
      <c r="AQ155" s="53"/>
      <c r="AR155" s="53"/>
      <c r="AS155" s="53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52"/>
      <c r="BG155" s="52"/>
      <c r="BH155" s="52"/>
      <c r="BI155" s="52"/>
      <c r="BJ155" s="52"/>
      <c r="BK155" s="52"/>
      <c r="BL155" s="52"/>
      <c r="BM155" s="54"/>
    </row>
    <row r="156">
      <c r="A156" s="42" t="s">
        <v>927</v>
      </c>
      <c r="B156" s="52"/>
      <c r="C156" s="52"/>
      <c r="D156" s="52"/>
      <c r="E156" s="52"/>
      <c r="F156" s="81"/>
      <c r="G156" s="57"/>
      <c r="H156" s="48">
        <f t="shared" si="1"/>
        <v>1455.625</v>
      </c>
      <c r="I156" s="77"/>
      <c r="J156" s="62"/>
      <c r="K156" s="52"/>
      <c r="L156" s="52"/>
      <c r="M156" s="76"/>
      <c r="N156" s="52">
        <f t="shared" si="17"/>
        <v>0</v>
      </c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62"/>
      <c r="AB156" s="52"/>
      <c r="AC156" s="53">
        <f t="shared" si="5"/>
        <v>0</v>
      </c>
      <c r="AD156" s="52"/>
      <c r="AE156" s="53">
        <f t="shared" si="11"/>
        <v>0</v>
      </c>
      <c r="AF156" s="53">
        <f t="shared" si="3"/>
        <v>0</v>
      </c>
      <c r="AG156" s="52"/>
      <c r="AH156" s="48"/>
      <c r="AI156" s="48"/>
      <c r="AJ156" s="48"/>
      <c r="AK156" s="53"/>
      <c r="AL156" s="53"/>
      <c r="AM156" s="53"/>
      <c r="AN156" s="53"/>
      <c r="AO156" s="53"/>
      <c r="AP156" s="53"/>
      <c r="AQ156" s="53"/>
      <c r="AR156" s="53"/>
      <c r="AS156" s="53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52"/>
      <c r="BG156" s="52"/>
      <c r="BH156" s="52"/>
      <c r="BI156" s="52"/>
      <c r="BJ156" s="52"/>
      <c r="BK156" s="52"/>
      <c r="BL156" s="52"/>
      <c r="BM156" s="54"/>
    </row>
    <row r="157">
      <c r="A157" s="42" t="s">
        <v>928</v>
      </c>
      <c r="B157" s="52"/>
      <c r="C157" s="52"/>
      <c r="D157" s="52"/>
      <c r="E157" s="52"/>
      <c r="F157" s="81"/>
      <c r="G157" s="57"/>
      <c r="H157" s="48">
        <f t="shared" si="1"/>
        <v>1455.625</v>
      </c>
      <c r="I157" s="77"/>
      <c r="J157" s="62"/>
      <c r="K157" s="52"/>
      <c r="L157" s="52"/>
      <c r="M157" s="76"/>
      <c r="N157" s="52">
        <f t="shared" si="17"/>
        <v>0</v>
      </c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62"/>
      <c r="AB157" s="52"/>
      <c r="AC157" s="53">
        <f t="shared" si="5"/>
        <v>0</v>
      </c>
      <c r="AD157" s="52"/>
      <c r="AE157" s="53">
        <f t="shared" si="11"/>
        <v>0</v>
      </c>
      <c r="AF157" s="53">
        <f t="shared" si="3"/>
        <v>0</v>
      </c>
      <c r="AG157" s="52"/>
      <c r="AH157" s="48"/>
      <c r="AI157" s="48"/>
      <c r="AJ157" s="48"/>
      <c r="AK157" s="53"/>
      <c r="AL157" s="53"/>
      <c r="AM157" s="53"/>
      <c r="AN157" s="53"/>
      <c r="AO157" s="53"/>
      <c r="AP157" s="53"/>
      <c r="AQ157" s="53"/>
      <c r="AR157" s="53"/>
      <c r="AS157" s="53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52"/>
      <c r="BG157" s="52"/>
      <c r="BH157" s="52"/>
      <c r="BI157" s="52"/>
      <c r="BJ157" s="52"/>
      <c r="BK157" s="52"/>
      <c r="BL157" s="52"/>
      <c r="BM157" s="54"/>
    </row>
    <row r="158">
      <c r="A158" s="42" t="s">
        <v>929</v>
      </c>
      <c r="B158" s="52"/>
      <c r="C158" s="52"/>
      <c r="D158" s="52"/>
      <c r="E158" s="52"/>
      <c r="F158" s="81"/>
      <c r="G158" s="57"/>
      <c r="H158" s="48">
        <f t="shared" si="1"/>
        <v>1455.625</v>
      </c>
      <c r="I158" s="77"/>
      <c r="J158" s="62"/>
      <c r="K158" s="52"/>
      <c r="L158" s="52"/>
      <c r="M158" s="76"/>
      <c r="N158" s="52">
        <f t="shared" si="17"/>
        <v>0</v>
      </c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62"/>
      <c r="AB158" s="52"/>
      <c r="AC158" s="53">
        <f t="shared" si="5"/>
        <v>0</v>
      </c>
      <c r="AD158" s="52"/>
      <c r="AE158" s="53">
        <f t="shared" si="11"/>
        <v>0</v>
      </c>
      <c r="AF158" s="53">
        <f t="shared" si="3"/>
        <v>0</v>
      </c>
      <c r="AG158" s="52"/>
      <c r="AH158" s="48"/>
      <c r="AI158" s="48"/>
      <c r="AJ158" s="48"/>
      <c r="AK158" s="53"/>
      <c r="AL158" s="53"/>
      <c r="AM158" s="53"/>
      <c r="AN158" s="53"/>
      <c r="AO158" s="53"/>
      <c r="AP158" s="53"/>
      <c r="AQ158" s="53"/>
      <c r="AR158" s="53"/>
      <c r="AS158" s="53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52"/>
      <c r="BG158" s="52"/>
      <c r="BH158" s="52"/>
      <c r="BI158" s="52"/>
      <c r="BJ158" s="52"/>
      <c r="BK158" s="52"/>
      <c r="BL158" s="52"/>
      <c r="BM158" s="54"/>
    </row>
    <row r="159">
      <c r="A159" s="42" t="s">
        <v>930</v>
      </c>
      <c r="B159" s="52"/>
      <c r="C159" s="52"/>
      <c r="D159" s="52"/>
      <c r="E159" s="52"/>
      <c r="F159" s="81"/>
      <c r="G159" s="57"/>
      <c r="H159" s="48">
        <f t="shared" si="1"/>
        <v>1455.625</v>
      </c>
      <c r="I159" s="77"/>
      <c r="J159" s="62"/>
      <c r="K159" s="52"/>
      <c r="L159" s="52"/>
      <c r="M159" s="76"/>
      <c r="N159" s="52">
        <f t="shared" si="17"/>
        <v>0</v>
      </c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62"/>
      <c r="AB159" s="52"/>
      <c r="AC159" s="53">
        <f t="shared" si="5"/>
        <v>0</v>
      </c>
      <c r="AD159" s="52"/>
      <c r="AE159" s="53">
        <f t="shared" si="11"/>
        <v>0</v>
      </c>
      <c r="AF159" s="53">
        <f t="shared" si="3"/>
        <v>0</v>
      </c>
      <c r="AG159" s="52"/>
      <c r="AH159" s="48"/>
      <c r="AI159" s="48"/>
      <c r="AJ159" s="48"/>
      <c r="AK159" s="53"/>
      <c r="AL159" s="53"/>
      <c r="AM159" s="53"/>
      <c r="AN159" s="53"/>
      <c r="AO159" s="53"/>
      <c r="AP159" s="53"/>
      <c r="AQ159" s="53"/>
      <c r="AR159" s="53"/>
      <c r="AS159" s="53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52"/>
      <c r="BG159" s="52"/>
      <c r="BH159" s="52"/>
      <c r="BI159" s="52"/>
      <c r="BJ159" s="52"/>
      <c r="BK159" s="52"/>
      <c r="BL159" s="52"/>
      <c r="BM159" s="54"/>
    </row>
    <row r="160">
      <c r="A160" s="42" t="s">
        <v>931</v>
      </c>
      <c r="B160" s="52"/>
      <c r="C160" s="52"/>
      <c r="D160" s="52"/>
      <c r="E160" s="52"/>
      <c r="F160" s="81"/>
      <c r="G160" s="57"/>
      <c r="H160" s="48">
        <f t="shared" si="1"/>
        <v>1455.625</v>
      </c>
      <c r="I160" s="77"/>
      <c r="J160" s="62"/>
      <c r="K160" s="52"/>
      <c r="L160" s="52"/>
      <c r="M160" s="76"/>
      <c r="N160" s="52">
        <f t="shared" si="17"/>
        <v>0</v>
      </c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62"/>
      <c r="AB160" s="52"/>
      <c r="AC160" s="53">
        <f t="shared" si="5"/>
        <v>0</v>
      </c>
      <c r="AD160" s="52"/>
      <c r="AE160" s="53">
        <f t="shared" si="11"/>
        <v>0</v>
      </c>
      <c r="AF160" s="53">
        <f t="shared" si="3"/>
        <v>0</v>
      </c>
      <c r="AG160" s="52"/>
      <c r="AH160" s="48"/>
      <c r="AI160" s="48"/>
      <c r="AJ160" s="48"/>
      <c r="AK160" s="53"/>
      <c r="AL160" s="53"/>
      <c r="AM160" s="53"/>
      <c r="AN160" s="53"/>
      <c r="AO160" s="53"/>
      <c r="AP160" s="53"/>
      <c r="AQ160" s="53"/>
      <c r="AR160" s="53"/>
      <c r="AS160" s="53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52"/>
      <c r="BG160" s="52"/>
      <c r="BH160" s="52"/>
      <c r="BI160" s="52"/>
      <c r="BJ160" s="52"/>
      <c r="BK160" s="52"/>
      <c r="BL160" s="52"/>
      <c r="BM160" s="54"/>
    </row>
    <row r="161">
      <c r="A161" s="42" t="s">
        <v>932</v>
      </c>
      <c r="B161" s="52"/>
      <c r="C161" s="52"/>
      <c r="D161" s="52"/>
      <c r="E161" s="52"/>
      <c r="F161" s="81"/>
      <c r="G161" s="57"/>
      <c r="H161" s="48">
        <f t="shared" si="1"/>
        <v>1455.625</v>
      </c>
      <c r="I161" s="77"/>
      <c r="J161" s="62"/>
      <c r="K161" s="52"/>
      <c r="L161" s="52"/>
      <c r="M161" s="76"/>
      <c r="N161" s="52">
        <f t="shared" si="17"/>
        <v>0</v>
      </c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62"/>
      <c r="AB161" s="52"/>
      <c r="AC161" s="53">
        <f t="shared" si="5"/>
        <v>0</v>
      </c>
      <c r="AD161" s="52"/>
      <c r="AE161" s="53">
        <f t="shared" si="11"/>
        <v>0</v>
      </c>
      <c r="AF161" s="53">
        <f t="shared" si="3"/>
        <v>0</v>
      </c>
      <c r="AG161" s="52"/>
      <c r="AH161" s="48"/>
      <c r="AI161" s="48"/>
      <c r="AJ161" s="48"/>
      <c r="AK161" s="53"/>
      <c r="AL161" s="53"/>
      <c r="AM161" s="53"/>
      <c r="AN161" s="53"/>
      <c r="AO161" s="53"/>
      <c r="AP161" s="53"/>
      <c r="AQ161" s="53"/>
      <c r="AR161" s="53"/>
      <c r="AS161" s="53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52"/>
      <c r="BG161" s="52"/>
      <c r="BH161" s="52"/>
      <c r="BI161" s="52"/>
      <c r="BJ161" s="52"/>
      <c r="BK161" s="52"/>
      <c r="BL161" s="52"/>
      <c r="BM161" s="54"/>
    </row>
    <row r="162">
      <c r="A162" s="42" t="s">
        <v>933</v>
      </c>
      <c r="B162" s="52"/>
      <c r="C162" s="52"/>
      <c r="D162" s="52"/>
      <c r="E162" s="52"/>
      <c r="F162" s="81"/>
      <c r="G162" s="57"/>
      <c r="H162" s="48">
        <f t="shared" si="1"/>
        <v>1455.625</v>
      </c>
      <c r="I162" s="77"/>
      <c r="J162" s="62"/>
      <c r="K162" s="52"/>
      <c r="L162" s="52"/>
      <c r="M162" s="76"/>
      <c r="N162" s="52">
        <f t="shared" si="17"/>
        <v>0</v>
      </c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62"/>
      <c r="AB162" s="52"/>
      <c r="AC162" s="53">
        <f t="shared" si="5"/>
        <v>0</v>
      </c>
      <c r="AD162" s="52"/>
      <c r="AE162" s="53">
        <f t="shared" si="11"/>
        <v>0</v>
      </c>
      <c r="AF162" s="53">
        <f t="shared" si="3"/>
        <v>0</v>
      </c>
      <c r="AG162" s="52"/>
      <c r="AH162" s="48"/>
      <c r="AI162" s="48"/>
      <c r="AJ162" s="48"/>
      <c r="AK162" s="53"/>
      <c r="AL162" s="53"/>
      <c r="AM162" s="53"/>
      <c r="AN162" s="53"/>
      <c r="AO162" s="53"/>
      <c r="AP162" s="53"/>
      <c r="AQ162" s="53"/>
      <c r="AR162" s="53"/>
      <c r="AS162" s="53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52"/>
      <c r="BG162" s="52"/>
      <c r="BH162" s="52"/>
      <c r="BI162" s="52"/>
      <c r="BJ162" s="52"/>
      <c r="BK162" s="52"/>
      <c r="BL162" s="52"/>
      <c r="BM162" s="54"/>
    </row>
    <row r="163">
      <c r="A163" s="42" t="s">
        <v>934</v>
      </c>
      <c r="B163" s="52"/>
      <c r="C163" s="52"/>
      <c r="D163" s="52"/>
      <c r="E163" s="52"/>
      <c r="F163" s="81"/>
      <c r="G163" s="57"/>
      <c r="H163" s="48">
        <f t="shared" si="1"/>
        <v>1455.625</v>
      </c>
      <c r="I163" s="77"/>
      <c r="J163" s="62"/>
      <c r="K163" s="52"/>
      <c r="L163" s="52"/>
      <c r="M163" s="76"/>
      <c r="N163" s="52">
        <f t="shared" si="17"/>
        <v>0</v>
      </c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62"/>
      <c r="AB163" s="52"/>
      <c r="AC163" s="53">
        <f t="shared" si="5"/>
        <v>0</v>
      </c>
      <c r="AD163" s="52"/>
      <c r="AE163" s="53">
        <f t="shared" si="11"/>
        <v>0</v>
      </c>
      <c r="AF163" s="53">
        <f t="shared" si="3"/>
        <v>0</v>
      </c>
      <c r="AG163" s="52"/>
      <c r="AH163" s="48"/>
      <c r="AI163" s="48"/>
      <c r="AJ163" s="48"/>
      <c r="AK163" s="53"/>
      <c r="AL163" s="53"/>
      <c r="AM163" s="53"/>
      <c r="AN163" s="53"/>
      <c r="AO163" s="53"/>
      <c r="AP163" s="53"/>
      <c r="AQ163" s="53"/>
      <c r="AR163" s="53"/>
      <c r="AS163" s="53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52"/>
      <c r="BG163" s="52"/>
      <c r="BH163" s="52"/>
      <c r="BI163" s="52"/>
      <c r="BJ163" s="52"/>
      <c r="BK163" s="52"/>
      <c r="BL163" s="52"/>
      <c r="BM163" s="54"/>
    </row>
    <row r="164">
      <c r="A164" s="42" t="s">
        <v>935</v>
      </c>
      <c r="B164" s="52"/>
      <c r="C164" s="52"/>
      <c r="D164" s="52"/>
      <c r="E164" s="52"/>
      <c r="F164" s="81"/>
      <c r="G164" s="57"/>
      <c r="H164" s="48">
        <f t="shared" si="1"/>
        <v>1455.625</v>
      </c>
      <c r="I164" s="77"/>
      <c r="J164" s="62"/>
      <c r="K164" s="52"/>
      <c r="L164" s="52"/>
      <c r="M164" s="76"/>
      <c r="N164" s="52">
        <f t="shared" si="17"/>
        <v>0</v>
      </c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62"/>
      <c r="AB164" s="52"/>
      <c r="AC164" s="53">
        <f t="shared" si="5"/>
        <v>0</v>
      </c>
      <c r="AD164" s="52"/>
      <c r="AE164" s="53">
        <f t="shared" si="11"/>
        <v>0</v>
      </c>
      <c r="AF164" s="53">
        <f t="shared" si="3"/>
        <v>0</v>
      </c>
      <c r="AG164" s="52"/>
      <c r="AH164" s="48"/>
      <c r="AI164" s="48"/>
      <c r="AJ164" s="48"/>
      <c r="AK164" s="53"/>
      <c r="AL164" s="53"/>
      <c r="AM164" s="53"/>
      <c r="AN164" s="53"/>
      <c r="AO164" s="53"/>
      <c r="AP164" s="53"/>
      <c r="AQ164" s="53"/>
      <c r="AR164" s="53"/>
      <c r="AS164" s="53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52"/>
      <c r="BG164" s="52"/>
      <c r="BH164" s="52"/>
      <c r="BI164" s="52"/>
      <c r="BJ164" s="52"/>
      <c r="BK164" s="52"/>
      <c r="BL164" s="52"/>
      <c r="BM164" s="54"/>
    </row>
    <row r="165">
      <c r="A165" s="42" t="s">
        <v>936</v>
      </c>
      <c r="B165" s="52"/>
      <c r="C165" s="52"/>
      <c r="D165" s="52"/>
      <c r="E165" s="52"/>
      <c r="F165" s="81"/>
      <c r="G165" s="57"/>
      <c r="H165" s="48">
        <f t="shared" si="1"/>
        <v>1455.625</v>
      </c>
      <c r="I165" s="77"/>
      <c r="J165" s="62"/>
      <c r="K165" s="52"/>
      <c r="L165" s="52"/>
      <c r="M165" s="76"/>
      <c r="N165" s="52">
        <f t="shared" si="17"/>
        <v>0</v>
      </c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62"/>
      <c r="AB165" s="52"/>
      <c r="AC165" s="53">
        <f t="shared" si="5"/>
        <v>0</v>
      </c>
      <c r="AD165" s="52"/>
      <c r="AE165" s="53">
        <f t="shared" si="11"/>
        <v>0</v>
      </c>
      <c r="AF165" s="53">
        <f t="shared" si="3"/>
        <v>0</v>
      </c>
      <c r="AG165" s="52"/>
      <c r="AH165" s="48"/>
      <c r="AI165" s="48"/>
      <c r="AJ165" s="48"/>
      <c r="AK165" s="53"/>
      <c r="AL165" s="53"/>
      <c r="AM165" s="53"/>
      <c r="AN165" s="53"/>
      <c r="AO165" s="53"/>
      <c r="AP165" s="53"/>
      <c r="AQ165" s="53"/>
      <c r="AR165" s="53"/>
      <c r="AS165" s="53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52"/>
      <c r="BG165" s="52"/>
      <c r="BH165" s="52"/>
      <c r="BI165" s="52"/>
      <c r="BJ165" s="52"/>
      <c r="BK165" s="52"/>
      <c r="BL165" s="52"/>
      <c r="BM165" s="54"/>
    </row>
    <row r="166">
      <c r="A166" s="42" t="s">
        <v>937</v>
      </c>
      <c r="B166" s="52"/>
      <c r="C166" s="52"/>
      <c r="D166" s="52"/>
      <c r="E166" s="52"/>
      <c r="F166" s="81"/>
      <c r="G166" s="57"/>
      <c r="H166" s="48">
        <f t="shared" si="1"/>
        <v>1455.625</v>
      </c>
      <c r="I166" s="77"/>
      <c r="J166" s="62"/>
      <c r="K166" s="52"/>
      <c r="L166" s="52"/>
      <c r="M166" s="76"/>
      <c r="N166" s="52">
        <f t="shared" si="17"/>
        <v>0</v>
      </c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62"/>
      <c r="AB166" s="52"/>
      <c r="AC166" s="53">
        <f t="shared" si="5"/>
        <v>0</v>
      </c>
      <c r="AD166" s="52"/>
      <c r="AE166" s="53">
        <f t="shared" si="11"/>
        <v>0</v>
      </c>
      <c r="AF166" s="53">
        <f t="shared" si="3"/>
        <v>0</v>
      </c>
      <c r="AG166" s="52"/>
      <c r="AH166" s="48"/>
      <c r="AI166" s="48"/>
      <c r="AJ166" s="48"/>
      <c r="AK166" s="53"/>
      <c r="AL166" s="53"/>
      <c r="AM166" s="53"/>
      <c r="AN166" s="53"/>
      <c r="AO166" s="53"/>
      <c r="AP166" s="53"/>
      <c r="AQ166" s="53"/>
      <c r="AR166" s="53"/>
      <c r="AS166" s="53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52"/>
      <c r="BG166" s="52"/>
      <c r="BH166" s="52"/>
      <c r="BI166" s="52"/>
      <c r="BJ166" s="52"/>
      <c r="BK166" s="52"/>
      <c r="BL166" s="52"/>
      <c r="BM166" s="54"/>
    </row>
    <row r="167">
      <c r="A167" s="42" t="s">
        <v>938</v>
      </c>
      <c r="B167" s="52"/>
      <c r="C167" s="52"/>
      <c r="D167" s="52"/>
      <c r="E167" s="52"/>
      <c r="F167" s="81"/>
      <c r="G167" s="57"/>
      <c r="H167" s="48">
        <f t="shared" si="1"/>
        <v>1455.625</v>
      </c>
      <c r="I167" s="77"/>
      <c r="J167" s="62"/>
      <c r="K167" s="52"/>
      <c r="L167" s="52"/>
      <c r="M167" s="76"/>
      <c r="N167" s="52">
        <f t="shared" si="17"/>
        <v>0</v>
      </c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62"/>
      <c r="AB167" s="52"/>
      <c r="AC167" s="53">
        <f t="shared" si="5"/>
        <v>0</v>
      </c>
      <c r="AD167" s="52"/>
      <c r="AE167" s="53">
        <f t="shared" si="11"/>
        <v>0</v>
      </c>
      <c r="AF167" s="53">
        <f t="shared" si="3"/>
        <v>0</v>
      </c>
      <c r="AG167" s="52"/>
      <c r="AH167" s="48"/>
      <c r="AI167" s="48"/>
      <c r="AJ167" s="48"/>
      <c r="AK167" s="53"/>
      <c r="AL167" s="53"/>
      <c r="AM167" s="53"/>
      <c r="AN167" s="53"/>
      <c r="AO167" s="53"/>
      <c r="AP167" s="53"/>
      <c r="AQ167" s="53"/>
      <c r="AR167" s="53"/>
      <c r="AS167" s="53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52"/>
      <c r="BG167" s="52"/>
      <c r="BH167" s="52"/>
      <c r="BI167" s="52"/>
      <c r="BJ167" s="52"/>
      <c r="BK167" s="52"/>
      <c r="BL167" s="52"/>
      <c r="BM167" s="54"/>
    </row>
    <row r="168">
      <c r="A168" s="42" t="s">
        <v>939</v>
      </c>
      <c r="B168" s="52"/>
      <c r="C168" s="52"/>
      <c r="D168" s="52"/>
      <c r="E168" s="52"/>
      <c r="F168" s="81"/>
      <c r="G168" s="57"/>
      <c r="H168" s="48">
        <f t="shared" si="1"/>
        <v>1455.625</v>
      </c>
      <c r="I168" s="77"/>
      <c r="J168" s="62"/>
      <c r="K168" s="52"/>
      <c r="L168" s="52"/>
      <c r="M168" s="76"/>
      <c r="N168" s="52">
        <f t="shared" si="17"/>
        <v>0</v>
      </c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62"/>
      <c r="AB168" s="52"/>
      <c r="AC168" s="53">
        <f t="shared" si="5"/>
        <v>0</v>
      </c>
      <c r="AD168" s="52"/>
      <c r="AE168" s="53">
        <f t="shared" si="11"/>
        <v>0</v>
      </c>
      <c r="AF168" s="53">
        <f t="shared" si="3"/>
        <v>0</v>
      </c>
      <c r="AG168" s="52"/>
      <c r="AH168" s="48"/>
      <c r="AI168" s="48"/>
      <c r="AJ168" s="48"/>
      <c r="AK168" s="53"/>
      <c r="AL168" s="53"/>
      <c r="AM168" s="53"/>
      <c r="AN168" s="53"/>
      <c r="AO168" s="53"/>
      <c r="AP168" s="53"/>
      <c r="AQ168" s="53"/>
      <c r="AR168" s="53"/>
      <c r="AS168" s="53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52"/>
      <c r="BG168" s="52"/>
      <c r="BH168" s="52"/>
      <c r="BI168" s="52"/>
      <c r="BJ168" s="52"/>
      <c r="BK168" s="52"/>
      <c r="BL168" s="52"/>
      <c r="BM168" s="54"/>
    </row>
    <row r="169">
      <c r="A169" s="42" t="s">
        <v>940</v>
      </c>
      <c r="B169" s="52"/>
      <c r="C169" s="52"/>
      <c r="D169" s="52"/>
      <c r="E169" s="52"/>
      <c r="F169" s="81"/>
      <c r="G169" s="57"/>
      <c r="H169" s="48">
        <f t="shared" si="1"/>
        <v>1455.625</v>
      </c>
      <c r="I169" s="77"/>
      <c r="J169" s="62"/>
      <c r="K169" s="52"/>
      <c r="L169" s="52"/>
      <c r="M169" s="76"/>
      <c r="N169" s="52">
        <f t="shared" si="17"/>
        <v>0</v>
      </c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62"/>
      <c r="AB169" s="52"/>
      <c r="AC169" s="53">
        <f t="shared" si="5"/>
        <v>0</v>
      </c>
      <c r="AD169" s="52"/>
      <c r="AE169" s="53">
        <f t="shared" si="11"/>
        <v>0</v>
      </c>
      <c r="AF169" s="53">
        <f t="shared" si="3"/>
        <v>0</v>
      </c>
      <c r="AG169" s="52"/>
      <c r="AH169" s="48"/>
      <c r="AI169" s="48"/>
      <c r="AJ169" s="48"/>
      <c r="AK169" s="53"/>
      <c r="AL169" s="53"/>
      <c r="AM169" s="53"/>
      <c r="AN169" s="53"/>
      <c r="AO169" s="53"/>
      <c r="AP169" s="53"/>
      <c r="AQ169" s="53"/>
      <c r="AR169" s="53"/>
      <c r="AS169" s="53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52"/>
      <c r="BG169" s="52"/>
      <c r="BH169" s="52"/>
      <c r="BI169" s="52"/>
      <c r="BJ169" s="52"/>
      <c r="BK169" s="52"/>
      <c r="BL169" s="52"/>
      <c r="BM169" s="54"/>
    </row>
    <row r="170">
      <c r="A170" s="42" t="s">
        <v>941</v>
      </c>
      <c r="B170" s="52"/>
      <c r="C170" s="52"/>
      <c r="D170" s="52"/>
      <c r="E170" s="52"/>
      <c r="F170" s="81"/>
      <c r="G170" s="57"/>
      <c r="H170" s="48">
        <f t="shared" si="1"/>
        <v>1455.625</v>
      </c>
      <c r="I170" s="77"/>
      <c r="J170" s="62"/>
      <c r="K170" s="52"/>
      <c r="L170" s="52"/>
      <c r="M170" s="76"/>
      <c r="N170" s="52">
        <f t="shared" si="17"/>
        <v>0</v>
      </c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62"/>
      <c r="AB170" s="52"/>
      <c r="AC170" s="53">
        <f t="shared" si="5"/>
        <v>0</v>
      </c>
      <c r="AD170" s="52"/>
      <c r="AE170" s="53">
        <f t="shared" si="11"/>
        <v>0</v>
      </c>
      <c r="AF170" s="53">
        <f t="shared" si="3"/>
        <v>0</v>
      </c>
      <c r="AG170" s="52"/>
      <c r="AH170" s="48"/>
      <c r="AI170" s="48"/>
      <c r="AJ170" s="48"/>
      <c r="AK170" s="53"/>
      <c r="AL170" s="53"/>
      <c r="AM170" s="53"/>
      <c r="AN170" s="53"/>
      <c r="AO170" s="53"/>
      <c r="AP170" s="53"/>
      <c r="AQ170" s="53"/>
      <c r="AR170" s="53"/>
      <c r="AS170" s="53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52"/>
      <c r="BG170" s="52"/>
      <c r="BH170" s="52"/>
      <c r="BI170" s="52"/>
      <c r="BJ170" s="52"/>
      <c r="BK170" s="52"/>
      <c r="BL170" s="52"/>
      <c r="BM170" s="54"/>
    </row>
    <row r="171">
      <c r="A171" s="42" t="s">
        <v>942</v>
      </c>
      <c r="B171" s="52"/>
      <c r="C171" s="52"/>
      <c r="D171" s="52"/>
      <c r="E171" s="52"/>
      <c r="F171" s="81"/>
      <c r="G171" s="57"/>
      <c r="H171" s="48">
        <f t="shared" si="1"/>
        <v>1455.625</v>
      </c>
      <c r="I171" s="77"/>
      <c r="J171" s="62"/>
      <c r="K171" s="52"/>
      <c r="L171" s="52"/>
      <c r="M171" s="76"/>
      <c r="N171" s="52">
        <f t="shared" si="17"/>
        <v>0</v>
      </c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62"/>
      <c r="AB171" s="52"/>
      <c r="AC171" s="53">
        <f t="shared" si="5"/>
        <v>0</v>
      </c>
      <c r="AD171" s="52"/>
      <c r="AE171" s="53">
        <f t="shared" si="11"/>
        <v>0</v>
      </c>
      <c r="AF171" s="53">
        <f t="shared" si="3"/>
        <v>0</v>
      </c>
      <c r="AG171" s="52"/>
      <c r="AH171" s="48"/>
      <c r="AI171" s="48"/>
      <c r="AJ171" s="48"/>
      <c r="AK171" s="53"/>
      <c r="AL171" s="53"/>
      <c r="AM171" s="53"/>
      <c r="AN171" s="53"/>
      <c r="AO171" s="53"/>
      <c r="AP171" s="53"/>
      <c r="AQ171" s="53"/>
      <c r="AR171" s="53"/>
      <c r="AS171" s="53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52"/>
      <c r="BG171" s="52"/>
      <c r="BH171" s="52"/>
      <c r="BI171" s="52"/>
      <c r="BJ171" s="52"/>
      <c r="BK171" s="52"/>
      <c r="BL171" s="52"/>
      <c r="BM171" s="54"/>
    </row>
    <row r="172">
      <c r="A172" s="42" t="s">
        <v>943</v>
      </c>
      <c r="B172" s="52"/>
      <c r="C172" s="52"/>
      <c r="D172" s="52"/>
      <c r="E172" s="52"/>
      <c r="F172" s="81"/>
      <c r="G172" s="57"/>
      <c r="H172" s="48">
        <f t="shared" si="1"/>
        <v>1455.625</v>
      </c>
      <c r="I172" s="77"/>
      <c r="J172" s="62"/>
      <c r="K172" s="52"/>
      <c r="L172" s="52"/>
      <c r="M172" s="76"/>
      <c r="N172" s="52">
        <f t="shared" si="17"/>
        <v>0</v>
      </c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62"/>
      <c r="AB172" s="52"/>
      <c r="AC172" s="53">
        <f t="shared" si="5"/>
        <v>0</v>
      </c>
      <c r="AD172" s="52"/>
      <c r="AE172" s="53">
        <f t="shared" si="11"/>
        <v>0</v>
      </c>
      <c r="AF172" s="53">
        <f t="shared" si="3"/>
        <v>0</v>
      </c>
      <c r="AG172" s="52"/>
      <c r="AH172" s="48"/>
      <c r="AI172" s="48"/>
      <c r="AJ172" s="48"/>
      <c r="AK172" s="53"/>
      <c r="AL172" s="53"/>
      <c r="AM172" s="53"/>
      <c r="AN172" s="53"/>
      <c r="AO172" s="53"/>
      <c r="AP172" s="53"/>
      <c r="AQ172" s="53"/>
      <c r="AR172" s="53"/>
      <c r="AS172" s="53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52"/>
      <c r="BG172" s="52"/>
      <c r="BH172" s="52"/>
      <c r="BI172" s="52"/>
      <c r="BJ172" s="52"/>
      <c r="BK172" s="52"/>
      <c r="BL172" s="52"/>
      <c r="BM172" s="54"/>
    </row>
    <row r="173">
      <c r="A173" s="42" t="s">
        <v>944</v>
      </c>
      <c r="B173" s="52"/>
      <c r="C173" s="52"/>
      <c r="D173" s="52"/>
      <c r="E173" s="52"/>
      <c r="F173" s="81"/>
      <c r="G173" s="57"/>
      <c r="H173" s="48">
        <f t="shared" si="1"/>
        <v>1455.625</v>
      </c>
      <c r="I173" s="77"/>
      <c r="J173" s="62"/>
      <c r="K173" s="52"/>
      <c r="L173" s="52"/>
      <c r="M173" s="76"/>
      <c r="N173" s="52">
        <f t="shared" si="17"/>
        <v>0</v>
      </c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62"/>
      <c r="AB173" s="52"/>
      <c r="AC173" s="53">
        <f t="shared" si="5"/>
        <v>0</v>
      </c>
      <c r="AD173" s="52"/>
      <c r="AE173" s="53">
        <f t="shared" si="11"/>
        <v>0</v>
      </c>
      <c r="AF173" s="53">
        <f t="shared" si="3"/>
        <v>0</v>
      </c>
      <c r="AG173" s="52"/>
      <c r="AH173" s="48"/>
      <c r="AI173" s="48"/>
      <c r="AJ173" s="48"/>
      <c r="AK173" s="53"/>
      <c r="AL173" s="53"/>
      <c r="AM173" s="53"/>
      <c r="AN173" s="53"/>
      <c r="AO173" s="53"/>
      <c r="AP173" s="53"/>
      <c r="AQ173" s="53"/>
      <c r="AR173" s="53"/>
      <c r="AS173" s="53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52"/>
      <c r="BG173" s="52"/>
      <c r="BH173" s="52"/>
      <c r="BI173" s="52"/>
      <c r="BJ173" s="52"/>
      <c r="BK173" s="52"/>
      <c r="BL173" s="52"/>
      <c r="BM173" s="54"/>
    </row>
    <row r="174">
      <c r="A174" s="42" t="s">
        <v>945</v>
      </c>
      <c r="B174" s="52"/>
      <c r="C174" s="52"/>
      <c r="D174" s="52"/>
      <c r="E174" s="52"/>
      <c r="F174" s="81"/>
      <c r="G174" s="57"/>
      <c r="H174" s="48">
        <f t="shared" si="1"/>
        <v>1455.625</v>
      </c>
      <c r="I174" s="77"/>
      <c r="J174" s="62"/>
      <c r="K174" s="52"/>
      <c r="L174" s="52"/>
      <c r="M174" s="76"/>
      <c r="N174" s="52">
        <f t="shared" si="17"/>
        <v>0</v>
      </c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62"/>
      <c r="AB174" s="52"/>
      <c r="AC174" s="53">
        <f t="shared" si="5"/>
        <v>0</v>
      </c>
      <c r="AD174" s="52"/>
      <c r="AE174" s="53">
        <f t="shared" si="11"/>
        <v>0</v>
      </c>
      <c r="AF174" s="53">
        <f t="shared" si="3"/>
        <v>0</v>
      </c>
      <c r="AG174" s="52"/>
      <c r="AH174" s="48"/>
      <c r="AI174" s="48"/>
      <c r="AJ174" s="48"/>
      <c r="AK174" s="53"/>
      <c r="AL174" s="53"/>
      <c r="AM174" s="53"/>
      <c r="AN174" s="53"/>
      <c r="AO174" s="53"/>
      <c r="AP174" s="53"/>
      <c r="AQ174" s="53"/>
      <c r="AR174" s="53"/>
      <c r="AS174" s="53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52"/>
      <c r="BG174" s="52"/>
      <c r="BH174" s="52"/>
      <c r="BI174" s="52"/>
      <c r="BJ174" s="52"/>
      <c r="BK174" s="52"/>
      <c r="BL174" s="52"/>
      <c r="BM174" s="54"/>
    </row>
    <row r="175">
      <c r="A175" s="42" t="s">
        <v>946</v>
      </c>
      <c r="B175" s="52"/>
      <c r="C175" s="52"/>
      <c r="D175" s="52"/>
      <c r="E175" s="52"/>
      <c r="F175" s="81"/>
      <c r="G175" s="57"/>
      <c r="H175" s="48">
        <f t="shared" si="1"/>
        <v>1455.625</v>
      </c>
      <c r="I175" s="77"/>
      <c r="J175" s="62"/>
      <c r="K175" s="52"/>
      <c r="L175" s="52"/>
      <c r="M175" s="76"/>
      <c r="N175" s="52">
        <f t="shared" si="17"/>
        <v>0</v>
      </c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62"/>
      <c r="AB175" s="52"/>
      <c r="AC175" s="53">
        <f t="shared" si="5"/>
        <v>0</v>
      </c>
      <c r="AD175" s="52"/>
      <c r="AE175" s="53">
        <f t="shared" si="11"/>
        <v>0</v>
      </c>
      <c r="AF175" s="53">
        <f t="shared" si="3"/>
        <v>0</v>
      </c>
      <c r="AG175" s="52"/>
      <c r="AH175" s="48"/>
      <c r="AI175" s="48"/>
      <c r="AJ175" s="48"/>
      <c r="AK175" s="53"/>
      <c r="AL175" s="53"/>
      <c r="AM175" s="53"/>
      <c r="AN175" s="53"/>
      <c r="AO175" s="53"/>
      <c r="AP175" s="53"/>
      <c r="AQ175" s="53"/>
      <c r="AR175" s="53"/>
      <c r="AS175" s="53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52"/>
      <c r="BG175" s="52"/>
      <c r="BH175" s="52"/>
      <c r="BI175" s="52"/>
      <c r="BJ175" s="52"/>
      <c r="BK175" s="52"/>
      <c r="BL175" s="52"/>
      <c r="BM175" s="54"/>
    </row>
    <row r="176">
      <c r="A176" s="42" t="s">
        <v>947</v>
      </c>
      <c r="B176" s="52"/>
      <c r="C176" s="52"/>
      <c r="D176" s="52"/>
      <c r="E176" s="52"/>
      <c r="F176" s="81"/>
      <c r="G176" s="57"/>
      <c r="H176" s="48">
        <f t="shared" si="1"/>
        <v>1455.625</v>
      </c>
      <c r="I176" s="77"/>
      <c r="J176" s="62"/>
      <c r="K176" s="52"/>
      <c r="L176" s="52"/>
      <c r="M176" s="76"/>
      <c r="N176" s="52">
        <f t="shared" si="17"/>
        <v>0</v>
      </c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62"/>
      <c r="AB176" s="52"/>
      <c r="AC176" s="53">
        <f t="shared" si="5"/>
        <v>0</v>
      </c>
      <c r="AD176" s="52"/>
      <c r="AE176" s="53">
        <f t="shared" si="11"/>
        <v>0</v>
      </c>
      <c r="AF176" s="53">
        <f t="shared" si="3"/>
        <v>0</v>
      </c>
      <c r="AG176" s="52"/>
      <c r="AH176" s="48"/>
      <c r="AI176" s="48"/>
      <c r="AJ176" s="48"/>
      <c r="AK176" s="53"/>
      <c r="AL176" s="53"/>
      <c r="AM176" s="53"/>
      <c r="AN176" s="53"/>
      <c r="AO176" s="53"/>
      <c r="AP176" s="53"/>
      <c r="AQ176" s="53"/>
      <c r="AR176" s="53"/>
      <c r="AS176" s="53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52"/>
      <c r="BG176" s="52"/>
      <c r="BH176" s="52"/>
      <c r="BI176" s="52"/>
      <c r="BJ176" s="52"/>
      <c r="BK176" s="52"/>
      <c r="BL176" s="52"/>
      <c r="BM176" s="54"/>
    </row>
    <row r="177">
      <c r="A177" s="42" t="s">
        <v>948</v>
      </c>
      <c r="B177" s="52"/>
      <c r="C177" s="52"/>
      <c r="D177" s="52"/>
      <c r="E177" s="52"/>
      <c r="F177" s="81"/>
      <c r="G177" s="57"/>
      <c r="H177" s="48">
        <f t="shared" si="1"/>
        <v>1455.625</v>
      </c>
      <c r="I177" s="77"/>
      <c r="J177" s="62"/>
      <c r="K177" s="52"/>
      <c r="L177" s="52"/>
      <c r="M177" s="76"/>
      <c r="N177" s="52">
        <f t="shared" si="17"/>
        <v>0</v>
      </c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62"/>
      <c r="AB177" s="52"/>
      <c r="AC177" s="53">
        <f t="shared" si="5"/>
        <v>0</v>
      </c>
      <c r="AD177" s="52"/>
      <c r="AE177" s="53">
        <f t="shared" si="11"/>
        <v>0</v>
      </c>
      <c r="AF177" s="53">
        <f t="shared" si="3"/>
        <v>0</v>
      </c>
      <c r="AG177" s="52"/>
      <c r="AH177" s="48"/>
      <c r="AI177" s="48"/>
      <c r="AJ177" s="48"/>
      <c r="AK177" s="53"/>
      <c r="AL177" s="53"/>
      <c r="AM177" s="53"/>
      <c r="AN177" s="53"/>
      <c r="AO177" s="53"/>
      <c r="AP177" s="53"/>
      <c r="AQ177" s="53"/>
      <c r="AR177" s="53"/>
      <c r="AS177" s="53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52"/>
      <c r="BG177" s="52"/>
      <c r="BH177" s="52"/>
      <c r="BI177" s="52"/>
      <c r="BJ177" s="52"/>
      <c r="BK177" s="52"/>
      <c r="BL177" s="52"/>
      <c r="BM177" s="54"/>
    </row>
    <row r="178">
      <c r="A178" s="42" t="s">
        <v>949</v>
      </c>
      <c r="B178" s="52"/>
      <c r="C178" s="52"/>
      <c r="D178" s="52"/>
      <c r="E178" s="52"/>
      <c r="F178" s="81"/>
      <c r="G178" s="57"/>
      <c r="H178" s="48">
        <f t="shared" si="1"/>
        <v>1455.625</v>
      </c>
      <c r="I178" s="77"/>
      <c r="J178" s="62"/>
      <c r="K178" s="52"/>
      <c r="L178" s="52"/>
      <c r="M178" s="76"/>
      <c r="N178" s="52">
        <f t="shared" si="17"/>
        <v>0</v>
      </c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62"/>
      <c r="AB178" s="52"/>
      <c r="AC178" s="53">
        <f t="shared" si="5"/>
        <v>0</v>
      </c>
      <c r="AD178" s="52"/>
      <c r="AE178" s="53">
        <f t="shared" si="11"/>
        <v>0</v>
      </c>
      <c r="AF178" s="53">
        <f t="shared" si="3"/>
        <v>0</v>
      </c>
      <c r="AG178" s="52"/>
      <c r="AH178" s="48"/>
      <c r="AI178" s="48"/>
      <c r="AJ178" s="48"/>
      <c r="AK178" s="53"/>
      <c r="AL178" s="53"/>
      <c r="AM178" s="53"/>
      <c r="AN178" s="53"/>
      <c r="AO178" s="53"/>
      <c r="AP178" s="53"/>
      <c r="AQ178" s="53"/>
      <c r="AR178" s="53"/>
      <c r="AS178" s="53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52"/>
      <c r="BG178" s="52"/>
      <c r="BH178" s="52"/>
      <c r="BI178" s="52"/>
      <c r="BJ178" s="52"/>
      <c r="BK178" s="52"/>
      <c r="BL178" s="52"/>
      <c r="BM178" s="54"/>
    </row>
    <row r="179">
      <c r="A179" s="42" t="s">
        <v>950</v>
      </c>
      <c r="B179" s="52"/>
      <c r="C179" s="52"/>
      <c r="D179" s="52"/>
      <c r="E179" s="52"/>
      <c r="F179" s="81"/>
      <c r="G179" s="57"/>
      <c r="H179" s="48">
        <f t="shared" si="1"/>
        <v>1455.625</v>
      </c>
      <c r="I179" s="77"/>
      <c r="J179" s="62"/>
      <c r="K179" s="52"/>
      <c r="L179" s="52"/>
      <c r="M179" s="76"/>
      <c r="N179" s="52">
        <f t="shared" si="17"/>
        <v>0</v>
      </c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62"/>
      <c r="AB179" s="52"/>
      <c r="AC179" s="53">
        <f t="shared" si="5"/>
        <v>0</v>
      </c>
      <c r="AD179" s="52"/>
      <c r="AE179" s="53">
        <f t="shared" si="11"/>
        <v>0</v>
      </c>
      <c r="AF179" s="53">
        <f t="shared" si="3"/>
        <v>0</v>
      </c>
      <c r="AG179" s="52"/>
      <c r="AH179" s="48"/>
      <c r="AI179" s="48"/>
      <c r="AJ179" s="48"/>
      <c r="AK179" s="53"/>
      <c r="AL179" s="53"/>
      <c r="AM179" s="53"/>
      <c r="AN179" s="53"/>
      <c r="AO179" s="53"/>
      <c r="AP179" s="53"/>
      <c r="AQ179" s="53"/>
      <c r="AR179" s="53"/>
      <c r="AS179" s="53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52"/>
      <c r="BG179" s="52"/>
      <c r="BH179" s="52"/>
      <c r="BI179" s="52"/>
      <c r="BJ179" s="52"/>
      <c r="BK179" s="52"/>
      <c r="BL179" s="52"/>
      <c r="BM179" s="54"/>
    </row>
    <row r="180">
      <c r="A180" s="42" t="s">
        <v>951</v>
      </c>
      <c r="B180" s="52"/>
      <c r="C180" s="52"/>
      <c r="D180" s="52"/>
      <c r="E180" s="52"/>
      <c r="F180" s="81"/>
      <c r="G180" s="57"/>
      <c r="H180" s="48">
        <f t="shared" si="1"/>
        <v>1455.625</v>
      </c>
      <c r="I180" s="77"/>
      <c r="J180" s="62"/>
      <c r="K180" s="52"/>
      <c r="L180" s="52"/>
      <c r="M180" s="76"/>
      <c r="N180" s="52">
        <f t="shared" si="17"/>
        <v>0</v>
      </c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62"/>
      <c r="AB180" s="52"/>
      <c r="AC180" s="53">
        <f t="shared" si="5"/>
        <v>0</v>
      </c>
      <c r="AD180" s="52"/>
      <c r="AE180" s="53">
        <f t="shared" si="11"/>
        <v>0</v>
      </c>
      <c r="AF180" s="53">
        <f t="shared" si="3"/>
        <v>0</v>
      </c>
      <c r="AG180" s="52"/>
      <c r="AH180" s="48"/>
      <c r="AI180" s="48"/>
      <c r="AJ180" s="48"/>
      <c r="AK180" s="53"/>
      <c r="AL180" s="53"/>
      <c r="AM180" s="53"/>
      <c r="AN180" s="53"/>
      <c r="AO180" s="53"/>
      <c r="AP180" s="53"/>
      <c r="AQ180" s="53"/>
      <c r="AR180" s="53"/>
      <c r="AS180" s="53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52"/>
      <c r="BG180" s="52"/>
      <c r="BH180" s="52"/>
      <c r="BI180" s="52"/>
      <c r="BJ180" s="52"/>
      <c r="BK180" s="52"/>
      <c r="BL180" s="52"/>
      <c r="BM180" s="54"/>
    </row>
    <row r="181">
      <c r="A181" s="42" t="s">
        <v>952</v>
      </c>
      <c r="B181" s="52"/>
      <c r="C181" s="52"/>
      <c r="D181" s="52"/>
      <c r="E181" s="52"/>
      <c r="F181" s="81"/>
      <c r="G181" s="57"/>
      <c r="H181" s="48">
        <f t="shared" si="1"/>
        <v>1455.625</v>
      </c>
      <c r="I181" s="77"/>
      <c r="J181" s="62"/>
      <c r="K181" s="52"/>
      <c r="L181" s="52"/>
      <c r="M181" s="76"/>
      <c r="N181" s="52">
        <f t="shared" si="17"/>
        <v>0</v>
      </c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62"/>
      <c r="AB181" s="52"/>
      <c r="AC181" s="53">
        <f t="shared" si="5"/>
        <v>0</v>
      </c>
      <c r="AD181" s="52"/>
      <c r="AE181" s="53">
        <f t="shared" si="11"/>
        <v>0</v>
      </c>
      <c r="AF181" s="53">
        <f t="shared" si="3"/>
        <v>0</v>
      </c>
      <c r="AG181" s="52"/>
      <c r="AH181" s="48"/>
      <c r="AI181" s="48"/>
      <c r="AJ181" s="48"/>
      <c r="AK181" s="53"/>
      <c r="AL181" s="53"/>
      <c r="AM181" s="53"/>
      <c r="AN181" s="53"/>
      <c r="AO181" s="53"/>
      <c r="AP181" s="53"/>
      <c r="AQ181" s="53"/>
      <c r="AR181" s="53"/>
      <c r="AS181" s="53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52"/>
      <c r="BG181" s="52"/>
      <c r="BH181" s="52"/>
      <c r="BI181" s="52"/>
      <c r="BJ181" s="52"/>
      <c r="BK181" s="52"/>
      <c r="BL181" s="52"/>
      <c r="BM181" s="54"/>
    </row>
    <row r="182">
      <c r="A182" s="42" t="s">
        <v>953</v>
      </c>
      <c r="B182" s="52"/>
      <c r="C182" s="52"/>
      <c r="D182" s="52"/>
      <c r="E182" s="52"/>
      <c r="F182" s="81"/>
      <c r="G182" s="57"/>
      <c r="H182" s="48">
        <f t="shared" si="1"/>
        <v>1455.625</v>
      </c>
      <c r="I182" s="77"/>
      <c r="J182" s="62"/>
      <c r="K182" s="52"/>
      <c r="L182" s="52"/>
      <c r="M182" s="76"/>
      <c r="N182" s="52">
        <f t="shared" si="17"/>
        <v>0</v>
      </c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62"/>
      <c r="AB182" s="52"/>
      <c r="AC182" s="53">
        <f t="shared" si="5"/>
        <v>0</v>
      </c>
      <c r="AD182" s="52"/>
      <c r="AE182" s="53">
        <f t="shared" si="11"/>
        <v>0</v>
      </c>
      <c r="AF182" s="53">
        <f t="shared" si="3"/>
        <v>0</v>
      </c>
      <c r="AG182" s="52"/>
      <c r="AH182" s="48"/>
      <c r="AI182" s="48"/>
      <c r="AJ182" s="48"/>
      <c r="AK182" s="53"/>
      <c r="AL182" s="53"/>
      <c r="AM182" s="53"/>
      <c r="AN182" s="53"/>
      <c r="AO182" s="53"/>
      <c r="AP182" s="53"/>
      <c r="AQ182" s="53"/>
      <c r="AR182" s="53"/>
      <c r="AS182" s="53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52"/>
      <c r="BG182" s="52"/>
      <c r="BH182" s="52"/>
      <c r="BI182" s="52"/>
      <c r="BJ182" s="52"/>
      <c r="BK182" s="52"/>
      <c r="BL182" s="52"/>
      <c r="BM182" s="54"/>
    </row>
    <row r="183">
      <c r="A183" s="42" t="s">
        <v>954</v>
      </c>
      <c r="B183" s="52"/>
      <c r="C183" s="52"/>
      <c r="D183" s="52"/>
      <c r="E183" s="52"/>
      <c r="F183" s="81"/>
      <c r="G183" s="57"/>
      <c r="H183" s="48">
        <f t="shared" si="1"/>
        <v>1455.625</v>
      </c>
      <c r="I183" s="77"/>
      <c r="J183" s="62"/>
      <c r="K183" s="52"/>
      <c r="L183" s="52"/>
      <c r="M183" s="76"/>
      <c r="N183" s="52">
        <f t="shared" si="17"/>
        <v>0</v>
      </c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62"/>
      <c r="AB183" s="52"/>
      <c r="AC183" s="53">
        <f t="shared" si="5"/>
        <v>0</v>
      </c>
      <c r="AD183" s="52"/>
      <c r="AE183" s="53">
        <f t="shared" si="11"/>
        <v>0</v>
      </c>
      <c r="AF183" s="53">
        <f t="shared" si="3"/>
        <v>0</v>
      </c>
      <c r="AG183" s="52"/>
      <c r="AH183" s="48"/>
      <c r="AI183" s="48"/>
      <c r="AJ183" s="48"/>
      <c r="AK183" s="53"/>
      <c r="AL183" s="53"/>
      <c r="AM183" s="53"/>
      <c r="AN183" s="53"/>
      <c r="AO183" s="53"/>
      <c r="AP183" s="53"/>
      <c r="AQ183" s="53"/>
      <c r="AR183" s="53"/>
      <c r="AS183" s="53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52"/>
      <c r="BG183" s="52"/>
      <c r="BH183" s="52"/>
      <c r="BI183" s="52"/>
      <c r="BJ183" s="52"/>
      <c r="BK183" s="52"/>
      <c r="BL183" s="52"/>
      <c r="BM183" s="54"/>
    </row>
    <row r="184">
      <c r="A184" s="42" t="s">
        <v>955</v>
      </c>
      <c r="B184" s="52"/>
      <c r="C184" s="52"/>
      <c r="D184" s="52"/>
      <c r="E184" s="52"/>
      <c r="F184" s="81"/>
      <c r="G184" s="57"/>
      <c r="H184" s="48">
        <f t="shared" si="1"/>
        <v>1455.625</v>
      </c>
      <c r="I184" s="77"/>
      <c r="J184" s="62"/>
      <c r="K184" s="52"/>
      <c r="L184" s="52"/>
      <c r="M184" s="76"/>
      <c r="N184" s="52">
        <f t="shared" si="17"/>
        <v>0</v>
      </c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62"/>
      <c r="AB184" s="52"/>
      <c r="AC184" s="53">
        <f t="shared" si="5"/>
        <v>0</v>
      </c>
      <c r="AD184" s="52"/>
      <c r="AE184" s="53">
        <f t="shared" si="11"/>
        <v>0</v>
      </c>
      <c r="AF184" s="53">
        <f t="shared" si="3"/>
        <v>0</v>
      </c>
      <c r="AG184" s="52"/>
      <c r="AH184" s="48"/>
      <c r="AI184" s="48"/>
      <c r="AJ184" s="48"/>
      <c r="AK184" s="53"/>
      <c r="AL184" s="53"/>
      <c r="AM184" s="53"/>
      <c r="AN184" s="53"/>
      <c r="AO184" s="53"/>
      <c r="AP184" s="53"/>
      <c r="AQ184" s="53"/>
      <c r="AR184" s="53"/>
      <c r="AS184" s="53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52"/>
      <c r="BG184" s="52"/>
      <c r="BH184" s="52"/>
      <c r="BI184" s="52"/>
      <c r="BJ184" s="52"/>
      <c r="BK184" s="52"/>
      <c r="BL184" s="52"/>
      <c r="BM184" s="54"/>
    </row>
    <row r="185">
      <c r="A185" s="42" t="s">
        <v>956</v>
      </c>
      <c r="B185" s="52"/>
      <c r="C185" s="52"/>
      <c r="D185" s="52"/>
      <c r="E185" s="52"/>
      <c r="F185" s="81"/>
      <c r="G185" s="57"/>
      <c r="H185" s="48">
        <f t="shared" si="1"/>
        <v>1455.625</v>
      </c>
      <c r="I185" s="77"/>
      <c r="J185" s="62"/>
      <c r="K185" s="52"/>
      <c r="L185" s="52"/>
      <c r="M185" s="76"/>
      <c r="N185" s="52">
        <f t="shared" si="17"/>
        <v>0</v>
      </c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62"/>
      <c r="AB185" s="52"/>
      <c r="AC185" s="53">
        <f t="shared" si="5"/>
        <v>0</v>
      </c>
      <c r="AD185" s="52"/>
      <c r="AE185" s="53">
        <f t="shared" si="11"/>
        <v>0</v>
      </c>
      <c r="AF185" s="53">
        <f t="shared" si="3"/>
        <v>0</v>
      </c>
      <c r="AG185" s="52"/>
      <c r="AH185" s="48"/>
      <c r="AI185" s="48"/>
      <c r="AJ185" s="48"/>
      <c r="AK185" s="53"/>
      <c r="AL185" s="53"/>
      <c r="AM185" s="53"/>
      <c r="AN185" s="53"/>
      <c r="AO185" s="53"/>
      <c r="AP185" s="53"/>
      <c r="AQ185" s="53"/>
      <c r="AR185" s="53"/>
      <c r="AS185" s="53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52"/>
      <c r="BG185" s="52"/>
      <c r="BH185" s="52"/>
      <c r="BI185" s="52"/>
      <c r="BJ185" s="52"/>
      <c r="BK185" s="52"/>
      <c r="BL185" s="52"/>
      <c r="BM185" s="54"/>
    </row>
    <row r="186">
      <c r="A186" s="42" t="s">
        <v>957</v>
      </c>
      <c r="B186" s="52"/>
      <c r="C186" s="52"/>
      <c r="D186" s="52"/>
      <c r="E186" s="52"/>
      <c r="F186" s="81"/>
      <c r="G186" s="57"/>
      <c r="H186" s="48">
        <f t="shared" si="1"/>
        <v>1455.625</v>
      </c>
      <c r="I186" s="77"/>
      <c r="J186" s="62"/>
      <c r="K186" s="52"/>
      <c r="L186" s="52"/>
      <c r="M186" s="76"/>
      <c r="N186" s="52">
        <f t="shared" si="17"/>
        <v>0</v>
      </c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62"/>
      <c r="AB186" s="52"/>
      <c r="AC186" s="53">
        <f t="shared" si="5"/>
        <v>0</v>
      </c>
      <c r="AD186" s="52"/>
      <c r="AE186" s="53">
        <f t="shared" si="11"/>
        <v>0</v>
      </c>
      <c r="AF186" s="53">
        <f t="shared" si="3"/>
        <v>0</v>
      </c>
      <c r="AG186" s="52"/>
      <c r="AH186" s="48"/>
      <c r="AI186" s="48"/>
      <c r="AJ186" s="48"/>
      <c r="AK186" s="53"/>
      <c r="AL186" s="53"/>
      <c r="AM186" s="53"/>
      <c r="AN186" s="53"/>
      <c r="AO186" s="53"/>
      <c r="AP186" s="53"/>
      <c r="AQ186" s="53"/>
      <c r="AR186" s="53"/>
      <c r="AS186" s="53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52"/>
      <c r="BG186" s="52"/>
      <c r="BH186" s="52"/>
      <c r="BI186" s="52"/>
      <c r="BJ186" s="52"/>
      <c r="BK186" s="52"/>
      <c r="BL186" s="52"/>
      <c r="BM186" s="54"/>
    </row>
    <row r="187">
      <c r="A187" s="42" t="s">
        <v>958</v>
      </c>
      <c r="B187" s="52"/>
      <c r="C187" s="52"/>
      <c r="D187" s="52"/>
      <c r="E187" s="52"/>
      <c r="F187" s="81"/>
      <c r="G187" s="57"/>
      <c r="H187" s="48">
        <f t="shared" si="1"/>
        <v>1455.625</v>
      </c>
      <c r="I187" s="77"/>
      <c r="J187" s="62"/>
      <c r="K187" s="52"/>
      <c r="L187" s="52"/>
      <c r="M187" s="76"/>
      <c r="N187" s="52">
        <f t="shared" si="17"/>
        <v>0</v>
      </c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62"/>
      <c r="AB187" s="52"/>
      <c r="AC187" s="53">
        <f t="shared" si="5"/>
        <v>0</v>
      </c>
      <c r="AD187" s="52"/>
      <c r="AE187" s="53">
        <f t="shared" si="11"/>
        <v>0</v>
      </c>
      <c r="AF187" s="53">
        <f t="shared" si="3"/>
        <v>0</v>
      </c>
      <c r="AG187" s="52"/>
      <c r="AH187" s="48"/>
      <c r="AI187" s="48"/>
      <c r="AJ187" s="48"/>
      <c r="AK187" s="53"/>
      <c r="AL187" s="53"/>
      <c r="AM187" s="53"/>
      <c r="AN187" s="53"/>
      <c r="AO187" s="53"/>
      <c r="AP187" s="53"/>
      <c r="AQ187" s="53"/>
      <c r="AR187" s="53"/>
      <c r="AS187" s="53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52"/>
      <c r="BG187" s="52"/>
      <c r="BH187" s="52"/>
      <c r="BI187" s="52"/>
      <c r="BJ187" s="52"/>
      <c r="BK187" s="52"/>
      <c r="BL187" s="52"/>
      <c r="BM187" s="54"/>
    </row>
    <row r="188">
      <c r="A188" s="42" t="s">
        <v>959</v>
      </c>
      <c r="B188" s="52"/>
      <c r="C188" s="52"/>
      <c r="D188" s="52"/>
      <c r="E188" s="52"/>
      <c r="F188" s="81"/>
      <c r="G188" s="57"/>
      <c r="H188" s="48">
        <f t="shared" si="1"/>
        <v>1455.625</v>
      </c>
      <c r="I188" s="77"/>
      <c r="J188" s="62"/>
      <c r="K188" s="52"/>
      <c r="L188" s="52"/>
      <c r="M188" s="76"/>
      <c r="N188" s="52">
        <f t="shared" si="17"/>
        <v>0</v>
      </c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62"/>
      <c r="AB188" s="52"/>
      <c r="AC188" s="53">
        <f t="shared" si="5"/>
        <v>0</v>
      </c>
      <c r="AD188" s="52"/>
      <c r="AE188" s="53">
        <f t="shared" si="11"/>
        <v>0</v>
      </c>
      <c r="AF188" s="53">
        <f t="shared" si="3"/>
        <v>0</v>
      </c>
      <c r="AG188" s="52"/>
      <c r="AH188" s="48"/>
      <c r="AI188" s="48"/>
      <c r="AJ188" s="48"/>
      <c r="AK188" s="53"/>
      <c r="AL188" s="53"/>
      <c r="AM188" s="53"/>
      <c r="AN188" s="53"/>
      <c r="AO188" s="53"/>
      <c r="AP188" s="53"/>
      <c r="AQ188" s="53"/>
      <c r="AR188" s="53"/>
      <c r="AS188" s="53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52"/>
      <c r="BG188" s="52"/>
      <c r="BH188" s="52"/>
      <c r="BI188" s="52"/>
      <c r="BJ188" s="52"/>
      <c r="BK188" s="52"/>
      <c r="BL188" s="52"/>
      <c r="BM188" s="54"/>
    </row>
    <row r="189">
      <c r="A189" s="42" t="s">
        <v>960</v>
      </c>
      <c r="B189" s="52"/>
      <c r="C189" s="52"/>
      <c r="D189" s="52"/>
      <c r="E189" s="52"/>
      <c r="F189" s="81"/>
      <c r="G189" s="57"/>
      <c r="H189" s="48">
        <f t="shared" si="1"/>
        <v>1455.625</v>
      </c>
      <c r="I189" s="77"/>
      <c r="J189" s="62"/>
      <c r="K189" s="52"/>
      <c r="L189" s="52"/>
      <c r="M189" s="76"/>
      <c r="N189" s="52">
        <f t="shared" si="17"/>
        <v>0</v>
      </c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62"/>
      <c r="AB189" s="52"/>
      <c r="AC189" s="53">
        <f t="shared" si="5"/>
        <v>0</v>
      </c>
      <c r="AD189" s="52"/>
      <c r="AE189" s="53">
        <f t="shared" si="11"/>
        <v>0</v>
      </c>
      <c r="AF189" s="53">
        <f t="shared" si="3"/>
        <v>0</v>
      </c>
      <c r="AG189" s="52"/>
      <c r="AH189" s="48"/>
      <c r="AI189" s="48"/>
      <c r="AJ189" s="48"/>
      <c r="AK189" s="53"/>
      <c r="AL189" s="53"/>
      <c r="AM189" s="53"/>
      <c r="AN189" s="53"/>
      <c r="AO189" s="53"/>
      <c r="AP189" s="53"/>
      <c r="AQ189" s="53"/>
      <c r="AR189" s="53"/>
      <c r="AS189" s="53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52"/>
      <c r="BG189" s="52"/>
      <c r="BH189" s="52"/>
      <c r="BI189" s="52"/>
      <c r="BJ189" s="52"/>
      <c r="BK189" s="52"/>
      <c r="BL189" s="52"/>
      <c r="BM189" s="54"/>
    </row>
    <row r="190">
      <c r="A190" s="42" t="s">
        <v>961</v>
      </c>
      <c r="B190" s="52"/>
      <c r="C190" s="52"/>
      <c r="D190" s="52"/>
      <c r="E190" s="52"/>
      <c r="F190" s="81"/>
      <c r="G190" s="57"/>
      <c r="H190" s="48">
        <f t="shared" si="1"/>
        <v>1455.625</v>
      </c>
      <c r="I190" s="77"/>
      <c r="J190" s="62"/>
      <c r="K190" s="52"/>
      <c r="L190" s="52"/>
      <c r="M190" s="76"/>
      <c r="N190" s="52">
        <f t="shared" si="17"/>
        <v>0</v>
      </c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62"/>
      <c r="AB190" s="52"/>
      <c r="AC190" s="53">
        <f t="shared" si="5"/>
        <v>0</v>
      </c>
      <c r="AD190" s="52"/>
      <c r="AE190" s="53">
        <f t="shared" si="11"/>
        <v>0</v>
      </c>
      <c r="AF190" s="53">
        <f t="shared" si="3"/>
        <v>0</v>
      </c>
      <c r="AG190" s="52"/>
      <c r="AH190" s="48"/>
      <c r="AI190" s="48"/>
      <c r="AJ190" s="48"/>
      <c r="AK190" s="53"/>
      <c r="AL190" s="53"/>
      <c r="AM190" s="53"/>
      <c r="AN190" s="53"/>
      <c r="AO190" s="53"/>
      <c r="AP190" s="53"/>
      <c r="AQ190" s="53"/>
      <c r="AR190" s="53"/>
      <c r="AS190" s="53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52"/>
      <c r="BG190" s="52"/>
      <c r="BH190" s="52"/>
      <c r="BI190" s="52"/>
      <c r="BJ190" s="52"/>
      <c r="BK190" s="52"/>
      <c r="BL190" s="52"/>
      <c r="BM190" s="54"/>
    </row>
    <row r="191">
      <c r="A191" s="42" t="s">
        <v>962</v>
      </c>
      <c r="B191" s="52"/>
      <c r="C191" s="52"/>
      <c r="D191" s="52"/>
      <c r="E191" s="52"/>
      <c r="F191" s="81"/>
      <c r="G191" s="57"/>
      <c r="H191" s="48">
        <f t="shared" si="1"/>
        <v>1455.625</v>
      </c>
      <c r="I191" s="77"/>
      <c r="J191" s="62"/>
      <c r="K191" s="52"/>
      <c r="L191" s="52"/>
      <c r="M191" s="76"/>
      <c r="N191" s="52">
        <f t="shared" si="17"/>
        <v>0</v>
      </c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62"/>
      <c r="AB191" s="52"/>
      <c r="AC191" s="53">
        <f t="shared" si="5"/>
        <v>0</v>
      </c>
      <c r="AD191" s="52"/>
      <c r="AE191" s="53">
        <f t="shared" si="11"/>
        <v>0</v>
      </c>
      <c r="AF191" s="53">
        <f t="shared" si="3"/>
        <v>0</v>
      </c>
      <c r="AG191" s="52"/>
      <c r="AH191" s="48"/>
      <c r="AI191" s="48"/>
      <c r="AJ191" s="48"/>
      <c r="AK191" s="53"/>
      <c r="AL191" s="53"/>
      <c r="AM191" s="53"/>
      <c r="AN191" s="53"/>
      <c r="AO191" s="53"/>
      <c r="AP191" s="53"/>
      <c r="AQ191" s="53"/>
      <c r="AR191" s="53"/>
      <c r="AS191" s="53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52"/>
      <c r="BG191" s="52"/>
      <c r="BH191" s="52"/>
      <c r="BI191" s="52"/>
      <c r="BJ191" s="52"/>
      <c r="BK191" s="52"/>
      <c r="BL191" s="52"/>
      <c r="BM191" s="54"/>
    </row>
    <row r="192">
      <c r="A192" s="42" t="s">
        <v>963</v>
      </c>
      <c r="B192" s="52"/>
      <c r="C192" s="52"/>
      <c r="D192" s="52"/>
      <c r="E192" s="52"/>
      <c r="F192" s="81"/>
      <c r="G192" s="57"/>
      <c r="H192" s="48">
        <f t="shared" si="1"/>
        <v>1455.625</v>
      </c>
      <c r="I192" s="77"/>
      <c r="J192" s="62"/>
      <c r="K192" s="52"/>
      <c r="L192" s="52"/>
      <c r="M192" s="76"/>
      <c r="N192" s="52">
        <f t="shared" si="17"/>
        <v>0</v>
      </c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62"/>
      <c r="AB192" s="52"/>
      <c r="AC192" s="53">
        <f t="shared" si="5"/>
        <v>0</v>
      </c>
      <c r="AD192" s="52"/>
      <c r="AE192" s="53">
        <f t="shared" si="11"/>
        <v>0</v>
      </c>
      <c r="AF192" s="53">
        <f t="shared" si="3"/>
        <v>0</v>
      </c>
      <c r="AG192" s="52"/>
      <c r="AH192" s="48"/>
      <c r="AI192" s="48"/>
      <c r="AJ192" s="48"/>
      <c r="AK192" s="53"/>
      <c r="AL192" s="53"/>
      <c r="AM192" s="53"/>
      <c r="AN192" s="53"/>
      <c r="AO192" s="53"/>
      <c r="AP192" s="53"/>
      <c r="AQ192" s="53"/>
      <c r="AR192" s="53"/>
      <c r="AS192" s="53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52"/>
      <c r="BG192" s="52"/>
      <c r="BH192" s="52"/>
      <c r="BI192" s="52"/>
      <c r="BJ192" s="52"/>
      <c r="BK192" s="52"/>
      <c r="BL192" s="52"/>
      <c r="BM192" s="54"/>
    </row>
    <row r="193">
      <c r="A193" s="42" t="s">
        <v>964</v>
      </c>
      <c r="B193" s="52"/>
      <c r="C193" s="52"/>
      <c r="D193" s="52"/>
      <c r="E193" s="52"/>
      <c r="F193" s="81"/>
      <c r="G193" s="57"/>
      <c r="H193" s="48">
        <f t="shared" si="1"/>
        <v>1455.625</v>
      </c>
      <c r="I193" s="77"/>
      <c r="J193" s="62"/>
      <c r="K193" s="52"/>
      <c r="L193" s="52"/>
      <c r="M193" s="76"/>
      <c r="N193" s="52">
        <f t="shared" si="17"/>
        <v>0</v>
      </c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62"/>
      <c r="AB193" s="52"/>
      <c r="AC193" s="53">
        <f t="shared" si="5"/>
        <v>0</v>
      </c>
      <c r="AD193" s="52"/>
      <c r="AE193" s="53">
        <f t="shared" si="11"/>
        <v>0</v>
      </c>
      <c r="AF193" s="53">
        <f t="shared" si="3"/>
        <v>0</v>
      </c>
      <c r="AG193" s="52"/>
      <c r="AH193" s="48"/>
      <c r="AI193" s="48"/>
      <c r="AJ193" s="48"/>
      <c r="AK193" s="53"/>
      <c r="AL193" s="53"/>
      <c r="AM193" s="53"/>
      <c r="AN193" s="53"/>
      <c r="AO193" s="53"/>
      <c r="AP193" s="53"/>
      <c r="AQ193" s="53"/>
      <c r="AR193" s="53"/>
      <c r="AS193" s="53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52"/>
      <c r="BG193" s="52"/>
      <c r="BH193" s="52"/>
      <c r="BI193" s="52"/>
      <c r="BJ193" s="52"/>
      <c r="BK193" s="52"/>
      <c r="BL193" s="52"/>
      <c r="BM193" s="54"/>
    </row>
    <row r="194">
      <c r="A194" s="42" t="s">
        <v>965</v>
      </c>
      <c r="B194" s="52"/>
      <c r="C194" s="52"/>
      <c r="D194" s="52"/>
      <c r="E194" s="52"/>
      <c r="F194" s="81"/>
      <c r="G194" s="57"/>
      <c r="H194" s="48">
        <f t="shared" si="1"/>
        <v>1455.625</v>
      </c>
      <c r="I194" s="77"/>
      <c r="J194" s="62"/>
      <c r="K194" s="52"/>
      <c r="L194" s="52"/>
      <c r="M194" s="76"/>
      <c r="N194" s="52">
        <f t="shared" si="17"/>
        <v>0</v>
      </c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62"/>
      <c r="AB194" s="52"/>
      <c r="AC194" s="53">
        <f t="shared" si="5"/>
        <v>0</v>
      </c>
      <c r="AD194" s="52"/>
      <c r="AE194" s="53">
        <f t="shared" si="11"/>
        <v>0</v>
      </c>
      <c r="AF194" s="53">
        <f t="shared" si="3"/>
        <v>0</v>
      </c>
      <c r="AG194" s="52"/>
      <c r="AH194" s="48"/>
      <c r="AI194" s="48"/>
      <c r="AJ194" s="48"/>
      <c r="AK194" s="53"/>
      <c r="AL194" s="53"/>
      <c r="AM194" s="53"/>
      <c r="AN194" s="53"/>
      <c r="AO194" s="53"/>
      <c r="AP194" s="53"/>
      <c r="AQ194" s="53"/>
      <c r="AR194" s="53"/>
      <c r="AS194" s="53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52"/>
      <c r="BG194" s="52"/>
      <c r="BH194" s="52"/>
      <c r="BI194" s="52"/>
      <c r="BJ194" s="52"/>
      <c r="BK194" s="52"/>
      <c r="BL194" s="52"/>
      <c r="BM194" s="54"/>
    </row>
    <row r="195">
      <c r="A195" s="42" t="s">
        <v>966</v>
      </c>
      <c r="B195" s="52"/>
      <c r="C195" s="52"/>
      <c r="D195" s="52"/>
      <c r="E195" s="52"/>
      <c r="F195" s="81"/>
      <c r="G195" s="57"/>
      <c r="H195" s="48">
        <f t="shared" si="1"/>
        <v>1455.625</v>
      </c>
      <c r="I195" s="77"/>
      <c r="J195" s="62"/>
      <c r="K195" s="52"/>
      <c r="L195" s="52"/>
      <c r="M195" s="76"/>
      <c r="N195" s="52">
        <f t="shared" si="17"/>
        <v>0</v>
      </c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62"/>
      <c r="AB195" s="52"/>
      <c r="AC195" s="53">
        <f t="shared" si="5"/>
        <v>0</v>
      </c>
      <c r="AD195" s="52"/>
      <c r="AE195" s="53">
        <f t="shared" si="11"/>
        <v>0</v>
      </c>
      <c r="AF195" s="53">
        <f t="shared" si="3"/>
        <v>0</v>
      </c>
      <c r="AG195" s="52"/>
      <c r="AH195" s="48"/>
      <c r="AI195" s="48"/>
      <c r="AJ195" s="48"/>
      <c r="AK195" s="53"/>
      <c r="AL195" s="53"/>
      <c r="AM195" s="53"/>
      <c r="AN195" s="53"/>
      <c r="AO195" s="53"/>
      <c r="AP195" s="53"/>
      <c r="AQ195" s="53"/>
      <c r="AR195" s="53"/>
      <c r="AS195" s="53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52"/>
      <c r="BG195" s="52"/>
      <c r="BH195" s="52"/>
      <c r="BI195" s="52"/>
      <c r="BJ195" s="52"/>
      <c r="BK195" s="52"/>
      <c r="BL195" s="52"/>
      <c r="BM195" s="54"/>
    </row>
    <row r="196">
      <c r="A196" s="42" t="s">
        <v>967</v>
      </c>
      <c r="B196" s="52"/>
      <c r="C196" s="52"/>
      <c r="D196" s="52"/>
      <c r="E196" s="52"/>
      <c r="F196" s="81"/>
      <c r="G196" s="57"/>
      <c r="H196" s="48">
        <f t="shared" si="1"/>
        <v>1455.625</v>
      </c>
      <c r="I196" s="77"/>
      <c r="J196" s="62"/>
      <c r="K196" s="52"/>
      <c r="L196" s="52"/>
      <c r="M196" s="76"/>
      <c r="N196" s="52">
        <f t="shared" si="17"/>
        <v>0</v>
      </c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62"/>
      <c r="AB196" s="52"/>
      <c r="AC196" s="53">
        <f t="shared" si="5"/>
        <v>0</v>
      </c>
      <c r="AD196" s="52"/>
      <c r="AE196" s="53">
        <f t="shared" si="11"/>
        <v>0</v>
      </c>
      <c r="AF196" s="53">
        <f t="shared" si="3"/>
        <v>0</v>
      </c>
      <c r="AG196" s="52"/>
      <c r="AH196" s="48"/>
      <c r="AI196" s="48"/>
      <c r="AJ196" s="48"/>
      <c r="AK196" s="53"/>
      <c r="AL196" s="53"/>
      <c r="AM196" s="53"/>
      <c r="AN196" s="53"/>
      <c r="AO196" s="53"/>
      <c r="AP196" s="53"/>
      <c r="AQ196" s="53"/>
      <c r="AR196" s="53"/>
      <c r="AS196" s="53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52"/>
      <c r="BG196" s="52"/>
      <c r="BH196" s="52"/>
      <c r="BI196" s="52"/>
      <c r="BJ196" s="52"/>
      <c r="BK196" s="52"/>
      <c r="BL196" s="52"/>
      <c r="BM196" s="54"/>
    </row>
    <row r="197">
      <c r="A197" s="42" t="s">
        <v>968</v>
      </c>
      <c r="B197" s="52"/>
      <c r="C197" s="52"/>
      <c r="D197" s="52"/>
      <c r="E197" s="52"/>
      <c r="F197" s="81"/>
      <c r="G197" s="57"/>
      <c r="H197" s="48">
        <f t="shared" si="1"/>
        <v>1455.625</v>
      </c>
      <c r="I197" s="77"/>
      <c r="J197" s="62"/>
      <c r="K197" s="52"/>
      <c r="L197" s="52"/>
      <c r="M197" s="76"/>
      <c r="N197" s="52">
        <f t="shared" si="17"/>
        <v>0</v>
      </c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62"/>
      <c r="AB197" s="52"/>
      <c r="AC197" s="53">
        <f t="shared" si="5"/>
        <v>0</v>
      </c>
      <c r="AD197" s="52"/>
      <c r="AE197" s="53">
        <f t="shared" si="11"/>
        <v>0</v>
      </c>
      <c r="AF197" s="53">
        <f t="shared" si="3"/>
        <v>0</v>
      </c>
      <c r="AG197" s="52"/>
      <c r="AH197" s="48"/>
      <c r="AI197" s="48"/>
      <c r="AJ197" s="48"/>
      <c r="AK197" s="53"/>
      <c r="AL197" s="53"/>
      <c r="AM197" s="53"/>
      <c r="AN197" s="53"/>
      <c r="AO197" s="53"/>
      <c r="AP197" s="53"/>
      <c r="AQ197" s="53"/>
      <c r="AR197" s="53"/>
      <c r="AS197" s="53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52"/>
      <c r="BG197" s="52"/>
      <c r="BH197" s="52"/>
      <c r="BI197" s="52"/>
      <c r="BJ197" s="52"/>
      <c r="BK197" s="52"/>
      <c r="BL197" s="52"/>
      <c r="BM197" s="54"/>
    </row>
    <row r="198">
      <c r="A198" s="42" t="s">
        <v>969</v>
      </c>
      <c r="B198" s="52"/>
      <c r="C198" s="52"/>
      <c r="D198" s="52"/>
      <c r="E198" s="52"/>
      <c r="F198" s="81"/>
      <c r="G198" s="57"/>
      <c r="H198" s="48">
        <f t="shared" si="1"/>
        <v>1455.625</v>
      </c>
      <c r="I198" s="77"/>
      <c r="J198" s="62"/>
      <c r="K198" s="52"/>
      <c r="L198" s="52"/>
      <c r="M198" s="76"/>
      <c r="N198" s="52">
        <f t="shared" si="17"/>
        <v>0</v>
      </c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62"/>
      <c r="AB198" s="52"/>
      <c r="AC198" s="53">
        <f t="shared" si="5"/>
        <v>0</v>
      </c>
      <c r="AD198" s="52"/>
      <c r="AE198" s="53">
        <f t="shared" si="11"/>
        <v>0</v>
      </c>
      <c r="AF198" s="53">
        <f t="shared" si="3"/>
        <v>0</v>
      </c>
      <c r="AG198" s="52"/>
      <c r="AH198" s="48"/>
      <c r="AI198" s="48"/>
      <c r="AJ198" s="48"/>
      <c r="AK198" s="53"/>
      <c r="AL198" s="53"/>
      <c r="AM198" s="53"/>
      <c r="AN198" s="53"/>
      <c r="AO198" s="53"/>
      <c r="AP198" s="53"/>
      <c r="AQ198" s="53"/>
      <c r="AR198" s="53"/>
      <c r="AS198" s="53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52"/>
      <c r="BG198" s="52"/>
      <c r="BH198" s="52"/>
      <c r="BI198" s="52"/>
      <c r="BJ198" s="52"/>
      <c r="BK198" s="52"/>
      <c r="BL198" s="52"/>
      <c r="BM198" s="54"/>
    </row>
    <row r="199">
      <c r="A199" s="42" t="s">
        <v>970</v>
      </c>
      <c r="B199" s="52"/>
      <c r="C199" s="52"/>
      <c r="D199" s="52"/>
      <c r="E199" s="52"/>
      <c r="F199" s="81"/>
      <c r="G199" s="57"/>
      <c r="H199" s="48">
        <f t="shared" si="1"/>
        <v>1455.625</v>
      </c>
      <c r="I199" s="77"/>
      <c r="J199" s="62"/>
      <c r="K199" s="52"/>
      <c r="L199" s="52"/>
      <c r="M199" s="76"/>
      <c r="N199" s="52">
        <f t="shared" si="17"/>
        <v>0</v>
      </c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62"/>
      <c r="AB199" s="52"/>
      <c r="AC199" s="53">
        <f t="shared" si="5"/>
        <v>0</v>
      </c>
      <c r="AD199" s="52"/>
      <c r="AE199" s="53">
        <f t="shared" si="11"/>
        <v>0</v>
      </c>
      <c r="AF199" s="53">
        <f t="shared" si="3"/>
        <v>0</v>
      </c>
      <c r="AG199" s="52"/>
      <c r="AH199" s="48"/>
      <c r="AI199" s="48"/>
      <c r="AJ199" s="48"/>
      <c r="AK199" s="53"/>
      <c r="AL199" s="53"/>
      <c r="AM199" s="53"/>
      <c r="AN199" s="53"/>
      <c r="AO199" s="53"/>
      <c r="AP199" s="53"/>
      <c r="AQ199" s="53"/>
      <c r="AR199" s="53"/>
      <c r="AS199" s="53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52"/>
      <c r="BG199" s="52"/>
      <c r="BH199" s="52"/>
      <c r="BI199" s="52"/>
      <c r="BJ199" s="52"/>
      <c r="BK199" s="52"/>
      <c r="BL199" s="52"/>
      <c r="BM199" s="54"/>
    </row>
    <row r="200">
      <c r="A200" s="42" t="s">
        <v>971</v>
      </c>
      <c r="B200" s="52"/>
      <c r="C200" s="52"/>
      <c r="D200" s="52"/>
      <c r="E200" s="52"/>
      <c r="F200" s="81"/>
      <c r="G200" s="57"/>
      <c r="H200" s="48">
        <f t="shared" si="1"/>
        <v>1455.625</v>
      </c>
      <c r="I200" s="77"/>
      <c r="J200" s="62"/>
      <c r="K200" s="52"/>
      <c r="L200" s="52"/>
      <c r="M200" s="76"/>
      <c r="N200" s="52">
        <f t="shared" si="17"/>
        <v>0</v>
      </c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62"/>
      <c r="AB200" s="52"/>
      <c r="AC200" s="53">
        <f t="shared" si="5"/>
        <v>0</v>
      </c>
      <c r="AD200" s="52"/>
      <c r="AE200" s="53">
        <f t="shared" si="11"/>
        <v>0</v>
      </c>
      <c r="AF200" s="53">
        <f t="shared" si="3"/>
        <v>0</v>
      </c>
      <c r="AG200" s="52"/>
      <c r="AH200" s="48"/>
      <c r="AI200" s="48"/>
      <c r="AJ200" s="48"/>
      <c r="AK200" s="53"/>
      <c r="AL200" s="53"/>
      <c r="AM200" s="53"/>
      <c r="AN200" s="53"/>
      <c r="AO200" s="53"/>
      <c r="AP200" s="53"/>
      <c r="AQ200" s="53"/>
      <c r="AR200" s="53"/>
      <c r="AS200" s="53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52"/>
      <c r="BG200" s="52"/>
      <c r="BH200" s="52"/>
      <c r="BI200" s="52"/>
      <c r="BJ200" s="52"/>
      <c r="BK200" s="52"/>
      <c r="BL200" s="52"/>
      <c r="BM200" s="54"/>
    </row>
    <row r="201">
      <c r="A201" s="42" t="s">
        <v>972</v>
      </c>
      <c r="B201" s="52"/>
      <c r="C201" s="52"/>
      <c r="D201" s="52"/>
      <c r="E201" s="52"/>
      <c r="F201" s="81"/>
      <c r="G201" s="57"/>
      <c r="H201" s="48">
        <f t="shared" si="1"/>
        <v>1455.625</v>
      </c>
      <c r="I201" s="77"/>
      <c r="J201" s="62"/>
      <c r="K201" s="52"/>
      <c r="L201" s="52"/>
      <c r="M201" s="76"/>
      <c r="N201" s="52">
        <f t="shared" si="17"/>
        <v>0</v>
      </c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62"/>
      <c r="AB201" s="52"/>
      <c r="AC201" s="53">
        <f t="shared" si="5"/>
        <v>0</v>
      </c>
      <c r="AD201" s="52"/>
      <c r="AE201" s="53">
        <f t="shared" si="11"/>
        <v>0</v>
      </c>
      <c r="AF201" s="53">
        <f t="shared" si="3"/>
        <v>0</v>
      </c>
      <c r="AG201" s="52"/>
      <c r="AH201" s="48"/>
      <c r="AI201" s="48"/>
      <c r="AJ201" s="48"/>
      <c r="AK201" s="53"/>
      <c r="AL201" s="53"/>
      <c r="AM201" s="53"/>
      <c r="AN201" s="53"/>
      <c r="AO201" s="53"/>
      <c r="AP201" s="53"/>
      <c r="AQ201" s="53"/>
      <c r="AR201" s="53"/>
      <c r="AS201" s="53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52"/>
      <c r="BG201" s="52"/>
      <c r="BH201" s="52"/>
      <c r="BI201" s="52"/>
      <c r="BJ201" s="52"/>
      <c r="BK201" s="52"/>
      <c r="BL201" s="52"/>
      <c r="BM201" s="54"/>
    </row>
    <row r="202">
      <c r="A202" s="42" t="s">
        <v>973</v>
      </c>
      <c r="B202" s="52"/>
      <c r="C202" s="52"/>
      <c r="D202" s="52"/>
      <c r="E202" s="52"/>
      <c r="F202" s="81"/>
      <c r="G202" s="57"/>
      <c r="H202" s="48">
        <f t="shared" si="1"/>
        <v>1455.625</v>
      </c>
      <c r="I202" s="77"/>
      <c r="J202" s="62"/>
      <c r="K202" s="52"/>
      <c r="L202" s="52"/>
      <c r="M202" s="76"/>
      <c r="N202" s="52">
        <f t="shared" si="17"/>
        <v>0</v>
      </c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62"/>
      <c r="AB202" s="52"/>
      <c r="AC202" s="53">
        <f t="shared" si="5"/>
        <v>0</v>
      </c>
      <c r="AD202" s="52"/>
      <c r="AE202" s="53">
        <f t="shared" si="11"/>
        <v>0</v>
      </c>
      <c r="AF202" s="53">
        <f t="shared" si="3"/>
        <v>0</v>
      </c>
      <c r="AG202" s="52"/>
      <c r="AH202" s="48"/>
      <c r="AI202" s="48"/>
      <c r="AJ202" s="48"/>
      <c r="AK202" s="53"/>
      <c r="AL202" s="53"/>
      <c r="AM202" s="53"/>
      <c r="AN202" s="53"/>
      <c r="AO202" s="53"/>
      <c r="AP202" s="53"/>
      <c r="AQ202" s="53"/>
      <c r="AR202" s="53"/>
      <c r="AS202" s="53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52"/>
      <c r="BG202" s="52"/>
      <c r="BH202" s="52"/>
      <c r="BI202" s="52"/>
      <c r="BJ202" s="52"/>
      <c r="BK202" s="52"/>
      <c r="BL202" s="52"/>
      <c r="BM202" s="54"/>
    </row>
    <row r="203">
      <c r="A203" s="42" t="s">
        <v>974</v>
      </c>
      <c r="B203" s="52"/>
      <c r="C203" s="52"/>
      <c r="D203" s="52"/>
      <c r="E203" s="52"/>
      <c r="F203" s="81"/>
      <c r="G203" s="57"/>
      <c r="H203" s="48">
        <f t="shared" si="1"/>
        <v>1455.625</v>
      </c>
      <c r="I203" s="77"/>
      <c r="J203" s="62"/>
      <c r="K203" s="52"/>
      <c r="L203" s="52"/>
      <c r="M203" s="76"/>
      <c r="N203" s="52">
        <f t="shared" si="17"/>
        <v>0</v>
      </c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62"/>
      <c r="AB203" s="52"/>
      <c r="AC203" s="53">
        <f t="shared" si="5"/>
        <v>0</v>
      </c>
      <c r="AD203" s="52"/>
      <c r="AE203" s="53">
        <f t="shared" si="11"/>
        <v>0</v>
      </c>
      <c r="AF203" s="53">
        <f t="shared" si="3"/>
        <v>0</v>
      </c>
      <c r="AG203" s="52"/>
      <c r="AH203" s="48"/>
      <c r="AI203" s="48"/>
      <c r="AJ203" s="48"/>
      <c r="AK203" s="53"/>
      <c r="AL203" s="53"/>
      <c r="AM203" s="53"/>
      <c r="AN203" s="53"/>
      <c r="AO203" s="53"/>
      <c r="AP203" s="53"/>
      <c r="AQ203" s="53"/>
      <c r="AR203" s="53"/>
      <c r="AS203" s="53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52"/>
      <c r="BG203" s="52"/>
      <c r="BH203" s="52"/>
      <c r="BI203" s="52"/>
      <c r="BJ203" s="52"/>
      <c r="BK203" s="52"/>
      <c r="BL203" s="52"/>
      <c r="BM203" s="54"/>
    </row>
    <row r="204">
      <c r="A204" s="42" t="s">
        <v>975</v>
      </c>
      <c r="B204" s="52"/>
      <c r="C204" s="52"/>
      <c r="D204" s="52"/>
      <c r="E204" s="52"/>
      <c r="F204" s="81"/>
      <c r="G204" s="57"/>
      <c r="H204" s="48">
        <f t="shared" si="1"/>
        <v>1455.625</v>
      </c>
      <c r="I204" s="77"/>
      <c r="J204" s="62"/>
      <c r="K204" s="52"/>
      <c r="L204" s="52"/>
      <c r="M204" s="76"/>
      <c r="N204" s="52">
        <f t="shared" si="17"/>
        <v>0</v>
      </c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62"/>
      <c r="AB204" s="52"/>
      <c r="AC204" s="53">
        <f t="shared" si="5"/>
        <v>0</v>
      </c>
      <c r="AD204" s="52"/>
      <c r="AE204" s="53">
        <f t="shared" si="11"/>
        <v>0</v>
      </c>
      <c r="AF204" s="53">
        <f t="shared" si="3"/>
        <v>0</v>
      </c>
      <c r="AG204" s="52"/>
      <c r="AH204" s="48"/>
      <c r="AI204" s="48"/>
      <c r="AJ204" s="48"/>
      <c r="AK204" s="53"/>
      <c r="AL204" s="53"/>
      <c r="AM204" s="53"/>
      <c r="AN204" s="53"/>
      <c r="AO204" s="53"/>
      <c r="AP204" s="53"/>
      <c r="AQ204" s="53"/>
      <c r="AR204" s="53"/>
      <c r="AS204" s="53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52"/>
      <c r="BG204" s="52"/>
      <c r="BH204" s="52"/>
      <c r="BI204" s="52"/>
      <c r="BJ204" s="52"/>
      <c r="BK204" s="52"/>
      <c r="BL204" s="52"/>
      <c r="BM204" s="54"/>
    </row>
    <row r="205">
      <c r="A205" s="42" t="s">
        <v>976</v>
      </c>
      <c r="B205" s="52"/>
      <c r="C205" s="52"/>
      <c r="D205" s="52"/>
      <c r="E205" s="52"/>
      <c r="F205" s="81"/>
      <c r="G205" s="57"/>
      <c r="H205" s="48">
        <f t="shared" si="1"/>
        <v>1455.625</v>
      </c>
      <c r="I205" s="77"/>
      <c r="J205" s="62"/>
      <c r="K205" s="52"/>
      <c r="L205" s="52"/>
      <c r="M205" s="76"/>
      <c r="N205" s="52">
        <f t="shared" si="17"/>
        <v>0</v>
      </c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62"/>
      <c r="AB205" s="52"/>
      <c r="AC205" s="53">
        <f t="shared" si="5"/>
        <v>0</v>
      </c>
      <c r="AD205" s="52"/>
      <c r="AE205" s="53">
        <f t="shared" si="11"/>
        <v>0</v>
      </c>
      <c r="AF205" s="53">
        <f t="shared" si="3"/>
        <v>0</v>
      </c>
      <c r="AG205" s="52"/>
      <c r="AH205" s="48"/>
      <c r="AI205" s="48"/>
      <c r="AJ205" s="48"/>
      <c r="AK205" s="53"/>
      <c r="AL205" s="53"/>
      <c r="AM205" s="53"/>
      <c r="AN205" s="53"/>
      <c r="AO205" s="53"/>
      <c r="AP205" s="53"/>
      <c r="AQ205" s="53"/>
      <c r="AR205" s="53"/>
      <c r="AS205" s="53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52"/>
      <c r="BG205" s="52"/>
      <c r="BH205" s="52"/>
      <c r="BI205" s="52"/>
      <c r="BJ205" s="52"/>
      <c r="BK205" s="52"/>
      <c r="BL205" s="52"/>
      <c r="BM205" s="54"/>
    </row>
    <row r="206">
      <c r="A206" s="42" t="s">
        <v>977</v>
      </c>
      <c r="B206" s="52"/>
      <c r="C206" s="52"/>
      <c r="D206" s="52"/>
      <c r="E206" s="52"/>
      <c r="F206" s="81"/>
      <c r="G206" s="57"/>
      <c r="H206" s="48">
        <f t="shared" si="1"/>
        <v>1455.625</v>
      </c>
      <c r="I206" s="77"/>
      <c r="J206" s="62"/>
      <c r="K206" s="52"/>
      <c r="L206" s="52"/>
      <c r="M206" s="76"/>
      <c r="N206" s="52">
        <f t="shared" si="17"/>
        <v>0</v>
      </c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62"/>
      <c r="AB206" s="52"/>
      <c r="AC206" s="53">
        <f t="shared" si="5"/>
        <v>0</v>
      </c>
      <c r="AD206" s="52"/>
      <c r="AE206" s="53">
        <f t="shared" si="11"/>
        <v>0</v>
      </c>
      <c r="AF206" s="53">
        <f t="shared" si="3"/>
        <v>0</v>
      </c>
      <c r="AG206" s="52"/>
      <c r="AH206" s="48"/>
      <c r="AI206" s="48"/>
      <c r="AJ206" s="48"/>
      <c r="AK206" s="53"/>
      <c r="AL206" s="53"/>
      <c r="AM206" s="53"/>
      <c r="AN206" s="53"/>
      <c r="AO206" s="53"/>
      <c r="AP206" s="53"/>
      <c r="AQ206" s="53"/>
      <c r="AR206" s="53"/>
      <c r="AS206" s="53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52"/>
      <c r="BG206" s="52"/>
      <c r="BH206" s="52"/>
      <c r="BI206" s="52"/>
      <c r="BJ206" s="52"/>
      <c r="BK206" s="52"/>
      <c r="BL206" s="52"/>
      <c r="BM206" s="54"/>
    </row>
    <row r="207">
      <c r="A207" s="42" t="s">
        <v>978</v>
      </c>
      <c r="B207" s="52"/>
      <c r="C207" s="52"/>
      <c r="D207" s="52"/>
      <c r="E207" s="52"/>
      <c r="F207" s="81"/>
      <c r="G207" s="57"/>
      <c r="H207" s="48">
        <f t="shared" si="1"/>
        <v>1455.625</v>
      </c>
      <c r="I207" s="77"/>
      <c r="J207" s="62"/>
      <c r="K207" s="52"/>
      <c r="L207" s="52"/>
      <c r="M207" s="76"/>
      <c r="N207" s="52">
        <f t="shared" si="17"/>
        <v>0</v>
      </c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62"/>
      <c r="AB207" s="52"/>
      <c r="AC207" s="53">
        <f t="shared" si="5"/>
        <v>0</v>
      </c>
      <c r="AD207" s="52"/>
      <c r="AE207" s="53">
        <f t="shared" si="11"/>
        <v>0</v>
      </c>
      <c r="AF207" s="53">
        <f t="shared" si="3"/>
        <v>0</v>
      </c>
      <c r="AG207" s="52"/>
      <c r="AH207" s="48"/>
      <c r="AI207" s="48"/>
      <c r="AJ207" s="48"/>
      <c r="AK207" s="53"/>
      <c r="AL207" s="53"/>
      <c r="AM207" s="53"/>
      <c r="AN207" s="53"/>
      <c r="AO207" s="53"/>
      <c r="AP207" s="53"/>
      <c r="AQ207" s="53"/>
      <c r="AR207" s="53"/>
      <c r="AS207" s="53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52"/>
      <c r="BG207" s="52"/>
      <c r="BH207" s="52"/>
      <c r="BI207" s="52"/>
      <c r="BJ207" s="52"/>
      <c r="BK207" s="52"/>
      <c r="BL207" s="52"/>
      <c r="BM207" s="54"/>
    </row>
    <row r="208">
      <c r="A208" s="42" t="s">
        <v>979</v>
      </c>
      <c r="B208" s="52"/>
      <c r="C208" s="52"/>
      <c r="D208" s="52"/>
      <c r="E208" s="52"/>
      <c r="F208" s="81"/>
      <c r="G208" s="57"/>
      <c r="H208" s="48">
        <f t="shared" si="1"/>
        <v>1455.625</v>
      </c>
      <c r="I208" s="77"/>
      <c r="J208" s="62"/>
      <c r="K208" s="52"/>
      <c r="L208" s="52"/>
      <c r="M208" s="76"/>
      <c r="N208" s="52">
        <f t="shared" si="17"/>
        <v>0</v>
      </c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62"/>
      <c r="AB208" s="52"/>
      <c r="AC208" s="53">
        <f t="shared" si="5"/>
        <v>0</v>
      </c>
      <c r="AD208" s="52"/>
      <c r="AE208" s="53">
        <f t="shared" si="11"/>
        <v>0</v>
      </c>
      <c r="AF208" s="53">
        <f t="shared" si="3"/>
        <v>0</v>
      </c>
      <c r="AG208" s="52"/>
      <c r="AH208" s="48"/>
      <c r="AI208" s="48"/>
      <c r="AJ208" s="48"/>
      <c r="AK208" s="53"/>
      <c r="AL208" s="53"/>
      <c r="AM208" s="53"/>
      <c r="AN208" s="53"/>
      <c r="AO208" s="53"/>
      <c r="AP208" s="53"/>
      <c r="AQ208" s="53"/>
      <c r="AR208" s="53"/>
      <c r="AS208" s="53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52"/>
      <c r="BG208" s="52"/>
      <c r="BH208" s="52"/>
      <c r="BI208" s="52"/>
      <c r="BJ208" s="52"/>
      <c r="BK208" s="52"/>
      <c r="BL208" s="52"/>
      <c r="BM208" s="54"/>
    </row>
    <row r="209">
      <c r="A209" s="42" t="s">
        <v>980</v>
      </c>
      <c r="B209" s="52"/>
      <c r="C209" s="52"/>
      <c r="D209" s="52"/>
      <c r="E209" s="52"/>
      <c r="F209" s="81"/>
      <c r="G209" s="57"/>
      <c r="H209" s="48">
        <f t="shared" si="1"/>
        <v>1455.625</v>
      </c>
      <c r="I209" s="77"/>
      <c r="J209" s="62"/>
      <c r="K209" s="52"/>
      <c r="L209" s="52"/>
      <c r="M209" s="76"/>
      <c r="N209" s="52">
        <f t="shared" si="17"/>
        <v>0</v>
      </c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62"/>
      <c r="AB209" s="52"/>
      <c r="AC209" s="53">
        <f t="shared" si="5"/>
        <v>0</v>
      </c>
      <c r="AD209" s="52"/>
      <c r="AE209" s="53">
        <f t="shared" si="11"/>
        <v>0</v>
      </c>
      <c r="AF209" s="53">
        <f t="shared" si="3"/>
        <v>0</v>
      </c>
      <c r="AG209" s="52"/>
      <c r="AH209" s="48"/>
      <c r="AI209" s="48"/>
      <c r="AJ209" s="48"/>
      <c r="AK209" s="53"/>
      <c r="AL209" s="53"/>
      <c r="AM209" s="53"/>
      <c r="AN209" s="53"/>
      <c r="AO209" s="53"/>
      <c r="AP209" s="53"/>
      <c r="AQ209" s="53"/>
      <c r="AR209" s="53"/>
      <c r="AS209" s="53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52"/>
      <c r="BG209" s="52"/>
      <c r="BH209" s="52"/>
      <c r="BI209" s="52"/>
      <c r="BJ209" s="52"/>
      <c r="BK209" s="52"/>
      <c r="BL209" s="52"/>
      <c r="BM209" s="54"/>
    </row>
    <row r="210">
      <c r="A210" s="42" t="s">
        <v>981</v>
      </c>
      <c r="B210" s="52"/>
      <c r="C210" s="52"/>
      <c r="D210" s="52"/>
      <c r="E210" s="52"/>
      <c r="F210" s="81"/>
      <c r="G210" s="57"/>
      <c r="H210" s="48">
        <f t="shared" si="1"/>
        <v>1455.625</v>
      </c>
      <c r="I210" s="77"/>
      <c r="J210" s="62"/>
      <c r="K210" s="52"/>
      <c r="L210" s="52"/>
      <c r="M210" s="76"/>
      <c r="N210" s="52">
        <f t="shared" si="17"/>
        <v>0</v>
      </c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62"/>
      <c r="AB210" s="52"/>
      <c r="AC210" s="53">
        <f t="shared" si="5"/>
        <v>0</v>
      </c>
      <c r="AD210" s="52"/>
      <c r="AE210" s="53">
        <f t="shared" si="11"/>
        <v>0</v>
      </c>
      <c r="AF210" s="53">
        <f t="shared" si="3"/>
        <v>0</v>
      </c>
      <c r="AG210" s="52"/>
      <c r="AH210" s="48"/>
      <c r="AI210" s="48"/>
      <c r="AJ210" s="48"/>
      <c r="AK210" s="53"/>
      <c r="AL210" s="53"/>
      <c r="AM210" s="53"/>
      <c r="AN210" s="53"/>
      <c r="AO210" s="53"/>
      <c r="AP210" s="53"/>
      <c r="AQ210" s="53"/>
      <c r="AR210" s="53"/>
      <c r="AS210" s="53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52"/>
      <c r="BG210" s="52"/>
      <c r="BH210" s="52"/>
      <c r="BI210" s="52"/>
      <c r="BJ210" s="52"/>
      <c r="BK210" s="52"/>
      <c r="BL210" s="52"/>
      <c r="BM210" s="54"/>
    </row>
    <row r="211">
      <c r="A211" s="42" t="s">
        <v>982</v>
      </c>
      <c r="B211" s="52"/>
      <c r="C211" s="52"/>
      <c r="D211" s="52"/>
      <c r="E211" s="52"/>
      <c r="F211" s="81"/>
      <c r="G211" s="57"/>
      <c r="H211" s="48">
        <f t="shared" si="1"/>
        <v>1455.625</v>
      </c>
      <c r="I211" s="77"/>
      <c r="J211" s="62"/>
      <c r="K211" s="52"/>
      <c r="L211" s="52"/>
      <c r="M211" s="76"/>
      <c r="N211" s="52">
        <f t="shared" si="17"/>
        <v>0</v>
      </c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62"/>
      <c r="AB211" s="52"/>
      <c r="AC211" s="53">
        <f t="shared" si="5"/>
        <v>0</v>
      </c>
      <c r="AD211" s="52"/>
      <c r="AE211" s="53">
        <f t="shared" si="11"/>
        <v>0</v>
      </c>
      <c r="AF211" s="53">
        <f t="shared" si="3"/>
        <v>0</v>
      </c>
      <c r="AG211" s="52"/>
      <c r="AH211" s="48"/>
      <c r="AI211" s="48"/>
      <c r="AJ211" s="48"/>
      <c r="AK211" s="53"/>
      <c r="AL211" s="53"/>
      <c r="AM211" s="53"/>
      <c r="AN211" s="53"/>
      <c r="AO211" s="53"/>
      <c r="AP211" s="53"/>
      <c r="AQ211" s="53"/>
      <c r="AR211" s="53"/>
      <c r="AS211" s="53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52"/>
      <c r="BG211" s="52"/>
      <c r="BH211" s="52"/>
      <c r="BI211" s="52"/>
      <c r="BJ211" s="52"/>
      <c r="BK211" s="52"/>
      <c r="BL211" s="52"/>
      <c r="BM211" s="54"/>
    </row>
    <row r="212">
      <c r="A212" s="42" t="s">
        <v>983</v>
      </c>
      <c r="B212" s="52"/>
      <c r="C212" s="52"/>
      <c r="D212" s="52"/>
      <c r="E212" s="52"/>
      <c r="F212" s="81"/>
      <c r="G212" s="57"/>
      <c r="H212" s="48">
        <f t="shared" si="1"/>
        <v>1455.625</v>
      </c>
      <c r="I212" s="77"/>
      <c r="J212" s="62"/>
      <c r="K212" s="52"/>
      <c r="L212" s="52"/>
      <c r="M212" s="76"/>
      <c r="N212" s="52">
        <f t="shared" si="17"/>
        <v>0</v>
      </c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62"/>
      <c r="AB212" s="52"/>
      <c r="AC212" s="53">
        <f t="shared" si="5"/>
        <v>0</v>
      </c>
      <c r="AD212" s="52"/>
      <c r="AE212" s="53">
        <f t="shared" si="11"/>
        <v>0</v>
      </c>
      <c r="AF212" s="53">
        <f t="shared" si="3"/>
        <v>0</v>
      </c>
      <c r="AG212" s="52"/>
      <c r="AH212" s="48"/>
      <c r="AI212" s="48"/>
      <c r="AJ212" s="48"/>
      <c r="AK212" s="53"/>
      <c r="AL212" s="53"/>
      <c r="AM212" s="53"/>
      <c r="AN212" s="53"/>
      <c r="AO212" s="53"/>
      <c r="AP212" s="53"/>
      <c r="AQ212" s="53"/>
      <c r="AR212" s="53"/>
      <c r="AS212" s="53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52"/>
      <c r="BG212" s="52"/>
      <c r="BH212" s="52"/>
      <c r="BI212" s="52"/>
      <c r="BJ212" s="52"/>
      <c r="BK212" s="52"/>
      <c r="BL212" s="52"/>
      <c r="BM212" s="54"/>
    </row>
    <row r="213">
      <c r="A213" s="42" t="s">
        <v>984</v>
      </c>
      <c r="B213" s="52"/>
      <c r="C213" s="52"/>
      <c r="D213" s="52"/>
      <c r="E213" s="52"/>
      <c r="F213" s="81"/>
      <c r="G213" s="57"/>
      <c r="H213" s="48">
        <f t="shared" si="1"/>
        <v>1455.625</v>
      </c>
      <c r="I213" s="77"/>
      <c r="J213" s="62"/>
      <c r="K213" s="52"/>
      <c r="L213" s="52"/>
      <c r="M213" s="76"/>
      <c r="N213" s="52">
        <f t="shared" si="17"/>
        <v>0</v>
      </c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62"/>
      <c r="AB213" s="52"/>
      <c r="AC213" s="53">
        <f t="shared" si="5"/>
        <v>0</v>
      </c>
      <c r="AD213" s="52"/>
      <c r="AE213" s="53">
        <f t="shared" si="11"/>
        <v>0</v>
      </c>
      <c r="AF213" s="53">
        <f t="shared" si="3"/>
        <v>0</v>
      </c>
      <c r="AG213" s="52"/>
      <c r="AH213" s="48"/>
      <c r="AI213" s="48"/>
      <c r="AJ213" s="48"/>
      <c r="AK213" s="53"/>
      <c r="AL213" s="53"/>
      <c r="AM213" s="53"/>
      <c r="AN213" s="53"/>
      <c r="AO213" s="53"/>
      <c r="AP213" s="53"/>
      <c r="AQ213" s="53"/>
      <c r="AR213" s="53"/>
      <c r="AS213" s="53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52"/>
      <c r="BG213" s="52"/>
      <c r="BH213" s="52"/>
      <c r="BI213" s="52"/>
      <c r="BJ213" s="52"/>
      <c r="BK213" s="52"/>
      <c r="BL213" s="52"/>
      <c r="BM213" s="54"/>
    </row>
    <row r="214">
      <c r="A214" s="42" t="s">
        <v>985</v>
      </c>
      <c r="B214" s="52"/>
      <c r="C214" s="52"/>
      <c r="D214" s="52"/>
      <c r="E214" s="52"/>
      <c r="F214" s="81"/>
      <c r="G214" s="57"/>
      <c r="H214" s="48">
        <f t="shared" si="1"/>
        <v>1455.625</v>
      </c>
      <c r="I214" s="77"/>
      <c r="J214" s="62"/>
      <c r="K214" s="52"/>
      <c r="L214" s="52"/>
      <c r="M214" s="76"/>
      <c r="N214" s="52">
        <f t="shared" si="17"/>
        <v>0</v>
      </c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62"/>
      <c r="AB214" s="52"/>
      <c r="AC214" s="53">
        <f t="shared" si="5"/>
        <v>0</v>
      </c>
      <c r="AD214" s="52"/>
      <c r="AE214" s="53">
        <f t="shared" si="11"/>
        <v>0</v>
      </c>
      <c r="AF214" s="53">
        <f t="shared" si="3"/>
        <v>0</v>
      </c>
      <c r="AG214" s="52"/>
      <c r="AH214" s="48"/>
      <c r="AI214" s="48"/>
      <c r="AJ214" s="48"/>
      <c r="AK214" s="53"/>
      <c r="AL214" s="53"/>
      <c r="AM214" s="53"/>
      <c r="AN214" s="53"/>
      <c r="AO214" s="53"/>
      <c r="AP214" s="53"/>
      <c r="AQ214" s="53"/>
      <c r="AR214" s="53"/>
      <c r="AS214" s="53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52"/>
      <c r="BG214" s="52"/>
      <c r="BH214" s="52"/>
      <c r="BI214" s="52"/>
      <c r="BJ214" s="52"/>
      <c r="BK214" s="52"/>
      <c r="BL214" s="52"/>
      <c r="BM214" s="54"/>
    </row>
    <row r="215">
      <c r="A215" s="42" t="s">
        <v>986</v>
      </c>
      <c r="B215" s="52"/>
      <c r="C215" s="52"/>
      <c r="D215" s="52"/>
      <c r="E215" s="52"/>
      <c r="F215" s="81"/>
      <c r="G215" s="57"/>
      <c r="H215" s="48">
        <f t="shared" si="1"/>
        <v>1455.625</v>
      </c>
      <c r="I215" s="77"/>
      <c r="J215" s="62"/>
      <c r="K215" s="52"/>
      <c r="L215" s="52"/>
      <c r="M215" s="76"/>
      <c r="N215" s="52">
        <f t="shared" si="17"/>
        <v>0</v>
      </c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62"/>
      <c r="AB215" s="52"/>
      <c r="AC215" s="53">
        <f t="shared" si="5"/>
        <v>0</v>
      </c>
      <c r="AD215" s="52"/>
      <c r="AE215" s="53">
        <f t="shared" si="11"/>
        <v>0</v>
      </c>
      <c r="AF215" s="53">
        <f t="shared" si="3"/>
        <v>0</v>
      </c>
      <c r="AG215" s="52"/>
      <c r="AH215" s="48"/>
      <c r="AI215" s="48"/>
      <c r="AJ215" s="48"/>
      <c r="AK215" s="53"/>
      <c r="AL215" s="53"/>
      <c r="AM215" s="53"/>
      <c r="AN215" s="53"/>
      <c r="AO215" s="53"/>
      <c r="AP215" s="53"/>
      <c r="AQ215" s="53"/>
      <c r="AR215" s="53"/>
      <c r="AS215" s="53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52"/>
      <c r="BG215" s="52"/>
      <c r="BH215" s="52"/>
      <c r="BI215" s="52"/>
      <c r="BJ215" s="52"/>
      <c r="BK215" s="52"/>
      <c r="BL215" s="52"/>
      <c r="BM215" s="54"/>
    </row>
    <row r="216">
      <c r="A216" s="42" t="s">
        <v>987</v>
      </c>
      <c r="B216" s="52"/>
      <c r="C216" s="52"/>
      <c r="D216" s="52"/>
      <c r="E216" s="52"/>
      <c r="F216" s="81"/>
      <c r="G216" s="57"/>
      <c r="H216" s="48">
        <f t="shared" si="1"/>
        <v>1455.625</v>
      </c>
      <c r="I216" s="77"/>
      <c r="J216" s="62"/>
      <c r="K216" s="52"/>
      <c r="L216" s="52"/>
      <c r="M216" s="76"/>
      <c r="N216" s="52">
        <f t="shared" si="17"/>
        <v>0</v>
      </c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62"/>
      <c r="AB216" s="52"/>
      <c r="AC216" s="53">
        <f t="shared" si="5"/>
        <v>0</v>
      </c>
      <c r="AD216" s="52"/>
      <c r="AE216" s="53">
        <f t="shared" si="11"/>
        <v>0</v>
      </c>
      <c r="AF216" s="53">
        <f t="shared" si="3"/>
        <v>0</v>
      </c>
      <c r="AG216" s="52"/>
      <c r="AH216" s="48"/>
      <c r="AI216" s="48"/>
      <c r="AJ216" s="48"/>
      <c r="AK216" s="53"/>
      <c r="AL216" s="53"/>
      <c r="AM216" s="53"/>
      <c r="AN216" s="53"/>
      <c r="AO216" s="53"/>
      <c r="AP216" s="53"/>
      <c r="AQ216" s="53"/>
      <c r="AR216" s="53"/>
      <c r="AS216" s="53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52"/>
      <c r="BG216" s="52"/>
      <c r="BH216" s="52"/>
      <c r="BI216" s="52"/>
      <c r="BJ216" s="52"/>
      <c r="BK216" s="52"/>
      <c r="BL216" s="52"/>
      <c r="BM216" s="54"/>
    </row>
    <row r="217">
      <c r="A217" s="42" t="s">
        <v>988</v>
      </c>
      <c r="B217" s="52"/>
      <c r="C217" s="52"/>
      <c r="D217" s="52"/>
      <c r="E217" s="52"/>
      <c r="F217" s="81"/>
      <c r="G217" s="57"/>
      <c r="H217" s="48">
        <f t="shared" si="1"/>
        <v>1455.625</v>
      </c>
      <c r="I217" s="77"/>
      <c r="J217" s="62"/>
      <c r="K217" s="52"/>
      <c r="L217" s="52"/>
      <c r="M217" s="76"/>
      <c r="N217" s="52">
        <f t="shared" si="17"/>
        <v>0</v>
      </c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62"/>
      <c r="AB217" s="52"/>
      <c r="AC217" s="53">
        <f t="shared" si="5"/>
        <v>0</v>
      </c>
      <c r="AD217" s="52"/>
      <c r="AE217" s="53">
        <f t="shared" si="11"/>
        <v>0</v>
      </c>
      <c r="AF217" s="53">
        <f t="shared" si="3"/>
        <v>0</v>
      </c>
      <c r="AG217" s="52"/>
      <c r="AH217" s="48"/>
      <c r="AI217" s="48"/>
      <c r="AJ217" s="48"/>
      <c r="AK217" s="53"/>
      <c r="AL217" s="53"/>
      <c r="AM217" s="53"/>
      <c r="AN217" s="53"/>
      <c r="AO217" s="53"/>
      <c r="AP217" s="53"/>
      <c r="AQ217" s="53"/>
      <c r="AR217" s="53"/>
      <c r="AS217" s="53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52"/>
      <c r="BG217" s="52"/>
      <c r="BH217" s="52"/>
      <c r="BI217" s="52"/>
      <c r="BJ217" s="52"/>
      <c r="BK217" s="52"/>
      <c r="BL217" s="52"/>
      <c r="BM217" s="54"/>
    </row>
    <row r="218">
      <c r="A218" s="42" t="s">
        <v>989</v>
      </c>
      <c r="B218" s="52"/>
      <c r="C218" s="52"/>
      <c r="D218" s="52"/>
      <c r="E218" s="52"/>
      <c r="F218" s="81"/>
      <c r="G218" s="57"/>
      <c r="H218" s="48">
        <f t="shared" si="1"/>
        <v>1455.625</v>
      </c>
      <c r="I218" s="77"/>
      <c r="J218" s="62"/>
      <c r="K218" s="52"/>
      <c r="L218" s="52"/>
      <c r="M218" s="76"/>
      <c r="N218" s="52">
        <f t="shared" si="17"/>
        <v>0</v>
      </c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62"/>
      <c r="AB218" s="52"/>
      <c r="AC218" s="53">
        <f t="shared" si="5"/>
        <v>0</v>
      </c>
      <c r="AD218" s="52"/>
      <c r="AE218" s="53">
        <f t="shared" si="11"/>
        <v>0</v>
      </c>
      <c r="AF218" s="53">
        <f t="shared" si="3"/>
        <v>0</v>
      </c>
      <c r="AG218" s="52"/>
      <c r="AH218" s="48"/>
      <c r="AI218" s="48"/>
      <c r="AJ218" s="48"/>
      <c r="AK218" s="53"/>
      <c r="AL218" s="53"/>
      <c r="AM218" s="53"/>
      <c r="AN218" s="53"/>
      <c r="AO218" s="53"/>
      <c r="AP218" s="53"/>
      <c r="AQ218" s="53"/>
      <c r="AR218" s="53"/>
      <c r="AS218" s="53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52"/>
      <c r="BG218" s="52"/>
      <c r="BH218" s="52"/>
      <c r="BI218" s="52"/>
      <c r="BJ218" s="52"/>
      <c r="BK218" s="52"/>
      <c r="BL218" s="52"/>
      <c r="BM218" s="54"/>
    </row>
    <row r="219">
      <c r="A219" s="42" t="s">
        <v>990</v>
      </c>
      <c r="B219" s="52"/>
      <c r="C219" s="52"/>
      <c r="D219" s="52"/>
      <c r="E219" s="52"/>
      <c r="F219" s="81"/>
      <c r="G219" s="57"/>
      <c r="H219" s="48">
        <f t="shared" si="1"/>
        <v>1455.625</v>
      </c>
      <c r="I219" s="77"/>
      <c r="J219" s="62"/>
      <c r="K219" s="52"/>
      <c r="L219" s="52"/>
      <c r="M219" s="76"/>
      <c r="N219" s="52">
        <f t="shared" si="17"/>
        <v>0</v>
      </c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62"/>
      <c r="AB219" s="52"/>
      <c r="AC219" s="53">
        <f t="shared" si="5"/>
        <v>0</v>
      </c>
      <c r="AD219" s="52"/>
      <c r="AE219" s="53">
        <f t="shared" si="11"/>
        <v>0</v>
      </c>
      <c r="AF219" s="53">
        <f t="shared" si="3"/>
        <v>0</v>
      </c>
      <c r="AG219" s="52"/>
      <c r="AH219" s="48"/>
      <c r="AI219" s="48"/>
      <c r="AJ219" s="48"/>
      <c r="AK219" s="53"/>
      <c r="AL219" s="53"/>
      <c r="AM219" s="53"/>
      <c r="AN219" s="53"/>
      <c r="AO219" s="53"/>
      <c r="AP219" s="53"/>
      <c r="AQ219" s="53"/>
      <c r="AR219" s="53"/>
      <c r="AS219" s="53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52"/>
      <c r="BG219" s="52"/>
      <c r="BH219" s="52"/>
      <c r="BI219" s="52"/>
      <c r="BJ219" s="52"/>
      <c r="BK219" s="52"/>
      <c r="BL219" s="52"/>
      <c r="BM219" s="54"/>
    </row>
    <row r="220">
      <c r="A220" s="42" t="s">
        <v>991</v>
      </c>
      <c r="B220" s="52"/>
      <c r="C220" s="52"/>
      <c r="D220" s="52"/>
      <c r="E220" s="52"/>
      <c r="F220" s="81"/>
      <c r="G220" s="57"/>
      <c r="H220" s="48">
        <f t="shared" si="1"/>
        <v>1455.625</v>
      </c>
      <c r="I220" s="77"/>
      <c r="J220" s="62"/>
      <c r="K220" s="52"/>
      <c r="L220" s="52"/>
      <c r="M220" s="76"/>
      <c r="N220" s="52">
        <f t="shared" si="17"/>
        <v>0</v>
      </c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62"/>
      <c r="AB220" s="52"/>
      <c r="AC220" s="53">
        <f t="shared" si="5"/>
        <v>0</v>
      </c>
      <c r="AD220" s="52"/>
      <c r="AE220" s="53">
        <f t="shared" si="11"/>
        <v>0</v>
      </c>
      <c r="AF220" s="53">
        <f t="shared" si="3"/>
        <v>0</v>
      </c>
      <c r="AG220" s="52"/>
      <c r="AH220" s="48"/>
      <c r="AI220" s="48"/>
      <c r="AJ220" s="48"/>
      <c r="AK220" s="53"/>
      <c r="AL220" s="53"/>
      <c r="AM220" s="53"/>
      <c r="AN220" s="53"/>
      <c r="AO220" s="53"/>
      <c r="AP220" s="53"/>
      <c r="AQ220" s="53"/>
      <c r="AR220" s="53"/>
      <c r="AS220" s="53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52"/>
      <c r="BG220" s="52"/>
      <c r="BH220" s="52"/>
      <c r="BI220" s="52"/>
      <c r="BJ220" s="52"/>
      <c r="BK220" s="52"/>
      <c r="BL220" s="52"/>
      <c r="BM220" s="54"/>
    </row>
    <row r="221">
      <c r="A221" s="42" t="s">
        <v>992</v>
      </c>
      <c r="B221" s="52"/>
      <c r="C221" s="52"/>
      <c r="D221" s="52"/>
      <c r="E221" s="52"/>
      <c r="F221" s="81"/>
      <c r="G221" s="57"/>
      <c r="H221" s="48">
        <f t="shared" si="1"/>
        <v>1455.625</v>
      </c>
      <c r="I221" s="77"/>
      <c r="J221" s="62"/>
      <c r="K221" s="52"/>
      <c r="L221" s="52"/>
      <c r="M221" s="76"/>
      <c r="N221" s="52">
        <f t="shared" si="17"/>
        <v>0</v>
      </c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62"/>
      <c r="AB221" s="52"/>
      <c r="AC221" s="53">
        <f t="shared" si="5"/>
        <v>0</v>
      </c>
      <c r="AD221" s="52"/>
      <c r="AE221" s="53">
        <f t="shared" si="11"/>
        <v>0</v>
      </c>
      <c r="AF221" s="53">
        <f t="shared" si="3"/>
        <v>0</v>
      </c>
      <c r="AG221" s="52"/>
      <c r="AH221" s="48"/>
      <c r="AI221" s="48"/>
      <c r="AJ221" s="48"/>
      <c r="AK221" s="53"/>
      <c r="AL221" s="53"/>
      <c r="AM221" s="53"/>
      <c r="AN221" s="53"/>
      <c r="AO221" s="53"/>
      <c r="AP221" s="53"/>
      <c r="AQ221" s="53"/>
      <c r="AR221" s="53"/>
      <c r="AS221" s="53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52"/>
      <c r="BG221" s="52"/>
      <c r="BH221" s="52"/>
      <c r="BI221" s="52"/>
      <c r="BJ221" s="52"/>
      <c r="BK221" s="52"/>
      <c r="BL221" s="52"/>
      <c r="BM221" s="54"/>
    </row>
    <row r="222">
      <c r="A222" s="42" t="s">
        <v>993</v>
      </c>
      <c r="B222" s="52"/>
      <c r="C222" s="52"/>
      <c r="D222" s="52"/>
      <c r="E222" s="52"/>
      <c r="F222" s="81"/>
      <c r="G222" s="57"/>
      <c r="H222" s="48">
        <f t="shared" si="1"/>
        <v>1455.625</v>
      </c>
      <c r="I222" s="77"/>
      <c r="J222" s="62"/>
      <c r="K222" s="52"/>
      <c r="L222" s="52"/>
      <c r="M222" s="76"/>
      <c r="N222" s="52">
        <f t="shared" si="17"/>
        <v>0</v>
      </c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62"/>
      <c r="AB222" s="52"/>
      <c r="AC222" s="53">
        <f t="shared" si="5"/>
        <v>0</v>
      </c>
      <c r="AD222" s="52"/>
      <c r="AE222" s="53">
        <f t="shared" si="11"/>
        <v>0</v>
      </c>
      <c r="AF222" s="53">
        <f t="shared" si="3"/>
        <v>0</v>
      </c>
      <c r="AG222" s="52"/>
      <c r="AH222" s="48"/>
      <c r="AI222" s="48"/>
      <c r="AJ222" s="48"/>
      <c r="AK222" s="53"/>
      <c r="AL222" s="53"/>
      <c r="AM222" s="53"/>
      <c r="AN222" s="53"/>
      <c r="AO222" s="53"/>
      <c r="AP222" s="53"/>
      <c r="AQ222" s="53"/>
      <c r="AR222" s="53"/>
      <c r="AS222" s="53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52"/>
      <c r="BG222" s="52"/>
      <c r="BH222" s="52"/>
      <c r="BI222" s="52"/>
      <c r="BJ222" s="52"/>
      <c r="BK222" s="52"/>
      <c r="BL222" s="52"/>
      <c r="BM222" s="54"/>
    </row>
    <row r="223">
      <c r="A223" s="42" t="s">
        <v>994</v>
      </c>
      <c r="B223" s="52"/>
      <c r="C223" s="52"/>
      <c r="D223" s="52"/>
      <c r="E223" s="52"/>
      <c r="F223" s="81"/>
      <c r="G223" s="57"/>
      <c r="H223" s="48">
        <f t="shared" si="1"/>
        <v>1455.625</v>
      </c>
      <c r="I223" s="77"/>
      <c r="J223" s="62"/>
      <c r="K223" s="52"/>
      <c r="L223" s="52"/>
      <c r="M223" s="76"/>
      <c r="N223" s="52">
        <f t="shared" si="17"/>
        <v>0</v>
      </c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62"/>
      <c r="AB223" s="52"/>
      <c r="AC223" s="53">
        <f t="shared" si="5"/>
        <v>0</v>
      </c>
      <c r="AD223" s="52"/>
      <c r="AE223" s="53">
        <f t="shared" si="11"/>
        <v>0</v>
      </c>
      <c r="AF223" s="53">
        <f t="shared" si="3"/>
        <v>0</v>
      </c>
      <c r="AG223" s="52"/>
      <c r="AH223" s="48"/>
      <c r="AI223" s="48"/>
      <c r="AJ223" s="48"/>
      <c r="AK223" s="53"/>
      <c r="AL223" s="53"/>
      <c r="AM223" s="53"/>
      <c r="AN223" s="53"/>
      <c r="AO223" s="53"/>
      <c r="AP223" s="53"/>
      <c r="AQ223" s="53"/>
      <c r="AR223" s="53"/>
      <c r="AS223" s="53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52"/>
      <c r="BG223" s="52"/>
      <c r="BH223" s="52"/>
      <c r="BI223" s="52"/>
      <c r="BJ223" s="52"/>
      <c r="BK223" s="52"/>
      <c r="BL223" s="52"/>
      <c r="BM223" s="54"/>
    </row>
    <row r="224">
      <c r="A224" s="42" t="s">
        <v>995</v>
      </c>
      <c r="B224" s="52"/>
      <c r="C224" s="52"/>
      <c r="D224" s="52"/>
      <c r="E224" s="52"/>
      <c r="F224" s="81"/>
      <c r="G224" s="57"/>
      <c r="H224" s="48">
        <f t="shared" si="1"/>
        <v>1455.625</v>
      </c>
      <c r="I224" s="77"/>
      <c r="J224" s="62"/>
      <c r="K224" s="52"/>
      <c r="L224" s="52"/>
      <c r="M224" s="76"/>
      <c r="N224" s="52">
        <f t="shared" si="17"/>
        <v>0</v>
      </c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62"/>
      <c r="AB224" s="52"/>
      <c r="AC224" s="53">
        <f t="shared" si="5"/>
        <v>0</v>
      </c>
      <c r="AD224" s="52"/>
      <c r="AE224" s="53">
        <f t="shared" si="11"/>
        <v>0</v>
      </c>
      <c r="AF224" s="53">
        <f t="shared" si="3"/>
        <v>0</v>
      </c>
      <c r="AG224" s="52"/>
      <c r="AH224" s="48"/>
      <c r="AI224" s="48"/>
      <c r="AJ224" s="48"/>
      <c r="AK224" s="53"/>
      <c r="AL224" s="53"/>
      <c r="AM224" s="53"/>
      <c r="AN224" s="53"/>
      <c r="AO224" s="53"/>
      <c r="AP224" s="53"/>
      <c r="AQ224" s="53"/>
      <c r="AR224" s="53"/>
      <c r="AS224" s="53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52"/>
      <c r="BG224" s="52"/>
      <c r="BH224" s="52"/>
      <c r="BI224" s="52"/>
      <c r="BJ224" s="52"/>
      <c r="BK224" s="52"/>
      <c r="BL224" s="52"/>
      <c r="BM224" s="54"/>
    </row>
    <row r="225">
      <c r="A225" s="42" t="s">
        <v>996</v>
      </c>
      <c r="B225" s="52"/>
      <c r="C225" s="52"/>
      <c r="D225" s="52"/>
      <c r="E225" s="52"/>
      <c r="F225" s="81"/>
      <c r="G225" s="57"/>
      <c r="H225" s="48">
        <f t="shared" si="1"/>
        <v>1455.625</v>
      </c>
      <c r="I225" s="77"/>
      <c r="J225" s="62"/>
      <c r="K225" s="52"/>
      <c r="L225" s="52"/>
      <c r="M225" s="76"/>
      <c r="N225" s="52">
        <f t="shared" si="17"/>
        <v>0</v>
      </c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62"/>
      <c r="AB225" s="52"/>
      <c r="AC225" s="53">
        <f t="shared" si="5"/>
        <v>0</v>
      </c>
      <c r="AD225" s="52"/>
      <c r="AE225" s="53">
        <f t="shared" si="11"/>
        <v>0</v>
      </c>
      <c r="AF225" s="53">
        <f t="shared" si="3"/>
        <v>0</v>
      </c>
      <c r="AG225" s="52"/>
      <c r="AH225" s="48"/>
      <c r="AI225" s="48"/>
      <c r="AJ225" s="48"/>
      <c r="AK225" s="53"/>
      <c r="AL225" s="53"/>
      <c r="AM225" s="53"/>
      <c r="AN225" s="53"/>
      <c r="AO225" s="53"/>
      <c r="AP225" s="53"/>
      <c r="AQ225" s="53"/>
      <c r="AR225" s="53"/>
      <c r="AS225" s="53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52"/>
      <c r="BG225" s="52"/>
      <c r="BH225" s="52"/>
      <c r="BI225" s="52"/>
      <c r="BJ225" s="52"/>
      <c r="BK225" s="52"/>
      <c r="BL225" s="52"/>
      <c r="BM225" s="54"/>
    </row>
    <row r="226">
      <c r="A226" s="42" t="s">
        <v>997</v>
      </c>
      <c r="B226" s="52"/>
      <c r="C226" s="52"/>
      <c r="D226" s="52"/>
      <c r="E226" s="52"/>
      <c r="F226" s="81"/>
      <c r="G226" s="57"/>
      <c r="H226" s="48">
        <f t="shared" si="1"/>
        <v>1455.625</v>
      </c>
      <c r="I226" s="77"/>
      <c r="J226" s="62"/>
      <c r="K226" s="52"/>
      <c r="L226" s="52"/>
      <c r="M226" s="76"/>
      <c r="N226" s="52">
        <f t="shared" si="17"/>
        <v>0</v>
      </c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62"/>
      <c r="AB226" s="52"/>
      <c r="AC226" s="53">
        <f t="shared" si="5"/>
        <v>0</v>
      </c>
      <c r="AD226" s="52"/>
      <c r="AE226" s="53">
        <f t="shared" si="11"/>
        <v>0</v>
      </c>
      <c r="AF226" s="53">
        <f t="shared" si="3"/>
        <v>0</v>
      </c>
      <c r="AG226" s="52"/>
      <c r="AH226" s="48"/>
      <c r="AI226" s="48"/>
      <c r="AJ226" s="48"/>
      <c r="AK226" s="53"/>
      <c r="AL226" s="53"/>
      <c r="AM226" s="53"/>
      <c r="AN226" s="53"/>
      <c r="AO226" s="53"/>
      <c r="AP226" s="53"/>
      <c r="AQ226" s="53"/>
      <c r="AR226" s="53"/>
      <c r="AS226" s="53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52"/>
      <c r="BG226" s="52"/>
      <c r="BH226" s="52"/>
      <c r="BI226" s="52"/>
      <c r="BJ226" s="52"/>
      <c r="BK226" s="52"/>
      <c r="BL226" s="52"/>
      <c r="BM226" s="54"/>
    </row>
    <row r="227">
      <c r="A227" s="42" t="s">
        <v>998</v>
      </c>
      <c r="B227" s="52"/>
      <c r="C227" s="52"/>
      <c r="D227" s="52"/>
      <c r="E227" s="52"/>
      <c r="F227" s="81"/>
      <c r="G227" s="57"/>
      <c r="H227" s="48">
        <f t="shared" si="1"/>
        <v>1455.625</v>
      </c>
      <c r="I227" s="77"/>
      <c r="J227" s="62"/>
      <c r="K227" s="52"/>
      <c r="L227" s="52"/>
      <c r="M227" s="76"/>
      <c r="N227" s="52">
        <f t="shared" si="17"/>
        <v>0</v>
      </c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62"/>
      <c r="AB227" s="52"/>
      <c r="AC227" s="53">
        <f t="shared" si="5"/>
        <v>0</v>
      </c>
      <c r="AD227" s="52"/>
      <c r="AE227" s="53">
        <f t="shared" si="11"/>
        <v>0</v>
      </c>
      <c r="AF227" s="53">
        <f t="shared" si="3"/>
        <v>0</v>
      </c>
      <c r="AG227" s="52"/>
      <c r="AH227" s="48"/>
      <c r="AI227" s="48"/>
      <c r="AJ227" s="48"/>
      <c r="AK227" s="53"/>
      <c r="AL227" s="53"/>
      <c r="AM227" s="53"/>
      <c r="AN227" s="53"/>
      <c r="AO227" s="53"/>
      <c r="AP227" s="53"/>
      <c r="AQ227" s="53"/>
      <c r="AR227" s="53"/>
      <c r="AS227" s="53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52"/>
      <c r="BG227" s="52"/>
      <c r="BH227" s="52"/>
      <c r="BI227" s="52"/>
      <c r="BJ227" s="52"/>
      <c r="BK227" s="52"/>
      <c r="BL227" s="52"/>
      <c r="BM227" s="54"/>
    </row>
    <row r="228">
      <c r="A228" s="42" t="s">
        <v>999</v>
      </c>
      <c r="B228" s="52"/>
      <c r="C228" s="52"/>
      <c r="D228" s="52"/>
      <c r="E228" s="52"/>
      <c r="F228" s="81"/>
      <c r="G228" s="57"/>
      <c r="H228" s="48">
        <f t="shared" si="1"/>
        <v>1455.625</v>
      </c>
      <c r="I228" s="77"/>
      <c r="J228" s="62"/>
      <c r="K228" s="52"/>
      <c r="L228" s="52"/>
      <c r="M228" s="76"/>
      <c r="N228" s="52">
        <f t="shared" si="17"/>
        <v>0</v>
      </c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62"/>
      <c r="AB228" s="52"/>
      <c r="AC228" s="53">
        <f t="shared" si="5"/>
        <v>0</v>
      </c>
      <c r="AD228" s="52"/>
      <c r="AE228" s="53">
        <f t="shared" si="11"/>
        <v>0</v>
      </c>
      <c r="AF228" s="53">
        <f t="shared" si="3"/>
        <v>0</v>
      </c>
      <c r="AG228" s="52"/>
      <c r="AH228" s="48"/>
      <c r="AI228" s="48"/>
      <c r="AJ228" s="48"/>
      <c r="AK228" s="53"/>
      <c r="AL228" s="53"/>
      <c r="AM228" s="53"/>
      <c r="AN228" s="53"/>
      <c r="AO228" s="53"/>
      <c r="AP228" s="53"/>
      <c r="AQ228" s="53"/>
      <c r="AR228" s="53"/>
      <c r="AS228" s="53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52"/>
      <c r="BG228" s="52"/>
      <c r="BH228" s="52"/>
      <c r="BI228" s="52"/>
      <c r="BJ228" s="52"/>
      <c r="BK228" s="52"/>
      <c r="BL228" s="52"/>
      <c r="BM228" s="54"/>
    </row>
    <row r="229">
      <c r="A229" s="42" t="s">
        <v>1000</v>
      </c>
      <c r="B229" s="52"/>
      <c r="C229" s="52"/>
      <c r="D229" s="52"/>
      <c r="E229" s="52"/>
      <c r="F229" s="81"/>
      <c r="G229" s="57"/>
      <c r="H229" s="48">
        <f t="shared" si="1"/>
        <v>1455.625</v>
      </c>
      <c r="I229" s="77"/>
      <c r="J229" s="62"/>
      <c r="K229" s="52"/>
      <c r="L229" s="52"/>
      <c r="M229" s="76"/>
      <c r="N229" s="52">
        <f t="shared" si="17"/>
        <v>0</v>
      </c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62"/>
      <c r="AB229" s="52"/>
      <c r="AC229" s="53">
        <f t="shared" si="5"/>
        <v>0</v>
      </c>
      <c r="AD229" s="52"/>
      <c r="AE229" s="53">
        <f t="shared" si="11"/>
        <v>0</v>
      </c>
      <c r="AF229" s="53">
        <f t="shared" si="3"/>
        <v>0</v>
      </c>
      <c r="AG229" s="52"/>
      <c r="AH229" s="48"/>
      <c r="AI229" s="48"/>
      <c r="AJ229" s="48"/>
      <c r="AK229" s="53"/>
      <c r="AL229" s="53"/>
      <c r="AM229" s="53"/>
      <c r="AN229" s="53"/>
      <c r="AO229" s="53"/>
      <c r="AP229" s="53"/>
      <c r="AQ229" s="53"/>
      <c r="AR229" s="53"/>
      <c r="AS229" s="53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52"/>
      <c r="BG229" s="52"/>
      <c r="BH229" s="52"/>
      <c r="BI229" s="52"/>
      <c r="BJ229" s="52"/>
      <c r="BK229" s="52"/>
      <c r="BL229" s="52"/>
      <c r="BM229" s="54"/>
    </row>
    <row r="230">
      <c r="A230" s="42" t="s">
        <v>1001</v>
      </c>
      <c r="B230" s="52"/>
      <c r="C230" s="52"/>
      <c r="D230" s="52"/>
      <c r="E230" s="52"/>
      <c r="F230" s="81"/>
      <c r="G230" s="57"/>
      <c r="H230" s="48">
        <f t="shared" si="1"/>
        <v>1455.625</v>
      </c>
      <c r="I230" s="77"/>
      <c r="J230" s="62"/>
      <c r="K230" s="52"/>
      <c r="L230" s="52"/>
      <c r="M230" s="76"/>
      <c r="N230" s="52">
        <f t="shared" si="17"/>
        <v>0</v>
      </c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62"/>
      <c r="AB230" s="52"/>
      <c r="AC230" s="53">
        <f t="shared" si="5"/>
        <v>0</v>
      </c>
      <c r="AD230" s="52"/>
      <c r="AE230" s="53">
        <f t="shared" si="11"/>
        <v>0</v>
      </c>
      <c r="AF230" s="53">
        <f t="shared" si="3"/>
        <v>0</v>
      </c>
      <c r="AG230" s="52"/>
      <c r="AH230" s="48"/>
      <c r="AI230" s="48"/>
      <c r="AJ230" s="48"/>
      <c r="AK230" s="53"/>
      <c r="AL230" s="53"/>
      <c r="AM230" s="53"/>
      <c r="AN230" s="53"/>
      <c r="AO230" s="53"/>
      <c r="AP230" s="53"/>
      <c r="AQ230" s="53"/>
      <c r="AR230" s="53"/>
      <c r="AS230" s="53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52"/>
      <c r="BG230" s="52"/>
      <c r="BH230" s="52"/>
      <c r="BI230" s="52"/>
      <c r="BJ230" s="52"/>
      <c r="BK230" s="52"/>
      <c r="BL230" s="52"/>
      <c r="BM230" s="54"/>
    </row>
    <row r="231">
      <c r="A231" s="42" t="s">
        <v>1002</v>
      </c>
      <c r="B231" s="52"/>
      <c r="C231" s="52"/>
      <c r="D231" s="52"/>
      <c r="E231" s="52"/>
      <c r="F231" s="81"/>
      <c r="G231" s="57"/>
      <c r="H231" s="48">
        <f t="shared" si="1"/>
        <v>1455.625</v>
      </c>
      <c r="I231" s="77"/>
      <c r="J231" s="62"/>
      <c r="K231" s="52"/>
      <c r="L231" s="52"/>
      <c r="M231" s="76"/>
      <c r="N231" s="52">
        <f t="shared" si="17"/>
        <v>0</v>
      </c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62"/>
      <c r="AB231" s="52"/>
      <c r="AC231" s="53">
        <f t="shared" si="5"/>
        <v>0</v>
      </c>
      <c r="AD231" s="52"/>
      <c r="AE231" s="53">
        <f t="shared" si="11"/>
        <v>0</v>
      </c>
      <c r="AF231" s="53">
        <f t="shared" si="3"/>
        <v>0</v>
      </c>
      <c r="AG231" s="52"/>
      <c r="AH231" s="48"/>
      <c r="AI231" s="48"/>
      <c r="AJ231" s="48"/>
      <c r="AK231" s="53"/>
      <c r="AL231" s="53"/>
      <c r="AM231" s="53"/>
      <c r="AN231" s="53"/>
      <c r="AO231" s="53"/>
      <c r="AP231" s="53"/>
      <c r="AQ231" s="53"/>
      <c r="AR231" s="53"/>
      <c r="AS231" s="53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52"/>
      <c r="BG231" s="52"/>
      <c r="BH231" s="52"/>
      <c r="BI231" s="52"/>
      <c r="BJ231" s="52"/>
      <c r="BK231" s="52"/>
      <c r="BL231" s="52"/>
      <c r="BM231" s="54"/>
    </row>
    <row r="232">
      <c r="A232" s="42" t="s">
        <v>1003</v>
      </c>
      <c r="B232" s="52"/>
      <c r="C232" s="52"/>
      <c r="D232" s="52"/>
      <c r="E232" s="52"/>
      <c r="F232" s="81"/>
      <c r="G232" s="57"/>
      <c r="H232" s="48">
        <f t="shared" si="1"/>
        <v>1455.625</v>
      </c>
      <c r="I232" s="77"/>
      <c r="J232" s="62"/>
      <c r="K232" s="52"/>
      <c r="L232" s="52"/>
      <c r="M232" s="76"/>
      <c r="N232" s="52">
        <f t="shared" si="17"/>
        <v>0</v>
      </c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62"/>
      <c r="AB232" s="52"/>
      <c r="AC232" s="53">
        <f t="shared" si="5"/>
        <v>0</v>
      </c>
      <c r="AD232" s="52"/>
      <c r="AE232" s="53">
        <f t="shared" si="11"/>
        <v>0</v>
      </c>
      <c r="AF232" s="53">
        <f t="shared" si="3"/>
        <v>0</v>
      </c>
      <c r="AG232" s="52"/>
      <c r="AH232" s="48"/>
      <c r="AI232" s="48"/>
      <c r="AJ232" s="48"/>
      <c r="AK232" s="53"/>
      <c r="AL232" s="53"/>
      <c r="AM232" s="53"/>
      <c r="AN232" s="53"/>
      <c r="AO232" s="53"/>
      <c r="AP232" s="53"/>
      <c r="AQ232" s="53"/>
      <c r="AR232" s="53"/>
      <c r="AS232" s="53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52"/>
      <c r="BG232" s="52"/>
      <c r="BH232" s="52"/>
      <c r="BI232" s="52"/>
      <c r="BJ232" s="52"/>
      <c r="BK232" s="52"/>
      <c r="BL232" s="52"/>
      <c r="BM232" s="54"/>
    </row>
    <row r="233">
      <c r="A233" s="42" t="s">
        <v>1004</v>
      </c>
      <c r="B233" s="52"/>
      <c r="C233" s="52"/>
      <c r="D233" s="52"/>
      <c r="E233" s="52"/>
      <c r="F233" s="81"/>
      <c r="G233" s="57"/>
      <c r="H233" s="48">
        <f t="shared" si="1"/>
        <v>1455.625</v>
      </c>
      <c r="I233" s="77"/>
      <c r="J233" s="62"/>
      <c r="K233" s="52"/>
      <c r="L233" s="52"/>
      <c r="M233" s="76"/>
      <c r="N233" s="52">
        <f t="shared" si="17"/>
        <v>0</v>
      </c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62"/>
      <c r="AB233" s="52"/>
      <c r="AC233" s="53">
        <f t="shared" si="5"/>
        <v>0</v>
      </c>
      <c r="AD233" s="52"/>
      <c r="AE233" s="53">
        <f t="shared" si="11"/>
        <v>0</v>
      </c>
      <c r="AF233" s="53">
        <f t="shared" si="3"/>
        <v>0</v>
      </c>
      <c r="AG233" s="52"/>
      <c r="AH233" s="48"/>
      <c r="AI233" s="48"/>
      <c r="AJ233" s="48"/>
      <c r="AK233" s="53"/>
      <c r="AL233" s="53"/>
      <c r="AM233" s="53"/>
      <c r="AN233" s="53"/>
      <c r="AO233" s="53"/>
      <c r="AP233" s="53"/>
      <c r="AQ233" s="53"/>
      <c r="AR233" s="53"/>
      <c r="AS233" s="53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52"/>
      <c r="BG233" s="52"/>
      <c r="BH233" s="52"/>
      <c r="BI233" s="52"/>
      <c r="BJ233" s="52"/>
      <c r="BK233" s="52"/>
      <c r="BL233" s="52"/>
      <c r="BM233" s="54"/>
    </row>
    <row r="234">
      <c r="A234" s="42" t="s">
        <v>1005</v>
      </c>
      <c r="B234" s="52"/>
      <c r="C234" s="52"/>
      <c r="D234" s="52"/>
      <c r="E234" s="52"/>
      <c r="F234" s="81"/>
      <c r="G234" s="57"/>
      <c r="H234" s="48">
        <f t="shared" si="1"/>
        <v>1455.625</v>
      </c>
      <c r="I234" s="77"/>
      <c r="J234" s="62"/>
      <c r="K234" s="52"/>
      <c r="L234" s="52"/>
      <c r="M234" s="76"/>
      <c r="N234" s="52">
        <f t="shared" si="17"/>
        <v>0</v>
      </c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62"/>
      <c r="AB234" s="52"/>
      <c r="AC234" s="53">
        <f t="shared" si="5"/>
        <v>0</v>
      </c>
      <c r="AD234" s="52"/>
      <c r="AE234" s="53">
        <f t="shared" si="11"/>
        <v>0</v>
      </c>
      <c r="AF234" s="53">
        <f t="shared" si="3"/>
        <v>0</v>
      </c>
      <c r="AG234" s="52"/>
      <c r="AH234" s="48"/>
      <c r="AI234" s="48"/>
      <c r="AJ234" s="48"/>
      <c r="AK234" s="53"/>
      <c r="AL234" s="53"/>
      <c r="AM234" s="53"/>
      <c r="AN234" s="53"/>
      <c r="AO234" s="53"/>
      <c r="AP234" s="53"/>
      <c r="AQ234" s="53"/>
      <c r="AR234" s="53"/>
      <c r="AS234" s="53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52"/>
      <c r="BG234" s="52"/>
      <c r="BH234" s="52"/>
      <c r="BI234" s="52"/>
      <c r="BJ234" s="52"/>
      <c r="BK234" s="52"/>
      <c r="BL234" s="52"/>
      <c r="BM234" s="54"/>
    </row>
    <row r="235">
      <c r="A235" s="42" t="s">
        <v>1006</v>
      </c>
      <c r="B235" s="52"/>
      <c r="C235" s="52"/>
      <c r="D235" s="52"/>
      <c r="E235" s="52"/>
      <c r="F235" s="81"/>
      <c r="G235" s="57"/>
      <c r="H235" s="48">
        <f t="shared" si="1"/>
        <v>1455.625</v>
      </c>
      <c r="I235" s="77"/>
      <c r="J235" s="62"/>
      <c r="K235" s="52"/>
      <c r="L235" s="52"/>
      <c r="M235" s="76"/>
      <c r="N235" s="52">
        <f t="shared" si="17"/>
        <v>0</v>
      </c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62"/>
      <c r="AB235" s="52"/>
      <c r="AC235" s="53">
        <f t="shared" si="5"/>
        <v>0</v>
      </c>
      <c r="AD235" s="52"/>
      <c r="AE235" s="53">
        <f t="shared" si="11"/>
        <v>0</v>
      </c>
      <c r="AF235" s="53">
        <f t="shared" si="3"/>
        <v>0</v>
      </c>
      <c r="AG235" s="52"/>
      <c r="AH235" s="48"/>
      <c r="AI235" s="48"/>
      <c r="AJ235" s="48"/>
      <c r="AK235" s="53"/>
      <c r="AL235" s="53"/>
      <c r="AM235" s="53"/>
      <c r="AN235" s="53"/>
      <c r="AO235" s="53"/>
      <c r="AP235" s="53"/>
      <c r="AQ235" s="53"/>
      <c r="AR235" s="53"/>
      <c r="AS235" s="53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52"/>
      <c r="BG235" s="52"/>
      <c r="BH235" s="52"/>
      <c r="BI235" s="52"/>
      <c r="BJ235" s="52"/>
      <c r="BK235" s="52"/>
      <c r="BL235" s="52"/>
      <c r="BM235" s="54"/>
    </row>
    <row r="236">
      <c r="A236" s="42" t="s">
        <v>1007</v>
      </c>
      <c r="B236" s="52"/>
      <c r="C236" s="52"/>
      <c r="D236" s="52"/>
      <c r="E236" s="52"/>
      <c r="F236" s="81"/>
      <c r="G236" s="57"/>
      <c r="H236" s="48">
        <f t="shared" si="1"/>
        <v>1455.625</v>
      </c>
      <c r="I236" s="77"/>
      <c r="J236" s="62"/>
      <c r="K236" s="52"/>
      <c r="L236" s="52"/>
      <c r="M236" s="76"/>
      <c r="N236" s="52">
        <f t="shared" si="17"/>
        <v>0</v>
      </c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62"/>
      <c r="AB236" s="52"/>
      <c r="AC236" s="53">
        <f t="shared" si="5"/>
        <v>0</v>
      </c>
      <c r="AD236" s="52"/>
      <c r="AE236" s="53">
        <f t="shared" si="11"/>
        <v>0</v>
      </c>
      <c r="AF236" s="53">
        <f t="shared" si="3"/>
        <v>0</v>
      </c>
      <c r="AG236" s="52"/>
      <c r="AH236" s="48"/>
      <c r="AI236" s="48"/>
      <c r="AJ236" s="48"/>
      <c r="AK236" s="53"/>
      <c r="AL236" s="53"/>
      <c r="AM236" s="53"/>
      <c r="AN236" s="53"/>
      <c r="AO236" s="53"/>
      <c r="AP236" s="53"/>
      <c r="AQ236" s="53"/>
      <c r="AR236" s="53"/>
      <c r="AS236" s="53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52"/>
      <c r="BG236" s="52"/>
      <c r="BH236" s="52"/>
      <c r="BI236" s="52"/>
      <c r="BJ236" s="52"/>
      <c r="BK236" s="52"/>
      <c r="BL236" s="52"/>
      <c r="BM236" s="54"/>
    </row>
    <row r="237">
      <c r="A237" s="42" t="s">
        <v>1008</v>
      </c>
      <c r="B237" s="52"/>
      <c r="C237" s="52"/>
      <c r="D237" s="52"/>
      <c r="E237" s="52"/>
      <c r="F237" s="81"/>
      <c r="G237" s="57"/>
      <c r="H237" s="48">
        <f t="shared" si="1"/>
        <v>1455.625</v>
      </c>
      <c r="I237" s="77"/>
      <c r="J237" s="62"/>
      <c r="K237" s="52"/>
      <c r="L237" s="52"/>
      <c r="M237" s="76"/>
      <c r="N237" s="52">
        <f t="shared" si="17"/>
        <v>0</v>
      </c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62"/>
      <c r="AB237" s="52"/>
      <c r="AC237" s="53">
        <f t="shared" si="5"/>
        <v>0</v>
      </c>
      <c r="AD237" s="52"/>
      <c r="AE237" s="53">
        <f t="shared" si="11"/>
        <v>0</v>
      </c>
      <c r="AF237" s="53">
        <f t="shared" si="3"/>
        <v>0</v>
      </c>
      <c r="AG237" s="52"/>
      <c r="AH237" s="48"/>
      <c r="AI237" s="48"/>
      <c r="AJ237" s="48"/>
      <c r="AK237" s="53"/>
      <c r="AL237" s="53"/>
      <c r="AM237" s="53"/>
      <c r="AN237" s="53"/>
      <c r="AO237" s="53"/>
      <c r="AP237" s="53"/>
      <c r="AQ237" s="53"/>
      <c r="AR237" s="53"/>
      <c r="AS237" s="53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52"/>
      <c r="BG237" s="52"/>
      <c r="BH237" s="52"/>
      <c r="BI237" s="52"/>
      <c r="BJ237" s="52"/>
      <c r="BK237" s="52"/>
      <c r="BL237" s="52"/>
      <c r="BM237" s="54"/>
    </row>
    <row r="238">
      <c r="A238" s="42" t="s">
        <v>1009</v>
      </c>
      <c r="B238" s="52"/>
      <c r="C238" s="52"/>
      <c r="D238" s="52"/>
      <c r="E238" s="52"/>
      <c r="F238" s="81"/>
      <c r="G238" s="57"/>
      <c r="H238" s="48">
        <f t="shared" si="1"/>
        <v>1455.625</v>
      </c>
      <c r="I238" s="77"/>
      <c r="J238" s="62"/>
      <c r="K238" s="52"/>
      <c r="L238" s="52"/>
      <c r="M238" s="76"/>
      <c r="N238" s="52">
        <f t="shared" si="17"/>
        <v>0</v>
      </c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62"/>
      <c r="AB238" s="52"/>
      <c r="AC238" s="53">
        <f t="shared" si="5"/>
        <v>0</v>
      </c>
      <c r="AD238" s="52"/>
      <c r="AE238" s="53">
        <f t="shared" si="11"/>
        <v>0</v>
      </c>
      <c r="AF238" s="53">
        <f t="shared" si="3"/>
        <v>0</v>
      </c>
      <c r="AG238" s="52"/>
      <c r="AH238" s="48"/>
      <c r="AI238" s="48"/>
      <c r="AJ238" s="48"/>
      <c r="AK238" s="53"/>
      <c r="AL238" s="53"/>
      <c r="AM238" s="53"/>
      <c r="AN238" s="53"/>
      <c r="AO238" s="53"/>
      <c r="AP238" s="53"/>
      <c r="AQ238" s="53"/>
      <c r="AR238" s="53"/>
      <c r="AS238" s="53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52"/>
      <c r="BG238" s="52"/>
      <c r="BH238" s="52"/>
      <c r="BI238" s="52"/>
      <c r="BJ238" s="52"/>
      <c r="BK238" s="52"/>
      <c r="BL238" s="52"/>
      <c r="BM238" s="54"/>
    </row>
    <row r="239">
      <c r="A239" s="42" t="s">
        <v>1010</v>
      </c>
      <c r="B239" s="52"/>
      <c r="C239" s="52"/>
      <c r="D239" s="52"/>
      <c r="E239" s="52"/>
      <c r="F239" s="81"/>
      <c r="G239" s="57"/>
      <c r="H239" s="48">
        <f t="shared" si="1"/>
        <v>1455.625</v>
      </c>
      <c r="I239" s="77"/>
      <c r="J239" s="62"/>
      <c r="K239" s="52"/>
      <c r="L239" s="52"/>
      <c r="M239" s="76"/>
      <c r="N239" s="52">
        <f t="shared" si="17"/>
        <v>0</v>
      </c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62"/>
      <c r="AB239" s="52"/>
      <c r="AC239" s="53">
        <f t="shared" si="5"/>
        <v>0</v>
      </c>
      <c r="AD239" s="52"/>
      <c r="AE239" s="53">
        <f t="shared" si="11"/>
        <v>0</v>
      </c>
      <c r="AF239" s="53">
        <f t="shared" si="3"/>
        <v>0</v>
      </c>
      <c r="AG239" s="52"/>
      <c r="AH239" s="48"/>
      <c r="AI239" s="48"/>
      <c r="AJ239" s="48"/>
      <c r="AK239" s="53"/>
      <c r="AL239" s="53"/>
      <c r="AM239" s="53"/>
      <c r="AN239" s="53"/>
      <c r="AO239" s="53"/>
      <c r="AP239" s="53"/>
      <c r="AQ239" s="53"/>
      <c r="AR239" s="53"/>
      <c r="AS239" s="53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52"/>
      <c r="BG239" s="52"/>
      <c r="BH239" s="52"/>
      <c r="BI239" s="52"/>
      <c r="BJ239" s="52"/>
      <c r="BK239" s="52"/>
      <c r="BL239" s="52"/>
      <c r="BM239" s="54"/>
    </row>
    <row r="240">
      <c r="A240" s="42" t="s">
        <v>1011</v>
      </c>
      <c r="B240" s="52"/>
      <c r="C240" s="52"/>
      <c r="D240" s="52"/>
      <c r="E240" s="52"/>
      <c r="F240" s="81"/>
      <c r="G240" s="57"/>
      <c r="H240" s="48">
        <f t="shared" si="1"/>
        <v>1455.625</v>
      </c>
      <c r="I240" s="77"/>
      <c r="J240" s="62"/>
      <c r="K240" s="52"/>
      <c r="L240" s="52"/>
      <c r="M240" s="76"/>
      <c r="N240" s="52">
        <f t="shared" si="17"/>
        <v>0</v>
      </c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62"/>
      <c r="AB240" s="52"/>
      <c r="AC240" s="53">
        <f t="shared" si="5"/>
        <v>0</v>
      </c>
      <c r="AD240" s="52"/>
      <c r="AE240" s="53">
        <f t="shared" si="11"/>
        <v>0</v>
      </c>
      <c r="AF240" s="53">
        <f t="shared" si="3"/>
        <v>0</v>
      </c>
      <c r="AG240" s="52"/>
      <c r="AH240" s="48"/>
      <c r="AI240" s="48"/>
      <c r="AJ240" s="48"/>
      <c r="AK240" s="53"/>
      <c r="AL240" s="53"/>
      <c r="AM240" s="53"/>
      <c r="AN240" s="53"/>
      <c r="AO240" s="53"/>
      <c r="AP240" s="53"/>
      <c r="AQ240" s="53"/>
      <c r="AR240" s="53"/>
      <c r="AS240" s="53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52"/>
      <c r="BG240" s="52"/>
      <c r="BH240" s="52"/>
      <c r="BI240" s="52"/>
      <c r="BJ240" s="52"/>
      <c r="BK240" s="52"/>
      <c r="BL240" s="52"/>
      <c r="BM240" s="54"/>
    </row>
    <row r="241">
      <c r="A241" s="42" t="s">
        <v>1012</v>
      </c>
      <c r="B241" s="52"/>
      <c r="C241" s="52"/>
      <c r="D241" s="52"/>
      <c r="E241" s="52"/>
      <c r="F241" s="81"/>
      <c r="G241" s="57"/>
      <c r="H241" s="48">
        <f t="shared" si="1"/>
        <v>1455.625</v>
      </c>
      <c r="I241" s="77"/>
      <c r="J241" s="62"/>
      <c r="K241" s="52"/>
      <c r="L241" s="52"/>
      <c r="M241" s="76"/>
      <c r="N241" s="52">
        <f t="shared" si="17"/>
        <v>0</v>
      </c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62"/>
      <c r="AB241" s="52"/>
      <c r="AC241" s="53">
        <f t="shared" si="5"/>
        <v>0</v>
      </c>
      <c r="AD241" s="52"/>
      <c r="AE241" s="53">
        <f t="shared" si="11"/>
        <v>0</v>
      </c>
      <c r="AF241" s="53">
        <f t="shared" si="3"/>
        <v>0</v>
      </c>
      <c r="AG241" s="52"/>
      <c r="AH241" s="48"/>
      <c r="AI241" s="48"/>
      <c r="AJ241" s="48"/>
      <c r="AK241" s="53"/>
      <c r="AL241" s="53"/>
      <c r="AM241" s="53"/>
      <c r="AN241" s="53"/>
      <c r="AO241" s="53"/>
      <c r="AP241" s="53"/>
      <c r="AQ241" s="53"/>
      <c r="AR241" s="53"/>
      <c r="AS241" s="53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52"/>
      <c r="BG241" s="52"/>
      <c r="BH241" s="52"/>
      <c r="BI241" s="52"/>
      <c r="BJ241" s="52"/>
      <c r="BK241" s="52"/>
      <c r="BL241" s="52"/>
      <c r="BM241" s="54"/>
    </row>
    <row r="242">
      <c r="A242" s="42" t="s">
        <v>1013</v>
      </c>
      <c r="B242" s="52"/>
      <c r="C242" s="52"/>
      <c r="D242" s="52"/>
      <c r="E242" s="52"/>
      <c r="F242" s="81"/>
      <c r="G242" s="57"/>
      <c r="H242" s="48">
        <f t="shared" si="1"/>
        <v>1455.625</v>
      </c>
      <c r="I242" s="77"/>
      <c r="J242" s="62"/>
      <c r="K242" s="52"/>
      <c r="L242" s="52"/>
      <c r="M242" s="76"/>
      <c r="N242" s="52">
        <f t="shared" si="17"/>
        <v>0</v>
      </c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62"/>
      <c r="AB242" s="52"/>
      <c r="AC242" s="53">
        <f t="shared" si="5"/>
        <v>0</v>
      </c>
      <c r="AD242" s="52"/>
      <c r="AE242" s="53">
        <f t="shared" si="11"/>
        <v>0</v>
      </c>
      <c r="AF242" s="53">
        <f t="shared" si="3"/>
        <v>0</v>
      </c>
      <c r="AG242" s="52"/>
      <c r="AH242" s="48"/>
      <c r="AI242" s="48"/>
      <c r="AJ242" s="48"/>
      <c r="AK242" s="53"/>
      <c r="AL242" s="53"/>
      <c r="AM242" s="53"/>
      <c r="AN242" s="53"/>
      <c r="AO242" s="53"/>
      <c r="AP242" s="53"/>
      <c r="AQ242" s="53"/>
      <c r="AR242" s="53"/>
      <c r="AS242" s="53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52"/>
      <c r="BG242" s="52"/>
      <c r="BH242" s="52"/>
      <c r="BI242" s="52"/>
      <c r="BJ242" s="52"/>
      <c r="BK242" s="52"/>
      <c r="BL242" s="52"/>
      <c r="BM242" s="54"/>
    </row>
    <row r="243">
      <c r="A243" s="42" t="s">
        <v>1014</v>
      </c>
      <c r="B243" s="52"/>
      <c r="C243" s="52"/>
      <c r="D243" s="52"/>
      <c r="E243" s="52"/>
      <c r="F243" s="81"/>
      <c r="G243" s="57"/>
      <c r="H243" s="48">
        <f t="shared" si="1"/>
        <v>1455.625</v>
      </c>
      <c r="I243" s="77"/>
      <c r="J243" s="62"/>
      <c r="K243" s="52"/>
      <c r="L243" s="52"/>
      <c r="M243" s="76"/>
      <c r="N243" s="52">
        <f t="shared" si="17"/>
        <v>0</v>
      </c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62"/>
      <c r="AB243" s="52"/>
      <c r="AC243" s="53">
        <f t="shared" si="5"/>
        <v>0</v>
      </c>
      <c r="AD243" s="52"/>
      <c r="AE243" s="53">
        <f t="shared" si="11"/>
        <v>0</v>
      </c>
      <c r="AF243" s="53">
        <f t="shared" si="3"/>
        <v>0</v>
      </c>
      <c r="AG243" s="52"/>
      <c r="AH243" s="48"/>
      <c r="AI243" s="48"/>
      <c r="AJ243" s="48"/>
      <c r="AK243" s="53"/>
      <c r="AL243" s="53"/>
      <c r="AM243" s="53"/>
      <c r="AN243" s="53"/>
      <c r="AO243" s="53"/>
      <c r="AP243" s="53"/>
      <c r="AQ243" s="53"/>
      <c r="AR243" s="53"/>
      <c r="AS243" s="53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52"/>
      <c r="BG243" s="52"/>
      <c r="BH243" s="52"/>
      <c r="BI243" s="52"/>
      <c r="BJ243" s="52"/>
      <c r="BK243" s="52"/>
      <c r="BL243" s="52"/>
      <c r="BM243" s="54"/>
    </row>
    <row r="244">
      <c r="A244" s="42" t="s">
        <v>1015</v>
      </c>
      <c r="B244" s="52"/>
      <c r="C244" s="52"/>
      <c r="D244" s="52"/>
      <c r="E244" s="52"/>
      <c r="F244" s="81"/>
      <c r="G244" s="57"/>
      <c r="H244" s="48">
        <f t="shared" si="1"/>
        <v>1455.625</v>
      </c>
      <c r="I244" s="77"/>
      <c r="J244" s="62"/>
      <c r="K244" s="52"/>
      <c r="L244" s="52"/>
      <c r="M244" s="76"/>
      <c r="N244" s="52">
        <f t="shared" si="17"/>
        <v>0</v>
      </c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62"/>
      <c r="AB244" s="52"/>
      <c r="AC244" s="53">
        <f t="shared" si="5"/>
        <v>0</v>
      </c>
      <c r="AD244" s="52"/>
      <c r="AE244" s="53">
        <f t="shared" si="11"/>
        <v>0</v>
      </c>
      <c r="AF244" s="53">
        <f t="shared" si="3"/>
        <v>0</v>
      </c>
      <c r="AG244" s="52"/>
      <c r="AH244" s="48"/>
      <c r="AI244" s="48"/>
      <c r="AJ244" s="48"/>
      <c r="AK244" s="53"/>
      <c r="AL244" s="53"/>
      <c r="AM244" s="53"/>
      <c r="AN244" s="53"/>
      <c r="AO244" s="53"/>
      <c r="AP244" s="53"/>
      <c r="AQ244" s="53"/>
      <c r="AR244" s="53"/>
      <c r="AS244" s="53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52"/>
      <c r="BG244" s="52"/>
      <c r="BH244" s="52"/>
      <c r="BI244" s="52"/>
      <c r="BJ244" s="52"/>
      <c r="BK244" s="52"/>
      <c r="BL244" s="52"/>
      <c r="BM244" s="54"/>
    </row>
    <row r="245">
      <c r="A245" s="42" t="s">
        <v>1016</v>
      </c>
      <c r="B245" s="52"/>
      <c r="C245" s="52"/>
      <c r="D245" s="52"/>
      <c r="E245" s="52"/>
      <c r="F245" s="81"/>
      <c r="G245" s="57"/>
      <c r="H245" s="48">
        <f t="shared" si="1"/>
        <v>1455.625</v>
      </c>
      <c r="I245" s="77"/>
      <c r="J245" s="62"/>
      <c r="K245" s="52"/>
      <c r="L245" s="52"/>
      <c r="M245" s="76"/>
      <c r="N245" s="52">
        <f t="shared" si="17"/>
        <v>0</v>
      </c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62"/>
      <c r="AB245" s="52"/>
      <c r="AC245" s="53">
        <f t="shared" si="5"/>
        <v>0</v>
      </c>
      <c r="AD245" s="52"/>
      <c r="AE245" s="53">
        <f t="shared" si="11"/>
        <v>0</v>
      </c>
      <c r="AF245" s="53">
        <f t="shared" si="3"/>
        <v>0</v>
      </c>
      <c r="AG245" s="52"/>
      <c r="AH245" s="48"/>
      <c r="AI245" s="48"/>
      <c r="AJ245" s="48"/>
      <c r="AK245" s="53"/>
      <c r="AL245" s="53"/>
      <c r="AM245" s="53"/>
      <c r="AN245" s="53"/>
      <c r="AO245" s="53"/>
      <c r="AP245" s="53"/>
      <c r="AQ245" s="53"/>
      <c r="AR245" s="53"/>
      <c r="AS245" s="53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52"/>
      <c r="BG245" s="52"/>
      <c r="BH245" s="52"/>
      <c r="BI245" s="52"/>
      <c r="BJ245" s="52"/>
      <c r="BK245" s="52"/>
      <c r="BL245" s="52"/>
      <c r="BM245" s="54"/>
    </row>
    <row r="246">
      <c r="A246" s="42" t="s">
        <v>1017</v>
      </c>
      <c r="B246" s="52"/>
      <c r="C246" s="52"/>
      <c r="D246" s="52"/>
      <c r="E246" s="52"/>
      <c r="F246" s="81"/>
      <c r="G246" s="57"/>
      <c r="H246" s="48">
        <f t="shared" si="1"/>
        <v>1455.625</v>
      </c>
      <c r="I246" s="77"/>
      <c r="J246" s="62"/>
      <c r="K246" s="52"/>
      <c r="L246" s="52"/>
      <c r="M246" s="76"/>
      <c r="N246" s="52">
        <f t="shared" si="17"/>
        <v>0</v>
      </c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62"/>
      <c r="AB246" s="52"/>
      <c r="AC246" s="53">
        <f t="shared" si="5"/>
        <v>0</v>
      </c>
      <c r="AD246" s="52"/>
      <c r="AE246" s="53">
        <f t="shared" si="11"/>
        <v>0</v>
      </c>
      <c r="AF246" s="53">
        <f t="shared" si="3"/>
        <v>0</v>
      </c>
      <c r="AG246" s="52"/>
      <c r="AH246" s="48"/>
      <c r="AI246" s="48"/>
      <c r="AJ246" s="48"/>
      <c r="AK246" s="53"/>
      <c r="AL246" s="53"/>
      <c r="AM246" s="53"/>
      <c r="AN246" s="53"/>
      <c r="AO246" s="53"/>
      <c r="AP246" s="53"/>
      <c r="AQ246" s="53"/>
      <c r="AR246" s="53"/>
      <c r="AS246" s="53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52"/>
      <c r="BG246" s="52"/>
      <c r="BH246" s="52"/>
      <c r="BI246" s="52"/>
      <c r="BJ246" s="52"/>
      <c r="BK246" s="52"/>
      <c r="BL246" s="52"/>
      <c r="BM246" s="54"/>
    </row>
    <row r="247">
      <c r="A247" s="42" t="s">
        <v>1018</v>
      </c>
      <c r="B247" s="52"/>
      <c r="C247" s="52"/>
      <c r="D247" s="52"/>
      <c r="E247" s="52"/>
      <c r="F247" s="81"/>
      <c r="G247" s="57"/>
      <c r="H247" s="48">
        <f t="shared" si="1"/>
        <v>1455.625</v>
      </c>
      <c r="I247" s="77"/>
      <c r="J247" s="62"/>
      <c r="K247" s="52"/>
      <c r="L247" s="52"/>
      <c r="M247" s="76"/>
      <c r="N247" s="52">
        <f t="shared" si="17"/>
        <v>0</v>
      </c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62"/>
      <c r="AB247" s="52"/>
      <c r="AC247" s="53">
        <f t="shared" si="5"/>
        <v>0</v>
      </c>
      <c r="AD247" s="52"/>
      <c r="AE247" s="53">
        <f t="shared" si="11"/>
        <v>0</v>
      </c>
      <c r="AF247" s="53">
        <f t="shared" si="3"/>
        <v>0</v>
      </c>
      <c r="AG247" s="52"/>
      <c r="AH247" s="48"/>
      <c r="AI247" s="48"/>
      <c r="AJ247" s="48"/>
      <c r="AK247" s="53"/>
      <c r="AL247" s="53"/>
      <c r="AM247" s="53"/>
      <c r="AN247" s="53"/>
      <c r="AO247" s="53"/>
      <c r="AP247" s="53"/>
      <c r="AQ247" s="53"/>
      <c r="AR247" s="53"/>
      <c r="AS247" s="53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52"/>
      <c r="BG247" s="52"/>
      <c r="BH247" s="52"/>
      <c r="BI247" s="52"/>
      <c r="BJ247" s="52"/>
      <c r="BK247" s="52"/>
      <c r="BL247" s="52"/>
      <c r="BM247" s="54"/>
    </row>
    <row r="248">
      <c r="A248" s="42" t="s">
        <v>1019</v>
      </c>
      <c r="B248" s="52"/>
      <c r="C248" s="52"/>
      <c r="D248" s="52"/>
      <c r="E248" s="52"/>
      <c r="F248" s="81"/>
      <c r="G248" s="57"/>
      <c r="H248" s="48">
        <f t="shared" si="1"/>
        <v>1455.625</v>
      </c>
      <c r="I248" s="77"/>
      <c r="J248" s="62"/>
      <c r="K248" s="52"/>
      <c r="L248" s="52"/>
      <c r="M248" s="76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62"/>
      <c r="AB248" s="52"/>
      <c r="AC248" s="53">
        <f t="shared" si="5"/>
        <v>0</v>
      </c>
      <c r="AD248" s="52"/>
      <c r="AE248" s="53">
        <f t="shared" si="11"/>
        <v>0</v>
      </c>
      <c r="AF248" s="53">
        <f t="shared" si="3"/>
        <v>0</v>
      </c>
      <c r="AG248" s="52"/>
      <c r="AH248" s="48"/>
      <c r="AI248" s="48"/>
      <c r="AJ248" s="48"/>
      <c r="AK248" s="53"/>
      <c r="AL248" s="53"/>
      <c r="AM248" s="53"/>
      <c r="AN248" s="53"/>
      <c r="AO248" s="53"/>
      <c r="AP248" s="53"/>
      <c r="AQ248" s="53"/>
      <c r="AR248" s="53"/>
      <c r="AS248" s="53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52"/>
      <c r="BG248" s="52"/>
      <c r="BH248" s="52"/>
      <c r="BI248" s="52"/>
      <c r="BJ248" s="52"/>
      <c r="BK248" s="52"/>
      <c r="BL248" s="52"/>
      <c r="BM248" s="54"/>
    </row>
    <row r="249">
      <c r="A249" s="42" t="s">
        <v>1020</v>
      </c>
      <c r="B249" s="52"/>
      <c r="C249" s="52"/>
      <c r="D249" s="52"/>
      <c r="E249" s="52"/>
      <c r="F249" s="81"/>
      <c r="G249" s="57"/>
      <c r="H249" s="48">
        <f t="shared" si="1"/>
        <v>1455.625</v>
      </c>
      <c r="I249" s="77"/>
      <c r="J249" s="62"/>
      <c r="K249" s="52"/>
      <c r="L249" s="52"/>
      <c r="M249" s="76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62"/>
      <c r="AB249" s="52"/>
      <c r="AC249" s="53">
        <f t="shared" si="5"/>
        <v>0</v>
      </c>
      <c r="AD249" s="52"/>
      <c r="AE249" s="53">
        <f t="shared" si="11"/>
        <v>0</v>
      </c>
      <c r="AF249" s="53">
        <f t="shared" si="3"/>
        <v>0</v>
      </c>
      <c r="AG249" s="52"/>
      <c r="AH249" s="48"/>
      <c r="AI249" s="48"/>
      <c r="AJ249" s="48"/>
      <c r="AK249" s="53"/>
      <c r="AL249" s="53"/>
      <c r="AM249" s="53"/>
      <c r="AN249" s="53"/>
      <c r="AO249" s="53"/>
      <c r="AP249" s="53"/>
      <c r="AQ249" s="53"/>
      <c r="AR249" s="53"/>
      <c r="AS249" s="53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52"/>
      <c r="BG249" s="52"/>
      <c r="BH249" s="52"/>
      <c r="BI249" s="52"/>
      <c r="BJ249" s="52"/>
      <c r="BK249" s="52"/>
      <c r="BL249" s="52"/>
      <c r="BM249" s="54"/>
    </row>
    <row r="250">
      <c r="A250" s="42" t="s">
        <v>1021</v>
      </c>
      <c r="B250" s="52"/>
      <c r="C250" s="52"/>
      <c r="D250" s="52"/>
      <c r="E250" s="52"/>
      <c r="F250" s="81"/>
      <c r="G250" s="57"/>
      <c r="H250" s="48">
        <f t="shared" si="1"/>
        <v>1455.625</v>
      </c>
      <c r="I250" s="77"/>
      <c r="J250" s="62"/>
      <c r="K250" s="52"/>
      <c r="L250" s="52"/>
      <c r="M250" s="76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62"/>
      <c r="AB250" s="52"/>
      <c r="AC250" s="53">
        <f t="shared" si="5"/>
        <v>0</v>
      </c>
      <c r="AD250" s="52"/>
      <c r="AE250" s="53">
        <f t="shared" si="11"/>
        <v>0</v>
      </c>
      <c r="AF250" s="53">
        <f t="shared" si="3"/>
        <v>0</v>
      </c>
      <c r="AG250" s="52"/>
      <c r="AH250" s="48"/>
      <c r="AI250" s="48"/>
      <c r="AJ250" s="48"/>
      <c r="AK250" s="53"/>
      <c r="AL250" s="53"/>
      <c r="AM250" s="53"/>
      <c r="AN250" s="53"/>
      <c r="AO250" s="53"/>
      <c r="AP250" s="53"/>
      <c r="AQ250" s="53"/>
      <c r="AR250" s="53"/>
      <c r="AS250" s="53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52"/>
      <c r="BG250" s="52"/>
      <c r="BH250" s="52"/>
      <c r="BI250" s="52"/>
      <c r="BJ250" s="52"/>
      <c r="BK250" s="52"/>
      <c r="BL250" s="52"/>
      <c r="BM250" s="54"/>
    </row>
    <row r="251">
      <c r="A251" s="42" t="s">
        <v>1022</v>
      </c>
      <c r="B251" s="52"/>
      <c r="C251" s="52"/>
      <c r="D251" s="52"/>
      <c r="E251" s="52"/>
      <c r="F251" s="81"/>
      <c r="G251" s="57"/>
      <c r="H251" s="48">
        <f t="shared" si="1"/>
        <v>1455.625</v>
      </c>
      <c r="I251" s="77"/>
      <c r="J251" s="62"/>
      <c r="K251" s="52"/>
      <c r="L251" s="52"/>
      <c r="M251" s="76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62"/>
      <c r="AB251" s="52"/>
      <c r="AC251" s="53">
        <f t="shared" si="5"/>
        <v>0</v>
      </c>
      <c r="AD251" s="52"/>
      <c r="AE251" s="53">
        <f t="shared" si="11"/>
        <v>0</v>
      </c>
      <c r="AF251" s="53">
        <f t="shared" si="3"/>
        <v>0</v>
      </c>
      <c r="AG251" s="52"/>
      <c r="AH251" s="48"/>
      <c r="AI251" s="48"/>
      <c r="AJ251" s="48"/>
      <c r="AK251" s="53"/>
      <c r="AL251" s="53"/>
      <c r="AM251" s="53"/>
      <c r="AN251" s="53"/>
      <c r="AO251" s="53"/>
      <c r="AP251" s="53"/>
      <c r="AQ251" s="53"/>
      <c r="AR251" s="53"/>
      <c r="AS251" s="53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52"/>
      <c r="BG251" s="52"/>
      <c r="BH251" s="52"/>
      <c r="BI251" s="52"/>
      <c r="BJ251" s="52"/>
      <c r="BK251" s="52"/>
      <c r="BL251" s="52"/>
      <c r="BM251" s="54"/>
    </row>
    <row r="252">
      <c r="A252" s="42" t="s">
        <v>1023</v>
      </c>
      <c r="B252" s="52"/>
      <c r="C252" s="52"/>
      <c r="D252" s="52"/>
      <c r="E252" s="52"/>
      <c r="F252" s="81"/>
      <c r="G252" s="57"/>
      <c r="H252" s="48">
        <f t="shared" si="1"/>
        <v>1455.625</v>
      </c>
      <c r="I252" s="77"/>
      <c r="J252" s="62"/>
      <c r="K252" s="52"/>
      <c r="L252" s="52"/>
      <c r="M252" s="76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62"/>
      <c r="AB252" s="52"/>
      <c r="AC252" s="53">
        <f t="shared" si="5"/>
        <v>0</v>
      </c>
      <c r="AD252" s="52"/>
      <c r="AE252" s="53">
        <f t="shared" si="11"/>
        <v>0</v>
      </c>
      <c r="AF252" s="53">
        <f t="shared" si="3"/>
        <v>0</v>
      </c>
      <c r="AG252" s="52"/>
      <c r="AH252" s="48"/>
      <c r="AI252" s="48"/>
      <c r="AJ252" s="48"/>
      <c r="AK252" s="53"/>
      <c r="AL252" s="53"/>
      <c r="AM252" s="53"/>
      <c r="AN252" s="53"/>
      <c r="AO252" s="53"/>
      <c r="AP252" s="53"/>
      <c r="AQ252" s="53"/>
      <c r="AR252" s="53"/>
      <c r="AS252" s="53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52"/>
      <c r="BG252" s="52"/>
      <c r="BH252" s="52"/>
      <c r="BI252" s="52"/>
      <c r="BJ252" s="52"/>
      <c r="BK252" s="52"/>
      <c r="BL252" s="52"/>
      <c r="BM252" s="54"/>
    </row>
    <row r="253">
      <c r="A253" s="42" t="s">
        <v>1024</v>
      </c>
      <c r="B253" s="52"/>
      <c r="C253" s="52"/>
      <c r="D253" s="52"/>
      <c r="E253" s="52"/>
      <c r="F253" s="81"/>
      <c r="G253" s="57"/>
      <c r="H253" s="48">
        <f t="shared" si="1"/>
        <v>1455.625</v>
      </c>
      <c r="I253" s="77"/>
      <c r="J253" s="62"/>
      <c r="K253" s="52"/>
      <c r="L253" s="52"/>
      <c r="M253" s="76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62"/>
      <c r="AB253" s="52"/>
      <c r="AC253" s="53">
        <f t="shared" si="5"/>
        <v>0</v>
      </c>
      <c r="AD253" s="52"/>
      <c r="AE253" s="53">
        <f t="shared" si="11"/>
        <v>0</v>
      </c>
      <c r="AF253" s="53">
        <f t="shared" si="3"/>
        <v>0</v>
      </c>
      <c r="AG253" s="52"/>
      <c r="AH253" s="48"/>
      <c r="AI253" s="48"/>
      <c r="AJ253" s="48"/>
      <c r="AK253" s="53"/>
      <c r="AL253" s="53"/>
      <c r="AM253" s="53"/>
      <c r="AN253" s="53"/>
      <c r="AO253" s="53"/>
      <c r="AP253" s="53"/>
      <c r="AQ253" s="53"/>
      <c r="AR253" s="53"/>
      <c r="AS253" s="53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52"/>
      <c r="BG253" s="52"/>
      <c r="BH253" s="52"/>
      <c r="BI253" s="52"/>
      <c r="BJ253" s="52"/>
      <c r="BK253" s="52"/>
      <c r="BL253" s="52"/>
      <c r="BM253" s="54"/>
    </row>
    <row r="254">
      <c r="A254" s="42" t="s">
        <v>1025</v>
      </c>
      <c r="B254" s="52"/>
      <c r="C254" s="52"/>
      <c r="D254" s="52"/>
      <c r="E254" s="52"/>
      <c r="F254" s="81"/>
      <c r="G254" s="57"/>
      <c r="H254" s="48">
        <f t="shared" si="1"/>
        <v>1455.625</v>
      </c>
      <c r="I254" s="77"/>
      <c r="J254" s="62"/>
      <c r="K254" s="52"/>
      <c r="L254" s="52"/>
      <c r="M254" s="76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62"/>
      <c r="AB254" s="52"/>
      <c r="AC254" s="53">
        <f t="shared" si="5"/>
        <v>0</v>
      </c>
      <c r="AD254" s="52"/>
      <c r="AE254" s="53">
        <f t="shared" si="11"/>
        <v>0</v>
      </c>
      <c r="AF254" s="53">
        <f t="shared" si="3"/>
        <v>0</v>
      </c>
      <c r="AG254" s="52"/>
      <c r="AH254" s="48"/>
      <c r="AI254" s="48"/>
      <c r="AJ254" s="48"/>
      <c r="AK254" s="53"/>
      <c r="AL254" s="53"/>
      <c r="AM254" s="53"/>
      <c r="AN254" s="53"/>
      <c r="AO254" s="53"/>
      <c r="AP254" s="53"/>
      <c r="AQ254" s="53"/>
      <c r="AR254" s="53"/>
      <c r="AS254" s="53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52"/>
      <c r="BG254" s="52"/>
      <c r="BH254" s="52"/>
      <c r="BI254" s="52"/>
      <c r="BJ254" s="52"/>
      <c r="BK254" s="52"/>
      <c r="BL254" s="52"/>
      <c r="BM254" s="54"/>
    </row>
    <row r="255">
      <c r="A255" s="42" t="s">
        <v>1026</v>
      </c>
      <c r="B255" s="52"/>
      <c r="C255" s="52"/>
      <c r="D255" s="52"/>
      <c r="E255" s="52"/>
      <c r="F255" s="81"/>
      <c r="G255" s="57"/>
      <c r="H255" s="48">
        <f t="shared" si="1"/>
        <v>1455.625</v>
      </c>
      <c r="I255" s="77"/>
      <c r="J255" s="62"/>
      <c r="K255" s="52"/>
      <c r="L255" s="52"/>
      <c r="M255" s="76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62"/>
      <c r="AB255" s="52"/>
      <c r="AC255" s="53">
        <f t="shared" si="5"/>
        <v>0</v>
      </c>
      <c r="AD255" s="52"/>
      <c r="AE255" s="53">
        <f t="shared" si="11"/>
        <v>0</v>
      </c>
      <c r="AF255" s="53">
        <f t="shared" si="3"/>
        <v>0</v>
      </c>
      <c r="AG255" s="52"/>
      <c r="AH255" s="48"/>
      <c r="AI255" s="48"/>
      <c r="AJ255" s="48"/>
      <c r="AK255" s="53"/>
      <c r="AL255" s="53"/>
      <c r="AM255" s="53"/>
      <c r="AN255" s="53"/>
      <c r="AO255" s="53"/>
      <c r="AP255" s="53"/>
      <c r="AQ255" s="53"/>
      <c r="AR255" s="53"/>
      <c r="AS255" s="53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52"/>
      <c r="BG255" s="52"/>
      <c r="BH255" s="52"/>
      <c r="BI255" s="52"/>
      <c r="BJ255" s="52"/>
      <c r="BK255" s="52"/>
      <c r="BL255" s="52"/>
      <c r="BM255" s="54"/>
    </row>
    <row r="256">
      <c r="A256" s="42" t="s">
        <v>1027</v>
      </c>
      <c r="B256" s="52"/>
      <c r="C256" s="52"/>
      <c r="D256" s="52"/>
      <c r="E256" s="52"/>
      <c r="F256" s="81"/>
      <c r="G256" s="57"/>
      <c r="H256" s="48">
        <f t="shared" si="1"/>
        <v>1455.625</v>
      </c>
      <c r="I256" s="77"/>
      <c r="J256" s="62"/>
      <c r="K256" s="52"/>
      <c r="L256" s="52"/>
      <c r="M256" s="76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62"/>
      <c r="AB256" s="52"/>
      <c r="AC256" s="53">
        <f t="shared" si="5"/>
        <v>0</v>
      </c>
      <c r="AD256" s="52"/>
      <c r="AE256" s="53">
        <f t="shared" si="11"/>
        <v>0</v>
      </c>
      <c r="AF256" s="53">
        <f t="shared" si="3"/>
        <v>0</v>
      </c>
      <c r="AG256" s="52"/>
      <c r="AH256" s="48"/>
      <c r="AI256" s="48"/>
      <c r="AJ256" s="48"/>
      <c r="AK256" s="53"/>
      <c r="AL256" s="53"/>
      <c r="AM256" s="53"/>
      <c r="AN256" s="53"/>
      <c r="AO256" s="53"/>
      <c r="AP256" s="53"/>
      <c r="AQ256" s="53"/>
      <c r="AR256" s="53"/>
      <c r="AS256" s="53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52"/>
      <c r="BG256" s="52"/>
      <c r="BH256" s="52"/>
      <c r="BI256" s="52"/>
      <c r="BJ256" s="52"/>
      <c r="BK256" s="52"/>
      <c r="BL256" s="52"/>
      <c r="BM256" s="54"/>
    </row>
    <row r="257">
      <c r="A257" s="42" t="s">
        <v>1028</v>
      </c>
      <c r="B257" s="52"/>
      <c r="C257" s="52"/>
      <c r="D257" s="52"/>
      <c r="E257" s="52"/>
      <c r="F257" s="81"/>
      <c r="G257" s="57"/>
      <c r="H257" s="48">
        <f t="shared" si="1"/>
        <v>1455.625</v>
      </c>
      <c r="I257" s="77"/>
      <c r="J257" s="62"/>
      <c r="K257" s="52"/>
      <c r="L257" s="52"/>
      <c r="M257" s="76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62"/>
      <c r="AB257" s="52"/>
      <c r="AC257" s="53">
        <f t="shared" si="5"/>
        <v>0</v>
      </c>
      <c r="AD257" s="52"/>
      <c r="AE257" s="53">
        <f t="shared" si="11"/>
        <v>0</v>
      </c>
      <c r="AF257" s="53">
        <f t="shared" si="3"/>
        <v>0</v>
      </c>
      <c r="AG257" s="52"/>
      <c r="AH257" s="48"/>
      <c r="AI257" s="48"/>
      <c r="AJ257" s="48"/>
      <c r="AK257" s="53"/>
      <c r="AL257" s="53"/>
      <c r="AM257" s="53"/>
      <c r="AN257" s="53"/>
      <c r="AO257" s="53"/>
      <c r="AP257" s="53"/>
      <c r="AQ257" s="53"/>
      <c r="AR257" s="53"/>
      <c r="AS257" s="53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52"/>
      <c r="BG257" s="52"/>
      <c r="BH257" s="52"/>
      <c r="BI257" s="52"/>
      <c r="BJ257" s="52"/>
      <c r="BK257" s="52"/>
      <c r="BL257" s="52"/>
      <c r="BM257" s="54"/>
    </row>
    <row r="258">
      <c r="A258" s="42" t="s">
        <v>1029</v>
      </c>
      <c r="B258" s="52"/>
      <c r="C258" s="52"/>
      <c r="D258" s="52"/>
      <c r="E258" s="52"/>
      <c r="F258" s="81"/>
      <c r="G258" s="57"/>
      <c r="H258" s="48">
        <f t="shared" si="1"/>
        <v>1455.625</v>
      </c>
      <c r="I258" s="77"/>
      <c r="J258" s="62"/>
      <c r="K258" s="52"/>
      <c r="L258" s="52"/>
      <c r="M258" s="76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62"/>
      <c r="AB258" s="52"/>
      <c r="AC258" s="53">
        <f t="shared" si="5"/>
        <v>0</v>
      </c>
      <c r="AD258" s="52"/>
      <c r="AE258" s="53">
        <f t="shared" si="11"/>
        <v>0</v>
      </c>
      <c r="AF258" s="53">
        <f t="shared" si="3"/>
        <v>0</v>
      </c>
      <c r="AG258" s="52"/>
      <c r="AH258" s="48"/>
      <c r="AI258" s="48"/>
      <c r="AJ258" s="48"/>
      <c r="AK258" s="53"/>
      <c r="AL258" s="53"/>
      <c r="AM258" s="53"/>
      <c r="AN258" s="53"/>
      <c r="AO258" s="53"/>
      <c r="AP258" s="53"/>
      <c r="AQ258" s="53"/>
      <c r="AR258" s="53"/>
      <c r="AS258" s="53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52"/>
      <c r="BG258" s="52"/>
      <c r="BH258" s="52"/>
      <c r="BI258" s="52"/>
      <c r="BJ258" s="52"/>
      <c r="BK258" s="52"/>
      <c r="BL258" s="52"/>
      <c r="BM258" s="54"/>
    </row>
    <row r="259">
      <c r="A259" s="42" t="s">
        <v>1030</v>
      </c>
      <c r="B259" s="52"/>
      <c r="C259" s="52"/>
      <c r="D259" s="52"/>
      <c r="E259" s="52"/>
      <c r="F259" s="81"/>
      <c r="G259" s="57"/>
      <c r="H259" s="48">
        <f t="shared" si="1"/>
        <v>1455.625</v>
      </c>
      <c r="I259" s="77"/>
      <c r="J259" s="62"/>
      <c r="K259" s="52"/>
      <c r="L259" s="52"/>
      <c r="M259" s="76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62"/>
      <c r="AB259" s="52"/>
      <c r="AC259" s="53">
        <f t="shared" si="5"/>
        <v>0</v>
      </c>
      <c r="AD259" s="52"/>
      <c r="AE259" s="53">
        <f t="shared" si="11"/>
        <v>0</v>
      </c>
      <c r="AF259" s="53">
        <f t="shared" si="3"/>
        <v>0</v>
      </c>
      <c r="AG259" s="52"/>
      <c r="AH259" s="48"/>
      <c r="AI259" s="48"/>
      <c r="AJ259" s="48"/>
      <c r="AK259" s="53"/>
      <c r="AL259" s="53"/>
      <c r="AM259" s="53"/>
      <c r="AN259" s="53"/>
      <c r="AO259" s="53"/>
      <c r="AP259" s="53"/>
      <c r="AQ259" s="53"/>
      <c r="AR259" s="53"/>
      <c r="AS259" s="53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52"/>
      <c r="BG259" s="52"/>
      <c r="BH259" s="52"/>
      <c r="BI259" s="52"/>
      <c r="BJ259" s="52"/>
      <c r="BK259" s="52"/>
      <c r="BL259" s="52"/>
      <c r="BM259" s="54"/>
    </row>
    <row r="260">
      <c r="A260" s="42" t="s">
        <v>1031</v>
      </c>
      <c r="B260" s="52"/>
      <c r="C260" s="52"/>
      <c r="D260" s="52"/>
      <c r="E260" s="52"/>
      <c r="F260" s="81"/>
      <c r="G260" s="57"/>
      <c r="H260" s="48">
        <f t="shared" si="1"/>
        <v>1455.625</v>
      </c>
      <c r="I260" s="77"/>
      <c r="J260" s="62"/>
      <c r="K260" s="52"/>
      <c r="L260" s="52"/>
      <c r="M260" s="76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62"/>
      <c r="AB260" s="52"/>
      <c r="AC260" s="53">
        <f t="shared" si="5"/>
        <v>0</v>
      </c>
      <c r="AD260" s="52"/>
      <c r="AE260" s="53">
        <f t="shared" si="11"/>
        <v>0</v>
      </c>
      <c r="AF260" s="53">
        <f t="shared" si="3"/>
        <v>0</v>
      </c>
      <c r="AG260" s="52"/>
      <c r="AH260" s="48"/>
      <c r="AI260" s="48"/>
      <c r="AJ260" s="48"/>
      <c r="AK260" s="53"/>
      <c r="AL260" s="53"/>
      <c r="AM260" s="53"/>
      <c r="AN260" s="53"/>
      <c r="AO260" s="53"/>
      <c r="AP260" s="53"/>
      <c r="AQ260" s="53"/>
      <c r="AR260" s="53"/>
      <c r="AS260" s="53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52"/>
      <c r="BG260" s="52"/>
      <c r="BH260" s="52"/>
      <c r="BI260" s="52"/>
      <c r="BJ260" s="52"/>
      <c r="BK260" s="52"/>
      <c r="BL260" s="52"/>
      <c r="BM260" s="54"/>
    </row>
    <row r="261">
      <c r="A261" s="42" t="s">
        <v>1032</v>
      </c>
      <c r="B261" s="52"/>
      <c r="C261" s="52"/>
      <c r="D261" s="52"/>
      <c r="E261" s="52"/>
      <c r="F261" s="81"/>
      <c r="G261" s="57"/>
      <c r="H261" s="48">
        <f t="shared" si="1"/>
        <v>1455.625</v>
      </c>
      <c r="I261" s="77"/>
      <c r="J261" s="62"/>
      <c r="K261" s="52"/>
      <c r="L261" s="52"/>
      <c r="M261" s="76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62"/>
      <c r="AB261" s="52"/>
      <c r="AC261" s="53">
        <f t="shared" si="5"/>
        <v>0</v>
      </c>
      <c r="AD261" s="52"/>
      <c r="AE261" s="53">
        <f t="shared" si="11"/>
        <v>0</v>
      </c>
      <c r="AF261" s="53">
        <f t="shared" si="3"/>
        <v>0</v>
      </c>
      <c r="AG261" s="52"/>
      <c r="AH261" s="48"/>
      <c r="AI261" s="48"/>
      <c r="AJ261" s="48"/>
      <c r="AK261" s="53"/>
      <c r="AL261" s="53"/>
      <c r="AM261" s="53"/>
      <c r="AN261" s="53"/>
      <c r="AO261" s="53"/>
      <c r="AP261" s="53"/>
      <c r="AQ261" s="53"/>
      <c r="AR261" s="53"/>
      <c r="AS261" s="53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52"/>
      <c r="BG261" s="52"/>
      <c r="BH261" s="52"/>
      <c r="BI261" s="52"/>
      <c r="BJ261" s="52"/>
      <c r="BK261" s="52"/>
      <c r="BL261" s="52"/>
      <c r="BM261" s="54"/>
    </row>
    <row r="262">
      <c r="A262" s="42" t="s">
        <v>1033</v>
      </c>
      <c r="B262" s="52"/>
      <c r="C262" s="52"/>
      <c r="D262" s="52"/>
      <c r="E262" s="52"/>
      <c r="F262" s="81"/>
      <c r="G262" s="57"/>
      <c r="H262" s="48">
        <f t="shared" si="1"/>
        <v>1455.625</v>
      </c>
      <c r="I262" s="77"/>
      <c r="J262" s="62"/>
      <c r="K262" s="52"/>
      <c r="L262" s="52"/>
      <c r="M262" s="76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62"/>
      <c r="AB262" s="52"/>
      <c r="AC262" s="53">
        <f t="shared" si="5"/>
        <v>0</v>
      </c>
      <c r="AD262" s="52"/>
      <c r="AE262" s="53">
        <f t="shared" si="11"/>
        <v>0</v>
      </c>
      <c r="AF262" s="53">
        <f t="shared" si="3"/>
        <v>0</v>
      </c>
      <c r="AG262" s="52"/>
      <c r="AH262" s="48"/>
      <c r="AI262" s="48"/>
      <c r="AJ262" s="48"/>
      <c r="AK262" s="53"/>
      <c r="AL262" s="53"/>
      <c r="AM262" s="53"/>
      <c r="AN262" s="53"/>
      <c r="AO262" s="53"/>
      <c r="AP262" s="53"/>
      <c r="AQ262" s="53"/>
      <c r="AR262" s="53"/>
      <c r="AS262" s="53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52"/>
      <c r="BG262" s="52"/>
      <c r="BH262" s="52"/>
      <c r="BI262" s="52"/>
      <c r="BJ262" s="52"/>
      <c r="BK262" s="52"/>
      <c r="BL262" s="52"/>
      <c r="BM262" s="54"/>
    </row>
    <row r="263">
      <c r="A263" s="42" t="s">
        <v>1034</v>
      </c>
      <c r="B263" s="52"/>
      <c r="C263" s="52"/>
      <c r="D263" s="52"/>
      <c r="E263" s="52"/>
      <c r="F263" s="81"/>
      <c r="G263" s="57"/>
      <c r="H263" s="48">
        <f t="shared" si="1"/>
        <v>1455.625</v>
      </c>
      <c r="I263" s="77"/>
      <c r="J263" s="62"/>
      <c r="K263" s="52"/>
      <c r="L263" s="52"/>
      <c r="M263" s="76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62"/>
      <c r="AB263" s="52"/>
      <c r="AC263" s="53">
        <f t="shared" si="5"/>
        <v>0</v>
      </c>
      <c r="AD263" s="52"/>
      <c r="AE263" s="53">
        <f t="shared" si="11"/>
        <v>0</v>
      </c>
      <c r="AF263" s="53">
        <f t="shared" si="3"/>
        <v>0</v>
      </c>
      <c r="AG263" s="52"/>
      <c r="AH263" s="48"/>
      <c r="AI263" s="48"/>
      <c r="AJ263" s="48"/>
      <c r="AK263" s="53"/>
      <c r="AL263" s="53"/>
      <c r="AM263" s="53"/>
      <c r="AN263" s="53"/>
      <c r="AO263" s="53"/>
      <c r="AP263" s="53"/>
      <c r="AQ263" s="53"/>
      <c r="AR263" s="53"/>
      <c r="AS263" s="53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52"/>
      <c r="BG263" s="52"/>
      <c r="BH263" s="52"/>
      <c r="BI263" s="52"/>
      <c r="BJ263" s="52"/>
      <c r="BK263" s="52"/>
      <c r="BL263" s="52"/>
      <c r="BM263" s="54"/>
    </row>
    <row r="264">
      <c r="A264" s="42"/>
      <c r="B264" s="52"/>
      <c r="C264" s="52"/>
      <c r="D264" s="52"/>
      <c r="E264" s="52"/>
      <c r="F264" s="81"/>
      <c r="G264" s="57"/>
      <c r="H264" s="48">
        <f t="shared" si="1"/>
        <v>1455.625</v>
      </c>
      <c r="I264" s="77"/>
      <c r="J264" s="62"/>
      <c r="K264" s="52"/>
      <c r="L264" s="52"/>
      <c r="M264" s="76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62"/>
      <c r="AB264" s="52"/>
      <c r="AC264" s="52"/>
      <c r="AD264" s="52"/>
      <c r="AE264" s="52"/>
      <c r="AF264" s="52"/>
      <c r="AG264" s="52"/>
      <c r="AH264" s="48"/>
      <c r="AI264" s="48"/>
      <c r="AJ264" s="48"/>
      <c r="AK264" s="53"/>
      <c r="AL264" s="53"/>
      <c r="AM264" s="53"/>
      <c r="AN264" s="53"/>
      <c r="AO264" s="53"/>
      <c r="AP264" s="53"/>
      <c r="AQ264" s="53"/>
      <c r="AR264" s="53"/>
      <c r="AS264" s="53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52"/>
      <c r="BG264" s="52"/>
      <c r="BH264" s="52"/>
      <c r="BI264" s="52"/>
      <c r="BJ264" s="52"/>
      <c r="BK264" s="52"/>
      <c r="BL264" s="52"/>
      <c r="BM264" s="54"/>
    </row>
    <row r="265">
      <c r="A265" s="42"/>
      <c r="B265" s="52"/>
      <c r="C265" s="52"/>
      <c r="D265" s="52"/>
      <c r="E265" s="52"/>
      <c r="F265" s="81"/>
      <c r="G265" s="57"/>
      <c r="H265" s="48">
        <f t="shared" si="1"/>
        <v>1455.625</v>
      </c>
      <c r="I265" s="77"/>
      <c r="J265" s="62"/>
      <c r="K265" s="52"/>
      <c r="L265" s="52"/>
      <c r="M265" s="76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62"/>
      <c r="AB265" s="52"/>
      <c r="AC265" s="52"/>
      <c r="AD265" s="52"/>
      <c r="AE265" s="52"/>
      <c r="AF265" s="52"/>
      <c r="AG265" s="52"/>
      <c r="AH265" s="48"/>
      <c r="AI265" s="48"/>
      <c r="AJ265" s="48"/>
      <c r="AK265" s="53"/>
      <c r="AL265" s="53"/>
      <c r="AM265" s="53"/>
      <c r="AN265" s="53"/>
      <c r="AO265" s="53"/>
      <c r="AP265" s="53"/>
      <c r="AQ265" s="53"/>
      <c r="AR265" s="53"/>
      <c r="AS265" s="53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52"/>
      <c r="BG265" s="52"/>
      <c r="BH265" s="52"/>
      <c r="BI265" s="52"/>
      <c r="BJ265" s="52"/>
      <c r="BK265" s="52"/>
      <c r="BL265" s="52"/>
      <c r="BM265" s="54"/>
    </row>
    <row r="266">
      <c r="A266" s="42"/>
      <c r="B266" s="52"/>
      <c r="C266" s="52"/>
      <c r="D266" s="52"/>
      <c r="E266" s="52"/>
      <c r="F266" s="81"/>
      <c r="G266" s="57"/>
      <c r="H266" s="48">
        <f t="shared" si="1"/>
        <v>1455.625</v>
      </c>
      <c r="I266" s="77"/>
      <c r="J266" s="62"/>
      <c r="K266" s="52"/>
      <c r="L266" s="52"/>
      <c r="M266" s="76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62"/>
      <c r="AB266" s="52"/>
      <c r="AC266" s="52"/>
      <c r="AD266" s="52"/>
      <c r="AE266" s="52"/>
      <c r="AF266" s="52"/>
      <c r="AG266" s="52"/>
      <c r="AH266" s="48"/>
      <c r="AI266" s="48"/>
      <c r="AJ266" s="48"/>
      <c r="AK266" s="53"/>
      <c r="AL266" s="53"/>
      <c r="AM266" s="53"/>
      <c r="AN266" s="53"/>
      <c r="AO266" s="53"/>
      <c r="AP266" s="53"/>
      <c r="AQ266" s="53"/>
      <c r="AR266" s="53"/>
      <c r="AS266" s="53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52"/>
      <c r="BG266" s="52"/>
      <c r="BH266" s="52"/>
      <c r="BI266" s="52"/>
      <c r="BJ266" s="52"/>
      <c r="BK266" s="52"/>
      <c r="BL266" s="52"/>
      <c r="BM266" s="54"/>
    </row>
    <row r="267">
      <c r="A267" s="42"/>
      <c r="B267" s="52"/>
      <c r="C267" s="52"/>
      <c r="D267" s="52"/>
      <c r="E267" s="52"/>
      <c r="F267" s="81"/>
      <c r="G267" s="57"/>
      <c r="H267" s="48">
        <f t="shared" si="1"/>
        <v>1455.625</v>
      </c>
      <c r="I267" s="77"/>
      <c r="J267" s="62"/>
      <c r="K267" s="52"/>
      <c r="L267" s="52"/>
      <c r="M267" s="76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62"/>
      <c r="AB267" s="52"/>
      <c r="AC267" s="52"/>
      <c r="AD267" s="52"/>
      <c r="AE267" s="52"/>
      <c r="AF267" s="52"/>
      <c r="AG267" s="52"/>
      <c r="AH267" s="48"/>
      <c r="AI267" s="48"/>
      <c r="AJ267" s="48"/>
      <c r="AK267" s="53"/>
      <c r="AL267" s="53"/>
      <c r="AM267" s="53"/>
      <c r="AN267" s="53"/>
      <c r="AO267" s="53"/>
      <c r="AP267" s="53"/>
      <c r="AQ267" s="53"/>
      <c r="AR267" s="53"/>
      <c r="AS267" s="53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52"/>
      <c r="BG267" s="52"/>
      <c r="BH267" s="52"/>
      <c r="BI267" s="52"/>
      <c r="BJ267" s="52"/>
      <c r="BK267" s="52"/>
      <c r="BL267" s="52"/>
      <c r="BM267" s="54"/>
    </row>
    <row r="268">
      <c r="A268" s="42"/>
      <c r="B268" s="52"/>
      <c r="C268" s="52"/>
      <c r="D268" s="52"/>
      <c r="E268" s="52"/>
      <c r="F268" s="81"/>
      <c r="G268" s="57"/>
      <c r="H268" s="48">
        <f t="shared" si="1"/>
        <v>1455.625</v>
      </c>
      <c r="I268" s="77"/>
      <c r="J268" s="62"/>
      <c r="K268" s="52"/>
      <c r="L268" s="52"/>
      <c r="M268" s="76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62"/>
      <c r="AB268" s="52"/>
      <c r="AC268" s="52"/>
      <c r="AD268" s="52"/>
      <c r="AE268" s="52"/>
      <c r="AF268" s="52"/>
      <c r="AG268" s="52"/>
      <c r="AH268" s="48"/>
      <c r="AI268" s="48"/>
      <c r="AJ268" s="48"/>
      <c r="AK268" s="53"/>
      <c r="AL268" s="53"/>
      <c r="AM268" s="53"/>
      <c r="AN268" s="53"/>
      <c r="AO268" s="53"/>
      <c r="AP268" s="53"/>
      <c r="AQ268" s="53"/>
      <c r="AR268" s="53"/>
      <c r="AS268" s="53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52"/>
      <c r="BG268" s="52"/>
      <c r="BH268" s="52"/>
      <c r="BI268" s="52"/>
      <c r="BJ268" s="52"/>
      <c r="BK268" s="52"/>
      <c r="BL268" s="52"/>
      <c r="BM268" s="54"/>
    </row>
    <row r="269">
      <c r="A269" s="42"/>
      <c r="B269" s="52"/>
      <c r="C269" s="52"/>
      <c r="D269" s="52"/>
      <c r="E269" s="52"/>
      <c r="F269" s="81"/>
      <c r="G269" s="57"/>
      <c r="H269" s="48">
        <f t="shared" si="1"/>
        <v>1455.625</v>
      </c>
      <c r="I269" s="77"/>
      <c r="J269" s="62"/>
      <c r="K269" s="52"/>
      <c r="L269" s="52"/>
      <c r="M269" s="76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62"/>
      <c r="AB269" s="52"/>
      <c r="AC269" s="52"/>
      <c r="AD269" s="52"/>
      <c r="AE269" s="52"/>
      <c r="AF269" s="52"/>
      <c r="AG269" s="52"/>
      <c r="AH269" s="48"/>
      <c r="AI269" s="48"/>
      <c r="AJ269" s="48"/>
      <c r="AK269" s="53"/>
      <c r="AL269" s="53"/>
      <c r="AM269" s="53"/>
      <c r="AN269" s="53"/>
      <c r="AO269" s="53"/>
      <c r="AP269" s="53"/>
      <c r="AQ269" s="53"/>
      <c r="AR269" s="53"/>
      <c r="AS269" s="53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52"/>
      <c r="BG269" s="52"/>
      <c r="BH269" s="52"/>
      <c r="BI269" s="52"/>
      <c r="BJ269" s="52"/>
      <c r="BK269" s="52"/>
      <c r="BL269" s="52"/>
      <c r="BM269" s="54"/>
    </row>
    <row r="270">
      <c r="A270" s="42"/>
      <c r="B270" s="52"/>
      <c r="C270" s="52"/>
      <c r="D270" s="52"/>
      <c r="E270" s="52"/>
      <c r="F270" s="81"/>
      <c r="G270" s="57"/>
      <c r="H270" s="48">
        <f t="shared" si="1"/>
        <v>1455.625</v>
      </c>
      <c r="I270" s="77"/>
      <c r="J270" s="62"/>
      <c r="K270" s="52"/>
      <c r="L270" s="52"/>
      <c r="M270" s="76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62"/>
      <c r="AB270" s="52"/>
      <c r="AC270" s="52"/>
      <c r="AD270" s="52"/>
      <c r="AE270" s="52"/>
      <c r="AF270" s="52"/>
      <c r="AG270" s="52"/>
      <c r="AH270" s="48"/>
      <c r="AI270" s="48"/>
      <c r="AJ270" s="48"/>
      <c r="AK270" s="53"/>
      <c r="AL270" s="53"/>
      <c r="AM270" s="53"/>
      <c r="AN270" s="53"/>
      <c r="AO270" s="53"/>
      <c r="AP270" s="53"/>
      <c r="AQ270" s="53"/>
      <c r="AR270" s="53"/>
      <c r="AS270" s="53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52"/>
      <c r="BG270" s="52"/>
      <c r="BH270" s="52"/>
      <c r="BI270" s="52"/>
      <c r="BJ270" s="52"/>
      <c r="BK270" s="52"/>
      <c r="BL270" s="52"/>
      <c r="BM270" s="54"/>
    </row>
    <row r="271">
      <c r="A271" s="42"/>
      <c r="B271" s="52"/>
      <c r="C271" s="52"/>
      <c r="D271" s="52"/>
      <c r="E271" s="52"/>
      <c r="F271" s="81"/>
      <c r="G271" s="57"/>
      <c r="H271" s="48">
        <f t="shared" si="1"/>
        <v>1455.625</v>
      </c>
      <c r="I271" s="77"/>
      <c r="J271" s="62"/>
      <c r="K271" s="52"/>
      <c r="L271" s="52"/>
      <c r="M271" s="76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62"/>
      <c r="AB271" s="52"/>
      <c r="AC271" s="52"/>
      <c r="AD271" s="52"/>
      <c r="AE271" s="52"/>
      <c r="AF271" s="52"/>
      <c r="AG271" s="52"/>
      <c r="AH271" s="48"/>
      <c r="AI271" s="48"/>
      <c r="AJ271" s="48"/>
      <c r="AK271" s="53"/>
      <c r="AL271" s="53"/>
      <c r="AM271" s="53"/>
      <c r="AN271" s="53"/>
      <c r="AO271" s="53"/>
      <c r="AP271" s="53"/>
      <c r="AQ271" s="53"/>
      <c r="AR271" s="53"/>
      <c r="AS271" s="53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52"/>
      <c r="BG271" s="52"/>
      <c r="BH271" s="52"/>
      <c r="BI271" s="52"/>
      <c r="BJ271" s="52"/>
      <c r="BK271" s="52"/>
      <c r="BL271" s="52"/>
      <c r="BM271" s="54"/>
    </row>
    <row r="272">
      <c r="A272" s="42"/>
      <c r="B272" s="52"/>
      <c r="C272" s="52"/>
      <c r="D272" s="52"/>
      <c r="E272" s="52"/>
      <c r="F272" s="81"/>
      <c r="G272" s="57"/>
      <c r="H272" s="48">
        <f t="shared" si="1"/>
        <v>1455.625</v>
      </c>
      <c r="I272" s="77"/>
      <c r="J272" s="62"/>
      <c r="K272" s="52"/>
      <c r="L272" s="52"/>
      <c r="M272" s="76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62"/>
      <c r="AB272" s="52"/>
      <c r="AC272" s="52"/>
      <c r="AD272" s="52"/>
      <c r="AE272" s="52"/>
      <c r="AF272" s="52"/>
      <c r="AG272" s="52"/>
      <c r="AH272" s="48"/>
      <c r="AI272" s="48"/>
      <c r="AJ272" s="48"/>
      <c r="AK272" s="53"/>
      <c r="AL272" s="53"/>
      <c r="AM272" s="53"/>
      <c r="AN272" s="53"/>
      <c r="AO272" s="53"/>
      <c r="AP272" s="53"/>
      <c r="AQ272" s="53"/>
      <c r="AR272" s="53"/>
      <c r="AS272" s="53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52"/>
      <c r="BG272" s="52"/>
      <c r="BH272" s="52"/>
      <c r="BI272" s="52"/>
      <c r="BJ272" s="52"/>
      <c r="BK272" s="52"/>
      <c r="BL272" s="52"/>
      <c r="BM272" s="54"/>
    </row>
    <row r="273">
      <c r="A273" s="42"/>
      <c r="B273" s="52"/>
      <c r="C273" s="52"/>
      <c r="D273" s="52"/>
      <c r="E273" s="52"/>
      <c r="F273" s="81"/>
      <c r="G273" s="57"/>
      <c r="H273" s="48"/>
      <c r="I273" s="77"/>
      <c r="J273" s="62"/>
      <c r="K273" s="52"/>
      <c r="L273" s="52"/>
      <c r="M273" s="76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62"/>
      <c r="AB273" s="52"/>
      <c r="AC273" s="52"/>
      <c r="AD273" s="52"/>
      <c r="AE273" s="52"/>
      <c r="AF273" s="52"/>
      <c r="AG273" s="52"/>
      <c r="AH273" s="48" t="str">
        <f>IFERROR(__xludf.DUMMYFUNCTION("importrange(C273,""Sheet2!a4:x4"")"),"#N/A")</f>
        <v>#N/A</v>
      </c>
      <c r="AI273" s="48"/>
      <c r="AJ273" s="48"/>
      <c r="AK273" s="53"/>
      <c r="AL273" s="53"/>
      <c r="AM273" s="53"/>
      <c r="AN273" s="53"/>
      <c r="AO273" s="53"/>
      <c r="AP273" s="53"/>
      <c r="AQ273" s="53"/>
      <c r="AR273" s="53"/>
      <c r="AS273" s="53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52"/>
      <c r="BG273" s="52"/>
      <c r="BH273" s="52"/>
      <c r="BI273" s="52"/>
      <c r="BJ273" s="52"/>
      <c r="BK273" s="52"/>
      <c r="BL273" s="52"/>
      <c r="BM273" s="54"/>
    </row>
    <row r="274">
      <c r="A274" s="42"/>
      <c r="B274" s="52"/>
      <c r="C274" s="52"/>
      <c r="D274" s="52"/>
      <c r="E274" s="52"/>
      <c r="F274" s="81"/>
      <c r="G274" s="57"/>
      <c r="H274" s="48"/>
      <c r="I274" s="77"/>
      <c r="J274" s="62"/>
      <c r="K274" s="52"/>
      <c r="L274" s="52"/>
      <c r="M274" s="76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62"/>
      <c r="AB274" s="52"/>
      <c r="AC274" s="52"/>
      <c r="AD274" s="52"/>
      <c r="AE274" s="52"/>
      <c r="AF274" s="52"/>
      <c r="AG274" s="52"/>
      <c r="AH274" s="48" t="str">
        <f>IFERROR(__xludf.DUMMYFUNCTION("importrange(C274,""Sheet2!a4:x4"")"),"#N/A")</f>
        <v>#N/A</v>
      </c>
      <c r="AI274" s="48"/>
      <c r="AJ274" s="48"/>
      <c r="AK274" s="53"/>
      <c r="AL274" s="53"/>
      <c r="AM274" s="53"/>
      <c r="AN274" s="53"/>
      <c r="AO274" s="53"/>
      <c r="AP274" s="53"/>
      <c r="AQ274" s="53"/>
      <c r="AR274" s="53"/>
      <c r="AS274" s="53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52"/>
      <c r="BG274" s="52"/>
      <c r="BH274" s="52"/>
      <c r="BI274" s="52"/>
      <c r="BJ274" s="52"/>
      <c r="BK274" s="52"/>
      <c r="BL274" s="52"/>
      <c r="BM274" s="54"/>
    </row>
    <row r="275">
      <c r="A275" s="42"/>
      <c r="B275" s="52"/>
      <c r="C275" s="52"/>
      <c r="D275" s="52"/>
      <c r="E275" s="52"/>
      <c r="F275" s="81"/>
      <c r="G275" s="57"/>
      <c r="H275" s="48"/>
      <c r="I275" s="77"/>
      <c r="J275" s="62"/>
      <c r="K275" s="52"/>
      <c r="L275" s="52"/>
      <c r="M275" s="76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62"/>
      <c r="AB275" s="52"/>
      <c r="AC275" s="52"/>
      <c r="AD275" s="52"/>
      <c r="AE275" s="52"/>
      <c r="AF275" s="52"/>
      <c r="AG275" s="52"/>
      <c r="AH275" s="48" t="str">
        <f>IFERROR(__xludf.DUMMYFUNCTION("importrange(C275,""Sheet2!a4:x4"")"),"#N/A")</f>
        <v>#N/A</v>
      </c>
      <c r="AI275" s="48"/>
      <c r="AJ275" s="48"/>
      <c r="AK275" s="53"/>
      <c r="AL275" s="53"/>
      <c r="AM275" s="53"/>
      <c r="AN275" s="53"/>
      <c r="AO275" s="53"/>
      <c r="AP275" s="53"/>
      <c r="AQ275" s="53"/>
      <c r="AR275" s="53"/>
      <c r="AS275" s="53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52"/>
      <c r="BG275" s="52"/>
      <c r="BH275" s="52"/>
      <c r="BI275" s="52"/>
      <c r="BJ275" s="52"/>
      <c r="BK275" s="52"/>
      <c r="BL275" s="52"/>
      <c r="BM275" s="54"/>
    </row>
    <row r="276">
      <c r="A276" s="42"/>
      <c r="B276" s="52"/>
      <c r="C276" s="52"/>
      <c r="D276" s="52"/>
      <c r="E276" s="52"/>
      <c r="F276" s="81"/>
      <c r="G276" s="57"/>
      <c r="H276" s="48"/>
      <c r="I276" s="77"/>
      <c r="J276" s="62"/>
      <c r="K276" s="52"/>
      <c r="L276" s="52"/>
      <c r="M276" s="76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62"/>
      <c r="AB276" s="52"/>
      <c r="AC276" s="52"/>
      <c r="AD276" s="52"/>
      <c r="AE276" s="52"/>
      <c r="AF276" s="52"/>
      <c r="AG276" s="52"/>
      <c r="AH276" s="48" t="str">
        <f>IFERROR(__xludf.DUMMYFUNCTION("importrange(C276,""Sheet2!a4:x4"")"),"#N/A")</f>
        <v>#N/A</v>
      </c>
      <c r="AI276" s="48"/>
      <c r="AJ276" s="48"/>
      <c r="AK276" s="53"/>
      <c r="AL276" s="53"/>
      <c r="AM276" s="53"/>
      <c r="AN276" s="53"/>
      <c r="AO276" s="53"/>
      <c r="AP276" s="53"/>
      <c r="AQ276" s="53"/>
      <c r="AR276" s="53"/>
      <c r="AS276" s="53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52"/>
      <c r="BG276" s="52"/>
      <c r="BH276" s="52"/>
      <c r="BI276" s="52"/>
      <c r="BJ276" s="52"/>
      <c r="BK276" s="52"/>
      <c r="BL276" s="52"/>
      <c r="BM276" s="54"/>
    </row>
    <row r="277">
      <c r="A277" s="42"/>
      <c r="B277" s="52"/>
      <c r="C277" s="52"/>
      <c r="D277" s="52"/>
      <c r="E277" s="52"/>
      <c r="F277" s="81"/>
      <c r="G277" s="57"/>
      <c r="H277" s="48"/>
      <c r="I277" s="77"/>
      <c r="J277" s="62"/>
      <c r="K277" s="52"/>
      <c r="L277" s="52"/>
      <c r="M277" s="76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62"/>
      <c r="AB277" s="52"/>
      <c r="AC277" s="52"/>
      <c r="AD277" s="52"/>
      <c r="AE277" s="52"/>
      <c r="AF277" s="52"/>
      <c r="AG277" s="52"/>
      <c r="AH277" s="48" t="str">
        <f>IFERROR(__xludf.DUMMYFUNCTION("importrange(C277,""Sheet2!a4:x4"")"),"#N/A")</f>
        <v>#N/A</v>
      </c>
      <c r="AI277" s="48"/>
      <c r="AJ277" s="48"/>
      <c r="AK277" s="53"/>
      <c r="AL277" s="53"/>
      <c r="AM277" s="53"/>
      <c r="AN277" s="53"/>
      <c r="AO277" s="53"/>
      <c r="AP277" s="53"/>
      <c r="AQ277" s="53"/>
      <c r="AR277" s="53"/>
      <c r="AS277" s="53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52"/>
      <c r="BG277" s="52"/>
      <c r="BH277" s="52"/>
      <c r="BI277" s="52"/>
      <c r="BJ277" s="52"/>
      <c r="BK277" s="52"/>
      <c r="BL277" s="52"/>
      <c r="BM277" s="54"/>
    </row>
    <row r="278">
      <c r="A278" s="42"/>
      <c r="B278" s="52"/>
      <c r="C278" s="52"/>
      <c r="D278" s="52"/>
      <c r="E278" s="52"/>
      <c r="F278" s="81"/>
      <c r="G278" s="57"/>
      <c r="H278" s="48"/>
      <c r="I278" s="77"/>
      <c r="J278" s="62"/>
      <c r="K278" s="52"/>
      <c r="L278" s="52"/>
      <c r="M278" s="76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62"/>
      <c r="AB278" s="52"/>
      <c r="AC278" s="52"/>
      <c r="AD278" s="52"/>
      <c r="AE278" s="52"/>
      <c r="AF278" s="52"/>
      <c r="AG278" s="52"/>
      <c r="AH278" s="48" t="str">
        <f>IFERROR(__xludf.DUMMYFUNCTION("importrange(C278,""Sheet2!a4:x4"")"),"#N/A")</f>
        <v>#N/A</v>
      </c>
      <c r="AI278" s="48"/>
      <c r="AJ278" s="48"/>
      <c r="AK278" s="53"/>
      <c r="AL278" s="53"/>
      <c r="AM278" s="53"/>
      <c r="AN278" s="53"/>
      <c r="AO278" s="53"/>
      <c r="AP278" s="53"/>
      <c r="AQ278" s="53"/>
      <c r="AR278" s="53"/>
      <c r="AS278" s="53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52"/>
      <c r="BG278" s="52"/>
      <c r="BH278" s="52"/>
      <c r="BI278" s="52"/>
      <c r="BJ278" s="52"/>
      <c r="BK278" s="52"/>
      <c r="BL278" s="52"/>
      <c r="BM278" s="54"/>
    </row>
    <row r="279">
      <c r="A279" s="42"/>
      <c r="B279" s="52"/>
      <c r="C279" s="52"/>
      <c r="D279" s="52"/>
      <c r="E279" s="52"/>
      <c r="F279" s="81"/>
      <c r="G279" s="57"/>
      <c r="H279" s="48"/>
      <c r="I279" s="77"/>
      <c r="J279" s="62"/>
      <c r="K279" s="52"/>
      <c r="L279" s="52"/>
      <c r="M279" s="76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62"/>
      <c r="AB279" s="52"/>
      <c r="AC279" s="52"/>
      <c r="AD279" s="52"/>
      <c r="AE279" s="52"/>
      <c r="AF279" s="52"/>
      <c r="AG279" s="52"/>
      <c r="AH279" s="48" t="str">
        <f>IFERROR(__xludf.DUMMYFUNCTION("importrange(C279,""Sheet2!a4:x4"")"),"#N/A")</f>
        <v>#N/A</v>
      </c>
      <c r="AI279" s="48"/>
      <c r="AJ279" s="48"/>
      <c r="AK279" s="53"/>
      <c r="AL279" s="53"/>
      <c r="AM279" s="53"/>
      <c r="AN279" s="53"/>
      <c r="AO279" s="53"/>
      <c r="AP279" s="53"/>
      <c r="AQ279" s="53"/>
      <c r="AR279" s="53"/>
      <c r="AS279" s="53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52"/>
      <c r="BG279" s="52"/>
      <c r="BH279" s="52"/>
      <c r="BI279" s="52"/>
      <c r="BJ279" s="52"/>
      <c r="BK279" s="52"/>
      <c r="BL279" s="52"/>
      <c r="BM279" s="54"/>
    </row>
    <row r="280">
      <c r="A280" s="42"/>
      <c r="B280" s="52"/>
      <c r="C280" s="52"/>
      <c r="D280" s="52"/>
      <c r="E280" s="52"/>
      <c r="F280" s="81"/>
      <c r="G280" s="57"/>
      <c r="H280" s="48"/>
      <c r="I280" s="77"/>
      <c r="J280" s="62"/>
      <c r="K280" s="52"/>
      <c r="L280" s="52"/>
      <c r="M280" s="76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62"/>
      <c r="AB280" s="52"/>
      <c r="AC280" s="52"/>
      <c r="AD280" s="52"/>
      <c r="AE280" s="52"/>
      <c r="AF280" s="52"/>
      <c r="AG280" s="52"/>
      <c r="AH280" s="48" t="str">
        <f>IFERROR(__xludf.DUMMYFUNCTION("importrange(C280,""Sheet2!a4:x4"")"),"#N/A")</f>
        <v>#N/A</v>
      </c>
      <c r="AI280" s="48"/>
      <c r="AJ280" s="48"/>
      <c r="AK280" s="53"/>
      <c r="AL280" s="53"/>
      <c r="AM280" s="53"/>
      <c r="AN280" s="53"/>
      <c r="AO280" s="53"/>
      <c r="AP280" s="53"/>
      <c r="AQ280" s="53"/>
      <c r="AR280" s="53"/>
      <c r="AS280" s="53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52"/>
      <c r="BG280" s="52"/>
      <c r="BH280" s="52"/>
      <c r="BI280" s="52"/>
      <c r="BJ280" s="52"/>
      <c r="BK280" s="52"/>
      <c r="BL280" s="52"/>
      <c r="BM280" s="54"/>
    </row>
    <row r="281">
      <c r="A281" s="42"/>
      <c r="B281" s="52"/>
      <c r="C281" s="52"/>
      <c r="D281" s="52"/>
      <c r="E281" s="52"/>
      <c r="F281" s="81"/>
      <c r="G281" s="57"/>
      <c r="H281" s="48"/>
      <c r="I281" s="77"/>
      <c r="J281" s="62"/>
      <c r="K281" s="52"/>
      <c r="L281" s="52"/>
      <c r="M281" s="76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62"/>
      <c r="AB281" s="52"/>
      <c r="AC281" s="52"/>
      <c r="AD281" s="52"/>
      <c r="AE281" s="52"/>
      <c r="AF281" s="52"/>
      <c r="AG281" s="52"/>
      <c r="AH281" s="48" t="str">
        <f>IFERROR(__xludf.DUMMYFUNCTION("importrange(C281,""Sheet2!a4:x4"")"),"#N/A")</f>
        <v>#N/A</v>
      </c>
      <c r="AI281" s="48"/>
      <c r="AJ281" s="48"/>
      <c r="AK281" s="53"/>
      <c r="AL281" s="53"/>
      <c r="AM281" s="53"/>
      <c r="AN281" s="53"/>
      <c r="AO281" s="53"/>
      <c r="AP281" s="53"/>
      <c r="AQ281" s="53"/>
      <c r="AR281" s="53"/>
      <c r="AS281" s="53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52"/>
      <c r="BG281" s="52"/>
      <c r="BH281" s="52"/>
      <c r="BI281" s="52"/>
      <c r="BJ281" s="52"/>
      <c r="BK281" s="52"/>
      <c r="BL281" s="52"/>
      <c r="BM281" s="54"/>
    </row>
    <row r="282">
      <c r="A282" s="42"/>
      <c r="B282" s="52"/>
      <c r="C282" s="52"/>
      <c r="D282" s="52"/>
      <c r="E282" s="52"/>
      <c r="F282" s="81"/>
      <c r="G282" s="57"/>
      <c r="H282" s="48"/>
      <c r="I282" s="77"/>
      <c r="J282" s="62"/>
      <c r="K282" s="52"/>
      <c r="L282" s="52"/>
      <c r="M282" s="76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62"/>
      <c r="AB282" s="52"/>
      <c r="AC282" s="52"/>
      <c r="AD282" s="52"/>
      <c r="AE282" s="52"/>
      <c r="AF282" s="52"/>
      <c r="AG282" s="52"/>
      <c r="AH282" s="48" t="str">
        <f>IFERROR(__xludf.DUMMYFUNCTION("importrange(C282,""Sheet2!a4:x4"")"),"#N/A")</f>
        <v>#N/A</v>
      </c>
      <c r="AI282" s="48"/>
      <c r="AJ282" s="48"/>
      <c r="AK282" s="53"/>
      <c r="AL282" s="53"/>
      <c r="AM282" s="53"/>
      <c r="AN282" s="53"/>
      <c r="AO282" s="53"/>
      <c r="AP282" s="53"/>
      <c r="AQ282" s="53"/>
      <c r="AR282" s="53"/>
      <c r="AS282" s="53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52"/>
      <c r="BG282" s="52"/>
      <c r="BH282" s="52"/>
      <c r="BI282" s="52"/>
      <c r="BJ282" s="52"/>
      <c r="BK282" s="52"/>
      <c r="BL282" s="52"/>
      <c r="BM282" s="54"/>
    </row>
    <row r="283">
      <c r="A283" s="42"/>
      <c r="B283" s="52"/>
      <c r="C283" s="52"/>
      <c r="D283" s="52"/>
      <c r="E283" s="52"/>
      <c r="F283" s="81"/>
      <c r="G283" s="57"/>
      <c r="H283" s="48"/>
      <c r="I283" s="77"/>
      <c r="J283" s="62"/>
      <c r="K283" s="52"/>
      <c r="L283" s="52"/>
      <c r="M283" s="76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62"/>
      <c r="AB283" s="52"/>
      <c r="AC283" s="52"/>
      <c r="AD283" s="52"/>
      <c r="AE283" s="52"/>
      <c r="AF283" s="52"/>
      <c r="AG283" s="52"/>
      <c r="AH283" s="48" t="str">
        <f>IFERROR(__xludf.DUMMYFUNCTION("importrange(C283,""Sheet2!a4:x4"")"),"#N/A")</f>
        <v>#N/A</v>
      </c>
      <c r="AI283" s="48"/>
      <c r="AJ283" s="48"/>
      <c r="AK283" s="53"/>
      <c r="AL283" s="53"/>
      <c r="AM283" s="53"/>
      <c r="AN283" s="53"/>
      <c r="AO283" s="53"/>
      <c r="AP283" s="53"/>
      <c r="AQ283" s="53"/>
      <c r="AR283" s="53"/>
      <c r="AS283" s="53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52"/>
      <c r="BG283" s="52"/>
      <c r="BH283" s="52"/>
      <c r="BI283" s="52"/>
      <c r="BJ283" s="52"/>
      <c r="BK283" s="52"/>
      <c r="BL283" s="52"/>
      <c r="BM283" s="54"/>
    </row>
    <row r="284">
      <c r="A284" s="42"/>
      <c r="B284" s="52"/>
      <c r="C284" s="52"/>
      <c r="D284" s="52"/>
      <c r="E284" s="52"/>
      <c r="F284" s="81"/>
      <c r="G284" s="57"/>
      <c r="H284" s="48"/>
      <c r="I284" s="77"/>
      <c r="J284" s="62"/>
      <c r="K284" s="52"/>
      <c r="L284" s="52"/>
      <c r="M284" s="76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62"/>
      <c r="AB284" s="52"/>
      <c r="AC284" s="52"/>
      <c r="AD284" s="52"/>
      <c r="AE284" s="52"/>
      <c r="AF284" s="52"/>
      <c r="AG284" s="52"/>
      <c r="AH284" s="48" t="str">
        <f>IFERROR(__xludf.DUMMYFUNCTION("importrange(C284,""Sheet2!a4:x4"")"),"#N/A")</f>
        <v>#N/A</v>
      </c>
      <c r="AI284" s="48"/>
      <c r="AJ284" s="48"/>
      <c r="AK284" s="53"/>
      <c r="AL284" s="53"/>
      <c r="AM284" s="53"/>
      <c r="AN284" s="53"/>
      <c r="AO284" s="53"/>
      <c r="AP284" s="53"/>
      <c r="AQ284" s="53"/>
      <c r="AR284" s="53"/>
      <c r="AS284" s="53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52"/>
      <c r="BG284" s="52"/>
      <c r="BH284" s="52"/>
      <c r="BI284" s="52"/>
      <c r="BJ284" s="52"/>
      <c r="BK284" s="52"/>
      <c r="BL284" s="52"/>
      <c r="BM284" s="54"/>
    </row>
    <row r="285">
      <c r="A285" s="42"/>
      <c r="B285" s="52"/>
      <c r="C285" s="52"/>
      <c r="D285" s="52"/>
      <c r="E285" s="52"/>
      <c r="F285" s="81"/>
      <c r="G285" s="57"/>
      <c r="H285" s="48"/>
      <c r="I285" s="77"/>
      <c r="J285" s="62"/>
      <c r="K285" s="52"/>
      <c r="L285" s="52"/>
      <c r="M285" s="76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62"/>
      <c r="AB285" s="52"/>
      <c r="AC285" s="52"/>
      <c r="AD285" s="52"/>
      <c r="AE285" s="52"/>
      <c r="AF285" s="52"/>
      <c r="AG285" s="52"/>
      <c r="AH285" s="48" t="str">
        <f>IFERROR(__xludf.DUMMYFUNCTION("importrange(C285,""Sheet2!a4:x4"")"),"#N/A")</f>
        <v>#N/A</v>
      </c>
      <c r="AI285" s="48"/>
      <c r="AJ285" s="48"/>
      <c r="AK285" s="53"/>
      <c r="AL285" s="53"/>
      <c r="AM285" s="53"/>
      <c r="AN285" s="53"/>
      <c r="AO285" s="53"/>
      <c r="AP285" s="53"/>
      <c r="AQ285" s="53"/>
      <c r="AR285" s="53"/>
      <c r="AS285" s="53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52"/>
      <c r="BG285" s="52"/>
      <c r="BH285" s="52"/>
      <c r="BI285" s="52"/>
      <c r="BJ285" s="52"/>
      <c r="BK285" s="52"/>
      <c r="BL285" s="52"/>
      <c r="BM285" s="54"/>
    </row>
    <row r="286">
      <c r="A286" s="42"/>
      <c r="B286" s="52"/>
      <c r="C286" s="52"/>
      <c r="D286" s="52"/>
      <c r="E286" s="52"/>
      <c r="F286" s="81"/>
      <c r="G286" s="57"/>
      <c r="H286" s="48"/>
      <c r="I286" s="77"/>
      <c r="J286" s="62"/>
      <c r="K286" s="52"/>
      <c r="L286" s="52"/>
      <c r="M286" s="76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62"/>
      <c r="AB286" s="52"/>
      <c r="AC286" s="52"/>
      <c r="AD286" s="52"/>
      <c r="AE286" s="52"/>
      <c r="AF286" s="52"/>
      <c r="AG286" s="52"/>
      <c r="AH286" s="48" t="str">
        <f>IFERROR(__xludf.DUMMYFUNCTION("importrange(C286,""Sheet2!a4:x4"")"),"#N/A")</f>
        <v>#N/A</v>
      </c>
      <c r="AI286" s="48"/>
      <c r="AJ286" s="48"/>
      <c r="AK286" s="53"/>
      <c r="AL286" s="53"/>
      <c r="AM286" s="53"/>
      <c r="AN286" s="53"/>
      <c r="AO286" s="53"/>
      <c r="AP286" s="53"/>
      <c r="AQ286" s="53"/>
      <c r="AR286" s="53"/>
      <c r="AS286" s="53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52"/>
      <c r="BG286" s="52"/>
      <c r="BH286" s="52"/>
      <c r="BI286" s="52"/>
      <c r="BJ286" s="52"/>
      <c r="BK286" s="52"/>
      <c r="BL286" s="52"/>
      <c r="BM286" s="54"/>
    </row>
    <row r="287">
      <c r="A287" s="42"/>
      <c r="B287" s="52"/>
      <c r="C287" s="52"/>
      <c r="D287" s="52"/>
      <c r="E287" s="52"/>
      <c r="F287" s="81"/>
      <c r="G287" s="57"/>
      <c r="H287" s="48"/>
      <c r="I287" s="77"/>
      <c r="J287" s="62"/>
      <c r="K287" s="52"/>
      <c r="L287" s="52"/>
      <c r="M287" s="76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62"/>
      <c r="AB287" s="52"/>
      <c r="AC287" s="52"/>
      <c r="AD287" s="52"/>
      <c r="AE287" s="52"/>
      <c r="AF287" s="52"/>
      <c r="AG287" s="52"/>
      <c r="AH287" s="48" t="str">
        <f>IFERROR(__xludf.DUMMYFUNCTION("importrange(C287,""Sheet2!a4:x4"")"),"#N/A")</f>
        <v>#N/A</v>
      </c>
      <c r="AI287" s="48"/>
      <c r="AJ287" s="48"/>
      <c r="AK287" s="53"/>
      <c r="AL287" s="53"/>
      <c r="AM287" s="53"/>
      <c r="AN287" s="53"/>
      <c r="AO287" s="53"/>
      <c r="AP287" s="53"/>
      <c r="AQ287" s="53"/>
      <c r="AR287" s="53"/>
      <c r="AS287" s="53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52"/>
      <c r="BG287" s="52"/>
      <c r="BH287" s="52"/>
      <c r="BI287" s="52"/>
      <c r="BJ287" s="52"/>
      <c r="BK287" s="52"/>
      <c r="BL287" s="52"/>
      <c r="BM287" s="54"/>
    </row>
    <row r="288">
      <c r="A288" s="42"/>
      <c r="B288" s="52"/>
      <c r="C288" s="52"/>
      <c r="D288" s="52"/>
      <c r="E288" s="52"/>
      <c r="F288" s="81"/>
      <c r="G288" s="57"/>
      <c r="H288" s="48"/>
      <c r="I288" s="77"/>
      <c r="J288" s="62"/>
      <c r="K288" s="52"/>
      <c r="L288" s="52"/>
      <c r="M288" s="76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62"/>
      <c r="AB288" s="52"/>
      <c r="AC288" s="52"/>
      <c r="AD288" s="52"/>
      <c r="AE288" s="52"/>
      <c r="AF288" s="52"/>
      <c r="AG288" s="52"/>
      <c r="AH288" s="48"/>
      <c r="AI288" s="48"/>
      <c r="AJ288" s="48"/>
      <c r="AK288" s="53"/>
      <c r="AL288" s="53"/>
      <c r="AM288" s="53"/>
      <c r="AN288" s="53"/>
      <c r="AO288" s="53"/>
      <c r="AP288" s="53"/>
      <c r="AQ288" s="53"/>
      <c r="AR288" s="53"/>
      <c r="AS288" s="53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52"/>
      <c r="BG288" s="52"/>
      <c r="BH288" s="52"/>
      <c r="BI288" s="52"/>
      <c r="BJ288" s="52"/>
      <c r="BK288" s="52"/>
      <c r="BL288" s="52"/>
      <c r="BM288" s="54"/>
    </row>
    <row r="289">
      <c r="A289" s="42"/>
      <c r="B289" s="52"/>
      <c r="C289" s="52"/>
      <c r="D289" s="52"/>
      <c r="E289" s="52"/>
      <c r="F289" s="81"/>
      <c r="G289" s="57"/>
      <c r="H289" s="48"/>
      <c r="I289" s="77"/>
      <c r="J289" s="62"/>
      <c r="K289" s="52"/>
      <c r="L289" s="52"/>
      <c r="M289" s="76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62"/>
      <c r="AB289" s="52"/>
      <c r="AC289" s="52"/>
      <c r="AD289" s="52"/>
      <c r="AE289" s="52"/>
      <c r="AF289" s="52"/>
      <c r="AG289" s="52"/>
      <c r="AH289" s="48"/>
      <c r="AI289" s="48"/>
      <c r="AJ289" s="48"/>
      <c r="AK289" s="53"/>
      <c r="AL289" s="53"/>
      <c r="AM289" s="53"/>
      <c r="AN289" s="53"/>
      <c r="AO289" s="53"/>
      <c r="AP289" s="53"/>
      <c r="AQ289" s="53"/>
      <c r="AR289" s="53"/>
      <c r="AS289" s="53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52"/>
      <c r="BG289" s="52"/>
      <c r="BH289" s="52"/>
      <c r="BI289" s="52"/>
      <c r="BJ289" s="52"/>
      <c r="BK289" s="52"/>
      <c r="BL289" s="52"/>
      <c r="BM289" s="54"/>
    </row>
    <row r="290">
      <c r="A290" s="42"/>
      <c r="B290" s="52"/>
      <c r="C290" s="52"/>
      <c r="D290" s="52"/>
      <c r="E290" s="52"/>
      <c r="F290" s="81"/>
      <c r="G290" s="57"/>
      <c r="H290" s="48"/>
      <c r="I290" s="77"/>
      <c r="J290" s="62"/>
      <c r="K290" s="52"/>
      <c r="L290" s="52"/>
      <c r="M290" s="76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62"/>
      <c r="AB290" s="52"/>
      <c r="AC290" s="52"/>
      <c r="AD290" s="52"/>
      <c r="AE290" s="52"/>
      <c r="AF290" s="52"/>
      <c r="AG290" s="52"/>
      <c r="AH290" s="48"/>
      <c r="AI290" s="48"/>
      <c r="AJ290" s="48"/>
      <c r="AK290" s="53"/>
      <c r="AL290" s="53"/>
      <c r="AM290" s="53"/>
      <c r="AN290" s="53"/>
      <c r="AO290" s="53"/>
      <c r="AP290" s="53"/>
      <c r="AQ290" s="53"/>
      <c r="AR290" s="53"/>
      <c r="AS290" s="53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52"/>
      <c r="BG290" s="52"/>
      <c r="BH290" s="52"/>
      <c r="BI290" s="52"/>
      <c r="BJ290" s="52"/>
      <c r="BK290" s="52"/>
      <c r="BL290" s="52"/>
      <c r="BM290" s="54"/>
    </row>
    <row r="291">
      <c r="A291" s="42"/>
      <c r="B291" s="52"/>
      <c r="C291" s="52"/>
      <c r="D291" s="52"/>
      <c r="E291" s="52"/>
      <c r="F291" s="81"/>
      <c r="G291" s="57"/>
      <c r="H291" s="48"/>
      <c r="I291" s="77"/>
      <c r="J291" s="62"/>
      <c r="K291" s="52"/>
      <c r="L291" s="52"/>
      <c r="M291" s="76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62"/>
      <c r="AB291" s="52"/>
      <c r="AC291" s="52"/>
      <c r="AD291" s="52"/>
      <c r="AE291" s="52"/>
      <c r="AF291" s="52"/>
      <c r="AG291" s="52"/>
      <c r="AH291" s="48"/>
      <c r="AI291" s="48"/>
      <c r="AJ291" s="48"/>
      <c r="AK291" s="53"/>
      <c r="AL291" s="53"/>
      <c r="AM291" s="53"/>
      <c r="AN291" s="53"/>
      <c r="AO291" s="53"/>
      <c r="AP291" s="53"/>
      <c r="AQ291" s="53"/>
      <c r="AR291" s="53"/>
      <c r="AS291" s="53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52"/>
      <c r="BG291" s="52"/>
      <c r="BH291" s="52"/>
      <c r="BI291" s="52"/>
      <c r="BJ291" s="52"/>
      <c r="BK291" s="52"/>
      <c r="BL291" s="52"/>
      <c r="BM291" s="54"/>
    </row>
    <row r="292">
      <c r="A292" s="42"/>
      <c r="B292" s="52"/>
      <c r="C292" s="52"/>
      <c r="D292" s="52"/>
      <c r="E292" s="52"/>
      <c r="F292" s="81"/>
      <c r="G292" s="57"/>
      <c r="H292" s="48"/>
      <c r="I292" s="77"/>
      <c r="J292" s="62"/>
      <c r="K292" s="52"/>
      <c r="L292" s="52"/>
      <c r="M292" s="76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62"/>
      <c r="AB292" s="52"/>
      <c r="AC292" s="52"/>
      <c r="AD292" s="52"/>
      <c r="AE292" s="52"/>
      <c r="AF292" s="52"/>
      <c r="AG292" s="52"/>
      <c r="AH292" s="48"/>
      <c r="AI292" s="48"/>
      <c r="AJ292" s="48"/>
      <c r="AK292" s="53"/>
      <c r="AL292" s="53"/>
      <c r="AM292" s="53"/>
      <c r="AN292" s="53"/>
      <c r="AO292" s="53"/>
      <c r="AP292" s="53"/>
      <c r="AQ292" s="53"/>
      <c r="AR292" s="53"/>
      <c r="AS292" s="53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52"/>
      <c r="BG292" s="52"/>
      <c r="BH292" s="52"/>
      <c r="BI292" s="52"/>
      <c r="BJ292" s="52"/>
      <c r="BK292" s="52"/>
      <c r="BL292" s="52"/>
      <c r="BM292" s="54"/>
    </row>
    <row r="293">
      <c r="A293" s="42"/>
      <c r="B293" s="52"/>
      <c r="C293" s="52"/>
      <c r="D293" s="52"/>
      <c r="E293" s="52"/>
      <c r="F293" s="81"/>
      <c r="G293" s="57"/>
      <c r="H293" s="48"/>
      <c r="I293" s="77"/>
      <c r="J293" s="62"/>
      <c r="K293" s="52"/>
      <c r="L293" s="52"/>
      <c r="M293" s="76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62"/>
      <c r="AB293" s="52"/>
      <c r="AC293" s="52"/>
      <c r="AD293" s="52"/>
      <c r="AE293" s="52"/>
      <c r="AF293" s="52"/>
      <c r="AG293" s="52"/>
      <c r="AH293" s="48"/>
      <c r="AI293" s="48"/>
      <c r="AJ293" s="48"/>
      <c r="AK293" s="53"/>
      <c r="AL293" s="53"/>
      <c r="AM293" s="53"/>
      <c r="AN293" s="53"/>
      <c r="AO293" s="53"/>
      <c r="AP293" s="53"/>
      <c r="AQ293" s="53"/>
      <c r="AR293" s="53"/>
      <c r="AS293" s="53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52"/>
      <c r="BG293" s="52"/>
      <c r="BH293" s="52"/>
      <c r="BI293" s="52"/>
      <c r="BJ293" s="52"/>
      <c r="BK293" s="52"/>
      <c r="BL293" s="52"/>
      <c r="BM293" s="54"/>
    </row>
    <row r="294">
      <c r="A294" s="42"/>
      <c r="B294" s="52"/>
      <c r="C294" s="52"/>
      <c r="D294" s="52"/>
      <c r="E294" s="52"/>
      <c r="F294" s="81"/>
      <c r="G294" s="57"/>
      <c r="H294" s="48"/>
      <c r="I294" s="77"/>
      <c r="J294" s="62"/>
      <c r="K294" s="52"/>
      <c r="L294" s="52"/>
      <c r="M294" s="76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62"/>
      <c r="AB294" s="52"/>
      <c r="AC294" s="52"/>
      <c r="AD294" s="52"/>
      <c r="AE294" s="52"/>
      <c r="AF294" s="52"/>
      <c r="AG294" s="52"/>
      <c r="AH294" s="48"/>
      <c r="AI294" s="48"/>
      <c r="AJ294" s="48"/>
      <c r="AK294" s="53"/>
      <c r="AL294" s="53"/>
      <c r="AM294" s="53"/>
      <c r="AN294" s="53"/>
      <c r="AO294" s="53"/>
      <c r="AP294" s="53"/>
      <c r="AQ294" s="53"/>
      <c r="AR294" s="53"/>
      <c r="AS294" s="53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52"/>
      <c r="BG294" s="52"/>
      <c r="BH294" s="52"/>
      <c r="BI294" s="52"/>
      <c r="BJ294" s="52"/>
      <c r="BK294" s="52"/>
      <c r="BL294" s="52"/>
      <c r="BM294" s="54"/>
    </row>
    <row r="295">
      <c r="A295" s="42"/>
      <c r="B295" s="52"/>
      <c r="C295" s="52"/>
      <c r="D295" s="52"/>
      <c r="E295" s="52"/>
      <c r="F295" s="81"/>
      <c r="G295" s="57"/>
      <c r="H295" s="48"/>
      <c r="I295" s="77"/>
      <c r="J295" s="62"/>
      <c r="K295" s="52"/>
      <c r="L295" s="52"/>
      <c r="M295" s="76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62"/>
      <c r="AB295" s="52"/>
      <c r="AC295" s="52"/>
      <c r="AD295" s="52"/>
      <c r="AE295" s="52"/>
      <c r="AF295" s="52"/>
      <c r="AG295" s="52"/>
      <c r="AH295" s="48"/>
      <c r="AI295" s="48"/>
      <c r="AJ295" s="48"/>
      <c r="AK295" s="53"/>
      <c r="AL295" s="53"/>
      <c r="AM295" s="53"/>
      <c r="AN295" s="53"/>
      <c r="AO295" s="53"/>
      <c r="AP295" s="53"/>
      <c r="AQ295" s="53"/>
      <c r="AR295" s="53"/>
      <c r="AS295" s="53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52"/>
      <c r="BG295" s="52"/>
      <c r="BH295" s="52"/>
      <c r="BI295" s="52"/>
      <c r="BJ295" s="52"/>
      <c r="BK295" s="52"/>
      <c r="BL295" s="52"/>
      <c r="BM295" s="54"/>
    </row>
    <row r="296">
      <c r="A296" s="42"/>
      <c r="B296" s="52"/>
      <c r="C296" s="52"/>
      <c r="D296" s="52"/>
      <c r="E296" s="52"/>
      <c r="F296" s="81"/>
      <c r="G296" s="57"/>
      <c r="H296" s="48"/>
      <c r="I296" s="77"/>
      <c r="J296" s="62"/>
      <c r="K296" s="52"/>
      <c r="L296" s="52"/>
      <c r="M296" s="76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62"/>
      <c r="AB296" s="52"/>
      <c r="AC296" s="52"/>
      <c r="AD296" s="52"/>
      <c r="AE296" s="52"/>
      <c r="AF296" s="52"/>
      <c r="AG296" s="52"/>
      <c r="AH296" s="48"/>
      <c r="AI296" s="48"/>
      <c r="AJ296" s="48"/>
      <c r="AK296" s="53"/>
      <c r="AL296" s="53"/>
      <c r="AM296" s="53"/>
      <c r="AN296" s="53"/>
      <c r="AO296" s="53"/>
      <c r="AP296" s="53"/>
      <c r="AQ296" s="53"/>
      <c r="AR296" s="53"/>
      <c r="AS296" s="53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52"/>
      <c r="BG296" s="52"/>
      <c r="BH296" s="52"/>
      <c r="BI296" s="52"/>
      <c r="BJ296" s="52"/>
      <c r="BK296" s="52"/>
      <c r="BL296" s="52"/>
      <c r="BM296" s="54"/>
    </row>
    <row r="297">
      <c r="A297" s="42"/>
      <c r="B297" s="52"/>
      <c r="C297" s="52"/>
      <c r="D297" s="52"/>
      <c r="E297" s="52"/>
      <c r="F297" s="81"/>
      <c r="G297" s="57"/>
      <c r="H297" s="48"/>
      <c r="I297" s="77"/>
      <c r="J297" s="62"/>
      <c r="K297" s="52"/>
      <c r="L297" s="52"/>
      <c r="M297" s="76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62"/>
      <c r="AB297" s="52"/>
      <c r="AC297" s="52"/>
      <c r="AD297" s="52"/>
      <c r="AE297" s="52"/>
      <c r="AF297" s="52"/>
      <c r="AG297" s="52"/>
      <c r="AH297" s="48"/>
      <c r="AI297" s="48"/>
      <c r="AJ297" s="48"/>
      <c r="AK297" s="53"/>
      <c r="AL297" s="53"/>
      <c r="AM297" s="53"/>
      <c r="AN297" s="53"/>
      <c r="AO297" s="53"/>
      <c r="AP297" s="53"/>
      <c r="AQ297" s="53"/>
      <c r="AR297" s="53"/>
      <c r="AS297" s="53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52"/>
      <c r="BG297" s="52"/>
      <c r="BH297" s="52"/>
      <c r="BI297" s="52"/>
      <c r="BJ297" s="52"/>
      <c r="BK297" s="52"/>
      <c r="BL297" s="52"/>
      <c r="BM297" s="54"/>
    </row>
    <row r="298">
      <c r="A298" s="42"/>
      <c r="B298" s="52"/>
      <c r="C298" s="52"/>
      <c r="D298" s="52"/>
      <c r="E298" s="52"/>
      <c r="F298" s="81"/>
      <c r="G298" s="57"/>
      <c r="H298" s="48"/>
      <c r="I298" s="77"/>
      <c r="J298" s="62"/>
      <c r="K298" s="52"/>
      <c r="L298" s="52"/>
      <c r="M298" s="76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62"/>
      <c r="AB298" s="52"/>
      <c r="AC298" s="52"/>
      <c r="AD298" s="52"/>
      <c r="AE298" s="52"/>
      <c r="AF298" s="52"/>
      <c r="AG298" s="52"/>
      <c r="AH298" s="48"/>
      <c r="AI298" s="48"/>
      <c r="AJ298" s="48"/>
      <c r="AK298" s="53"/>
      <c r="AL298" s="53"/>
      <c r="AM298" s="53"/>
      <c r="AN298" s="53"/>
      <c r="AO298" s="53"/>
      <c r="AP298" s="53"/>
      <c r="AQ298" s="53"/>
      <c r="AR298" s="53"/>
      <c r="AS298" s="53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52"/>
      <c r="BG298" s="52"/>
      <c r="BH298" s="52"/>
      <c r="BI298" s="52"/>
      <c r="BJ298" s="52"/>
      <c r="BK298" s="52"/>
      <c r="BL298" s="52"/>
      <c r="BM298" s="54"/>
    </row>
    <row r="299">
      <c r="A299" s="42"/>
      <c r="B299" s="52"/>
      <c r="C299" s="52"/>
      <c r="D299" s="52"/>
      <c r="E299" s="52"/>
      <c r="F299" s="81"/>
      <c r="G299" s="57"/>
      <c r="H299" s="48"/>
      <c r="I299" s="77"/>
      <c r="J299" s="62"/>
      <c r="K299" s="52"/>
      <c r="L299" s="52"/>
      <c r="M299" s="76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62"/>
      <c r="AB299" s="52"/>
      <c r="AC299" s="52"/>
      <c r="AD299" s="52"/>
      <c r="AE299" s="52"/>
      <c r="AF299" s="52"/>
      <c r="AG299" s="52"/>
      <c r="AH299" s="48"/>
      <c r="AI299" s="48"/>
      <c r="AJ299" s="48"/>
      <c r="AK299" s="53"/>
      <c r="AL299" s="53"/>
      <c r="AM299" s="53"/>
      <c r="AN299" s="53"/>
      <c r="AO299" s="53"/>
      <c r="AP299" s="53"/>
      <c r="AQ299" s="53"/>
      <c r="AR299" s="53"/>
      <c r="AS299" s="53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52"/>
      <c r="BG299" s="52"/>
      <c r="BH299" s="52"/>
      <c r="BI299" s="52"/>
      <c r="BJ299" s="52"/>
      <c r="BK299" s="52"/>
      <c r="BL299" s="52"/>
      <c r="BM299" s="54"/>
    </row>
    <row r="300">
      <c r="A300" s="42"/>
      <c r="B300" s="52"/>
      <c r="C300" s="52"/>
      <c r="D300" s="52"/>
      <c r="E300" s="52"/>
      <c r="F300" s="81"/>
      <c r="G300" s="57"/>
      <c r="H300" s="48"/>
      <c r="I300" s="77"/>
      <c r="J300" s="62"/>
      <c r="K300" s="52"/>
      <c r="L300" s="52"/>
      <c r="M300" s="76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62"/>
      <c r="AB300" s="52"/>
      <c r="AC300" s="52"/>
      <c r="AD300" s="52"/>
      <c r="AE300" s="52"/>
      <c r="AF300" s="52"/>
      <c r="AG300" s="52"/>
      <c r="AH300" s="48"/>
      <c r="AI300" s="48"/>
      <c r="AJ300" s="48"/>
      <c r="AK300" s="53"/>
      <c r="AL300" s="53"/>
      <c r="AM300" s="53"/>
      <c r="AN300" s="53"/>
      <c r="AO300" s="53"/>
      <c r="AP300" s="53"/>
      <c r="AQ300" s="53"/>
      <c r="AR300" s="53"/>
      <c r="AS300" s="53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52"/>
      <c r="BG300" s="52"/>
      <c r="BH300" s="52"/>
      <c r="BI300" s="52"/>
      <c r="BJ300" s="52"/>
      <c r="BK300" s="52"/>
      <c r="BL300" s="52"/>
      <c r="BM300" s="54"/>
    </row>
    <row r="301">
      <c r="A301" s="42"/>
      <c r="B301" s="52"/>
      <c r="C301" s="52"/>
      <c r="D301" s="52"/>
      <c r="E301" s="52"/>
      <c r="F301" s="81"/>
      <c r="G301" s="57"/>
      <c r="H301" s="48"/>
      <c r="I301" s="77"/>
      <c r="J301" s="62"/>
      <c r="K301" s="52"/>
      <c r="L301" s="52"/>
      <c r="M301" s="76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62"/>
      <c r="AB301" s="52"/>
      <c r="AC301" s="52"/>
      <c r="AD301" s="52"/>
      <c r="AE301" s="52"/>
      <c r="AF301" s="52"/>
      <c r="AG301" s="52"/>
      <c r="AH301" s="48"/>
      <c r="AI301" s="48"/>
      <c r="AJ301" s="48"/>
      <c r="AK301" s="53"/>
      <c r="AL301" s="53"/>
      <c r="AM301" s="53"/>
      <c r="AN301" s="53"/>
      <c r="AO301" s="53"/>
      <c r="AP301" s="53"/>
      <c r="AQ301" s="53"/>
      <c r="AR301" s="53"/>
      <c r="AS301" s="53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52"/>
      <c r="BG301" s="52"/>
      <c r="BH301" s="52"/>
      <c r="BI301" s="52"/>
      <c r="BJ301" s="52"/>
      <c r="BK301" s="52"/>
      <c r="BL301" s="52"/>
      <c r="BM301" s="54"/>
    </row>
    <row r="302">
      <c r="A302" s="42"/>
      <c r="B302" s="52"/>
      <c r="C302" s="52"/>
      <c r="D302" s="52"/>
      <c r="E302" s="52"/>
      <c r="F302" s="81"/>
      <c r="G302" s="57"/>
      <c r="H302" s="48"/>
      <c r="I302" s="77"/>
      <c r="J302" s="62"/>
      <c r="K302" s="52"/>
      <c r="L302" s="52"/>
      <c r="M302" s="76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62"/>
      <c r="AB302" s="52"/>
      <c r="AC302" s="52"/>
      <c r="AD302" s="52"/>
      <c r="AE302" s="52"/>
      <c r="AF302" s="52"/>
      <c r="AG302" s="52"/>
      <c r="AH302" s="48"/>
      <c r="AI302" s="48"/>
      <c r="AJ302" s="48"/>
      <c r="AK302" s="53"/>
      <c r="AL302" s="53"/>
      <c r="AM302" s="53"/>
      <c r="AN302" s="53"/>
      <c r="AO302" s="53"/>
      <c r="AP302" s="53"/>
      <c r="AQ302" s="53"/>
      <c r="AR302" s="53"/>
      <c r="AS302" s="53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52"/>
      <c r="BG302" s="52"/>
      <c r="BH302" s="52"/>
      <c r="BI302" s="52"/>
      <c r="BJ302" s="52"/>
      <c r="BK302" s="52"/>
      <c r="BL302" s="52"/>
      <c r="BM302" s="54"/>
    </row>
    <row r="303">
      <c r="A303" s="42"/>
      <c r="B303" s="52"/>
      <c r="C303" s="52"/>
      <c r="D303" s="52"/>
      <c r="E303" s="52"/>
      <c r="F303" s="81"/>
      <c r="G303" s="57"/>
      <c r="H303" s="48"/>
      <c r="I303" s="77"/>
      <c r="J303" s="62"/>
      <c r="K303" s="52"/>
      <c r="L303" s="52"/>
      <c r="M303" s="76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62"/>
      <c r="AB303" s="52"/>
      <c r="AC303" s="52"/>
      <c r="AD303" s="52"/>
      <c r="AE303" s="52"/>
      <c r="AF303" s="52"/>
      <c r="AG303" s="52"/>
      <c r="AH303" s="48"/>
      <c r="AI303" s="48"/>
      <c r="AJ303" s="48"/>
      <c r="AK303" s="53"/>
      <c r="AL303" s="53"/>
      <c r="AM303" s="53"/>
      <c r="AN303" s="53"/>
      <c r="AO303" s="53"/>
      <c r="AP303" s="53"/>
      <c r="AQ303" s="53"/>
      <c r="AR303" s="53"/>
      <c r="AS303" s="53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52"/>
      <c r="BG303" s="52"/>
      <c r="BH303" s="52"/>
      <c r="BI303" s="52"/>
      <c r="BJ303" s="52"/>
      <c r="BK303" s="52"/>
      <c r="BL303" s="52"/>
      <c r="BM303" s="54"/>
    </row>
    <row r="304">
      <c r="A304" s="42"/>
      <c r="B304" s="52"/>
      <c r="C304" s="52"/>
      <c r="D304" s="52"/>
      <c r="E304" s="52"/>
      <c r="F304" s="81"/>
      <c r="G304" s="57"/>
      <c r="H304" s="48"/>
      <c r="I304" s="77"/>
      <c r="J304" s="62"/>
      <c r="K304" s="52"/>
      <c r="L304" s="52"/>
      <c r="M304" s="76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62"/>
      <c r="AB304" s="52"/>
      <c r="AC304" s="52"/>
      <c r="AD304" s="52"/>
      <c r="AE304" s="52"/>
      <c r="AF304" s="52"/>
      <c r="AG304" s="52"/>
      <c r="AH304" s="48"/>
      <c r="AI304" s="48"/>
      <c r="AJ304" s="48"/>
      <c r="AK304" s="53"/>
      <c r="AL304" s="53"/>
      <c r="AM304" s="53"/>
      <c r="AN304" s="53"/>
      <c r="AO304" s="53"/>
      <c r="AP304" s="53"/>
      <c r="AQ304" s="53"/>
      <c r="AR304" s="53"/>
      <c r="AS304" s="53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52"/>
      <c r="BG304" s="52"/>
      <c r="BH304" s="52"/>
      <c r="BI304" s="52"/>
      <c r="BJ304" s="52"/>
      <c r="BK304" s="52"/>
      <c r="BL304" s="52"/>
      <c r="BM304" s="54"/>
    </row>
    <row r="305">
      <c r="A305" s="42"/>
      <c r="B305" s="52"/>
      <c r="C305" s="52"/>
      <c r="D305" s="52"/>
      <c r="E305" s="52"/>
      <c r="F305" s="81"/>
      <c r="G305" s="57"/>
      <c r="H305" s="48"/>
      <c r="I305" s="77"/>
      <c r="J305" s="62"/>
      <c r="K305" s="52"/>
      <c r="L305" s="52"/>
      <c r="M305" s="76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62"/>
      <c r="AB305" s="52"/>
      <c r="AC305" s="52"/>
      <c r="AD305" s="52"/>
      <c r="AE305" s="52"/>
      <c r="AF305" s="52"/>
      <c r="AG305" s="52"/>
      <c r="AH305" s="48"/>
      <c r="AI305" s="48"/>
      <c r="AJ305" s="48"/>
      <c r="AK305" s="53"/>
      <c r="AL305" s="53"/>
      <c r="AM305" s="53"/>
      <c r="AN305" s="53"/>
      <c r="AO305" s="53"/>
      <c r="AP305" s="53"/>
      <c r="AQ305" s="53"/>
      <c r="AR305" s="53"/>
      <c r="AS305" s="53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52"/>
      <c r="BG305" s="52"/>
      <c r="BH305" s="52"/>
      <c r="BI305" s="52"/>
      <c r="BJ305" s="52"/>
      <c r="BK305" s="52"/>
      <c r="BL305" s="52"/>
      <c r="BM305" s="54"/>
    </row>
    <row r="306">
      <c r="A306" s="42"/>
      <c r="B306" s="52"/>
      <c r="C306" s="52"/>
      <c r="D306" s="52"/>
      <c r="E306" s="52"/>
      <c r="F306" s="81"/>
      <c r="G306" s="57"/>
      <c r="H306" s="48"/>
      <c r="I306" s="77"/>
      <c r="J306" s="62"/>
      <c r="K306" s="52"/>
      <c r="L306" s="52"/>
      <c r="M306" s="76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62"/>
      <c r="AB306" s="52"/>
      <c r="AC306" s="52"/>
      <c r="AD306" s="52"/>
      <c r="AE306" s="52"/>
      <c r="AF306" s="52"/>
      <c r="AG306" s="52"/>
      <c r="AH306" s="48"/>
      <c r="AI306" s="48"/>
      <c r="AJ306" s="48"/>
      <c r="AK306" s="53"/>
      <c r="AL306" s="53"/>
      <c r="AM306" s="53"/>
      <c r="AN306" s="53"/>
      <c r="AO306" s="53"/>
      <c r="AP306" s="53"/>
      <c r="AQ306" s="53"/>
      <c r="AR306" s="53"/>
      <c r="AS306" s="53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52"/>
      <c r="BG306" s="52"/>
      <c r="BH306" s="52"/>
      <c r="BI306" s="52"/>
      <c r="BJ306" s="52"/>
      <c r="BK306" s="52"/>
      <c r="BL306" s="52"/>
      <c r="BM306" s="54"/>
    </row>
    <row r="307">
      <c r="A307" s="42"/>
      <c r="B307" s="52"/>
      <c r="C307" s="52"/>
      <c r="D307" s="52"/>
      <c r="E307" s="52"/>
      <c r="F307" s="81"/>
      <c r="G307" s="57"/>
      <c r="H307" s="48"/>
      <c r="I307" s="77"/>
      <c r="J307" s="62"/>
      <c r="K307" s="52"/>
      <c r="L307" s="52"/>
      <c r="M307" s="76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62"/>
      <c r="AB307" s="52"/>
      <c r="AC307" s="52"/>
      <c r="AD307" s="52"/>
      <c r="AE307" s="52"/>
      <c r="AF307" s="52"/>
      <c r="AG307" s="52"/>
      <c r="AH307" s="48"/>
      <c r="AI307" s="48"/>
      <c r="AJ307" s="48"/>
      <c r="AK307" s="53"/>
      <c r="AL307" s="53"/>
      <c r="AM307" s="53"/>
      <c r="AN307" s="53"/>
      <c r="AO307" s="53"/>
      <c r="AP307" s="53"/>
      <c r="AQ307" s="53"/>
      <c r="AR307" s="53"/>
      <c r="AS307" s="53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52"/>
      <c r="BG307" s="52"/>
      <c r="BH307" s="52"/>
      <c r="BI307" s="52"/>
      <c r="BJ307" s="52"/>
      <c r="BK307" s="52"/>
      <c r="BL307" s="52"/>
      <c r="BM307" s="54"/>
    </row>
    <row r="308">
      <c r="A308" s="42"/>
      <c r="B308" s="52"/>
      <c r="C308" s="52"/>
      <c r="D308" s="52"/>
      <c r="E308" s="52"/>
      <c r="F308" s="81"/>
      <c r="G308" s="57"/>
      <c r="H308" s="48"/>
      <c r="I308" s="77"/>
      <c r="J308" s="62"/>
      <c r="K308" s="52"/>
      <c r="L308" s="52"/>
      <c r="M308" s="76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62"/>
      <c r="AB308" s="52"/>
      <c r="AC308" s="52"/>
      <c r="AD308" s="52"/>
      <c r="AE308" s="52"/>
      <c r="AF308" s="52"/>
      <c r="AG308" s="52"/>
      <c r="AH308" s="48"/>
      <c r="AI308" s="48"/>
      <c r="AJ308" s="48"/>
      <c r="AK308" s="53"/>
      <c r="AL308" s="53"/>
      <c r="AM308" s="53"/>
      <c r="AN308" s="53"/>
      <c r="AO308" s="53"/>
      <c r="AP308" s="53"/>
      <c r="AQ308" s="53"/>
      <c r="AR308" s="53"/>
      <c r="AS308" s="53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52"/>
      <c r="BG308" s="52"/>
      <c r="BH308" s="52"/>
      <c r="BI308" s="52"/>
      <c r="BJ308" s="52"/>
      <c r="BK308" s="52"/>
      <c r="BL308" s="52"/>
      <c r="BM308" s="54"/>
    </row>
    <row r="309">
      <c r="A309" s="42"/>
      <c r="B309" s="52"/>
      <c r="C309" s="52"/>
      <c r="D309" s="52"/>
      <c r="E309" s="52"/>
      <c r="F309" s="81"/>
      <c r="G309" s="57"/>
      <c r="H309" s="48"/>
      <c r="I309" s="77"/>
      <c r="J309" s="62"/>
      <c r="K309" s="52"/>
      <c r="L309" s="52"/>
      <c r="M309" s="76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62"/>
      <c r="AB309" s="52"/>
      <c r="AC309" s="52"/>
      <c r="AD309" s="52"/>
      <c r="AE309" s="52"/>
      <c r="AF309" s="52"/>
      <c r="AG309" s="52"/>
      <c r="AH309" s="48"/>
      <c r="AI309" s="48"/>
      <c r="AJ309" s="48"/>
      <c r="AK309" s="53"/>
      <c r="AL309" s="53"/>
      <c r="AM309" s="53"/>
      <c r="AN309" s="53"/>
      <c r="AO309" s="53"/>
      <c r="AP309" s="53"/>
      <c r="AQ309" s="53"/>
      <c r="AR309" s="53"/>
      <c r="AS309" s="53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52"/>
      <c r="BG309" s="52"/>
      <c r="BH309" s="52"/>
      <c r="BI309" s="52"/>
      <c r="BJ309" s="52"/>
      <c r="BK309" s="52"/>
      <c r="BL309" s="52"/>
      <c r="BM309" s="54"/>
    </row>
    <row r="310">
      <c r="A310" s="42"/>
      <c r="B310" s="52"/>
      <c r="C310" s="52"/>
      <c r="D310" s="52"/>
      <c r="E310" s="52"/>
      <c r="F310" s="81"/>
      <c r="G310" s="57"/>
      <c r="H310" s="48"/>
      <c r="I310" s="77"/>
      <c r="J310" s="62"/>
      <c r="K310" s="52"/>
      <c r="L310" s="52"/>
      <c r="M310" s="76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62"/>
      <c r="AB310" s="52"/>
      <c r="AC310" s="52"/>
      <c r="AD310" s="52"/>
      <c r="AE310" s="52"/>
      <c r="AF310" s="52"/>
      <c r="AG310" s="52"/>
      <c r="AH310" s="48"/>
      <c r="AI310" s="48"/>
      <c r="AJ310" s="48"/>
      <c r="AK310" s="53"/>
      <c r="AL310" s="53"/>
      <c r="AM310" s="53"/>
      <c r="AN310" s="53"/>
      <c r="AO310" s="53"/>
      <c r="AP310" s="53"/>
      <c r="AQ310" s="53"/>
      <c r="AR310" s="53"/>
      <c r="AS310" s="53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52"/>
      <c r="BG310" s="52"/>
      <c r="BH310" s="52"/>
      <c r="BI310" s="52"/>
      <c r="BJ310" s="52"/>
      <c r="BK310" s="52"/>
      <c r="BL310" s="52"/>
      <c r="BM310" s="54"/>
    </row>
    <row r="311">
      <c r="A311" s="42"/>
      <c r="B311" s="52"/>
      <c r="C311" s="52"/>
      <c r="D311" s="52"/>
      <c r="E311" s="52"/>
      <c r="F311" s="81"/>
      <c r="G311" s="57"/>
      <c r="H311" s="48"/>
      <c r="I311" s="77"/>
      <c r="J311" s="62"/>
      <c r="K311" s="52"/>
      <c r="L311" s="52"/>
      <c r="M311" s="76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62"/>
      <c r="AB311" s="52"/>
      <c r="AC311" s="52"/>
      <c r="AD311" s="52"/>
      <c r="AE311" s="52"/>
      <c r="AF311" s="52"/>
      <c r="AG311" s="52"/>
      <c r="AH311" s="48"/>
      <c r="AI311" s="48"/>
      <c r="AJ311" s="48"/>
      <c r="AK311" s="53"/>
      <c r="AL311" s="53"/>
      <c r="AM311" s="53"/>
      <c r="AN311" s="53"/>
      <c r="AO311" s="53"/>
      <c r="AP311" s="53"/>
      <c r="AQ311" s="53"/>
      <c r="AR311" s="53"/>
      <c r="AS311" s="53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52"/>
      <c r="BG311" s="52"/>
      <c r="BH311" s="52"/>
      <c r="BI311" s="52"/>
      <c r="BJ311" s="52"/>
      <c r="BK311" s="52"/>
      <c r="BL311" s="52"/>
      <c r="BM311" s="54"/>
    </row>
    <row r="312">
      <c r="A312" s="42"/>
      <c r="B312" s="52"/>
      <c r="C312" s="52"/>
      <c r="D312" s="52"/>
      <c r="E312" s="52"/>
      <c r="F312" s="81"/>
      <c r="G312" s="57"/>
      <c r="H312" s="48"/>
      <c r="I312" s="77"/>
      <c r="J312" s="62"/>
      <c r="K312" s="52"/>
      <c r="L312" s="52"/>
      <c r="M312" s="76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62"/>
      <c r="AB312" s="52"/>
      <c r="AC312" s="52"/>
      <c r="AD312" s="52"/>
      <c r="AE312" s="52"/>
      <c r="AF312" s="52"/>
      <c r="AG312" s="52"/>
      <c r="AH312" s="48"/>
      <c r="AI312" s="48"/>
      <c r="AJ312" s="48"/>
      <c r="AK312" s="53"/>
      <c r="AL312" s="53"/>
      <c r="AM312" s="53"/>
      <c r="AN312" s="53"/>
      <c r="AO312" s="53"/>
      <c r="AP312" s="53"/>
      <c r="AQ312" s="53"/>
      <c r="AR312" s="53"/>
      <c r="AS312" s="53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52"/>
      <c r="BG312" s="52"/>
      <c r="BH312" s="52"/>
      <c r="BI312" s="52"/>
      <c r="BJ312" s="52"/>
      <c r="BK312" s="52"/>
      <c r="BL312" s="52"/>
      <c r="BM312" s="54"/>
    </row>
    <row r="313">
      <c r="A313" s="42"/>
      <c r="B313" s="52"/>
      <c r="C313" s="52"/>
      <c r="D313" s="52"/>
      <c r="E313" s="52"/>
      <c r="F313" s="81"/>
      <c r="G313" s="57"/>
      <c r="H313" s="48"/>
      <c r="I313" s="77"/>
      <c r="J313" s="62"/>
      <c r="K313" s="52"/>
      <c r="L313" s="52"/>
      <c r="M313" s="76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62"/>
      <c r="AB313" s="52"/>
      <c r="AC313" s="52"/>
      <c r="AD313" s="52"/>
      <c r="AE313" s="52"/>
      <c r="AF313" s="52"/>
      <c r="AG313" s="52"/>
      <c r="AH313" s="48"/>
      <c r="AI313" s="48"/>
      <c r="AJ313" s="48"/>
      <c r="AK313" s="53"/>
      <c r="AL313" s="53"/>
      <c r="AM313" s="53"/>
      <c r="AN313" s="53"/>
      <c r="AO313" s="53"/>
      <c r="AP313" s="53"/>
      <c r="AQ313" s="53"/>
      <c r="AR313" s="53"/>
      <c r="AS313" s="53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52"/>
      <c r="BG313" s="52"/>
      <c r="BH313" s="52"/>
      <c r="BI313" s="52"/>
      <c r="BJ313" s="52"/>
      <c r="BK313" s="52"/>
      <c r="BL313" s="52"/>
      <c r="BM313" s="54"/>
    </row>
    <row r="314">
      <c r="A314" s="42"/>
      <c r="B314" s="52"/>
      <c r="C314" s="52"/>
      <c r="D314" s="52"/>
      <c r="E314" s="52"/>
      <c r="F314" s="81"/>
      <c r="G314" s="57"/>
      <c r="H314" s="48"/>
      <c r="I314" s="77"/>
      <c r="J314" s="62"/>
      <c r="K314" s="52"/>
      <c r="L314" s="52"/>
      <c r="M314" s="76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62"/>
      <c r="AB314" s="52"/>
      <c r="AC314" s="52"/>
      <c r="AD314" s="52"/>
      <c r="AE314" s="52"/>
      <c r="AF314" s="52"/>
      <c r="AG314" s="52"/>
      <c r="AH314" s="48"/>
      <c r="AI314" s="48"/>
      <c r="AJ314" s="48"/>
      <c r="AK314" s="53"/>
      <c r="AL314" s="53"/>
      <c r="AM314" s="53"/>
      <c r="AN314" s="53"/>
      <c r="AO314" s="53"/>
      <c r="AP314" s="53"/>
      <c r="AQ314" s="53"/>
      <c r="AR314" s="53"/>
      <c r="AS314" s="53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52"/>
      <c r="BG314" s="52"/>
      <c r="BH314" s="52"/>
      <c r="BI314" s="52"/>
      <c r="BJ314" s="52"/>
      <c r="BK314" s="52"/>
      <c r="BL314" s="52"/>
      <c r="BM314" s="54"/>
    </row>
    <row r="315">
      <c r="A315" s="42"/>
      <c r="B315" s="52"/>
      <c r="C315" s="52"/>
      <c r="D315" s="52"/>
      <c r="E315" s="52"/>
      <c r="F315" s="81"/>
      <c r="G315" s="57"/>
      <c r="H315" s="48"/>
      <c r="I315" s="77"/>
      <c r="J315" s="62"/>
      <c r="K315" s="52"/>
      <c r="L315" s="52"/>
      <c r="M315" s="76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62"/>
      <c r="AB315" s="52"/>
      <c r="AC315" s="52"/>
      <c r="AD315" s="52"/>
      <c r="AE315" s="52"/>
      <c r="AF315" s="52"/>
      <c r="AG315" s="52"/>
      <c r="AH315" s="48"/>
      <c r="AI315" s="48"/>
      <c r="AJ315" s="48"/>
      <c r="AK315" s="53"/>
      <c r="AL315" s="53"/>
      <c r="AM315" s="53"/>
      <c r="AN315" s="53"/>
      <c r="AO315" s="53"/>
      <c r="AP315" s="53"/>
      <c r="AQ315" s="53"/>
      <c r="AR315" s="53"/>
      <c r="AS315" s="53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52"/>
      <c r="BG315" s="52"/>
      <c r="BH315" s="52"/>
      <c r="BI315" s="52"/>
      <c r="BJ315" s="52"/>
      <c r="BK315" s="52"/>
      <c r="BL315" s="52"/>
      <c r="BM315" s="54"/>
    </row>
    <row r="316">
      <c r="A316" s="42"/>
      <c r="B316" s="52"/>
      <c r="C316" s="52"/>
      <c r="D316" s="52"/>
      <c r="E316" s="52"/>
      <c r="F316" s="81"/>
      <c r="G316" s="57"/>
      <c r="H316" s="48"/>
      <c r="I316" s="77"/>
      <c r="J316" s="62"/>
      <c r="K316" s="52"/>
      <c r="L316" s="52"/>
      <c r="M316" s="76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62"/>
      <c r="AB316" s="52"/>
      <c r="AC316" s="52"/>
      <c r="AD316" s="52"/>
      <c r="AE316" s="52"/>
      <c r="AF316" s="52"/>
      <c r="AG316" s="52"/>
      <c r="AH316" s="48"/>
      <c r="AI316" s="48"/>
      <c r="AJ316" s="48"/>
      <c r="AK316" s="53"/>
      <c r="AL316" s="53"/>
      <c r="AM316" s="53"/>
      <c r="AN316" s="53"/>
      <c r="AO316" s="53"/>
      <c r="AP316" s="53"/>
      <c r="AQ316" s="53"/>
      <c r="AR316" s="53"/>
      <c r="AS316" s="53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52"/>
      <c r="BG316" s="52"/>
      <c r="BH316" s="52"/>
      <c r="BI316" s="52"/>
      <c r="BJ316" s="52"/>
      <c r="BK316" s="52"/>
      <c r="BL316" s="52"/>
      <c r="BM316" s="54"/>
    </row>
    <row r="317">
      <c r="A317" s="42"/>
      <c r="B317" s="52"/>
      <c r="C317" s="52"/>
      <c r="D317" s="52"/>
      <c r="E317" s="52"/>
      <c r="F317" s="81"/>
      <c r="G317" s="57"/>
      <c r="H317" s="48"/>
      <c r="I317" s="77"/>
      <c r="J317" s="62"/>
      <c r="K317" s="52"/>
      <c r="L317" s="52"/>
      <c r="M317" s="76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62"/>
      <c r="AB317" s="52"/>
      <c r="AC317" s="52"/>
      <c r="AD317" s="52"/>
      <c r="AE317" s="52"/>
      <c r="AF317" s="52"/>
      <c r="AG317" s="52"/>
      <c r="AH317" s="48"/>
      <c r="AI317" s="48"/>
      <c r="AJ317" s="48"/>
      <c r="AK317" s="53"/>
      <c r="AL317" s="53"/>
      <c r="AM317" s="53"/>
      <c r="AN317" s="53"/>
      <c r="AO317" s="53"/>
      <c r="AP317" s="53"/>
      <c r="AQ317" s="53"/>
      <c r="AR317" s="53"/>
      <c r="AS317" s="53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52"/>
      <c r="BG317" s="52"/>
      <c r="BH317" s="52"/>
      <c r="BI317" s="52"/>
      <c r="BJ317" s="52"/>
      <c r="BK317" s="52"/>
      <c r="BL317" s="52"/>
      <c r="BM317" s="54"/>
    </row>
    <row r="318">
      <c r="A318" s="42"/>
      <c r="B318" s="52"/>
      <c r="C318" s="52"/>
      <c r="D318" s="52"/>
      <c r="E318" s="52"/>
      <c r="F318" s="81"/>
      <c r="G318" s="57"/>
      <c r="H318" s="48"/>
      <c r="I318" s="77"/>
      <c r="J318" s="62"/>
      <c r="K318" s="52"/>
      <c r="L318" s="52"/>
      <c r="M318" s="76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62"/>
      <c r="AB318" s="52"/>
      <c r="AC318" s="52"/>
      <c r="AD318" s="52"/>
      <c r="AE318" s="52"/>
      <c r="AF318" s="52"/>
      <c r="AG318" s="52"/>
      <c r="AH318" s="48"/>
      <c r="AI318" s="48"/>
      <c r="AJ318" s="48"/>
      <c r="AK318" s="53"/>
      <c r="AL318" s="53"/>
      <c r="AM318" s="53"/>
      <c r="AN318" s="53"/>
      <c r="AO318" s="53"/>
      <c r="AP318" s="53"/>
      <c r="AQ318" s="53"/>
      <c r="AR318" s="53"/>
      <c r="AS318" s="53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52"/>
      <c r="BG318" s="52"/>
      <c r="BH318" s="52"/>
      <c r="BI318" s="52"/>
      <c r="BJ318" s="52"/>
      <c r="BK318" s="52"/>
      <c r="BL318" s="52"/>
      <c r="BM318" s="54"/>
    </row>
    <row r="319">
      <c r="A319" s="42"/>
      <c r="B319" s="52"/>
      <c r="C319" s="52"/>
      <c r="D319" s="52"/>
      <c r="E319" s="52"/>
      <c r="F319" s="81"/>
      <c r="G319" s="57"/>
      <c r="H319" s="48"/>
      <c r="I319" s="77"/>
      <c r="J319" s="62"/>
      <c r="K319" s="52"/>
      <c r="L319" s="52"/>
      <c r="M319" s="76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62"/>
      <c r="AB319" s="52"/>
      <c r="AC319" s="52"/>
      <c r="AD319" s="52"/>
      <c r="AE319" s="52"/>
      <c r="AF319" s="52"/>
      <c r="AG319" s="52"/>
      <c r="AH319" s="48"/>
      <c r="AI319" s="48"/>
      <c r="AJ319" s="48"/>
      <c r="AK319" s="53"/>
      <c r="AL319" s="53"/>
      <c r="AM319" s="53"/>
      <c r="AN319" s="53"/>
      <c r="AO319" s="53"/>
      <c r="AP319" s="53"/>
      <c r="AQ319" s="53"/>
      <c r="AR319" s="53"/>
      <c r="AS319" s="53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52"/>
      <c r="BG319" s="52"/>
      <c r="BH319" s="52"/>
      <c r="BI319" s="52"/>
      <c r="BJ319" s="52"/>
      <c r="BK319" s="52"/>
      <c r="BL319" s="52"/>
      <c r="BM319" s="54"/>
    </row>
    <row r="320">
      <c r="A320" s="42"/>
      <c r="B320" s="52"/>
      <c r="C320" s="52"/>
      <c r="D320" s="52"/>
      <c r="E320" s="52"/>
      <c r="F320" s="81"/>
      <c r="G320" s="57"/>
      <c r="H320" s="48"/>
      <c r="I320" s="77"/>
      <c r="J320" s="62"/>
      <c r="K320" s="52"/>
      <c r="L320" s="52"/>
      <c r="M320" s="76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62"/>
      <c r="AB320" s="52"/>
      <c r="AC320" s="52"/>
      <c r="AD320" s="52"/>
      <c r="AE320" s="52"/>
      <c r="AF320" s="52"/>
      <c r="AG320" s="52"/>
      <c r="AH320" s="48"/>
      <c r="AI320" s="48"/>
      <c r="AJ320" s="48"/>
      <c r="AK320" s="53"/>
      <c r="AL320" s="53"/>
      <c r="AM320" s="53"/>
      <c r="AN320" s="53"/>
      <c r="AO320" s="53"/>
      <c r="AP320" s="53"/>
      <c r="AQ320" s="53"/>
      <c r="AR320" s="53"/>
      <c r="AS320" s="53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52"/>
      <c r="BG320" s="52"/>
      <c r="BH320" s="52"/>
      <c r="BI320" s="52"/>
      <c r="BJ320" s="52"/>
      <c r="BK320" s="52"/>
      <c r="BL320" s="52"/>
      <c r="BM320" s="54"/>
    </row>
    <row r="321">
      <c r="A321" s="42"/>
      <c r="B321" s="52"/>
      <c r="C321" s="52"/>
      <c r="D321" s="52"/>
      <c r="E321" s="52"/>
      <c r="F321" s="81"/>
      <c r="G321" s="57"/>
      <c r="H321" s="48"/>
      <c r="I321" s="77"/>
      <c r="J321" s="62"/>
      <c r="K321" s="52"/>
      <c r="L321" s="52"/>
      <c r="M321" s="76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62"/>
      <c r="AB321" s="52"/>
      <c r="AC321" s="52"/>
      <c r="AD321" s="52"/>
      <c r="AE321" s="52"/>
      <c r="AF321" s="52"/>
      <c r="AG321" s="52"/>
      <c r="AH321" s="48"/>
      <c r="AI321" s="48"/>
      <c r="AJ321" s="48"/>
      <c r="AK321" s="53"/>
      <c r="AL321" s="53"/>
      <c r="AM321" s="53"/>
      <c r="AN321" s="53"/>
      <c r="AO321" s="53"/>
      <c r="AP321" s="53"/>
      <c r="AQ321" s="53"/>
      <c r="AR321" s="53"/>
      <c r="AS321" s="53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52"/>
      <c r="BG321" s="52"/>
      <c r="BH321" s="52"/>
      <c r="BI321" s="52"/>
      <c r="BJ321" s="52"/>
      <c r="BK321" s="52"/>
      <c r="BL321" s="52"/>
      <c r="BM321" s="54"/>
    </row>
    <row r="322">
      <c r="A322" s="42"/>
      <c r="B322" s="52"/>
      <c r="C322" s="52"/>
      <c r="D322" s="52"/>
      <c r="E322" s="52"/>
      <c r="F322" s="81"/>
      <c r="G322" s="57"/>
      <c r="H322" s="48"/>
      <c r="I322" s="77"/>
      <c r="J322" s="62"/>
      <c r="K322" s="52"/>
      <c r="L322" s="52"/>
      <c r="M322" s="76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62"/>
      <c r="AB322" s="52"/>
      <c r="AC322" s="52"/>
      <c r="AD322" s="52"/>
      <c r="AE322" s="52"/>
      <c r="AF322" s="52"/>
      <c r="AG322" s="52"/>
      <c r="AH322" s="48"/>
      <c r="AI322" s="48"/>
      <c r="AJ322" s="48"/>
      <c r="AK322" s="53"/>
      <c r="AL322" s="53"/>
      <c r="AM322" s="53"/>
      <c r="AN322" s="53"/>
      <c r="AO322" s="53"/>
      <c r="AP322" s="53"/>
      <c r="AQ322" s="53"/>
      <c r="AR322" s="53"/>
      <c r="AS322" s="53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52"/>
      <c r="BG322" s="52"/>
      <c r="BH322" s="52"/>
      <c r="BI322" s="52"/>
      <c r="BJ322" s="52"/>
      <c r="BK322" s="52"/>
      <c r="BL322" s="52"/>
      <c r="BM322" s="54"/>
    </row>
    <row r="323">
      <c r="A323" s="42"/>
      <c r="B323" s="52"/>
      <c r="C323" s="52"/>
      <c r="D323" s="52"/>
      <c r="E323" s="52"/>
      <c r="F323" s="81"/>
      <c r="G323" s="57"/>
      <c r="H323" s="48"/>
      <c r="I323" s="77"/>
      <c r="J323" s="62"/>
      <c r="K323" s="52"/>
      <c r="L323" s="52"/>
      <c r="M323" s="76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62"/>
      <c r="AB323" s="52"/>
      <c r="AC323" s="52"/>
      <c r="AD323" s="52"/>
      <c r="AE323" s="52"/>
      <c r="AF323" s="52"/>
      <c r="AG323" s="52"/>
      <c r="AH323" s="48"/>
      <c r="AI323" s="48"/>
      <c r="AJ323" s="48"/>
      <c r="AK323" s="53"/>
      <c r="AL323" s="53"/>
      <c r="AM323" s="53"/>
      <c r="AN323" s="53"/>
      <c r="AO323" s="53"/>
      <c r="AP323" s="53"/>
      <c r="AQ323" s="53"/>
      <c r="AR323" s="53"/>
      <c r="AS323" s="53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52"/>
      <c r="BG323" s="52"/>
      <c r="BH323" s="52"/>
      <c r="BI323" s="52"/>
      <c r="BJ323" s="52"/>
      <c r="BK323" s="52"/>
      <c r="BL323" s="52"/>
      <c r="BM323" s="54"/>
    </row>
    <row r="324">
      <c r="A324" s="42"/>
      <c r="B324" s="52"/>
      <c r="C324" s="52"/>
      <c r="D324" s="52"/>
      <c r="E324" s="52"/>
      <c r="F324" s="81"/>
      <c r="G324" s="57"/>
      <c r="H324" s="48"/>
      <c r="I324" s="77"/>
      <c r="J324" s="62"/>
      <c r="K324" s="52"/>
      <c r="L324" s="52"/>
      <c r="M324" s="76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62"/>
      <c r="AB324" s="52"/>
      <c r="AC324" s="52"/>
      <c r="AD324" s="52"/>
      <c r="AE324" s="52"/>
      <c r="AF324" s="52"/>
      <c r="AG324" s="52"/>
      <c r="AH324" s="48"/>
      <c r="AI324" s="48"/>
      <c r="AJ324" s="48"/>
      <c r="AK324" s="53"/>
      <c r="AL324" s="53"/>
      <c r="AM324" s="53"/>
      <c r="AN324" s="53"/>
      <c r="AO324" s="53"/>
      <c r="AP324" s="53"/>
      <c r="AQ324" s="53"/>
      <c r="AR324" s="53"/>
      <c r="AS324" s="53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52"/>
      <c r="BG324" s="52"/>
      <c r="BH324" s="52"/>
      <c r="BI324" s="52"/>
      <c r="BJ324" s="52"/>
      <c r="BK324" s="52"/>
      <c r="BL324" s="52"/>
      <c r="BM324" s="54"/>
    </row>
    <row r="325">
      <c r="A325" s="42"/>
      <c r="B325" s="52"/>
      <c r="C325" s="52"/>
      <c r="D325" s="52"/>
      <c r="E325" s="52"/>
      <c r="F325" s="81"/>
      <c r="G325" s="57"/>
      <c r="H325" s="48"/>
      <c r="I325" s="77"/>
      <c r="J325" s="62"/>
      <c r="K325" s="52"/>
      <c r="L325" s="52"/>
      <c r="M325" s="76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62"/>
      <c r="AB325" s="52"/>
      <c r="AC325" s="52"/>
      <c r="AD325" s="52"/>
      <c r="AE325" s="52"/>
      <c r="AF325" s="52"/>
      <c r="AG325" s="52"/>
      <c r="AH325" s="48"/>
      <c r="AI325" s="48"/>
      <c r="AJ325" s="48"/>
      <c r="AK325" s="53"/>
      <c r="AL325" s="53"/>
      <c r="AM325" s="53"/>
      <c r="AN325" s="53"/>
      <c r="AO325" s="53"/>
      <c r="AP325" s="53"/>
      <c r="AQ325" s="53"/>
      <c r="AR325" s="53"/>
      <c r="AS325" s="53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52"/>
      <c r="BG325" s="52"/>
      <c r="BH325" s="52"/>
      <c r="BI325" s="52"/>
      <c r="BJ325" s="52"/>
      <c r="BK325" s="52"/>
      <c r="BL325" s="52"/>
      <c r="BM325" s="54"/>
    </row>
    <row r="326">
      <c r="A326" s="42"/>
      <c r="B326" s="52"/>
      <c r="C326" s="52"/>
      <c r="D326" s="52"/>
      <c r="E326" s="52"/>
      <c r="F326" s="81"/>
      <c r="G326" s="57"/>
      <c r="H326" s="48"/>
      <c r="I326" s="77"/>
      <c r="J326" s="62"/>
      <c r="K326" s="52"/>
      <c r="L326" s="52"/>
      <c r="M326" s="76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62"/>
      <c r="AB326" s="52"/>
      <c r="AC326" s="52"/>
      <c r="AD326" s="52"/>
      <c r="AE326" s="52"/>
      <c r="AF326" s="52"/>
      <c r="AG326" s="52"/>
      <c r="AH326" s="48"/>
      <c r="AI326" s="48"/>
      <c r="AJ326" s="48"/>
      <c r="AK326" s="53"/>
      <c r="AL326" s="53"/>
      <c r="AM326" s="53"/>
      <c r="AN326" s="53"/>
      <c r="AO326" s="53"/>
      <c r="AP326" s="53"/>
      <c r="AQ326" s="53"/>
      <c r="AR326" s="53"/>
      <c r="AS326" s="53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52"/>
      <c r="BG326" s="52"/>
      <c r="BH326" s="52"/>
      <c r="BI326" s="52"/>
      <c r="BJ326" s="52"/>
      <c r="BK326" s="52"/>
      <c r="BL326" s="52"/>
      <c r="BM326" s="54"/>
    </row>
    <row r="327">
      <c r="A327" s="42"/>
      <c r="B327" s="52"/>
      <c r="C327" s="52"/>
      <c r="D327" s="52"/>
      <c r="E327" s="52"/>
      <c r="F327" s="81"/>
      <c r="G327" s="57"/>
      <c r="H327" s="48"/>
      <c r="I327" s="77"/>
      <c r="J327" s="62"/>
      <c r="K327" s="52"/>
      <c r="L327" s="52"/>
      <c r="M327" s="76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62"/>
      <c r="AB327" s="52"/>
      <c r="AC327" s="52"/>
      <c r="AD327" s="52"/>
      <c r="AE327" s="52"/>
      <c r="AF327" s="52"/>
      <c r="AG327" s="52"/>
      <c r="AH327" s="48"/>
      <c r="AI327" s="48"/>
      <c r="AJ327" s="48"/>
      <c r="AK327" s="53"/>
      <c r="AL327" s="53"/>
      <c r="AM327" s="53"/>
      <c r="AN327" s="53"/>
      <c r="AO327" s="53"/>
      <c r="AP327" s="53"/>
      <c r="AQ327" s="53"/>
      <c r="AR327" s="53"/>
      <c r="AS327" s="53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52"/>
      <c r="BG327" s="52"/>
      <c r="BH327" s="52"/>
      <c r="BI327" s="52"/>
      <c r="BJ327" s="52"/>
      <c r="BK327" s="52"/>
      <c r="BL327" s="52"/>
      <c r="BM327" s="54"/>
    </row>
    <row r="328">
      <c r="A328" s="42"/>
      <c r="B328" s="52"/>
      <c r="C328" s="52"/>
      <c r="D328" s="52"/>
      <c r="E328" s="52"/>
      <c r="F328" s="81"/>
      <c r="G328" s="57"/>
      <c r="H328" s="48"/>
      <c r="I328" s="77"/>
      <c r="J328" s="62"/>
      <c r="K328" s="52"/>
      <c r="L328" s="52"/>
      <c r="M328" s="76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62"/>
      <c r="AB328" s="52"/>
      <c r="AC328" s="52"/>
      <c r="AD328" s="52"/>
      <c r="AE328" s="52"/>
      <c r="AF328" s="52"/>
      <c r="AG328" s="52"/>
      <c r="AH328" s="48"/>
      <c r="AI328" s="48"/>
      <c r="AJ328" s="48"/>
      <c r="AK328" s="53"/>
      <c r="AL328" s="53"/>
      <c r="AM328" s="53"/>
      <c r="AN328" s="53"/>
      <c r="AO328" s="53"/>
      <c r="AP328" s="53"/>
      <c r="AQ328" s="53"/>
      <c r="AR328" s="53"/>
      <c r="AS328" s="53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52"/>
      <c r="BG328" s="52"/>
      <c r="BH328" s="52"/>
      <c r="BI328" s="52"/>
      <c r="BJ328" s="52"/>
      <c r="BK328" s="52"/>
      <c r="BL328" s="52"/>
      <c r="BM328" s="54"/>
    </row>
    <row r="329">
      <c r="A329" s="42"/>
      <c r="B329" s="52"/>
      <c r="C329" s="52"/>
      <c r="D329" s="52"/>
      <c r="E329" s="52"/>
      <c r="F329" s="81"/>
      <c r="G329" s="57"/>
      <c r="H329" s="48"/>
      <c r="I329" s="77"/>
      <c r="J329" s="62"/>
      <c r="K329" s="52"/>
      <c r="L329" s="52"/>
      <c r="M329" s="76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62"/>
      <c r="AB329" s="52"/>
      <c r="AC329" s="52"/>
      <c r="AD329" s="52"/>
      <c r="AE329" s="52"/>
      <c r="AF329" s="52"/>
      <c r="AG329" s="52"/>
      <c r="AH329" s="48"/>
      <c r="AI329" s="48"/>
      <c r="AJ329" s="48"/>
      <c r="AK329" s="53"/>
      <c r="AL329" s="53"/>
      <c r="AM329" s="53"/>
      <c r="AN329" s="53"/>
      <c r="AO329" s="53"/>
      <c r="AP329" s="53"/>
      <c r="AQ329" s="53"/>
      <c r="AR329" s="53"/>
      <c r="AS329" s="53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52"/>
      <c r="BG329" s="52"/>
      <c r="BH329" s="52"/>
      <c r="BI329" s="52"/>
      <c r="BJ329" s="52"/>
      <c r="BK329" s="52"/>
      <c r="BL329" s="52"/>
      <c r="BM329" s="54"/>
    </row>
    <row r="330">
      <c r="A330" s="42"/>
      <c r="B330" s="52"/>
      <c r="C330" s="52"/>
      <c r="D330" s="52"/>
      <c r="E330" s="52"/>
      <c r="F330" s="81"/>
      <c r="G330" s="57"/>
      <c r="H330" s="48"/>
      <c r="I330" s="77"/>
      <c r="J330" s="62"/>
      <c r="K330" s="52"/>
      <c r="L330" s="52"/>
      <c r="M330" s="76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62"/>
      <c r="AB330" s="52"/>
      <c r="AC330" s="52"/>
      <c r="AD330" s="52"/>
      <c r="AE330" s="52"/>
      <c r="AF330" s="52"/>
      <c r="AG330" s="52"/>
      <c r="AH330" s="48"/>
      <c r="AI330" s="48"/>
      <c r="AJ330" s="48"/>
      <c r="AK330" s="53"/>
      <c r="AL330" s="53"/>
      <c r="AM330" s="53"/>
      <c r="AN330" s="53"/>
      <c r="AO330" s="53"/>
      <c r="AP330" s="53"/>
      <c r="AQ330" s="53"/>
      <c r="AR330" s="53"/>
      <c r="AS330" s="53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52"/>
      <c r="BG330" s="52"/>
      <c r="BH330" s="52"/>
      <c r="BI330" s="52"/>
      <c r="BJ330" s="52"/>
      <c r="BK330" s="52"/>
      <c r="BL330" s="52"/>
      <c r="BM330" s="54"/>
    </row>
    <row r="331">
      <c r="A331" s="42"/>
      <c r="B331" s="52"/>
      <c r="C331" s="52"/>
      <c r="D331" s="52"/>
      <c r="E331" s="52"/>
      <c r="F331" s="81"/>
      <c r="G331" s="57"/>
      <c r="H331" s="48"/>
      <c r="I331" s="77"/>
      <c r="J331" s="62"/>
      <c r="K331" s="52"/>
      <c r="L331" s="52"/>
      <c r="M331" s="76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62"/>
      <c r="AB331" s="52"/>
      <c r="AC331" s="52"/>
      <c r="AD331" s="52"/>
      <c r="AE331" s="52"/>
      <c r="AF331" s="52"/>
      <c r="AG331" s="52"/>
      <c r="AH331" s="48"/>
      <c r="AI331" s="48"/>
      <c r="AJ331" s="48"/>
      <c r="AK331" s="53"/>
      <c r="AL331" s="53"/>
      <c r="AM331" s="53"/>
      <c r="AN331" s="53"/>
      <c r="AO331" s="53"/>
      <c r="AP331" s="53"/>
      <c r="AQ331" s="53"/>
      <c r="AR331" s="53"/>
      <c r="AS331" s="53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52"/>
      <c r="BG331" s="52"/>
      <c r="BH331" s="52"/>
      <c r="BI331" s="52"/>
      <c r="BJ331" s="52"/>
      <c r="BK331" s="52"/>
      <c r="BL331" s="52"/>
      <c r="BM331" s="54"/>
    </row>
    <row r="332">
      <c r="A332" s="42"/>
      <c r="B332" s="52"/>
      <c r="C332" s="52"/>
      <c r="D332" s="52"/>
      <c r="E332" s="52"/>
      <c r="F332" s="81"/>
      <c r="G332" s="57"/>
      <c r="H332" s="48"/>
      <c r="I332" s="77"/>
      <c r="J332" s="62"/>
      <c r="K332" s="52"/>
      <c r="L332" s="52"/>
      <c r="M332" s="76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62"/>
      <c r="AB332" s="52"/>
      <c r="AC332" s="52"/>
      <c r="AD332" s="52"/>
      <c r="AE332" s="52"/>
      <c r="AF332" s="52"/>
      <c r="AG332" s="52"/>
      <c r="AH332" s="48"/>
      <c r="AI332" s="48"/>
      <c r="AJ332" s="48"/>
      <c r="AK332" s="53"/>
      <c r="AL332" s="53"/>
      <c r="AM332" s="53"/>
      <c r="AN332" s="53"/>
      <c r="AO332" s="53"/>
      <c r="AP332" s="53"/>
      <c r="AQ332" s="53"/>
      <c r="AR332" s="53"/>
      <c r="AS332" s="53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52"/>
      <c r="BG332" s="52"/>
      <c r="BH332" s="52"/>
      <c r="BI332" s="52"/>
      <c r="BJ332" s="52"/>
      <c r="BK332" s="52"/>
      <c r="BL332" s="52"/>
      <c r="BM332" s="54"/>
    </row>
    <row r="333">
      <c r="A333" s="42"/>
      <c r="B333" s="52"/>
      <c r="C333" s="52"/>
      <c r="D333" s="52"/>
      <c r="E333" s="52"/>
      <c r="F333" s="81"/>
      <c r="G333" s="57"/>
      <c r="H333" s="48"/>
      <c r="I333" s="77"/>
      <c r="J333" s="62"/>
      <c r="K333" s="52"/>
      <c r="L333" s="52"/>
      <c r="M333" s="76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62"/>
      <c r="AB333" s="52"/>
      <c r="AC333" s="52"/>
      <c r="AD333" s="52"/>
      <c r="AE333" s="52"/>
      <c r="AF333" s="52"/>
      <c r="AG333" s="52"/>
      <c r="AH333" s="48"/>
      <c r="AI333" s="48"/>
      <c r="AJ333" s="48"/>
      <c r="AK333" s="53"/>
      <c r="AL333" s="53"/>
      <c r="AM333" s="53"/>
      <c r="AN333" s="53"/>
      <c r="AO333" s="53"/>
      <c r="AP333" s="53"/>
      <c r="AQ333" s="53"/>
      <c r="AR333" s="53"/>
      <c r="AS333" s="53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52"/>
      <c r="BG333" s="52"/>
      <c r="BH333" s="52"/>
      <c r="BI333" s="52"/>
      <c r="BJ333" s="52"/>
      <c r="BK333" s="52"/>
      <c r="BL333" s="52"/>
      <c r="BM333" s="54"/>
    </row>
    <row r="334">
      <c r="A334" s="42"/>
      <c r="B334" s="52"/>
      <c r="C334" s="52"/>
      <c r="D334" s="52"/>
      <c r="E334" s="52"/>
      <c r="F334" s="81"/>
      <c r="G334" s="57"/>
      <c r="H334" s="48"/>
      <c r="I334" s="77"/>
      <c r="J334" s="62"/>
      <c r="K334" s="52"/>
      <c r="L334" s="52"/>
      <c r="M334" s="76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62"/>
      <c r="AB334" s="52"/>
      <c r="AC334" s="52"/>
      <c r="AD334" s="52"/>
      <c r="AE334" s="52"/>
      <c r="AF334" s="52"/>
      <c r="AG334" s="52"/>
      <c r="AH334" s="48"/>
      <c r="AI334" s="48"/>
      <c r="AJ334" s="48"/>
      <c r="AK334" s="53"/>
      <c r="AL334" s="53"/>
      <c r="AM334" s="53"/>
      <c r="AN334" s="53"/>
      <c r="AO334" s="53"/>
      <c r="AP334" s="53"/>
      <c r="AQ334" s="53"/>
      <c r="AR334" s="53"/>
      <c r="AS334" s="53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52"/>
      <c r="BG334" s="52"/>
      <c r="BH334" s="52"/>
      <c r="BI334" s="52"/>
      <c r="BJ334" s="52"/>
      <c r="BK334" s="52"/>
      <c r="BL334" s="52"/>
      <c r="BM334" s="54"/>
    </row>
    <row r="335">
      <c r="A335" s="42"/>
      <c r="B335" s="52"/>
      <c r="C335" s="52"/>
      <c r="D335" s="52"/>
      <c r="E335" s="52"/>
      <c r="F335" s="81"/>
      <c r="G335" s="57"/>
      <c r="H335" s="48"/>
      <c r="I335" s="77"/>
      <c r="J335" s="62"/>
      <c r="K335" s="52"/>
      <c r="L335" s="52"/>
      <c r="M335" s="76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62"/>
      <c r="AB335" s="52"/>
      <c r="AC335" s="52"/>
      <c r="AD335" s="52"/>
      <c r="AE335" s="52"/>
      <c r="AF335" s="52"/>
      <c r="AG335" s="52"/>
      <c r="AH335" s="48"/>
      <c r="AI335" s="48"/>
      <c r="AJ335" s="48"/>
      <c r="AK335" s="53"/>
      <c r="AL335" s="53"/>
      <c r="AM335" s="53"/>
      <c r="AN335" s="53"/>
      <c r="AO335" s="53"/>
      <c r="AP335" s="53"/>
      <c r="AQ335" s="53"/>
      <c r="AR335" s="53"/>
      <c r="AS335" s="53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52"/>
      <c r="BG335" s="52"/>
      <c r="BH335" s="52"/>
      <c r="BI335" s="52"/>
      <c r="BJ335" s="52"/>
      <c r="BK335" s="52"/>
      <c r="BL335" s="52"/>
      <c r="BM335" s="54"/>
    </row>
    <row r="336">
      <c r="A336" s="42"/>
      <c r="B336" s="52"/>
      <c r="C336" s="52"/>
      <c r="D336" s="52"/>
      <c r="E336" s="52"/>
      <c r="F336" s="81"/>
      <c r="G336" s="57"/>
      <c r="H336" s="48"/>
      <c r="I336" s="77"/>
      <c r="J336" s="62"/>
      <c r="K336" s="52"/>
      <c r="L336" s="52"/>
      <c r="M336" s="76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62"/>
      <c r="AB336" s="52"/>
      <c r="AC336" s="52"/>
      <c r="AD336" s="52"/>
      <c r="AE336" s="52"/>
      <c r="AF336" s="52"/>
      <c r="AG336" s="52"/>
      <c r="AH336" s="48"/>
      <c r="AI336" s="48"/>
      <c r="AJ336" s="48"/>
      <c r="AK336" s="53"/>
      <c r="AL336" s="53"/>
      <c r="AM336" s="53"/>
      <c r="AN336" s="53"/>
      <c r="AO336" s="53"/>
      <c r="AP336" s="53"/>
      <c r="AQ336" s="53"/>
      <c r="AR336" s="53"/>
      <c r="AS336" s="53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52"/>
      <c r="BG336" s="52"/>
      <c r="BH336" s="52"/>
      <c r="BI336" s="52"/>
      <c r="BJ336" s="52"/>
      <c r="BK336" s="52"/>
      <c r="BL336" s="52"/>
      <c r="BM336" s="54"/>
    </row>
    <row r="337">
      <c r="A337" s="42"/>
      <c r="B337" s="52"/>
      <c r="C337" s="52"/>
      <c r="D337" s="52"/>
      <c r="E337" s="52"/>
      <c r="F337" s="81"/>
      <c r="G337" s="57"/>
      <c r="H337" s="48"/>
      <c r="I337" s="77"/>
      <c r="J337" s="62"/>
      <c r="K337" s="52"/>
      <c r="L337" s="52"/>
      <c r="M337" s="76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62"/>
      <c r="AB337" s="52"/>
      <c r="AC337" s="52"/>
      <c r="AD337" s="52"/>
      <c r="AE337" s="52"/>
      <c r="AF337" s="52"/>
      <c r="AG337" s="52"/>
      <c r="AH337" s="48"/>
      <c r="AI337" s="48"/>
      <c r="AJ337" s="48"/>
      <c r="AK337" s="53"/>
      <c r="AL337" s="53"/>
      <c r="AM337" s="53"/>
      <c r="AN337" s="53"/>
      <c r="AO337" s="53"/>
      <c r="AP337" s="53"/>
      <c r="AQ337" s="53"/>
      <c r="AR337" s="53"/>
      <c r="AS337" s="53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52"/>
      <c r="BG337" s="52"/>
      <c r="BH337" s="52"/>
      <c r="BI337" s="52"/>
      <c r="BJ337" s="52"/>
      <c r="BK337" s="52"/>
      <c r="BL337" s="52"/>
      <c r="BM337" s="54"/>
    </row>
    <row r="338">
      <c r="A338" s="42"/>
      <c r="B338" s="52"/>
      <c r="C338" s="52"/>
      <c r="D338" s="52"/>
      <c r="E338" s="52"/>
      <c r="F338" s="81"/>
      <c r="G338" s="57"/>
      <c r="H338" s="48"/>
      <c r="I338" s="77"/>
      <c r="J338" s="62"/>
      <c r="K338" s="52"/>
      <c r="L338" s="52"/>
      <c r="M338" s="76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62"/>
      <c r="AB338" s="52"/>
      <c r="AC338" s="52"/>
      <c r="AD338" s="52"/>
      <c r="AE338" s="52"/>
      <c r="AF338" s="52"/>
      <c r="AG338" s="52"/>
      <c r="AH338" s="48"/>
      <c r="AI338" s="48"/>
      <c r="AJ338" s="48"/>
      <c r="AK338" s="53"/>
      <c r="AL338" s="53"/>
      <c r="AM338" s="53"/>
      <c r="AN338" s="53"/>
      <c r="AO338" s="53"/>
      <c r="AP338" s="53"/>
      <c r="AQ338" s="53"/>
      <c r="AR338" s="53"/>
      <c r="AS338" s="53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52"/>
      <c r="BG338" s="52"/>
      <c r="BH338" s="52"/>
      <c r="BI338" s="52"/>
      <c r="BJ338" s="52"/>
      <c r="BK338" s="52"/>
      <c r="BL338" s="52"/>
      <c r="BM338" s="54"/>
    </row>
    <row r="339">
      <c r="A339" s="42"/>
      <c r="B339" s="52"/>
      <c r="C339" s="52"/>
      <c r="D339" s="52"/>
      <c r="E339" s="52"/>
      <c r="F339" s="81"/>
      <c r="G339" s="57"/>
      <c r="H339" s="48"/>
      <c r="I339" s="77"/>
      <c r="J339" s="62"/>
      <c r="K339" s="52"/>
      <c r="L339" s="52"/>
      <c r="M339" s="76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62"/>
      <c r="AB339" s="52"/>
      <c r="AC339" s="52"/>
      <c r="AD339" s="52"/>
      <c r="AE339" s="52"/>
      <c r="AF339" s="52"/>
      <c r="AG339" s="52"/>
      <c r="AH339" s="48"/>
      <c r="AI339" s="48"/>
      <c r="AJ339" s="48"/>
      <c r="AK339" s="53"/>
      <c r="AL339" s="53"/>
      <c r="AM339" s="53"/>
      <c r="AN339" s="53"/>
      <c r="AO339" s="53"/>
      <c r="AP339" s="53"/>
      <c r="AQ339" s="53"/>
      <c r="AR339" s="53"/>
      <c r="AS339" s="53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52"/>
      <c r="BG339" s="52"/>
      <c r="BH339" s="52"/>
      <c r="BI339" s="52"/>
      <c r="BJ339" s="52"/>
      <c r="BK339" s="52"/>
      <c r="BL339" s="52"/>
      <c r="BM339" s="54"/>
    </row>
    <row r="340">
      <c r="A340" s="42"/>
      <c r="B340" s="52"/>
      <c r="C340" s="52"/>
      <c r="D340" s="52"/>
      <c r="E340" s="52"/>
      <c r="F340" s="81"/>
      <c r="G340" s="57"/>
      <c r="H340" s="48"/>
      <c r="I340" s="77"/>
      <c r="J340" s="62"/>
      <c r="K340" s="52"/>
      <c r="L340" s="52"/>
      <c r="M340" s="76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62"/>
      <c r="AB340" s="52"/>
      <c r="AC340" s="52"/>
      <c r="AD340" s="52"/>
      <c r="AE340" s="52"/>
      <c r="AF340" s="52"/>
      <c r="AG340" s="52"/>
      <c r="AH340" s="48"/>
      <c r="AI340" s="48"/>
      <c r="AJ340" s="48"/>
      <c r="AK340" s="53"/>
      <c r="AL340" s="53"/>
      <c r="AM340" s="53"/>
      <c r="AN340" s="53"/>
      <c r="AO340" s="53"/>
      <c r="AP340" s="53"/>
      <c r="AQ340" s="53"/>
      <c r="AR340" s="53"/>
      <c r="AS340" s="53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52"/>
      <c r="BG340" s="52"/>
      <c r="BH340" s="52"/>
      <c r="BI340" s="52"/>
      <c r="BJ340" s="52"/>
      <c r="BK340" s="52"/>
      <c r="BL340" s="52"/>
      <c r="BM340" s="54"/>
    </row>
    <row r="341">
      <c r="A341" s="42"/>
      <c r="B341" s="52"/>
      <c r="C341" s="52"/>
      <c r="D341" s="52"/>
      <c r="E341" s="52"/>
      <c r="F341" s="81"/>
      <c r="G341" s="57"/>
      <c r="H341" s="48"/>
      <c r="I341" s="77"/>
      <c r="J341" s="62"/>
      <c r="K341" s="52"/>
      <c r="L341" s="52"/>
      <c r="M341" s="76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62"/>
      <c r="AB341" s="52"/>
      <c r="AC341" s="52"/>
      <c r="AD341" s="52"/>
      <c r="AE341" s="52"/>
      <c r="AF341" s="52"/>
      <c r="AG341" s="52"/>
      <c r="AH341" s="48"/>
      <c r="AI341" s="48"/>
      <c r="AJ341" s="48"/>
      <c r="AK341" s="53"/>
      <c r="AL341" s="53"/>
      <c r="AM341" s="53"/>
      <c r="AN341" s="53"/>
      <c r="AO341" s="53"/>
      <c r="AP341" s="53"/>
      <c r="AQ341" s="53"/>
      <c r="AR341" s="53"/>
      <c r="AS341" s="53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52"/>
      <c r="BG341" s="52"/>
      <c r="BH341" s="52"/>
      <c r="BI341" s="52"/>
      <c r="BJ341" s="52"/>
      <c r="BK341" s="52"/>
      <c r="BL341" s="52"/>
      <c r="BM341" s="54"/>
    </row>
    <row r="342">
      <c r="A342" s="42"/>
      <c r="B342" s="52"/>
      <c r="C342" s="52"/>
      <c r="D342" s="52"/>
      <c r="E342" s="52"/>
      <c r="F342" s="81"/>
      <c r="G342" s="57"/>
      <c r="H342" s="48"/>
      <c r="I342" s="77"/>
      <c r="J342" s="62"/>
      <c r="K342" s="52"/>
      <c r="L342" s="52"/>
      <c r="M342" s="76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62"/>
      <c r="AB342" s="52"/>
      <c r="AC342" s="52"/>
      <c r="AD342" s="52"/>
      <c r="AE342" s="52"/>
      <c r="AF342" s="52"/>
      <c r="AG342" s="52"/>
      <c r="AH342" s="48"/>
      <c r="AI342" s="48"/>
      <c r="AJ342" s="48"/>
      <c r="AK342" s="53"/>
      <c r="AL342" s="53"/>
      <c r="AM342" s="53"/>
      <c r="AN342" s="53"/>
      <c r="AO342" s="53"/>
      <c r="AP342" s="53"/>
      <c r="AQ342" s="53"/>
      <c r="AR342" s="53"/>
      <c r="AS342" s="53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52"/>
      <c r="BG342" s="52"/>
      <c r="BH342" s="52"/>
      <c r="BI342" s="52"/>
      <c r="BJ342" s="52"/>
      <c r="BK342" s="52"/>
      <c r="BL342" s="52"/>
      <c r="BM342" s="54"/>
    </row>
    <row r="343">
      <c r="A343" s="42"/>
      <c r="B343" s="52"/>
      <c r="C343" s="52"/>
      <c r="D343" s="52"/>
      <c r="E343" s="52"/>
      <c r="F343" s="81"/>
      <c r="G343" s="57"/>
      <c r="H343" s="48"/>
      <c r="I343" s="77"/>
      <c r="J343" s="62"/>
      <c r="K343" s="52"/>
      <c r="L343" s="52"/>
      <c r="M343" s="76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62"/>
      <c r="AB343" s="52"/>
      <c r="AC343" s="52"/>
      <c r="AD343" s="52"/>
      <c r="AE343" s="52"/>
      <c r="AF343" s="52"/>
      <c r="AG343" s="52"/>
      <c r="AH343" s="48"/>
      <c r="AI343" s="48"/>
      <c r="AJ343" s="48"/>
      <c r="AK343" s="53"/>
      <c r="AL343" s="53"/>
      <c r="AM343" s="53"/>
      <c r="AN343" s="53"/>
      <c r="AO343" s="53"/>
      <c r="AP343" s="53"/>
      <c r="AQ343" s="53"/>
      <c r="AR343" s="53"/>
      <c r="AS343" s="53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52"/>
      <c r="BG343" s="52"/>
      <c r="BH343" s="52"/>
      <c r="BI343" s="52"/>
      <c r="BJ343" s="52"/>
      <c r="BK343" s="52"/>
      <c r="BL343" s="52"/>
      <c r="BM343" s="54"/>
    </row>
    <row r="344">
      <c r="A344" s="42"/>
      <c r="B344" s="52"/>
      <c r="C344" s="52"/>
      <c r="D344" s="52"/>
      <c r="E344" s="52"/>
      <c r="F344" s="81"/>
      <c r="G344" s="57"/>
      <c r="H344" s="48"/>
      <c r="I344" s="77"/>
      <c r="J344" s="62"/>
      <c r="K344" s="52"/>
      <c r="L344" s="52"/>
      <c r="M344" s="76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62"/>
      <c r="AB344" s="52"/>
      <c r="AC344" s="52"/>
      <c r="AD344" s="52"/>
      <c r="AE344" s="52"/>
      <c r="AF344" s="52"/>
      <c r="AG344" s="52"/>
      <c r="AH344" s="48"/>
      <c r="AI344" s="48"/>
      <c r="AJ344" s="48"/>
      <c r="AK344" s="53"/>
      <c r="AL344" s="53"/>
      <c r="AM344" s="53"/>
      <c r="AN344" s="53"/>
      <c r="AO344" s="53"/>
      <c r="AP344" s="53"/>
      <c r="AQ344" s="53"/>
      <c r="AR344" s="53"/>
      <c r="AS344" s="53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52"/>
      <c r="BG344" s="52"/>
      <c r="BH344" s="52"/>
      <c r="BI344" s="52"/>
      <c r="BJ344" s="52"/>
      <c r="BK344" s="52"/>
      <c r="BL344" s="52"/>
      <c r="BM344" s="54"/>
    </row>
    <row r="345">
      <c r="A345" s="42"/>
      <c r="B345" s="52"/>
      <c r="C345" s="52"/>
      <c r="D345" s="52"/>
      <c r="E345" s="52"/>
      <c r="F345" s="81"/>
      <c r="G345" s="57"/>
      <c r="H345" s="48"/>
      <c r="I345" s="77"/>
      <c r="J345" s="62"/>
      <c r="K345" s="52"/>
      <c r="L345" s="52"/>
      <c r="M345" s="76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62"/>
      <c r="AB345" s="52"/>
      <c r="AC345" s="52"/>
      <c r="AD345" s="52"/>
      <c r="AE345" s="52"/>
      <c r="AF345" s="52"/>
      <c r="AG345" s="52"/>
      <c r="AH345" s="48"/>
      <c r="AI345" s="48"/>
      <c r="AJ345" s="48"/>
      <c r="AK345" s="53"/>
      <c r="AL345" s="53"/>
      <c r="AM345" s="53"/>
      <c r="AN345" s="53"/>
      <c r="AO345" s="53"/>
      <c r="AP345" s="53"/>
      <c r="AQ345" s="53"/>
      <c r="AR345" s="53"/>
      <c r="AS345" s="53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52"/>
      <c r="BG345" s="52"/>
      <c r="BH345" s="52"/>
      <c r="BI345" s="52"/>
      <c r="BJ345" s="52"/>
      <c r="BK345" s="52"/>
      <c r="BL345" s="52"/>
      <c r="BM345" s="54"/>
    </row>
    <row r="346">
      <c r="A346" s="42"/>
      <c r="B346" s="52"/>
      <c r="C346" s="52"/>
      <c r="D346" s="52"/>
      <c r="E346" s="52"/>
      <c r="F346" s="81"/>
      <c r="G346" s="57"/>
      <c r="H346" s="48"/>
      <c r="I346" s="77"/>
      <c r="J346" s="62"/>
      <c r="K346" s="52"/>
      <c r="L346" s="52"/>
      <c r="M346" s="76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62"/>
      <c r="AB346" s="52"/>
      <c r="AC346" s="52"/>
      <c r="AD346" s="52"/>
      <c r="AE346" s="52"/>
      <c r="AF346" s="52"/>
      <c r="AG346" s="52"/>
      <c r="AH346" s="48"/>
      <c r="AI346" s="48"/>
      <c r="AJ346" s="48"/>
      <c r="AK346" s="53"/>
      <c r="AL346" s="53"/>
      <c r="AM346" s="53"/>
      <c r="AN346" s="53"/>
      <c r="AO346" s="53"/>
      <c r="AP346" s="53"/>
      <c r="AQ346" s="53"/>
      <c r="AR346" s="53"/>
      <c r="AS346" s="53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52"/>
      <c r="BG346" s="52"/>
      <c r="BH346" s="52"/>
      <c r="BI346" s="52"/>
      <c r="BJ346" s="52"/>
      <c r="BK346" s="52"/>
      <c r="BL346" s="52"/>
      <c r="BM346" s="54"/>
    </row>
    <row r="347">
      <c r="A347" s="42"/>
      <c r="B347" s="52"/>
      <c r="C347" s="52"/>
      <c r="D347" s="52"/>
      <c r="E347" s="52"/>
      <c r="F347" s="81"/>
      <c r="G347" s="57"/>
      <c r="H347" s="48"/>
      <c r="I347" s="77"/>
      <c r="J347" s="62"/>
      <c r="K347" s="52"/>
      <c r="L347" s="52"/>
      <c r="M347" s="76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62"/>
      <c r="AB347" s="52"/>
      <c r="AC347" s="52"/>
      <c r="AD347" s="52"/>
      <c r="AE347" s="52"/>
      <c r="AF347" s="52"/>
      <c r="AG347" s="52"/>
      <c r="AH347" s="48"/>
      <c r="AI347" s="48"/>
      <c r="AJ347" s="48"/>
      <c r="AK347" s="53"/>
      <c r="AL347" s="53"/>
      <c r="AM347" s="53"/>
      <c r="AN347" s="53"/>
      <c r="AO347" s="53"/>
      <c r="AP347" s="53"/>
      <c r="AQ347" s="53"/>
      <c r="AR347" s="53"/>
      <c r="AS347" s="53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52"/>
      <c r="BG347" s="52"/>
      <c r="BH347" s="52"/>
      <c r="BI347" s="52"/>
      <c r="BJ347" s="52"/>
      <c r="BK347" s="52"/>
      <c r="BL347" s="52"/>
      <c r="BM347" s="54"/>
    </row>
    <row r="348">
      <c r="A348" s="42"/>
      <c r="B348" s="52"/>
      <c r="C348" s="52"/>
      <c r="D348" s="52"/>
      <c r="E348" s="52"/>
      <c r="F348" s="81"/>
      <c r="G348" s="57"/>
      <c r="H348" s="48"/>
      <c r="I348" s="77"/>
      <c r="J348" s="62"/>
      <c r="K348" s="52"/>
      <c r="L348" s="52"/>
      <c r="M348" s="76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62"/>
      <c r="AB348" s="52"/>
      <c r="AC348" s="52"/>
      <c r="AD348" s="52"/>
      <c r="AE348" s="52"/>
      <c r="AF348" s="52"/>
      <c r="AG348" s="52"/>
      <c r="AH348" s="48"/>
      <c r="AI348" s="48"/>
      <c r="AJ348" s="48"/>
      <c r="AK348" s="53"/>
      <c r="AL348" s="53"/>
      <c r="AM348" s="53"/>
      <c r="AN348" s="53"/>
      <c r="AO348" s="53"/>
      <c r="AP348" s="53"/>
      <c r="AQ348" s="53"/>
      <c r="AR348" s="53"/>
      <c r="AS348" s="53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52"/>
      <c r="BG348" s="52"/>
      <c r="BH348" s="52"/>
      <c r="BI348" s="52"/>
      <c r="BJ348" s="52"/>
      <c r="BK348" s="52"/>
      <c r="BL348" s="52"/>
      <c r="BM348" s="54"/>
    </row>
    <row r="349">
      <c r="A349" s="42"/>
      <c r="B349" s="52"/>
      <c r="C349" s="52"/>
      <c r="D349" s="52"/>
      <c r="E349" s="52"/>
      <c r="F349" s="81"/>
      <c r="G349" s="57"/>
      <c r="H349" s="48"/>
      <c r="I349" s="77"/>
      <c r="J349" s="62"/>
      <c r="K349" s="52"/>
      <c r="L349" s="52"/>
      <c r="M349" s="76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62"/>
      <c r="AB349" s="52"/>
      <c r="AC349" s="52"/>
      <c r="AD349" s="52"/>
      <c r="AE349" s="52"/>
      <c r="AF349" s="52"/>
      <c r="AG349" s="52"/>
      <c r="AH349" s="48"/>
      <c r="AI349" s="48"/>
      <c r="AJ349" s="48"/>
      <c r="AK349" s="53"/>
      <c r="AL349" s="53"/>
      <c r="AM349" s="53"/>
      <c r="AN349" s="53"/>
      <c r="AO349" s="53"/>
      <c r="AP349" s="53"/>
      <c r="AQ349" s="53"/>
      <c r="AR349" s="53"/>
      <c r="AS349" s="53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52"/>
      <c r="BG349" s="52"/>
      <c r="BH349" s="52"/>
      <c r="BI349" s="52"/>
      <c r="BJ349" s="52"/>
      <c r="BK349" s="52"/>
      <c r="BL349" s="52"/>
      <c r="BM349" s="54"/>
    </row>
    <row r="350">
      <c r="A350" s="42"/>
      <c r="B350" s="52"/>
      <c r="C350" s="52"/>
      <c r="D350" s="52"/>
      <c r="E350" s="52"/>
      <c r="F350" s="81"/>
      <c r="G350" s="57"/>
      <c r="H350" s="48"/>
      <c r="I350" s="77"/>
      <c r="J350" s="62"/>
      <c r="K350" s="52"/>
      <c r="L350" s="52"/>
      <c r="M350" s="76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62"/>
      <c r="AB350" s="52"/>
      <c r="AC350" s="52"/>
      <c r="AD350" s="52"/>
      <c r="AE350" s="52"/>
      <c r="AF350" s="52"/>
      <c r="AG350" s="52"/>
      <c r="AH350" s="48"/>
      <c r="AI350" s="48"/>
      <c r="AJ350" s="48"/>
      <c r="AK350" s="53"/>
      <c r="AL350" s="53"/>
      <c r="AM350" s="53"/>
      <c r="AN350" s="53"/>
      <c r="AO350" s="53"/>
      <c r="AP350" s="53"/>
      <c r="AQ350" s="53"/>
      <c r="AR350" s="53"/>
      <c r="AS350" s="53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52"/>
      <c r="BG350" s="52"/>
      <c r="BH350" s="52"/>
      <c r="BI350" s="52"/>
      <c r="BJ350" s="52"/>
      <c r="BK350" s="52"/>
      <c r="BL350" s="52"/>
      <c r="BM350" s="54"/>
    </row>
    <row r="351">
      <c r="A351" s="42"/>
      <c r="B351" s="52"/>
      <c r="C351" s="52"/>
      <c r="D351" s="52"/>
      <c r="E351" s="52"/>
      <c r="F351" s="81"/>
      <c r="G351" s="57"/>
      <c r="H351" s="48"/>
      <c r="I351" s="77"/>
      <c r="J351" s="62"/>
      <c r="K351" s="52"/>
      <c r="L351" s="52"/>
      <c r="M351" s="76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62"/>
      <c r="AB351" s="52"/>
      <c r="AC351" s="52"/>
      <c r="AD351" s="52"/>
      <c r="AE351" s="52"/>
      <c r="AF351" s="52"/>
      <c r="AG351" s="52"/>
      <c r="AH351" s="48"/>
      <c r="AI351" s="48"/>
      <c r="AJ351" s="48"/>
      <c r="AK351" s="53"/>
      <c r="AL351" s="53"/>
      <c r="AM351" s="53"/>
      <c r="AN351" s="53"/>
      <c r="AO351" s="53"/>
      <c r="AP351" s="53"/>
      <c r="AQ351" s="53"/>
      <c r="AR351" s="53"/>
      <c r="AS351" s="53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52"/>
      <c r="BG351" s="52"/>
      <c r="BH351" s="52"/>
      <c r="BI351" s="52"/>
      <c r="BJ351" s="52"/>
      <c r="BK351" s="52"/>
      <c r="BL351" s="52"/>
      <c r="BM351" s="54"/>
    </row>
    <row r="352">
      <c r="A352" s="42"/>
      <c r="B352" s="52"/>
      <c r="C352" s="52"/>
      <c r="D352" s="52"/>
      <c r="E352" s="52"/>
      <c r="F352" s="81"/>
      <c r="G352" s="57"/>
      <c r="H352" s="48"/>
      <c r="I352" s="77"/>
      <c r="J352" s="62"/>
      <c r="K352" s="52"/>
      <c r="L352" s="52"/>
      <c r="M352" s="76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62"/>
      <c r="AB352" s="52"/>
      <c r="AC352" s="52"/>
      <c r="AD352" s="52"/>
      <c r="AE352" s="52"/>
      <c r="AF352" s="52"/>
      <c r="AG352" s="52"/>
      <c r="AH352" s="48"/>
      <c r="AI352" s="48"/>
      <c r="AJ352" s="48"/>
      <c r="AK352" s="53"/>
      <c r="AL352" s="53"/>
      <c r="AM352" s="53"/>
      <c r="AN352" s="53"/>
      <c r="AO352" s="53"/>
      <c r="AP352" s="53"/>
      <c r="AQ352" s="53"/>
      <c r="AR352" s="53"/>
      <c r="AS352" s="53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52"/>
      <c r="BG352" s="52"/>
      <c r="BH352" s="52"/>
      <c r="BI352" s="52"/>
      <c r="BJ352" s="52"/>
      <c r="BK352" s="52"/>
      <c r="BL352" s="52"/>
      <c r="BM352" s="54"/>
    </row>
    <row r="353">
      <c r="A353" s="42"/>
      <c r="B353" s="52"/>
      <c r="C353" s="52"/>
      <c r="D353" s="52"/>
      <c r="E353" s="52"/>
      <c r="F353" s="81"/>
      <c r="G353" s="57"/>
      <c r="H353" s="48"/>
      <c r="I353" s="77"/>
      <c r="J353" s="62"/>
      <c r="K353" s="52"/>
      <c r="L353" s="52"/>
      <c r="M353" s="76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62"/>
      <c r="AB353" s="52"/>
      <c r="AC353" s="52"/>
      <c r="AD353" s="52"/>
      <c r="AE353" s="52"/>
      <c r="AF353" s="52"/>
      <c r="AG353" s="52"/>
      <c r="AH353" s="48"/>
      <c r="AI353" s="48"/>
      <c r="AJ353" s="48"/>
      <c r="AK353" s="53"/>
      <c r="AL353" s="53"/>
      <c r="AM353" s="53"/>
      <c r="AN353" s="53"/>
      <c r="AO353" s="53"/>
      <c r="AP353" s="53"/>
      <c r="AQ353" s="53"/>
      <c r="AR353" s="53"/>
      <c r="AS353" s="53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52"/>
      <c r="BG353" s="52"/>
      <c r="BH353" s="52"/>
      <c r="BI353" s="52"/>
      <c r="BJ353" s="52"/>
      <c r="BK353" s="52"/>
      <c r="BL353" s="52"/>
      <c r="BM353" s="54"/>
    </row>
    <row r="354">
      <c r="A354" s="42"/>
      <c r="B354" s="52"/>
      <c r="C354" s="52"/>
      <c r="D354" s="52"/>
      <c r="E354" s="52"/>
      <c r="F354" s="81"/>
      <c r="G354" s="57"/>
      <c r="H354" s="48"/>
      <c r="I354" s="77"/>
      <c r="J354" s="62"/>
      <c r="K354" s="52"/>
      <c r="L354" s="52"/>
      <c r="M354" s="76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62"/>
      <c r="AB354" s="52"/>
      <c r="AC354" s="52"/>
      <c r="AD354" s="52"/>
      <c r="AE354" s="52"/>
      <c r="AF354" s="52"/>
      <c r="AG354" s="52"/>
      <c r="AH354" s="48"/>
      <c r="AI354" s="48"/>
      <c r="AJ354" s="48"/>
      <c r="AK354" s="53"/>
      <c r="AL354" s="53"/>
      <c r="AM354" s="53"/>
      <c r="AN354" s="53"/>
      <c r="AO354" s="53"/>
      <c r="AP354" s="53"/>
      <c r="AQ354" s="53"/>
      <c r="AR354" s="53"/>
      <c r="AS354" s="53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52"/>
      <c r="BG354" s="52"/>
      <c r="BH354" s="52"/>
      <c r="BI354" s="52"/>
      <c r="BJ354" s="52"/>
      <c r="BK354" s="52"/>
      <c r="BL354" s="52"/>
      <c r="BM354" s="54"/>
    </row>
    <row r="355">
      <c r="A355" s="42"/>
      <c r="B355" s="52"/>
      <c r="C355" s="52"/>
      <c r="D355" s="52"/>
      <c r="E355" s="52"/>
      <c r="F355" s="81"/>
      <c r="G355" s="57"/>
      <c r="H355" s="48"/>
      <c r="I355" s="77"/>
      <c r="J355" s="62"/>
      <c r="K355" s="52"/>
      <c r="L355" s="52"/>
      <c r="M355" s="76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62"/>
      <c r="AB355" s="52"/>
      <c r="AC355" s="52"/>
      <c r="AD355" s="52"/>
      <c r="AE355" s="52"/>
      <c r="AF355" s="52"/>
      <c r="AG355" s="52"/>
      <c r="AH355" s="48"/>
      <c r="AI355" s="48"/>
      <c r="AJ355" s="48"/>
      <c r="AK355" s="53"/>
      <c r="AL355" s="53"/>
      <c r="AM355" s="53"/>
      <c r="AN355" s="53"/>
      <c r="AO355" s="53"/>
      <c r="AP355" s="53"/>
      <c r="AQ355" s="53"/>
      <c r="AR355" s="53"/>
      <c r="AS355" s="53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52"/>
      <c r="BG355" s="52"/>
      <c r="BH355" s="52"/>
      <c r="BI355" s="52"/>
      <c r="BJ355" s="52"/>
      <c r="BK355" s="52"/>
      <c r="BL355" s="52"/>
      <c r="BM355" s="54"/>
    </row>
    <row r="356">
      <c r="A356" s="42"/>
      <c r="B356" s="52"/>
      <c r="C356" s="52"/>
      <c r="D356" s="52"/>
      <c r="E356" s="52"/>
      <c r="F356" s="81"/>
      <c r="G356" s="57"/>
      <c r="H356" s="48"/>
      <c r="I356" s="77"/>
      <c r="J356" s="62"/>
      <c r="K356" s="52"/>
      <c r="L356" s="52"/>
      <c r="M356" s="76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62"/>
      <c r="AB356" s="52"/>
      <c r="AC356" s="52"/>
      <c r="AD356" s="52"/>
      <c r="AE356" s="52"/>
      <c r="AF356" s="52"/>
      <c r="AG356" s="52"/>
      <c r="AH356" s="48"/>
      <c r="AI356" s="48"/>
      <c r="AJ356" s="48"/>
      <c r="AK356" s="53"/>
      <c r="AL356" s="53"/>
      <c r="AM356" s="53"/>
      <c r="AN356" s="53"/>
      <c r="AO356" s="53"/>
      <c r="AP356" s="53"/>
      <c r="AQ356" s="53"/>
      <c r="AR356" s="53"/>
      <c r="AS356" s="53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52"/>
      <c r="BG356" s="52"/>
      <c r="BH356" s="52"/>
      <c r="BI356" s="52"/>
      <c r="BJ356" s="52"/>
      <c r="BK356" s="52"/>
      <c r="BL356" s="52"/>
      <c r="BM356" s="54"/>
    </row>
    <row r="357">
      <c r="A357" s="42"/>
      <c r="B357" s="52"/>
      <c r="C357" s="52"/>
      <c r="D357" s="52"/>
      <c r="E357" s="52"/>
      <c r="F357" s="81"/>
      <c r="G357" s="57"/>
      <c r="H357" s="48"/>
      <c r="I357" s="77"/>
      <c r="J357" s="62"/>
      <c r="K357" s="52"/>
      <c r="L357" s="52"/>
      <c r="M357" s="76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62"/>
      <c r="AB357" s="52"/>
      <c r="AC357" s="52"/>
      <c r="AD357" s="52"/>
      <c r="AE357" s="52"/>
      <c r="AF357" s="52"/>
      <c r="AG357" s="52"/>
      <c r="AH357" s="48"/>
      <c r="AI357" s="48"/>
      <c r="AJ357" s="48"/>
      <c r="AK357" s="53"/>
      <c r="AL357" s="53"/>
      <c r="AM357" s="53"/>
      <c r="AN357" s="53"/>
      <c r="AO357" s="53"/>
      <c r="AP357" s="53"/>
      <c r="AQ357" s="53"/>
      <c r="AR357" s="53"/>
      <c r="AS357" s="53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52"/>
      <c r="BG357" s="52"/>
      <c r="BH357" s="52"/>
      <c r="BI357" s="52"/>
      <c r="BJ357" s="52"/>
      <c r="BK357" s="52"/>
      <c r="BL357" s="52"/>
      <c r="BM357" s="54"/>
    </row>
    <row r="358">
      <c r="A358" s="42"/>
      <c r="B358" s="52"/>
      <c r="C358" s="52"/>
      <c r="D358" s="52"/>
      <c r="E358" s="52"/>
      <c r="F358" s="81"/>
      <c r="G358" s="57"/>
      <c r="H358" s="48"/>
      <c r="I358" s="77"/>
      <c r="J358" s="62"/>
      <c r="K358" s="52"/>
      <c r="L358" s="52"/>
      <c r="M358" s="76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62"/>
      <c r="AB358" s="52"/>
      <c r="AC358" s="52"/>
      <c r="AD358" s="52"/>
      <c r="AE358" s="52"/>
      <c r="AF358" s="52"/>
      <c r="AG358" s="52"/>
      <c r="AH358" s="48"/>
      <c r="AI358" s="48"/>
      <c r="AJ358" s="48"/>
      <c r="AK358" s="53"/>
      <c r="AL358" s="53"/>
      <c r="AM358" s="53"/>
      <c r="AN358" s="53"/>
      <c r="AO358" s="53"/>
      <c r="AP358" s="53"/>
      <c r="AQ358" s="53"/>
      <c r="AR358" s="53"/>
      <c r="AS358" s="53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52"/>
      <c r="BG358" s="52"/>
      <c r="BH358" s="52"/>
      <c r="BI358" s="52"/>
      <c r="BJ358" s="52"/>
      <c r="BK358" s="52"/>
      <c r="BL358" s="52"/>
      <c r="BM358" s="54"/>
    </row>
    <row r="359">
      <c r="A359" s="42"/>
      <c r="B359" s="52"/>
      <c r="C359" s="52"/>
      <c r="D359" s="52"/>
      <c r="E359" s="52"/>
      <c r="F359" s="81"/>
      <c r="G359" s="57"/>
      <c r="H359" s="48"/>
      <c r="I359" s="77"/>
      <c r="J359" s="62"/>
      <c r="K359" s="52"/>
      <c r="L359" s="52"/>
      <c r="M359" s="76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62"/>
      <c r="AB359" s="52"/>
      <c r="AC359" s="52"/>
      <c r="AD359" s="52"/>
      <c r="AE359" s="52"/>
      <c r="AF359" s="52"/>
      <c r="AG359" s="52"/>
      <c r="AH359" s="48"/>
      <c r="AI359" s="48"/>
      <c r="AJ359" s="48"/>
      <c r="AK359" s="53"/>
      <c r="AL359" s="53"/>
      <c r="AM359" s="53"/>
      <c r="AN359" s="53"/>
      <c r="AO359" s="53"/>
      <c r="AP359" s="53"/>
      <c r="AQ359" s="53"/>
      <c r="AR359" s="53"/>
      <c r="AS359" s="53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52"/>
      <c r="BG359" s="52"/>
      <c r="BH359" s="52"/>
      <c r="BI359" s="52"/>
      <c r="BJ359" s="52"/>
      <c r="BK359" s="52"/>
      <c r="BL359" s="52"/>
      <c r="BM359" s="54"/>
    </row>
    <row r="360">
      <c r="A360" s="42"/>
      <c r="B360" s="52"/>
      <c r="C360" s="52"/>
      <c r="D360" s="52"/>
      <c r="E360" s="52"/>
      <c r="F360" s="81"/>
      <c r="G360" s="57"/>
      <c r="H360" s="48"/>
      <c r="I360" s="77"/>
      <c r="J360" s="62"/>
      <c r="K360" s="52"/>
      <c r="L360" s="52"/>
      <c r="M360" s="76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62"/>
      <c r="AB360" s="52"/>
      <c r="AC360" s="52"/>
      <c r="AD360" s="52"/>
      <c r="AE360" s="52"/>
      <c r="AF360" s="52"/>
      <c r="AG360" s="52"/>
      <c r="AH360" s="48"/>
      <c r="AI360" s="48"/>
      <c r="AJ360" s="48"/>
      <c r="AK360" s="53"/>
      <c r="AL360" s="53"/>
      <c r="AM360" s="53"/>
      <c r="AN360" s="53"/>
      <c r="AO360" s="53"/>
      <c r="AP360" s="53"/>
      <c r="AQ360" s="53"/>
      <c r="AR360" s="53"/>
      <c r="AS360" s="53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52"/>
      <c r="BG360" s="52"/>
      <c r="BH360" s="52"/>
      <c r="BI360" s="52"/>
      <c r="BJ360" s="52"/>
      <c r="BK360" s="52"/>
      <c r="BL360" s="52"/>
      <c r="BM360" s="54"/>
    </row>
    <row r="361">
      <c r="A361" s="42"/>
      <c r="B361" s="52"/>
      <c r="C361" s="52"/>
      <c r="D361" s="52"/>
      <c r="E361" s="52"/>
      <c r="F361" s="81"/>
      <c r="G361" s="57"/>
      <c r="H361" s="48"/>
      <c r="I361" s="77"/>
      <c r="J361" s="62"/>
      <c r="K361" s="52"/>
      <c r="L361" s="52"/>
      <c r="M361" s="76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62"/>
      <c r="AB361" s="52"/>
      <c r="AC361" s="52"/>
      <c r="AD361" s="52"/>
      <c r="AE361" s="52"/>
      <c r="AF361" s="52"/>
      <c r="AG361" s="52"/>
      <c r="AH361" s="48"/>
      <c r="AI361" s="48"/>
      <c r="AJ361" s="48"/>
      <c r="AK361" s="53"/>
      <c r="AL361" s="53"/>
      <c r="AM361" s="53"/>
      <c r="AN361" s="53"/>
      <c r="AO361" s="53"/>
      <c r="AP361" s="53"/>
      <c r="AQ361" s="53"/>
      <c r="AR361" s="53"/>
      <c r="AS361" s="53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52"/>
      <c r="BG361" s="52"/>
      <c r="BH361" s="52"/>
      <c r="BI361" s="52"/>
      <c r="BJ361" s="52"/>
      <c r="BK361" s="52"/>
      <c r="BL361" s="52"/>
      <c r="BM361" s="54"/>
    </row>
    <row r="362">
      <c r="A362" s="42"/>
      <c r="B362" s="52"/>
      <c r="C362" s="52"/>
      <c r="D362" s="52"/>
      <c r="E362" s="52"/>
      <c r="F362" s="81"/>
      <c r="G362" s="57"/>
      <c r="H362" s="48"/>
      <c r="I362" s="77"/>
      <c r="J362" s="62"/>
      <c r="K362" s="52"/>
      <c r="L362" s="52"/>
      <c r="M362" s="76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62"/>
      <c r="AB362" s="52"/>
      <c r="AC362" s="52"/>
      <c r="AD362" s="52"/>
      <c r="AE362" s="52"/>
      <c r="AF362" s="52"/>
      <c r="AG362" s="52"/>
      <c r="AH362" s="48"/>
      <c r="AI362" s="48"/>
      <c r="AJ362" s="48"/>
      <c r="AK362" s="53"/>
      <c r="AL362" s="53"/>
      <c r="AM362" s="53"/>
      <c r="AN362" s="53"/>
      <c r="AO362" s="53"/>
      <c r="AP362" s="53"/>
      <c r="AQ362" s="53"/>
      <c r="AR362" s="53"/>
      <c r="AS362" s="53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52"/>
      <c r="BG362" s="52"/>
      <c r="BH362" s="52"/>
      <c r="BI362" s="52"/>
      <c r="BJ362" s="52"/>
      <c r="BK362" s="52"/>
      <c r="BL362" s="52"/>
      <c r="BM362" s="54"/>
    </row>
    <row r="363">
      <c r="A363" s="42"/>
      <c r="B363" s="52"/>
      <c r="C363" s="52"/>
      <c r="D363" s="52"/>
      <c r="E363" s="52"/>
      <c r="F363" s="81"/>
      <c r="G363" s="57"/>
      <c r="H363" s="48"/>
      <c r="I363" s="77"/>
      <c r="J363" s="62"/>
      <c r="K363" s="52"/>
      <c r="L363" s="52"/>
      <c r="M363" s="76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62"/>
      <c r="AB363" s="52"/>
      <c r="AC363" s="52"/>
      <c r="AD363" s="52"/>
      <c r="AE363" s="52"/>
      <c r="AF363" s="52"/>
      <c r="AG363" s="52"/>
      <c r="AH363" s="48"/>
      <c r="AI363" s="48"/>
      <c r="AJ363" s="48"/>
      <c r="AK363" s="53"/>
      <c r="AL363" s="53"/>
      <c r="AM363" s="53"/>
      <c r="AN363" s="53"/>
      <c r="AO363" s="53"/>
      <c r="AP363" s="53"/>
      <c r="AQ363" s="53"/>
      <c r="AR363" s="53"/>
      <c r="AS363" s="53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52"/>
      <c r="BG363" s="52"/>
      <c r="BH363" s="52"/>
      <c r="BI363" s="52"/>
      <c r="BJ363" s="52"/>
      <c r="BK363" s="52"/>
      <c r="BL363" s="52"/>
      <c r="BM363" s="54"/>
    </row>
    <row r="364">
      <c r="A364" s="42"/>
      <c r="B364" s="52"/>
      <c r="C364" s="52"/>
      <c r="D364" s="52"/>
      <c r="E364" s="52"/>
      <c r="F364" s="81"/>
      <c r="G364" s="57"/>
      <c r="H364" s="48"/>
      <c r="I364" s="77"/>
      <c r="J364" s="62"/>
      <c r="K364" s="52"/>
      <c r="L364" s="52"/>
      <c r="M364" s="76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62"/>
      <c r="AB364" s="52"/>
      <c r="AC364" s="52"/>
      <c r="AD364" s="52"/>
      <c r="AE364" s="52"/>
      <c r="AF364" s="52"/>
      <c r="AG364" s="52"/>
      <c r="AH364" s="48"/>
      <c r="AI364" s="48"/>
      <c r="AJ364" s="48"/>
      <c r="AK364" s="53"/>
      <c r="AL364" s="53"/>
      <c r="AM364" s="53"/>
      <c r="AN364" s="53"/>
      <c r="AO364" s="53"/>
      <c r="AP364" s="53"/>
      <c r="AQ364" s="53"/>
      <c r="AR364" s="53"/>
      <c r="AS364" s="53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52"/>
      <c r="BG364" s="52"/>
      <c r="BH364" s="52"/>
      <c r="BI364" s="52"/>
      <c r="BJ364" s="52"/>
      <c r="BK364" s="52"/>
      <c r="BL364" s="52"/>
      <c r="BM364" s="54"/>
    </row>
    <row r="365">
      <c r="A365" s="42"/>
      <c r="B365" s="52"/>
      <c r="C365" s="52"/>
      <c r="D365" s="52"/>
      <c r="E365" s="52"/>
      <c r="F365" s="81"/>
      <c r="G365" s="57"/>
      <c r="H365" s="48"/>
      <c r="I365" s="77"/>
      <c r="J365" s="62"/>
      <c r="K365" s="52"/>
      <c r="L365" s="52"/>
      <c r="M365" s="76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62"/>
      <c r="AB365" s="52"/>
      <c r="AC365" s="52"/>
      <c r="AD365" s="52"/>
      <c r="AE365" s="52"/>
      <c r="AF365" s="52"/>
      <c r="AG365" s="52"/>
      <c r="AH365" s="48"/>
      <c r="AI365" s="48"/>
      <c r="AJ365" s="48"/>
      <c r="AK365" s="53"/>
      <c r="AL365" s="53"/>
      <c r="AM365" s="53"/>
      <c r="AN365" s="53"/>
      <c r="AO365" s="53"/>
      <c r="AP365" s="53"/>
      <c r="AQ365" s="53"/>
      <c r="AR365" s="53"/>
      <c r="AS365" s="53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52"/>
      <c r="BG365" s="52"/>
      <c r="BH365" s="52"/>
      <c r="BI365" s="52"/>
      <c r="BJ365" s="52"/>
      <c r="BK365" s="52"/>
      <c r="BL365" s="52"/>
      <c r="BM365" s="54"/>
    </row>
    <row r="366">
      <c r="A366" s="42"/>
      <c r="B366" s="52"/>
      <c r="C366" s="52"/>
      <c r="D366" s="52"/>
      <c r="E366" s="52"/>
      <c r="F366" s="81"/>
      <c r="G366" s="57"/>
      <c r="H366" s="48"/>
      <c r="I366" s="77"/>
      <c r="J366" s="62"/>
      <c r="K366" s="52"/>
      <c r="L366" s="52"/>
      <c r="M366" s="76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62"/>
      <c r="AB366" s="52"/>
      <c r="AC366" s="52"/>
      <c r="AD366" s="52"/>
      <c r="AE366" s="52"/>
      <c r="AF366" s="52"/>
      <c r="AG366" s="52"/>
      <c r="AH366" s="48"/>
      <c r="AI366" s="48"/>
      <c r="AJ366" s="48"/>
      <c r="AK366" s="53"/>
      <c r="AL366" s="53"/>
      <c r="AM366" s="53"/>
      <c r="AN366" s="53"/>
      <c r="AO366" s="53"/>
      <c r="AP366" s="53"/>
      <c r="AQ366" s="53"/>
      <c r="AR366" s="53"/>
      <c r="AS366" s="53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52"/>
      <c r="BG366" s="52"/>
      <c r="BH366" s="52"/>
      <c r="BI366" s="52"/>
      <c r="BJ366" s="52"/>
      <c r="BK366" s="52"/>
      <c r="BL366" s="52"/>
      <c r="BM366" s="54"/>
    </row>
    <row r="367">
      <c r="A367" s="42"/>
      <c r="B367" s="52"/>
      <c r="C367" s="52"/>
      <c r="D367" s="52"/>
      <c r="E367" s="52"/>
      <c r="F367" s="81"/>
      <c r="G367" s="57"/>
      <c r="H367" s="48"/>
      <c r="I367" s="77"/>
      <c r="J367" s="62"/>
      <c r="K367" s="52"/>
      <c r="L367" s="52"/>
      <c r="M367" s="76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62"/>
      <c r="AB367" s="52"/>
      <c r="AC367" s="52"/>
      <c r="AD367" s="52"/>
      <c r="AE367" s="52"/>
      <c r="AF367" s="52"/>
      <c r="AG367" s="52"/>
      <c r="AH367" s="48"/>
      <c r="AI367" s="48"/>
      <c r="AJ367" s="48"/>
      <c r="AK367" s="53"/>
      <c r="AL367" s="53"/>
      <c r="AM367" s="53"/>
      <c r="AN367" s="53"/>
      <c r="AO367" s="53"/>
      <c r="AP367" s="53"/>
      <c r="AQ367" s="53"/>
      <c r="AR367" s="53"/>
      <c r="AS367" s="53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52"/>
      <c r="BG367" s="52"/>
      <c r="BH367" s="52"/>
      <c r="BI367" s="52"/>
      <c r="BJ367" s="52"/>
      <c r="BK367" s="52"/>
      <c r="BL367" s="52"/>
      <c r="BM367" s="54"/>
    </row>
    <row r="368">
      <c r="A368" s="42"/>
      <c r="B368" s="52"/>
      <c r="C368" s="52"/>
      <c r="D368" s="52"/>
      <c r="E368" s="52"/>
      <c r="F368" s="81"/>
      <c r="G368" s="57"/>
      <c r="H368" s="48"/>
      <c r="I368" s="77"/>
      <c r="J368" s="62"/>
      <c r="K368" s="52"/>
      <c r="L368" s="52"/>
      <c r="M368" s="76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62"/>
      <c r="AB368" s="52"/>
      <c r="AC368" s="52"/>
      <c r="AD368" s="52"/>
      <c r="AE368" s="52"/>
      <c r="AF368" s="52"/>
      <c r="AG368" s="52"/>
      <c r="AH368" s="48"/>
      <c r="AI368" s="48"/>
      <c r="AJ368" s="48"/>
      <c r="AK368" s="53"/>
      <c r="AL368" s="53"/>
      <c r="AM368" s="53"/>
      <c r="AN368" s="53"/>
      <c r="AO368" s="53"/>
      <c r="AP368" s="53"/>
      <c r="AQ368" s="53"/>
      <c r="AR368" s="53"/>
      <c r="AS368" s="53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52"/>
      <c r="BG368" s="52"/>
      <c r="BH368" s="52"/>
      <c r="BI368" s="52"/>
      <c r="BJ368" s="52"/>
      <c r="BK368" s="52"/>
      <c r="BL368" s="52"/>
      <c r="BM368" s="54"/>
    </row>
    <row r="369">
      <c r="A369" s="42"/>
      <c r="B369" s="52"/>
      <c r="C369" s="52"/>
      <c r="D369" s="52"/>
      <c r="E369" s="52"/>
      <c r="F369" s="81"/>
      <c r="G369" s="57"/>
      <c r="H369" s="48"/>
      <c r="I369" s="77"/>
      <c r="J369" s="62"/>
      <c r="K369" s="52"/>
      <c r="L369" s="52"/>
      <c r="M369" s="76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62"/>
      <c r="AB369" s="52"/>
      <c r="AC369" s="52"/>
      <c r="AD369" s="52"/>
      <c r="AE369" s="52"/>
      <c r="AF369" s="52"/>
      <c r="AG369" s="52"/>
      <c r="AH369" s="48"/>
      <c r="AI369" s="48"/>
      <c r="AJ369" s="48"/>
      <c r="AK369" s="53"/>
      <c r="AL369" s="53"/>
      <c r="AM369" s="53"/>
      <c r="AN369" s="53"/>
      <c r="AO369" s="53"/>
      <c r="AP369" s="53"/>
      <c r="AQ369" s="53"/>
      <c r="AR369" s="53"/>
      <c r="AS369" s="53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52"/>
      <c r="BG369" s="52"/>
      <c r="BH369" s="52"/>
      <c r="BI369" s="52"/>
      <c r="BJ369" s="52"/>
      <c r="BK369" s="52"/>
      <c r="BL369" s="52"/>
      <c r="BM369" s="54"/>
    </row>
    <row r="370">
      <c r="A370" s="42"/>
      <c r="B370" s="52"/>
      <c r="C370" s="52"/>
      <c r="D370" s="52"/>
      <c r="E370" s="52"/>
      <c r="F370" s="81"/>
      <c r="G370" s="57"/>
      <c r="H370" s="48"/>
      <c r="I370" s="77"/>
      <c r="J370" s="62"/>
      <c r="K370" s="52"/>
      <c r="L370" s="52"/>
      <c r="M370" s="76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62"/>
      <c r="AB370" s="52"/>
      <c r="AC370" s="52"/>
      <c r="AD370" s="52"/>
      <c r="AE370" s="52"/>
      <c r="AF370" s="52"/>
      <c r="AG370" s="52"/>
      <c r="AH370" s="48"/>
      <c r="AI370" s="48"/>
      <c r="AJ370" s="48"/>
      <c r="AK370" s="53"/>
      <c r="AL370" s="53"/>
      <c r="AM370" s="53"/>
      <c r="AN370" s="53"/>
      <c r="AO370" s="53"/>
      <c r="AP370" s="53"/>
      <c r="AQ370" s="53"/>
      <c r="AR370" s="53"/>
      <c r="AS370" s="53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52"/>
      <c r="BG370" s="52"/>
      <c r="BH370" s="52"/>
      <c r="BI370" s="52"/>
      <c r="BJ370" s="52"/>
      <c r="BK370" s="52"/>
      <c r="BL370" s="52"/>
      <c r="BM370" s="54"/>
    </row>
    <row r="371">
      <c r="A371" s="42"/>
      <c r="B371" s="52"/>
      <c r="C371" s="52"/>
      <c r="D371" s="52"/>
      <c r="E371" s="52"/>
      <c r="F371" s="81"/>
      <c r="G371" s="57"/>
      <c r="H371" s="48"/>
      <c r="I371" s="77"/>
      <c r="J371" s="62"/>
      <c r="K371" s="52"/>
      <c r="L371" s="52"/>
      <c r="M371" s="76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62"/>
      <c r="AB371" s="52"/>
      <c r="AC371" s="52"/>
      <c r="AD371" s="52"/>
      <c r="AE371" s="52"/>
      <c r="AF371" s="52"/>
      <c r="AG371" s="52"/>
      <c r="AH371" s="48"/>
      <c r="AI371" s="48"/>
      <c r="AJ371" s="48"/>
      <c r="AK371" s="53"/>
      <c r="AL371" s="53"/>
      <c r="AM371" s="53"/>
      <c r="AN371" s="53"/>
      <c r="AO371" s="53"/>
      <c r="AP371" s="53"/>
      <c r="AQ371" s="53"/>
      <c r="AR371" s="53"/>
      <c r="AS371" s="53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52"/>
      <c r="BG371" s="52"/>
      <c r="BH371" s="52"/>
      <c r="BI371" s="52"/>
      <c r="BJ371" s="52"/>
      <c r="BK371" s="52"/>
      <c r="BL371" s="52"/>
      <c r="BM371" s="54"/>
    </row>
    <row r="372">
      <c r="A372" s="42"/>
      <c r="B372" s="52"/>
      <c r="C372" s="52"/>
      <c r="D372" s="52"/>
      <c r="E372" s="52"/>
      <c r="F372" s="81"/>
      <c r="G372" s="57"/>
      <c r="H372" s="48"/>
      <c r="I372" s="77"/>
      <c r="J372" s="62"/>
      <c r="K372" s="52"/>
      <c r="L372" s="52"/>
      <c r="M372" s="76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62"/>
      <c r="AB372" s="52"/>
      <c r="AC372" s="52"/>
      <c r="AD372" s="52"/>
      <c r="AE372" s="52"/>
      <c r="AF372" s="52"/>
      <c r="AG372" s="52"/>
      <c r="AH372" s="48"/>
      <c r="AI372" s="48"/>
      <c r="AJ372" s="48"/>
      <c r="AK372" s="53"/>
      <c r="AL372" s="53"/>
      <c r="AM372" s="53"/>
      <c r="AN372" s="53"/>
      <c r="AO372" s="53"/>
      <c r="AP372" s="53"/>
      <c r="AQ372" s="53"/>
      <c r="AR372" s="53"/>
      <c r="AS372" s="53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52"/>
      <c r="BG372" s="52"/>
      <c r="BH372" s="52"/>
      <c r="BI372" s="52"/>
      <c r="BJ372" s="52"/>
      <c r="BK372" s="52"/>
      <c r="BL372" s="52"/>
      <c r="BM372" s="54"/>
    </row>
    <row r="373">
      <c r="A373" s="42"/>
      <c r="B373" s="52"/>
      <c r="C373" s="52"/>
      <c r="D373" s="52"/>
      <c r="E373" s="52"/>
      <c r="F373" s="81"/>
      <c r="G373" s="57"/>
      <c r="H373" s="48"/>
      <c r="I373" s="77"/>
      <c r="J373" s="62"/>
      <c r="K373" s="52"/>
      <c r="L373" s="52"/>
      <c r="M373" s="76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62"/>
      <c r="AB373" s="52"/>
      <c r="AC373" s="52"/>
      <c r="AD373" s="52"/>
      <c r="AE373" s="52"/>
      <c r="AF373" s="52"/>
      <c r="AG373" s="52"/>
      <c r="AH373" s="48"/>
      <c r="AI373" s="48"/>
      <c r="AJ373" s="48"/>
      <c r="AK373" s="53"/>
      <c r="AL373" s="53"/>
      <c r="AM373" s="53"/>
      <c r="AN373" s="53"/>
      <c r="AO373" s="53"/>
      <c r="AP373" s="53"/>
      <c r="AQ373" s="53"/>
      <c r="AR373" s="53"/>
      <c r="AS373" s="53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52"/>
      <c r="BG373" s="52"/>
      <c r="BH373" s="52"/>
      <c r="BI373" s="52"/>
      <c r="BJ373" s="52"/>
      <c r="BK373" s="52"/>
      <c r="BL373" s="52"/>
      <c r="BM373" s="54"/>
    </row>
    <row r="374">
      <c r="A374" s="42"/>
      <c r="B374" s="52"/>
      <c r="C374" s="52"/>
      <c r="D374" s="52"/>
      <c r="E374" s="52"/>
      <c r="F374" s="81"/>
      <c r="G374" s="57"/>
      <c r="H374" s="48"/>
      <c r="I374" s="77"/>
      <c r="J374" s="62"/>
      <c r="K374" s="52"/>
      <c r="L374" s="52"/>
      <c r="M374" s="76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62"/>
      <c r="AB374" s="52"/>
      <c r="AC374" s="52"/>
      <c r="AD374" s="52"/>
      <c r="AE374" s="52"/>
      <c r="AF374" s="52"/>
      <c r="AG374" s="52"/>
      <c r="AH374" s="48"/>
      <c r="AI374" s="48"/>
      <c r="AJ374" s="48"/>
      <c r="AK374" s="53"/>
      <c r="AL374" s="53"/>
      <c r="AM374" s="53"/>
      <c r="AN374" s="53"/>
      <c r="AO374" s="53"/>
      <c r="AP374" s="53"/>
      <c r="AQ374" s="53"/>
      <c r="AR374" s="53"/>
      <c r="AS374" s="53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52"/>
      <c r="BG374" s="52"/>
      <c r="BH374" s="52"/>
      <c r="BI374" s="52"/>
      <c r="BJ374" s="52"/>
      <c r="BK374" s="52"/>
      <c r="BL374" s="52"/>
      <c r="BM374" s="54"/>
    </row>
    <row r="375">
      <c r="A375" s="42"/>
      <c r="B375" s="52"/>
      <c r="C375" s="52"/>
      <c r="D375" s="52"/>
      <c r="E375" s="52"/>
      <c r="F375" s="81"/>
      <c r="G375" s="57"/>
      <c r="H375" s="48"/>
      <c r="I375" s="77"/>
      <c r="J375" s="62"/>
      <c r="K375" s="52"/>
      <c r="L375" s="52"/>
      <c r="M375" s="76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62"/>
      <c r="AB375" s="52"/>
      <c r="AC375" s="52"/>
      <c r="AD375" s="52"/>
      <c r="AE375" s="52"/>
      <c r="AF375" s="52"/>
      <c r="AG375" s="52"/>
      <c r="AH375" s="48"/>
      <c r="AI375" s="48"/>
      <c r="AJ375" s="48"/>
      <c r="AK375" s="53"/>
      <c r="AL375" s="53"/>
      <c r="AM375" s="53"/>
      <c r="AN375" s="53"/>
      <c r="AO375" s="53"/>
      <c r="AP375" s="53"/>
      <c r="AQ375" s="53"/>
      <c r="AR375" s="53"/>
      <c r="AS375" s="53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52"/>
      <c r="BG375" s="52"/>
      <c r="BH375" s="52"/>
      <c r="BI375" s="52"/>
      <c r="BJ375" s="52"/>
      <c r="BK375" s="52"/>
      <c r="BL375" s="52"/>
      <c r="BM375" s="54"/>
    </row>
    <row r="376">
      <c r="A376" s="42"/>
      <c r="B376" s="52"/>
      <c r="C376" s="52"/>
      <c r="D376" s="52"/>
      <c r="E376" s="52"/>
      <c r="F376" s="81"/>
      <c r="G376" s="57"/>
      <c r="H376" s="48"/>
      <c r="I376" s="77"/>
      <c r="J376" s="62"/>
      <c r="K376" s="52"/>
      <c r="L376" s="52"/>
      <c r="M376" s="76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62"/>
      <c r="AB376" s="52"/>
      <c r="AC376" s="52"/>
      <c r="AD376" s="52"/>
      <c r="AE376" s="52"/>
      <c r="AF376" s="52"/>
      <c r="AG376" s="52"/>
      <c r="AH376" s="48"/>
      <c r="AI376" s="48"/>
      <c r="AJ376" s="48"/>
      <c r="AK376" s="53"/>
      <c r="AL376" s="53"/>
      <c r="AM376" s="53"/>
      <c r="AN376" s="53"/>
      <c r="AO376" s="53"/>
      <c r="AP376" s="53"/>
      <c r="AQ376" s="53"/>
      <c r="AR376" s="53"/>
      <c r="AS376" s="53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52"/>
      <c r="BG376" s="52"/>
      <c r="BH376" s="52"/>
      <c r="BI376" s="52"/>
      <c r="BJ376" s="52"/>
      <c r="BK376" s="52"/>
      <c r="BL376" s="52"/>
      <c r="BM376" s="54"/>
    </row>
    <row r="377">
      <c r="A377" s="42"/>
      <c r="B377" s="52"/>
      <c r="C377" s="52"/>
      <c r="D377" s="52"/>
      <c r="E377" s="52"/>
      <c r="F377" s="81"/>
      <c r="G377" s="57"/>
      <c r="H377" s="48"/>
      <c r="I377" s="77"/>
      <c r="J377" s="62"/>
      <c r="K377" s="52"/>
      <c r="L377" s="52"/>
      <c r="M377" s="76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62"/>
      <c r="AB377" s="52"/>
      <c r="AC377" s="52"/>
      <c r="AD377" s="52"/>
      <c r="AE377" s="52"/>
      <c r="AF377" s="52"/>
      <c r="AG377" s="52"/>
      <c r="AH377" s="48"/>
      <c r="AI377" s="48"/>
      <c r="AJ377" s="48"/>
      <c r="AK377" s="53"/>
      <c r="AL377" s="53"/>
      <c r="AM377" s="53"/>
      <c r="AN377" s="53"/>
      <c r="AO377" s="53"/>
      <c r="AP377" s="53"/>
      <c r="AQ377" s="53"/>
      <c r="AR377" s="53"/>
      <c r="AS377" s="53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52"/>
      <c r="BG377" s="52"/>
      <c r="BH377" s="52"/>
      <c r="BI377" s="52"/>
      <c r="BJ377" s="52"/>
      <c r="BK377" s="52"/>
      <c r="BL377" s="52"/>
      <c r="BM377" s="54"/>
    </row>
    <row r="378">
      <c r="A378" s="42"/>
      <c r="B378" s="52"/>
      <c r="C378" s="52"/>
      <c r="D378" s="52"/>
      <c r="E378" s="52"/>
      <c r="F378" s="81"/>
      <c r="G378" s="57"/>
      <c r="H378" s="48"/>
      <c r="I378" s="77"/>
      <c r="J378" s="62"/>
      <c r="K378" s="52"/>
      <c r="L378" s="52"/>
      <c r="M378" s="76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62"/>
      <c r="AB378" s="52"/>
      <c r="AC378" s="52"/>
      <c r="AD378" s="52"/>
      <c r="AE378" s="52"/>
      <c r="AF378" s="52"/>
      <c r="AG378" s="52"/>
      <c r="AH378" s="48"/>
      <c r="AI378" s="48"/>
      <c r="AJ378" s="48"/>
      <c r="AK378" s="53"/>
      <c r="AL378" s="53"/>
      <c r="AM378" s="53"/>
      <c r="AN378" s="53"/>
      <c r="AO378" s="53"/>
      <c r="AP378" s="53"/>
      <c r="AQ378" s="53"/>
      <c r="AR378" s="53"/>
      <c r="AS378" s="53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52"/>
      <c r="BG378" s="52"/>
      <c r="BH378" s="52"/>
      <c r="BI378" s="52"/>
      <c r="BJ378" s="52"/>
      <c r="BK378" s="52"/>
      <c r="BL378" s="52"/>
      <c r="BM378" s="54"/>
    </row>
    <row r="379">
      <c r="A379" s="42"/>
      <c r="B379" s="52"/>
      <c r="C379" s="52"/>
      <c r="D379" s="52"/>
      <c r="E379" s="52"/>
      <c r="F379" s="81"/>
      <c r="G379" s="57"/>
      <c r="H379" s="48"/>
      <c r="I379" s="77"/>
      <c r="J379" s="62"/>
      <c r="K379" s="52"/>
      <c r="L379" s="52"/>
      <c r="M379" s="76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62"/>
      <c r="AB379" s="52"/>
      <c r="AC379" s="52"/>
      <c r="AD379" s="52"/>
      <c r="AE379" s="52"/>
      <c r="AF379" s="52"/>
      <c r="AG379" s="52"/>
      <c r="AH379" s="48"/>
      <c r="AI379" s="48"/>
      <c r="AJ379" s="48"/>
      <c r="AK379" s="53"/>
      <c r="AL379" s="53"/>
      <c r="AM379" s="53"/>
      <c r="AN379" s="53"/>
      <c r="AO379" s="53"/>
      <c r="AP379" s="53"/>
      <c r="AQ379" s="53"/>
      <c r="AR379" s="53"/>
      <c r="AS379" s="53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52"/>
      <c r="BG379" s="52"/>
      <c r="BH379" s="52"/>
      <c r="BI379" s="52"/>
      <c r="BJ379" s="52"/>
      <c r="BK379" s="52"/>
      <c r="BL379" s="52"/>
      <c r="BM379" s="54"/>
    </row>
    <row r="380">
      <c r="A380" s="42"/>
      <c r="B380" s="52"/>
      <c r="C380" s="52"/>
      <c r="D380" s="52"/>
      <c r="E380" s="52"/>
      <c r="F380" s="81"/>
      <c r="G380" s="57"/>
      <c r="H380" s="48"/>
      <c r="I380" s="77"/>
      <c r="J380" s="62"/>
      <c r="K380" s="52"/>
      <c r="L380" s="52"/>
      <c r="M380" s="76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62"/>
      <c r="AB380" s="52"/>
      <c r="AC380" s="52"/>
      <c r="AD380" s="52"/>
      <c r="AE380" s="52"/>
      <c r="AF380" s="52"/>
      <c r="AG380" s="52"/>
      <c r="AH380" s="48"/>
      <c r="AI380" s="48"/>
      <c r="AJ380" s="48"/>
      <c r="AK380" s="53"/>
      <c r="AL380" s="53"/>
      <c r="AM380" s="53"/>
      <c r="AN380" s="53"/>
      <c r="AO380" s="53"/>
      <c r="AP380" s="53"/>
      <c r="AQ380" s="53"/>
      <c r="AR380" s="53"/>
      <c r="AS380" s="53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52"/>
      <c r="BG380" s="52"/>
      <c r="BH380" s="52"/>
      <c r="BI380" s="52"/>
      <c r="BJ380" s="52"/>
      <c r="BK380" s="52"/>
      <c r="BL380" s="52"/>
      <c r="BM380" s="54"/>
    </row>
    <row r="381">
      <c r="A381" s="42"/>
      <c r="B381" s="52"/>
      <c r="C381" s="52"/>
      <c r="D381" s="52"/>
      <c r="E381" s="52"/>
      <c r="F381" s="81"/>
      <c r="G381" s="57"/>
      <c r="H381" s="48"/>
      <c r="I381" s="77"/>
      <c r="J381" s="62"/>
      <c r="K381" s="52"/>
      <c r="L381" s="52"/>
      <c r="M381" s="76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62"/>
      <c r="AB381" s="52"/>
      <c r="AC381" s="52"/>
      <c r="AD381" s="52"/>
      <c r="AE381" s="52"/>
      <c r="AF381" s="52"/>
      <c r="AG381" s="52"/>
      <c r="AH381" s="48"/>
      <c r="AI381" s="48"/>
      <c r="AJ381" s="48"/>
      <c r="AK381" s="53"/>
      <c r="AL381" s="53"/>
      <c r="AM381" s="53"/>
      <c r="AN381" s="53"/>
      <c r="AO381" s="53"/>
      <c r="AP381" s="53"/>
      <c r="AQ381" s="53"/>
      <c r="AR381" s="53"/>
      <c r="AS381" s="53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52"/>
      <c r="BG381" s="52"/>
      <c r="BH381" s="52"/>
      <c r="BI381" s="52"/>
      <c r="BJ381" s="52"/>
      <c r="BK381" s="52"/>
      <c r="BL381" s="52"/>
      <c r="BM381" s="54"/>
    </row>
    <row r="382">
      <c r="A382" s="42"/>
      <c r="B382" s="52"/>
      <c r="C382" s="52"/>
      <c r="D382" s="52"/>
      <c r="E382" s="52"/>
      <c r="F382" s="81"/>
      <c r="G382" s="57"/>
      <c r="H382" s="48"/>
      <c r="I382" s="77"/>
      <c r="J382" s="62"/>
      <c r="K382" s="52"/>
      <c r="L382" s="52"/>
      <c r="M382" s="76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62"/>
      <c r="AB382" s="52"/>
      <c r="AC382" s="52"/>
      <c r="AD382" s="52"/>
      <c r="AE382" s="52"/>
      <c r="AF382" s="52"/>
      <c r="AG382" s="52"/>
      <c r="AH382" s="48"/>
      <c r="AI382" s="48"/>
      <c r="AJ382" s="48"/>
      <c r="AK382" s="53"/>
      <c r="AL382" s="53"/>
      <c r="AM382" s="53"/>
      <c r="AN382" s="53"/>
      <c r="AO382" s="53"/>
      <c r="AP382" s="53"/>
      <c r="AQ382" s="53"/>
      <c r="AR382" s="53"/>
      <c r="AS382" s="53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52"/>
      <c r="BG382" s="52"/>
      <c r="BH382" s="52"/>
      <c r="BI382" s="52"/>
      <c r="BJ382" s="52"/>
      <c r="BK382" s="52"/>
      <c r="BL382" s="52"/>
      <c r="BM382" s="54"/>
    </row>
    <row r="383">
      <c r="A383" s="42"/>
      <c r="B383" s="52"/>
      <c r="C383" s="52"/>
      <c r="D383" s="52"/>
      <c r="E383" s="52"/>
      <c r="F383" s="81"/>
      <c r="G383" s="57"/>
      <c r="H383" s="48"/>
      <c r="I383" s="77"/>
      <c r="J383" s="62"/>
      <c r="K383" s="52"/>
      <c r="L383" s="52"/>
      <c r="M383" s="76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62"/>
      <c r="AB383" s="52"/>
      <c r="AC383" s="52"/>
      <c r="AD383" s="52"/>
      <c r="AE383" s="52"/>
      <c r="AF383" s="52"/>
      <c r="AG383" s="52"/>
      <c r="AH383" s="48"/>
      <c r="AI383" s="48"/>
      <c r="AJ383" s="48"/>
      <c r="AK383" s="53"/>
      <c r="AL383" s="53"/>
      <c r="AM383" s="53"/>
      <c r="AN383" s="53"/>
      <c r="AO383" s="53"/>
      <c r="AP383" s="53"/>
      <c r="AQ383" s="53"/>
      <c r="AR383" s="53"/>
      <c r="AS383" s="53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52"/>
      <c r="BG383" s="52"/>
      <c r="BH383" s="52"/>
      <c r="BI383" s="52"/>
      <c r="BJ383" s="52"/>
      <c r="BK383" s="52"/>
      <c r="BL383" s="52"/>
      <c r="BM383" s="54"/>
    </row>
    <row r="384">
      <c r="A384" s="42"/>
      <c r="B384" s="52"/>
      <c r="C384" s="52"/>
      <c r="D384" s="52"/>
      <c r="E384" s="52"/>
      <c r="F384" s="81"/>
      <c r="G384" s="57"/>
      <c r="H384" s="48"/>
      <c r="I384" s="77"/>
      <c r="J384" s="62"/>
      <c r="K384" s="52"/>
      <c r="L384" s="52"/>
      <c r="M384" s="76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62"/>
      <c r="AB384" s="52"/>
      <c r="AC384" s="52"/>
      <c r="AD384" s="52"/>
      <c r="AE384" s="52"/>
      <c r="AF384" s="52"/>
      <c r="AG384" s="52"/>
      <c r="AH384" s="48"/>
      <c r="AI384" s="48"/>
      <c r="AJ384" s="48"/>
      <c r="AK384" s="53"/>
      <c r="AL384" s="53"/>
      <c r="AM384" s="53"/>
      <c r="AN384" s="53"/>
      <c r="AO384" s="53"/>
      <c r="AP384" s="53"/>
      <c r="AQ384" s="53"/>
      <c r="AR384" s="53"/>
      <c r="AS384" s="53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52"/>
      <c r="BG384" s="52"/>
      <c r="BH384" s="52"/>
      <c r="BI384" s="52"/>
      <c r="BJ384" s="52"/>
      <c r="BK384" s="52"/>
      <c r="BL384" s="52"/>
      <c r="BM384" s="54"/>
    </row>
    <row r="385">
      <c r="A385" s="42"/>
      <c r="B385" s="52"/>
      <c r="C385" s="52"/>
      <c r="D385" s="52"/>
      <c r="E385" s="52"/>
      <c r="F385" s="81"/>
      <c r="G385" s="57"/>
      <c r="H385" s="48"/>
      <c r="I385" s="77"/>
      <c r="J385" s="62"/>
      <c r="K385" s="52"/>
      <c r="L385" s="52"/>
      <c r="M385" s="76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62"/>
      <c r="AB385" s="52"/>
      <c r="AC385" s="52"/>
      <c r="AD385" s="52"/>
      <c r="AE385" s="52"/>
      <c r="AF385" s="52"/>
      <c r="AG385" s="52"/>
      <c r="AH385" s="48"/>
      <c r="AI385" s="48"/>
      <c r="AJ385" s="48"/>
      <c r="AK385" s="53"/>
      <c r="AL385" s="53"/>
      <c r="AM385" s="53"/>
      <c r="AN385" s="53"/>
      <c r="AO385" s="53"/>
      <c r="AP385" s="53"/>
      <c r="AQ385" s="53"/>
      <c r="AR385" s="53"/>
      <c r="AS385" s="53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52"/>
      <c r="BG385" s="52"/>
      <c r="BH385" s="52"/>
      <c r="BI385" s="52"/>
      <c r="BJ385" s="52"/>
      <c r="BK385" s="52"/>
      <c r="BL385" s="52"/>
      <c r="BM385" s="54"/>
    </row>
    <row r="386">
      <c r="A386" s="42"/>
      <c r="B386" s="52"/>
      <c r="C386" s="52"/>
      <c r="D386" s="52"/>
      <c r="E386" s="52"/>
      <c r="F386" s="81"/>
      <c r="G386" s="57"/>
      <c r="H386" s="48"/>
      <c r="I386" s="77"/>
      <c r="J386" s="62"/>
      <c r="K386" s="52"/>
      <c r="L386" s="52"/>
      <c r="M386" s="76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62"/>
      <c r="AB386" s="52"/>
      <c r="AC386" s="52"/>
      <c r="AD386" s="52"/>
      <c r="AE386" s="52"/>
      <c r="AF386" s="52"/>
      <c r="AG386" s="52"/>
      <c r="AH386" s="48"/>
      <c r="AI386" s="48"/>
      <c r="AJ386" s="48"/>
      <c r="AK386" s="53"/>
      <c r="AL386" s="53"/>
      <c r="AM386" s="53"/>
      <c r="AN386" s="53"/>
      <c r="AO386" s="53"/>
      <c r="AP386" s="53"/>
      <c r="AQ386" s="53"/>
      <c r="AR386" s="53"/>
      <c r="AS386" s="53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52"/>
      <c r="BG386" s="52"/>
      <c r="BH386" s="52"/>
      <c r="BI386" s="52"/>
      <c r="BJ386" s="52"/>
      <c r="BK386" s="52"/>
      <c r="BL386" s="52"/>
      <c r="BM386" s="54"/>
    </row>
    <row r="387">
      <c r="A387" s="42"/>
      <c r="B387" s="52"/>
      <c r="C387" s="52"/>
      <c r="D387" s="52"/>
      <c r="E387" s="52"/>
      <c r="F387" s="81"/>
      <c r="G387" s="57"/>
      <c r="H387" s="48"/>
      <c r="I387" s="77"/>
      <c r="J387" s="62"/>
      <c r="K387" s="52"/>
      <c r="L387" s="52"/>
      <c r="M387" s="76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62"/>
      <c r="AB387" s="52"/>
      <c r="AC387" s="52"/>
      <c r="AD387" s="52"/>
      <c r="AE387" s="52"/>
      <c r="AF387" s="52"/>
      <c r="AG387" s="52"/>
      <c r="AH387" s="48"/>
      <c r="AI387" s="48"/>
      <c r="AJ387" s="48"/>
      <c r="AK387" s="53"/>
      <c r="AL387" s="53"/>
      <c r="AM387" s="53"/>
      <c r="AN387" s="53"/>
      <c r="AO387" s="53"/>
      <c r="AP387" s="53"/>
      <c r="AQ387" s="53"/>
      <c r="AR387" s="53"/>
      <c r="AS387" s="53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52"/>
      <c r="BG387" s="52"/>
      <c r="BH387" s="52"/>
      <c r="BI387" s="52"/>
      <c r="BJ387" s="52"/>
      <c r="BK387" s="52"/>
      <c r="BL387" s="52"/>
      <c r="BM387" s="54"/>
    </row>
    <row r="388">
      <c r="A388" s="42"/>
      <c r="B388" s="52"/>
      <c r="C388" s="52"/>
      <c r="D388" s="52"/>
      <c r="E388" s="52"/>
      <c r="F388" s="81"/>
      <c r="G388" s="57"/>
      <c r="H388" s="48"/>
      <c r="I388" s="77"/>
      <c r="J388" s="62"/>
      <c r="K388" s="52"/>
      <c r="L388" s="52"/>
      <c r="M388" s="76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62"/>
      <c r="AB388" s="52"/>
      <c r="AC388" s="52"/>
      <c r="AD388" s="52"/>
      <c r="AE388" s="52"/>
      <c r="AF388" s="52"/>
      <c r="AG388" s="52"/>
      <c r="AH388" s="48"/>
      <c r="AI388" s="48"/>
      <c r="AJ388" s="48"/>
      <c r="AK388" s="53"/>
      <c r="AL388" s="53"/>
      <c r="AM388" s="53"/>
      <c r="AN388" s="53"/>
      <c r="AO388" s="53"/>
      <c r="AP388" s="53"/>
      <c r="AQ388" s="53"/>
      <c r="AR388" s="53"/>
      <c r="AS388" s="53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52"/>
      <c r="BG388" s="52"/>
      <c r="BH388" s="52"/>
      <c r="BI388" s="52"/>
      <c r="BJ388" s="52"/>
      <c r="BK388" s="52"/>
      <c r="BL388" s="52"/>
      <c r="BM388" s="54"/>
    </row>
    <row r="389">
      <c r="A389" s="42"/>
      <c r="B389" s="52"/>
      <c r="C389" s="52"/>
      <c r="D389" s="52"/>
      <c r="E389" s="52"/>
      <c r="F389" s="81"/>
      <c r="G389" s="57"/>
      <c r="H389" s="48"/>
      <c r="I389" s="77"/>
      <c r="J389" s="62"/>
      <c r="K389" s="52"/>
      <c r="L389" s="52"/>
      <c r="M389" s="76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62"/>
      <c r="AB389" s="52"/>
      <c r="AC389" s="52"/>
      <c r="AD389" s="52"/>
      <c r="AE389" s="52"/>
      <c r="AF389" s="52"/>
      <c r="AG389" s="52"/>
      <c r="AH389" s="48"/>
      <c r="AI389" s="48"/>
      <c r="AJ389" s="48"/>
      <c r="AK389" s="53"/>
      <c r="AL389" s="53"/>
      <c r="AM389" s="53"/>
      <c r="AN389" s="53"/>
      <c r="AO389" s="53"/>
      <c r="AP389" s="53"/>
      <c r="AQ389" s="53"/>
      <c r="AR389" s="53"/>
      <c r="AS389" s="53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52"/>
      <c r="BG389" s="52"/>
      <c r="BH389" s="52"/>
      <c r="BI389" s="52"/>
      <c r="BJ389" s="52"/>
      <c r="BK389" s="52"/>
      <c r="BL389" s="52"/>
      <c r="BM389" s="54"/>
    </row>
    <row r="390">
      <c r="A390" s="42"/>
      <c r="B390" s="52"/>
      <c r="C390" s="52"/>
      <c r="D390" s="52"/>
      <c r="E390" s="52"/>
      <c r="F390" s="81"/>
      <c r="G390" s="57"/>
      <c r="H390" s="48"/>
      <c r="I390" s="77"/>
      <c r="J390" s="62"/>
      <c r="K390" s="52"/>
      <c r="L390" s="52"/>
      <c r="M390" s="76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62"/>
      <c r="AB390" s="52"/>
      <c r="AC390" s="52"/>
      <c r="AD390" s="52"/>
      <c r="AE390" s="52"/>
      <c r="AF390" s="52"/>
      <c r="AG390" s="52"/>
      <c r="AH390" s="48"/>
      <c r="AI390" s="48"/>
      <c r="AJ390" s="48"/>
      <c r="AK390" s="53"/>
      <c r="AL390" s="53"/>
      <c r="AM390" s="53"/>
      <c r="AN390" s="53"/>
      <c r="AO390" s="53"/>
      <c r="AP390" s="53"/>
      <c r="AQ390" s="53"/>
      <c r="AR390" s="53"/>
      <c r="AS390" s="53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52"/>
      <c r="BG390" s="52"/>
      <c r="BH390" s="52"/>
      <c r="BI390" s="52"/>
      <c r="BJ390" s="52"/>
      <c r="BK390" s="52"/>
      <c r="BL390" s="52"/>
      <c r="BM390" s="54"/>
    </row>
    <row r="391">
      <c r="A391" s="42"/>
      <c r="B391" s="52"/>
      <c r="C391" s="52"/>
      <c r="D391" s="52"/>
      <c r="E391" s="52"/>
      <c r="F391" s="81"/>
      <c r="G391" s="57"/>
      <c r="H391" s="48"/>
      <c r="I391" s="77"/>
      <c r="J391" s="62"/>
      <c r="K391" s="52"/>
      <c r="L391" s="52"/>
      <c r="M391" s="76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62"/>
      <c r="AB391" s="52"/>
      <c r="AC391" s="52"/>
      <c r="AD391" s="52"/>
      <c r="AE391" s="52"/>
      <c r="AF391" s="52"/>
      <c r="AG391" s="52"/>
      <c r="AH391" s="48"/>
      <c r="AI391" s="48"/>
      <c r="AJ391" s="48"/>
      <c r="AK391" s="53"/>
      <c r="AL391" s="53"/>
      <c r="AM391" s="53"/>
      <c r="AN391" s="53"/>
      <c r="AO391" s="53"/>
      <c r="AP391" s="53"/>
      <c r="AQ391" s="53"/>
      <c r="AR391" s="53"/>
      <c r="AS391" s="53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52"/>
      <c r="BG391" s="52"/>
      <c r="BH391" s="52"/>
      <c r="BI391" s="52"/>
      <c r="BJ391" s="52"/>
      <c r="BK391" s="52"/>
      <c r="BL391" s="52"/>
      <c r="BM391" s="54"/>
    </row>
    <row r="392">
      <c r="A392" s="42"/>
      <c r="B392" s="52"/>
      <c r="C392" s="52"/>
      <c r="D392" s="52"/>
      <c r="E392" s="52"/>
      <c r="F392" s="81"/>
      <c r="G392" s="57"/>
      <c r="H392" s="48"/>
      <c r="I392" s="77"/>
      <c r="J392" s="62"/>
      <c r="K392" s="52"/>
      <c r="L392" s="52"/>
      <c r="M392" s="76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62"/>
      <c r="AB392" s="52"/>
      <c r="AC392" s="52"/>
      <c r="AD392" s="52"/>
      <c r="AE392" s="52"/>
      <c r="AF392" s="52"/>
      <c r="AG392" s="52"/>
      <c r="AH392" s="48"/>
      <c r="AI392" s="48"/>
      <c r="AJ392" s="48"/>
      <c r="AK392" s="53"/>
      <c r="AL392" s="53"/>
      <c r="AM392" s="53"/>
      <c r="AN392" s="53"/>
      <c r="AO392" s="53"/>
      <c r="AP392" s="53"/>
      <c r="AQ392" s="53"/>
      <c r="AR392" s="53"/>
      <c r="AS392" s="53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52"/>
      <c r="BG392" s="52"/>
      <c r="BH392" s="52"/>
      <c r="BI392" s="52"/>
      <c r="BJ392" s="52"/>
      <c r="BK392" s="52"/>
      <c r="BL392" s="52"/>
      <c r="BM392" s="54"/>
    </row>
    <row r="393">
      <c r="A393" s="42"/>
      <c r="B393" s="52"/>
      <c r="C393" s="52"/>
      <c r="D393" s="52"/>
      <c r="E393" s="52"/>
      <c r="F393" s="81"/>
      <c r="G393" s="57"/>
      <c r="H393" s="48"/>
      <c r="I393" s="77"/>
      <c r="J393" s="62"/>
      <c r="K393" s="52"/>
      <c r="L393" s="52"/>
      <c r="M393" s="76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62"/>
      <c r="AB393" s="52"/>
      <c r="AC393" s="52"/>
      <c r="AD393" s="52"/>
      <c r="AE393" s="52"/>
      <c r="AF393" s="52"/>
      <c r="AG393" s="52"/>
      <c r="AH393" s="48"/>
      <c r="AI393" s="48"/>
      <c r="AJ393" s="48"/>
      <c r="AK393" s="53"/>
      <c r="AL393" s="53"/>
      <c r="AM393" s="53"/>
      <c r="AN393" s="53"/>
      <c r="AO393" s="53"/>
      <c r="AP393" s="53"/>
      <c r="AQ393" s="53"/>
      <c r="AR393" s="53"/>
      <c r="AS393" s="53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52"/>
      <c r="BG393" s="52"/>
      <c r="BH393" s="52"/>
      <c r="BI393" s="52"/>
      <c r="BJ393" s="52"/>
      <c r="BK393" s="52"/>
      <c r="BL393" s="52"/>
      <c r="BM393" s="54"/>
    </row>
    <row r="394">
      <c r="A394" s="42"/>
      <c r="B394" s="52"/>
      <c r="C394" s="52"/>
      <c r="D394" s="52"/>
      <c r="E394" s="52"/>
      <c r="F394" s="81"/>
      <c r="G394" s="57"/>
      <c r="H394" s="48"/>
      <c r="I394" s="77"/>
      <c r="J394" s="62"/>
      <c r="K394" s="52"/>
      <c r="L394" s="52"/>
      <c r="M394" s="76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62"/>
      <c r="AB394" s="52"/>
      <c r="AC394" s="52"/>
      <c r="AD394" s="52"/>
      <c r="AE394" s="52"/>
      <c r="AF394" s="52"/>
      <c r="AG394" s="52"/>
      <c r="AH394" s="48"/>
      <c r="AI394" s="48"/>
      <c r="AJ394" s="48"/>
      <c r="AK394" s="53"/>
      <c r="AL394" s="53"/>
      <c r="AM394" s="53"/>
      <c r="AN394" s="53"/>
      <c r="AO394" s="53"/>
      <c r="AP394" s="53"/>
      <c r="AQ394" s="53"/>
      <c r="AR394" s="53"/>
      <c r="AS394" s="53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52"/>
      <c r="BG394" s="52"/>
      <c r="BH394" s="52"/>
      <c r="BI394" s="52"/>
      <c r="BJ394" s="52"/>
      <c r="BK394" s="52"/>
      <c r="BL394" s="52"/>
      <c r="BM394" s="54"/>
    </row>
    <row r="395">
      <c r="A395" s="42"/>
      <c r="B395" s="52"/>
      <c r="C395" s="52"/>
      <c r="D395" s="52"/>
      <c r="E395" s="52"/>
      <c r="F395" s="81"/>
      <c r="G395" s="57"/>
      <c r="H395" s="48"/>
      <c r="I395" s="77"/>
      <c r="J395" s="62"/>
      <c r="K395" s="52"/>
      <c r="L395" s="52"/>
      <c r="M395" s="76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62"/>
      <c r="AB395" s="52"/>
      <c r="AC395" s="52"/>
      <c r="AD395" s="52"/>
      <c r="AE395" s="52"/>
      <c r="AF395" s="52"/>
      <c r="AG395" s="52"/>
      <c r="AH395" s="48"/>
      <c r="AI395" s="48"/>
      <c r="AJ395" s="48"/>
      <c r="AK395" s="53"/>
      <c r="AL395" s="53"/>
      <c r="AM395" s="53"/>
      <c r="AN395" s="53"/>
      <c r="AO395" s="53"/>
      <c r="AP395" s="53"/>
      <c r="AQ395" s="53"/>
      <c r="AR395" s="53"/>
      <c r="AS395" s="53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52"/>
      <c r="BG395" s="52"/>
      <c r="BH395" s="52"/>
      <c r="BI395" s="52"/>
      <c r="BJ395" s="52"/>
      <c r="BK395" s="52"/>
      <c r="BL395" s="52"/>
      <c r="BM395" s="54"/>
    </row>
    <row r="396">
      <c r="A396" s="42"/>
      <c r="B396" s="52"/>
      <c r="C396" s="52"/>
      <c r="D396" s="52"/>
      <c r="E396" s="52"/>
      <c r="F396" s="81"/>
      <c r="G396" s="57"/>
      <c r="H396" s="48"/>
      <c r="I396" s="77"/>
      <c r="J396" s="62"/>
      <c r="K396" s="52"/>
      <c r="L396" s="52"/>
      <c r="M396" s="76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62"/>
      <c r="AB396" s="52"/>
      <c r="AC396" s="52"/>
      <c r="AD396" s="52"/>
      <c r="AE396" s="52"/>
      <c r="AF396" s="52"/>
      <c r="AG396" s="52"/>
      <c r="AH396" s="48"/>
      <c r="AI396" s="48"/>
      <c r="AJ396" s="48"/>
      <c r="AK396" s="53"/>
      <c r="AL396" s="53"/>
      <c r="AM396" s="53"/>
      <c r="AN396" s="53"/>
      <c r="AO396" s="53"/>
      <c r="AP396" s="53"/>
      <c r="AQ396" s="53"/>
      <c r="AR396" s="53"/>
      <c r="AS396" s="53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52"/>
      <c r="BG396" s="52"/>
      <c r="BH396" s="52"/>
      <c r="BI396" s="52"/>
      <c r="BJ396" s="52"/>
      <c r="BK396" s="52"/>
      <c r="BL396" s="52"/>
      <c r="BM396" s="54"/>
    </row>
    <row r="397">
      <c r="A397" s="42"/>
      <c r="B397" s="52"/>
      <c r="C397" s="52"/>
      <c r="D397" s="52"/>
      <c r="E397" s="52"/>
      <c r="F397" s="81"/>
      <c r="G397" s="57"/>
      <c r="H397" s="48"/>
      <c r="I397" s="77"/>
      <c r="J397" s="62"/>
      <c r="K397" s="52"/>
      <c r="L397" s="52"/>
      <c r="M397" s="76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62"/>
      <c r="AB397" s="52"/>
      <c r="AC397" s="52"/>
      <c r="AD397" s="52"/>
      <c r="AE397" s="52"/>
      <c r="AF397" s="52"/>
      <c r="AG397" s="52"/>
      <c r="AH397" s="48"/>
      <c r="AI397" s="48"/>
      <c r="AJ397" s="48"/>
      <c r="AK397" s="53"/>
      <c r="AL397" s="53"/>
      <c r="AM397" s="53"/>
      <c r="AN397" s="53"/>
      <c r="AO397" s="53"/>
      <c r="AP397" s="53"/>
      <c r="AQ397" s="53"/>
      <c r="AR397" s="53"/>
      <c r="AS397" s="53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52"/>
      <c r="BG397" s="52"/>
      <c r="BH397" s="52"/>
      <c r="BI397" s="52"/>
      <c r="BJ397" s="52"/>
      <c r="BK397" s="52"/>
      <c r="BL397" s="52"/>
      <c r="BM397" s="54"/>
    </row>
    <row r="398">
      <c r="A398" s="42"/>
      <c r="B398" s="52"/>
      <c r="C398" s="52"/>
      <c r="D398" s="52"/>
      <c r="E398" s="52"/>
      <c r="F398" s="81"/>
      <c r="G398" s="57"/>
      <c r="H398" s="48"/>
      <c r="I398" s="77"/>
      <c r="J398" s="62"/>
      <c r="K398" s="52"/>
      <c r="L398" s="52"/>
      <c r="M398" s="76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62"/>
      <c r="AB398" s="52"/>
      <c r="AC398" s="52"/>
      <c r="AD398" s="52"/>
      <c r="AE398" s="52"/>
      <c r="AF398" s="52"/>
      <c r="AG398" s="52"/>
      <c r="AH398" s="48"/>
      <c r="AI398" s="48"/>
      <c r="AJ398" s="48"/>
      <c r="AK398" s="53"/>
      <c r="AL398" s="53"/>
      <c r="AM398" s="53"/>
      <c r="AN398" s="53"/>
      <c r="AO398" s="53"/>
      <c r="AP398" s="53"/>
      <c r="AQ398" s="53"/>
      <c r="AR398" s="53"/>
      <c r="AS398" s="53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52"/>
      <c r="BG398" s="52"/>
      <c r="BH398" s="52"/>
      <c r="BI398" s="52"/>
      <c r="BJ398" s="52"/>
      <c r="BK398" s="52"/>
      <c r="BL398" s="52"/>
      <c r="BM398" s="54"/>
    </row>
    <row r="399">
      <c r="A399" s="42"/>
      <c r="B399" s="52"/>
      <c r="C399" s="52"/>
      <c r="D399" s="52"/>
      <c r="E399" s="52"/>
      <c r="F399" s="81"/>
      <c r="G399" s="57"/>
      <c r="H399" s="48"/>
      <c r="I399" s="77"/>
      <c r="J399" s="62"/>
      <c r="K399" s="52"/>
      <c r="L399" s="52"/>
      <c r="M399" s="76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62"/>
      <c r="AB399" s="52"/>
      <c r="AC399" s="52"/>
      <c r="AD399" s="52"/>
      <c r="AE399" s="52"/>
      <c r="AF399" s="52"/>
      <c r="AG399" s="52"/>
      <c r="AH399" s="48"/>
      <c r="AI399" s="48"/>
      <c r="AJ399" s="48"/>
      <c r="AK399" s="53"/>
      <c r="AL399" s="53"/>
      <c r="AM399" s="53"/>
      <c r="AN399" s="53"/>
      <c r="AO399" s="53"/>
      <c r="AP399" s="53"/>
      <c r="AQ399" s="53"/>
      <c r="AR399" s="53"/>
      <c r="AS399" s="53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52"/>
      <c r="BG399" s="52"/>
      <c r="BH399" s="52"/>
      <c r="BI399" s="52"/>
      <c r="BJ399" s="52"/>
      <c r="BK399" s="52"/>
      <c r="BL399" s="52"/>
      <c r="BM399" s="54"/>
    </row>
    <row r="400">
      <c r="A400" s="42"/>
      <c r="B400" s="52"/>
      <c r="C400" s="52"/>
      <c r="D400" s="52"/>
      <c r="E400" s="52"/>
      <c r="F400" s="81"/>
      <c r="G400" s="57"/>
      <c r="H400" s="48"/>
      <c r="I400" s="77"/>
      <c r="J400" s="62"/>
      <c r="K400" s="52"/>
      <c r="L400" s="52"/>
      <c r="M400" s="76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62"/>
      <c r="AB400" s="52"/>
      <c r="AC400" s="52"/>
      <c r="AD400" s="52"/>
      <c r="AE400" s="52"/>
      <c r="AF400" s="52"/>
      <c r="AG400" s="52"/>
      <c r="AH400" s="48"/>
      <c r="AI400" s="48"/>
      <c r="AJ400" s="48"/>
      <c r="AK400" s="53"/>
      <c r="AL400" s="53"/>
      <c r="AM400" s="53"/>
      <c r="AN400" s="53"/>
      <c r="AO400" s="53"/>
      <c r="AP400" s="53"/>
      <c r="AQ400" s="53"/>
      <c r="AR400" s="53"/>
      <c r="AS400" s="53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52"/>
      <c r="BG400" s="52"/>
      <c r="BH400" s="52"/>
      <c r="BI400" s="52"/>
      <c r="BJ400" s="52"/>
      <c r="BK400" s="52"/>
      <c r="BL400" s="52"/>
      <c r="BM400" s="54"/>
    </row>
    <row r="401">
      <c r="A401" s="42"/>
      <c r="B401" s="52"/>
      <c r="C401" s="52"/>
      <c r="D401" s="52"/>
      <c r="E401" s="52"/>
      <c r="F401" s="81"/>
      <c r="G401" s="57"/>
      <c r="H401" s="48"/>
      <c r="I401" s="77"/>
      <c r="J401" s="62"/>
      <c r="K401" s="52"/>
      <c r="L401" s="52"/>
      <c r="M401" s="76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62"/>
      <c r="AB401" s="52"/>
      <c r="AC401" s="52"/>
      <c r="AD401" s="52"/>
      <c r="AE401" s="52"/>
      <c r="AF401" s="52"/>
      <c r="AG401" s="52"/>
      <c r="AH401" s="48"/>
      <c r="AI401" s="48"/>
      <c r="AJ401" s="48"/>
      <c r="AK401" s="53"/>
      <c r="AL401" s="53"/>
      <c r="AM401" s="53"/>
      <c r="AN401" s="53"/>
      <c r="AO401" s="53"/>
      <c r="AP401" s="53"/>
      <c r="AQ401" s="53"/>
      <c r="AR401" s="53"/>
      <c r="AS401" s="53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52"/>
      <c r="BG401" s="52"/>
      <c r="BH401" s="52"/>
      <c r="BI401" s="52"/>
      <c r="BJ401" s="52"/>
      <c r="BK401" s="52"/>
      <c r="BL401" s="52"/>
      <c r="BM401" s="54"/>
    </row>
    <row r="402">
      <c r="A402" s="42"/>
      <c r="B402" s="52"/>
      <c r="C402" s="52"/>
      <c r="D402" s="52"/>
      <c r="E402" s="52"/>
      <c r="F402" s="81"/>
      <c r="G402" s="57"/>
      <c r="H402" s="48"/>
      <c r="I402" s="77"/>
      <c r="J402" s="62"/>
      <c r="K402" s="52"/>
      <c r="L402" s="52"/>
      <c r="M402" s="76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62"/>
      <c r="AB402" s="52"/>
      <c r="AC402" s="52"/>
      <c r="AD402" s="52"/>
      <c r="AE402" s="52"/>
      <c r="AF402" s="52"/>
      <c r="AG402" s="52"/>
      <c r="AH402" s="48"/>
      <c r="AI402" s="48"/>
      <c r="AJ402" s="48"/>
      <c r="AK402" s="53"/>
      <c r="AL402" s="53"/>
      <c r="AM402" s="53"/>
      <c r="AN402" s="53"/>
      <c r="AO402" s="53"/>
      <c r="AP402" s="53"/>
      <c r="AQ402" s="53"/>
      <c r="AR402" s="53"/>
      <c r="AS402" s="53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52"/>
      <c r="BG402" s="52"/>
      <c r="BH402" s="52"/>
      <c r="BI402" s="52"/>
      <c r="BJ402" s="52"/>
      <c r="BK402" s="52"/>
      <c r="BL402" s="52"/>
      <c r="BM402" s="54"/>
    </row>
    <row r="403">
      <c r="A403" s="42"/>
      <c r="B403" s="52"/>
      <c r="C403" s="52"/>
      <c r="D403" s="52"/>
      <c r="E403" s="52"/>
      <c r="F403" s="81"/>
      <c r="G403" s="57"/>
      <c r="H403" s="48"/>
      <c r="I403" s="77"/>
      <c r="J403" s="62"/>
      <c r="K403" s="52"/>
      <c r="L403" s="52"/>
      <c r="M403" s="76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62"/>
      <c r="AB403" s="52"/>
      <c r="AC403" s="52"/>
      <c r="AD403" s="52"/>
      <c r="AE403" s="52"/>
      <c r="AF403" s="52"/>
      <c r="AG403" s="52"/>
      <c r="AH403" s="48"/>
      <c r="AI403" s="48"/>
      <c r="AJ403" s="48"/>
      <c r="AK403" s="53"/>
      <c r="AL403" s="53"/>
      <c r="AM403" s="53"/>
      <c r="AN403" s="53"/>
      <c r="AO403" s="53"/>
      <c r="AP403" s="53"/>
      <c r="AQ403" s="53"/>
      <c r="AR403" s="53"/>
      <c r="AS403" s="53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52"/>
      <c r="BG403" s="52"/>
      <c r="BH403" s="52"/>
      <c r="BI403" s="52"/>
      <c r="BJ403" s="52"/>
      <c r="BK403" s="52"/>
      <c r="BL403" s="52"/>
      <c r="BM403" s="54"/>
    </row>
    <row r="404">
      <c r="A404" s="42"/>
      <c r="B404" s="52"/>
      <c r="C404" s="52"/>
      <c r="D404" s="52"/>
      <c r="E404" s="52"/>
      <c r="F404" s="81"/>
      <c r="G404" s="57"/>
      <c r="H404" s="48"/>
      <c r="I404" s="77"/>
      <c r="J404" s="62"/>
      <c r="K404" s="52"/>
      <c r="L404" s="52"/>
      <c r="M404" s="76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62"/>
      <c r="AB404" s="52"/>
      <c r="AC404" s="52"/>
      <c r="AD404" s="52"/>
      <c r="AE404" s="52"/>
      <c r="AF404" s="52"/>
      <c r="AG404" s="52"/>
      <c r="AH404" s="48"/>
      <c r="AI404" s="48"/>
      <c r="AJ404" s="48"/>
      <c r="AK404" s="53"/>
      <c r="AL404" s="53"/>
      <c r="AM404" s="53"/>
      <c r="AN404" s="53"/>
      <c r="AO404" s="53"/>
      <c r="AP404" s="53"/>
      <c r="AQ404" s="53"/>
      <c r="AR404" s="53"/>
      <c r="AS404" s="53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52"/>
      <c r="BG404" s="52"/>
      <c r="BH404" s="52"/>
      <c r="BI404" s="52"/>
      <c r="BJ404" s="52"/>
      <c r="BK404" s="52"/>
      <c r="BL404" s="52"/>
      <c r="BM404" s="54"/>
    </row>
    <row r="405">
      <c r="A405" s="42"/>
      <c r="B405" s="52"/>
      <c r="C405" s="52"/>
      <c r="D405" s="52"/>
      <c r="E405" s="52"/>
      <c r="F405" s="81"/>
      <c r="G405" s="57"/>
      <c r="H405" s="48"/>
      <c r="I405" s="77"/>
      <c r="J405" s="62"/>
      <c r="K405" s="52"/>
      <c r="L405" s="52"/>
      <c r="M405" s="76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62"/>
      <c r="AB405" s="52"/>
      <c r="AC405" s="52"/>
      <c r="AD405" s="52"/>
      <c r="AE405" s="52"/>
      <c r="AF405" s="52"/>
      <c r="AG405" s="52"/>
      <c r="AH405" s="48"/>
      <c r="AI405" s="48"/>
      <c r="AJ405" s="48"/>
      <c r="AK405" s="53"/>
      <c r="AL405" s="53"/>
      <c r="AM405" s="53"/>
      <c r="AN405" s="53"/>
      <c r="AO405" s="53"/>
      <c r="AP405" s="53"/>
      <c r="AQ405" s="53"/>
      <c r="AR405" s="53"/>
      <c r="AS405" s="53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52"/>
      <c r="BG405" s="52"/>
      <c r="BH405" s="52"/>
      <c r="BI405" s="52"/>
      <c r="BJ405" s="52"/>
      <c r="BK405" s="52"/>
      <c r="BL405" s="52"/>
      <c r="BM405" s="54"/>
    </row>
    <row r="406">
      <c r="A406" s="42"/>
      <c r="B406" s="52"/>
      <c r="C406" s="52"/>
      <c r="D406" s="52"/>
      <c r="E406" s="52"/>
      <c r="F406" s="81"/>
      <c r="G406" s="57"/>
      <c r="H406" s="48"/>
      <c r="I406" s="77"/>
      <c r="J406" s="62"/>
      <c r="K406" s="52"/>
      <c r="L406" s="52"/>
      <c r="M406" s="76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62"/>
      <c r="AB406" s="52"/>
      <c r="AC406" s="52"/>
      <c r="AD406" s="52"/>
      <c r="AE406" s="52"/>
      <c r="AF406" s="52"/>
      <c r="AG406" s="52"/>
      <c r="AH406" s="48"/>
      <c r="AI406" s="48"/>
      <c r="AJ406" s="48"/>
      <c r="AK406" s="53"/>
      <c r="AL406" s="53"/>
      <c r="AM406" s="53"/>
      <c r="AN406" s="53"/>
      <c r="AO406" s="53"/>
      <c r="AP406" s="53"/>
      <c r="AQ406" s="53"/>
      <c r="AR406" s="53"/>
      <c r="AS406" s="53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52"/>
      <c r="BG406" s="52"/>
      <c r="BH406" s="52"/>
      <c r="BI406" s="52"/>
      <c r="BJ406" s="52"/>
      <c r="BK406" s="52"/>
      <c r="BL406" s="52"/>
      <c r="BM406" s="54"/>
    </row>
    <row r="407">
      <c r="A407" s="42"/>
      <c r="B407" s="52"/>
      <c r="C407" s="52"/>
      <c r="D407" s="52"/>
      <c r="E407" s="52"/>
      <c r="F407" s="81"/>
      <c r="G407" s="57"/>
      <c r="H407" s="48"/>
      <c r="I407" s="77"/>
      <c r="J407" s="62"/>
      <c r="K407" s="52"/>
      <c r="L407" s="52"/>
      <c r="M407" s="76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62"/>
      <c r="AB407" s="52"/>
      <c r="AC407" s="52"/>
      <c r="AD407" s="52"/>
      <c r="AE407" s="52"/>
      <c r="AF407" s="52"/>
      <c r="AG407" s="52"/>
      <c r="AH407" s="48"/>
      <c r="AI407" s="48"/>
      <c r="AJ407" s="48"/>
      <c r="AK407" s="53"/>
      <c r="AL407" s="53"/>
      <c r="AM407" s="53"/>
      <c r="AN407" s="53"/>
      <c r="AO407" s="53"/>
      <c r="AP407" s="53"/>
      <c r="AQ407" s="53"/>
      <c r="AR407" s="53"/>
      <c r="AS407" s="53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52"/>
      <c r="BG407" s="52"/>
      <c r="BH407" s="52"/>
      <c r="BI407" s="52"/>
      <c r="BJ407" s="52"/>
      <c r="BK407" s="52"/>
      <c r="BL407" s="52"/>
      <c r="BM407" s="54"/>
    </row>
    <row r="408">
      <c r="A408" s="42"/>
      <c r="B408" s="52"/>
      <c r="C408" s="52"/>
      <c r="D408" s="52"/>
      <c r="E408" s="52"/>
      <c r="F408" s="81"/>
      <c r="G408" s="57"/>
      <c r="H408" s="48"/>
      <c r="I408" s="77"/>
      <c r="J408" s="62"/>
      <c r="K408" s="52"/>
      <c r="L408" s="52"/>
      <c r="M408" s="76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62"/>
      <c r="AB408" s="52"/>
      <c r="AC408" s="52"/>
      <c r="AD408" s="52"/>
      <c r="AE408" s="52"/>
      <c r="AF408" s="52"/>
      <c r="AG408" s="52"/>
      <c r="AH408" s="48"/>
      <c r="AI408" s="48"/>
      <c r="AJ408" s="48"/>
      <c r="AK408" s="53"/>
      <c r="AL408" s="53"/>
      <c r="AM408" s="53"/>
      <c r="AN408" s="53"/>
      <c r="AO408" s="53"/>
      <c r="AP408" s="53"/>
      <c r="AQ408" s="53"/>
      <c r="AR408" s="53"/>
      <c r="AS408" s="53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52"/>
      <c r="BG408" s="52"/>
      <c r="BH408" s="52"/>
      <c r="BI408" s="52"/>
      <c r="BJ408" s="52"/>
      <c r="BK408" s="52"/>
      <c r="BL408" s="52"/>
      <c r="BM408" s="54"/>
    </row>
    <row r="409">
      <c r="A409" s="42"/>
      <c r="B409" s="52"/>
      <c r="C409" s="52"/>
      <c r="D409" s="52"/>
      <c r="E409" s="52"/>
      <c r="F409" s="81"/>
      <c r="G409" s="57"/>
      <c r="H409" s="48"/>
      <c r="I409" s="77"/>
      <c r="J409" s="62"/>
      <c r="K409" s="52"/>
      <c r="L409" s="52"/>
      <c r="M409" s="76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62"/>
      <c r="AB409" s="52"/>
      <c r="AC409" s="52"/>
      <c r="AD409" s="52"/>
      <c r="AE409" s="52"/>
      <c r="AF409" s="52"/>
      <c r="AG409" s="52"/>
      <c r="AH409" s="48"/>
      <c r="AI409" s="48"/>
      <c r="AJ409" s="48"/>
      <c r="AK409" s="53"/>
      <c r="AL409" s="53"/>
      <c r="AM409" s="53"/>
      <c r="AN409" s="53"/>
      <c r="AO409" s="53"/>
      <c r="AP409" s="53"/>
      <c r="AQ409" s="53"/>
      <c r="AR409" s="53"/>
      <c r="AS409" s="53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52"/>
      <c r="BG409" s="52"/>
      <c r="BH409" s="52"/>
      <c r="BI409" s="52"/>
      <c r="BJ409" s="52"/>
      <c r="BK409" s="52"/>
      <c r="BL409" s="52"/>
      <c r="BM409" s="54"/>
    </row>
    <row r="410">
      <c r="A410" s="42"/>
      <c r="B410" s="52"/>
      <c r="C410" s="52"/>
      <c r="D410" s="52"/>
      <c r="E410" s="52"/>
      <c r="F410" s="81"/>
      <c r="G410" s="57"/>
      <c r="H410" s="48"/>
      <c r="I410" s="77"/>
      <c r="J410" s="62"/>
      <c r="K410" s="52"/>
      <c r="L410" s="52"/>
      <c r="M410" s="76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62"/>
      <c r="AB410" s="52"/>
      <c r="AC410" s="52"/>
      <c r="AD410" s="52"/>
      <c r="AE410" s="52"/>
      <c r="AF410" s="52"/>
      <c r="AG410" s="52"/>
      <c r="AH410" s="48"/>
      <c r="AI410" s="48"/>
      <c r="AJ410" s="48"/>
      <c r="AK410" s="53"/>
      <c r="AL410" s="53"/>
      <c r="AM410" s="53"/>
      <c r="AN410" s="53"/>
      <c r="AO410" s="53"/>
      <c r="AP410" s="53"/>
      <c r="AQ410" s="53"/>
      <c r="AR410" s="53"/>
      <c r="AS410" s="53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52"/>
      <c r="BG410" s="52"/>
      <c r="BH410" s="52"/>
      <c r="BI410" s="52"/>
      <c r="BJ410" s="52"/>
      <c r="BK410" s="52"/>
      <c r="BL410" s="52"/>
      <c r="BM410" s="54"/>
    </row>
    <row r="411">
      <c r="A411" s="42"/>
      <c r="B411" s="52"/>
      <c r="C411" s="52"/>
      <c r="D411" s="52"/>
      <c r="E411" s="52"/>
      <c r="F411" s="81"/>
      <c r="G411" s="57"/>
      <c r="H411" s="48"/>
      <c r="I411" s="77"/>
      <c r="J411" s="62"/>
      <c r="K411" s="52"/>
      <c r="L411" s="52"/>
      <c r="M411" s="76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62"/>
      <c r="AB411" s="52"/>
      <c r="AC411" s="52"/>
      <c r="AD411" s="52"/>
      <c r="AE411" s="52"/>
      <c r="AF411" s="52"/>
      <c r="AG411" s="52"/>
      <c r="AH411" s="48"/>
      <c r="AI411" s="48"/>
      <c r="AJ411" s="48"/>
      <c r="AK411" s="53"/>
      <c r="AL411" s="53"/>
      <c r="AM411" s="53"/>
      <c r="AN411" s="53"/>
      <c r="AO411" s="53"/>
      <c r="AP411" s="53"/>
      <c r="AQ411" s="53"/>
      <c r="AR411" s="53"/>
      <c r="AS411" s="53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52"/>
      <c r="BG411" s="52"/>
      <c r="BH411" s="52"/>
      <c r="BI411" s="52"/>
      <c r="BJ411" s="52"/>
      <c r="BK411" s="52"/>
      <c r="BL411" s="52"/>
      <c r="BM411" s="54"/>
    </row>
    <row r="412">
      <c r="A412" s="42"/>
      <c r="B412" s="52"/>
      <c r="C412" s="52"/>
      <c r="D412" s="52"/>
      <c r="E412" s="52"/>
      <c r="F412" s="81"/>
      <c r="G412" s="57"/>
      <c r="H412" s="48"/>
      <c r="I412" s="77"/>
      <c r="J412" s="62"/>
      <c r="K412" s="52"/>
      <c r="L412" s="52"/>
      <c r="M412" s="76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62"/>
      <c r="AB412" s="52"/>
      <c r="AC412" s="52"/>
      <c r="AD412" s="52"/>
      <c r="AE412" s="52"/>
      <c r="AF412" s="52"/>
      <c r="AG412" s="52"/>
      <c r="AH412" s="48"/>
      <c r="AI412" s="48"/>
      <c r="AJ412" s="48"/>
      <c r="AK412" s="53"/>
      <c r="AL412" s="53"/>
      <c r="AM412" s="53"/>
      <c r="AN412" s="53"/>
      <c r="AO412" s="53"/>
      <c r="AP412" s="53"/>
      <c r="AQ412" s="53"/>
      <c r="AR412" s="53"/>
      <c r="AS412" s="53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52"/>
      <c r="BG412" s="52"/>
      <c r="BH412" s="52"/>
      <c r="BI412" s="52"/>
      <c r="BJ412" s="52"/>
      <c r="BK412" s="52"/>
      <c r="BL412" s="52"/>
      <c r="BM412" s="54"/>
    </row>
    <row r="413">
      <c r="A413" s="42"/>
      <c r="B413" s="52"/>
      <c r="C413" s="52"/>
      <c r="D413" s="52"/>
      <c r="E413" s="52"/>
      <c r="F413" s="81"/>
      <c r="G413" s="57"/>
      <c r="H413" s="48"/>
      <c r="I413" s="77"/>
      <c r="J413" s="62"/>
      <c r="K413" s="52"/>
      <c r="L413" s="52"/>
      <c r="M413" s="76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62"/>
      <c r="AB413" s="52"/>
      <c r="AC413" s="52"/>
      <c r="AD413" s="52"/>
      <c r="AE413" s="52"/>
      <c r="AF413" s="52"/>
      <c r="AG413" s="52"/>
      <c r="AH413" s="48"/>
      <c r="AI413" s="48"/>
      <c r="AJ413" s="48"/>
      <c r="AK413" s="53"/>
      <c r="AL413" s="53"/>
      <c r="AM413" s="53"/>
      <c r="AN413" s="53"/>
      <c r="AO413" s="53"/>
      <c r="AP413" s="53"/>
      <c r="AQ413" s="53"/>
      <c r="AR413" s="53"/>
      <c r="AS413" s="53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52"/>
      <c r="BG413" s="52"/>
      <c r="BH413" s="52"/>
      <c r="BI413" s="52"/>
      <c r="BJ413" s="52"/>
      <c r="BK413" s="52"/>
      <c r="BL413" s="52"/>
      <c r="BM413" s="54"/>
    </row>
    <row r="414">
      <c r="A414" s="42"/>
      <c r="B414" s="52"/>
      <c r="C414" s="52"/>
      <c r="D414" s="52"/>
      <c r="E414" s="52"/>
      <c r="F414" s="81"/>
      <c r="G414" s="57"/>
      <c r="H414" s="48"/>
      <c r="I414" s="77"/>
      <c r="J414" s="62"/>
      <c r="K414" s="52"/>
      <c r="L414" s="52"/>
      <c r="M414" s="76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62"/>
      <c r="AB414" s="52"/>
      <c r="AC414" s="52"/>
      <c r="AD414" s="52"/>
      <c r="AE414" s="52"/>
      <c r="AF414" s="52"/>
      <c r="AG414" s="52"/>
      <c r="AH414" s="48"/>
      <c r="AI414" s="48"/>
      <c r="AJ414" s="48"/>
      <c r="AK414" s="53"/>
      <c r="AL414" s="53"/>
      <c r="AM414" s="53"/>
      <c r="AN414" s="53"/>
      <c r="AO414" s="53"/>
      <c r="AP414" s="53"/>
      <c r="AQ414" s="53"/>
      <c r="AR414" s="53"/>
      <c r="AS414" s="53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52"/>
      <c r="BG414" s="52"/>
      <c r="BH414" s="52"/>
      <c r="BI414" s="52"/>
      <c r="BJ414" s="52"/>
      <c r="BK414" s="52"/>
      <c r="BL414" s="52"/>
      <c r="BM414" s="54"/>
    </row>
    <row r="415">
      <c r="A415" s="42"/>
      <c r="B415" s="52"/>
      <c r="C415" s="52"/>
      <c r="D415" s="52"/>
      <c r="E415" s="52"/>
      <c r="F415" s="81"/>
      <c r="G415" s="57"/>
      <c r="H415" s="48"/>
      <c r="I415" s="77"/>
      <c r="J415" s="62"/>
      <c r="K415" s="52"/>
      <c r="L415" s="52"/>
      <c r="M415" s="76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62"/>
      <c r="AB415" s="52"/>
      <c r="AC415" s="52"/>
      <c r="AD415" s="52"/>
      <c r="AE415" s="52"/>
      <c r="AF415" s="52"/>
      <c r="AG415" s="52"/>
      <c r="AH415" s="48"/>
      <c r="AI415" s="48"/>
      <c r="AJ415" s="48"/>
      <c r="AK415" s="53"/>
      <c r="AL415" s="53"/>
      <c r="AM415" s="53"/>
      <c r="AN415" s="53"/>
      <c r="AO415" s="53"/>
      <c r="AP415" s="53"/>
      <c r="AQ415" s="53"/>
      <c r="AR415" s="53"/>
      <c r="AS415" s="53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52"/>
      <c r="BG415" s="52"/>
      <c r="BH415" s="52"/>
      <c r="BI415" s="52"/>
      <c r="BJ415" s="52"/>
      <c r="BK415" s="52"/>
      <c r="BL415" s="52"/>
      <c r="BM415" s="54"/>
    </row>
    <row r="416">
      <c r="A416" s="42"/>
      <c r="B416" s="52"/>
      <c r="C416" s="52"/>
      <c r="D416" s="52"/>
      <c r="E416" s="52"/>
      <c r="F416" s="81"/>
      <c r="G416" s="57"/>
      <c r="H416" s="48"/>
      <c r="I416" s="77"/>
      <c r="J416" s="62"/>
      <c r="K416" s="52"/>
      <c r="L416" s="52"/>
      <c r="M416" s="76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62"/>
      <c r="AB416" s="52"/>
      <c r="AC416" s="52"/>
      <c r="AD416" s="52"/>
      <c r="AE416" s="52"/>
      <c r="AF416" s="52"/>
      <c r="AG416" s="52"/>
      <c r="AH416" s="48"/>
      <c r="AI416" s="48"/>
      <c r="AJ416" s="48"/>
      <c r="AK416" s="53"/>
      <c r="AL416" s="53"/>
      <c r="AM416" s="53"/>
      <c r="AN416" s="53"/>
      <c r="AO416" s="53"/>
      <c r="AP416" s="53"/>
      <c r="AQ416" s="53"/>
      <c r="AR416" s="53"/>
      <c r="AS416" s="53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52"/>
      <c r="BG416" s="52"/>
      <c r="BH416" s="52"/>
      <c r="BI416" s="52"/>
      <c r="BJ416" s="52"/>
      <c r="BK416" s="52"/>
      <c r="BL416" s="52"/>
      <c r="BM416" s="54"/>
    </row>
    <row r="417">
      <c r="A417" s="42"/>
      <c r="B417" s="52"/>
      <c r="C417" s="52"/>
      <c r="D417" s="52"/>
      <c r="E417" s="52"/>
      <c r="F417" s="81"/>
      <c r="G417" s="57"/>
      <c r="H417" s="48"/>
      <c r="I417" s="77"/>
      <c r="J417" s="62"/>
      <c r="K417" s="52"/>
      <c r="L417" s="52"/>
      <c r="M417" s="76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62"/>
      <c r="AB417" s="52"/>
      <c r="AC417" s="52"/>
      <c r="AD417" s="52"/>
      <c r="AE417" s="52"/>
      <c r="AF417" s="52"/>
      <c r="AG417" s="52"/>
      <c r="AH417" s="48"/>
      <c r="AI417" s="48"/>
      <c r="AJ417" s="48"/>
      <c r="AK417" s="53"/>
      <c r="AL417" s="53"/>
      <c r="AM417" s="53"/>
      <c r="AN417" s="53"/>
      <c r="AO417" s="53"/>
      <c r="AP417" s="53"/>
      <c r="AQ417" s="53"/>
      <c r="AR417" s="53"/>
      <c r="AS417" s="53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52"/>
      <c r="BG417" s="52"/>
      <c r="BH417" s="52"/>
      <c r="BI417" s="52"/>
      <c r="BJ417" s="52"/>
      <c r="BK417" s="52"/>
      <c r="BL417" s="52"/>
      <c r="BM417" s="54"/>
    </row>
    <row r="418">
      <c r="A418" s="42"/>
      <c r="B418" s="52"/>
      <c r="C418" s="52"/>
      <c r="D418" s="52"/>
      <c r="E418" s="52"/>
      <c r="F418" s="81"/>
      <c r="G418" s="57"/>
      <c r="H418" s="48"/>
      <c r="I418" s="77"/>
      <c r="J418" s="62"/>
      <c r="K418" s="52"/>
      <c r="L418" s="52"/>
      <c r="M418" s="76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62"/>
      <c r="AB418" s="52"/>
      <c r="AC418" s="52"/>
      <c r="AD418" s="52"/>
      <c r="AE418" s="52"/>
      <c r="AF418" s="52"/>
      <c r="AG418" s="52"/>
      <c r="AH418" s="48"/>
      <c r="AI418" s="48"/>
      <c r="AJ418" s="48"/>
      <c r="AK418" s="53"/>
      <c r="AL418" s="53"/>
      <c r="AM418" s="53"/>
      <c r="AN418" s="53"/>
      <c r="AO418" s="53"/>
      <c r="AP418" s="53"/>
      <c r="AQ418" s="53"/>
      <c r="AR418" s="53"/>
      <c r="AS418" s="53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52"/>
      <c r="BG418" s="52"/>
      <c r="BH418" s="52"/>
      <c r="BI418" s="52"/>
      <c r="BJ418" s="52"/>
      <c r="BK418" s="52"/>
      <c r="BL418" s="52"/>
      <c r="BM418" s="54"/>
    </row>
    <row r="419">
      <c r="A419" s="42"/>
      <c r="B419" s="52"/>
      <c r="C419" s="52"/>
      <c r="D419" s="52"/>
      <c r="E419" s="52"/>
      <c r="F419" s="81"/>
      <c r="G419" s="57"/>
      <c r="H419" s="48"/>
      <c r="I419" s="77"/>
      <c r="J419" s="62"/>
      <c r="K419" s="52"/>
      <c r="L419" s="52"/>
      <c r="M419" s="76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62"/>
      <c r="AB419" s="52"/>
      <c r="AC419" s="52"/>
      <c r="AD419" s="52"/>
      <c r="AE419" s="52"/>
      <c r="AF419" s="52"/>
      <c r="AG419" s="52"/>
      <c r="AH419" s="48"/>
      <c r="AI419" s="48"/>
      <c r="AJ419" s="48"/>
      <c r="AK419" s="53"/>
      <c r="AL419" s="53"/>
      <c r="AM419" s="53"/>
      <c r="AN419" s="53"/>
      <c r="AO419" s="53"/>
      <c r="AP419" s="53"/>
      <c r="AQ419" s="53"/>
      <c r="AR419" s="53"/>
      <c r="AS419" s="53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52"/>
      <c r="BG419" s="52"/>
      <c r="BH419" s="52"/>
      <c r="BI419" s="52"/>
      <c r="BJ419" s="52"/>
      <c r="BK419" s="52"/>
      <c r="BL419" s="52"/>
      <c r="BM419" s="54"/>
    </row>
    <row r="420">
      <c r="A420" s="42"/>
      <c r="B420" s="52"/>
      <c r="C420" s="52"/>
      <c r="D420" s="52"/>
      <c r="E420" s="52"/>
      <c r="F420" s="81"/>
      <c r="G420" s="57"/>
      <c r="H420" s="48"/>
      <c r="I420" s="77"/>
      <c r="J420" s="62"/>
      <c r="K420" s="52"/>
      <c r="L420" s="52"/>
      <c r="M420" s="76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62"/>
      <c r="AB420" s="52"/>
      <c r="AC420" s="52"/>
      <c r="AD420" s="52"/>
      <c r="AE420" s="52"/>
      <c r="AF420" s="52"/>
      <c r="AG420" s="52"/>
      <c r="AH420" s="48"/>
      <c r="AI420" s="48"/>
      <c r="AJ420" s="48"/>
      <c r="AK420" s="53"/>
      <c r="AL420" s="53"/>
      <c r="AM420" s="53"/>
      <c r="AN420" s="53"/>
      <c r="AO420" s="53"/>
      <c r="AP420" s="53"/>
      <c r="AQ420" s="53"/>
      <c r="AR420" s="53"/>
      <c r="AS420" s="53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52"/>
      <c r="BG420" s="52"/>
      <c r="BH420" s="52"/>
      <c r="BI420" s="52"/>
      <c r="BJ420" s="52"/>
      <c r="BK420" s="52"/>
      <c r="BL420" s="52"/>
      <c r="BM420" s="54"/>
    </row>
    <row r="421">
      <c r="A421" s="42"/>
      <c r="B421" s="52"/>
      <c r="C421" s="52"/>
      <c r="D421" s="52"/>
      <c r="E421" s="52"/>
      <c r="F421" s="81"/>
      <c r="G421" s="57"/>
      <c r="H421" s="48"/>
      <c r="I421" s="77"/>
      <c r="J421" s="62"/>
      <c r="K421" s="52"/>
      <c r="L421" s="52"/>
      <c r="M421" s="76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62"/>
      <c r="AB421" s="52"/>
      <c r="AC421" s="52"/>
      <c r="AD421" s="52"/>
      <c r="AE421" s="52"/>
      <c r="AF421" s="52"/>
      <c r="AG421" s="52"/>
      <c r="AH421" s="48"/>
      <c r="AI421" s="48"/>
      <c r="AJ421" s="48"/>
      <c r="AK421" s="53"/>
      <c r="AL421" s="53"/>
      <c r="AM421" s="53"/>
      <c r="AN421" s="53"/>
      <c r="AO421" s="53"/>
      <c r="AP421" s="53"/>
      <c r="AQ421" s="53"/>
      <c r="AR421" s="53"/>
      <c r="AS421" s="53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52"/>
      <c r="BG421" s="52"/>
      <c r="BH421" s="52"/>
      <c r="BI421" s="52"/>
      <c r="BJ421" s="52"/>
      <c r="BK421" s="52"/>
      <c r="BL421" s="52"/>
      <c r="BM421" s="54"/>
    </row>
    <row r="422">
      <c r="A422" s="42"/>
      <c r="B422" s="52"/>
      <c r="C422" s="52"/>
      <c r="D422" s="52"/>
      <c r="E422" s="52"/>
      <c r="F422" s="81"/>
      <c r="G422" s="57"/>
      <c r="H422" s="48"/>
      <c r="I422" s="77"/>
      <c r="J422" s="62"/>
      <c r="K422" s="52"/>
      <c r="L422" s="52"/>
      <c r="M422" s="76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62"/>
      <c r="AB422" s="52"/>
      <c r="AC422" s="52"/>
      <c r="AD422" s="52"/>
      <c r="AE422" s="52"/>
      <c r="AF422" s="52"/>
      <c r="AG422" s="52"/>
      <c r="AH422" s="48"/>
      <c r="AI422" s="48"/>
      <c r="AJ422" s="48"/>
      <c r="AK422" s="53"/>
      <c r="AL422" s="53"/>
      <c r="AM422" s="53"/>
      <c r="AN422" s="53"/>
      <c r="AO422" s="53"/>
      <c r="AP422" s="53"/>
      <c r="AQ422" s="53"/>
      <c r="AR422" s="53"/>
      <c r="AS422" s="53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52"/>
      <c r="BG422" s="52"/>
      <c r="BH422" s="52"/>
      <c r="BI422" s="52"/>
      <c r="BJ422" s="52"/>
      <c r="BK422" s="52"/>
      <c r="BL422" s="52"/>
      <c r="BM422" s="54"/>
    </row>
    <row r="423">
      <c r="A423" s="42"/>
      <c r="B423" s="52"/>
      <c r="C423" s="52"/>
      <c r="D423" s="52"/>
      <c r="E423" s="52"/>
      <c r="F423" s="81"/>
      <c r="G423" s="57"/>
      <c r="H423" s="48"/>
      <c r="I423" s="77"/>
      <c r="J423" s="62"/>
      <c r="K423" s="52"/>
      <c r="L423" s="52"/>
      <c r="M423" s="76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62"/>
      <c r="AB423" s="52"/>
      <c r="AC423" s="52"/>
      <c r="AD423" s="52"/>
      <c r="AE423" s="52"/>
      <c r="AF423" s="52"/>
      <c r="AG423" s="52"/>
      <c r="AH423" s="48"/>
      <c r="AI423" s="48"/>
      <c r="AJ423" s="48"/>
      <c r="AK423" s="53"/>
      <c r="AL423" s="53"/>
      <c r="AM423" s="53"/>
      <c r="AN423" s="53"/>
      <c r="AO423" s="53"/>
      <c r="AP423" s="53"/>
      <c r="AQ423" s="53"/>
      <c r="AR423" s="53"/>
      <c r="AS423" s="53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52"/>
      <c r="BG423" s="52"/>
      <c r="BH423" s="52"/>
      <c r="BI423" s="52"/>
      <c r="BJ423" s="52"/>
      <c r="BK423" s="52"/>
      <c r="BL423" s="52"/>
      <c r="BM423" s="54"/>
    </row>
    <row r="424">
      <c r="A424" s="42"/>
      <c r="B424" s="52"/>
      <c r="C424" s="52"/>
      <c r="D424" s="52"/>
      <c r="E424" s="52"/>
      <c r="F424" s="81"/>
      <c r="G424" s="57"/>
      <c r="H424" s="48"/>
      <c r="I424" s="77"/>
      <c r="J424" s="62"/>
      <c r="K424" s="52"/>
      <c r="L424" s="52"/>
      <c r="M424" s="76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62"/>
      <c r="AB424" s="52"/>
      <c r="AC424" s="52"/>
      <c r="AD424" s="52"/>
      <c r="AE424" s="52"/>
      <c r="AF424" s="52"/>
      <c r="AG424" s="52"/>
      <c r="AH424" s="48"/>
      <c r="AI424" s="48"/>
      <c r="AJ424" s="48"/>
      <c r="AK424" s="53"/>
      <c r="AL424" s="53"/>
      <c r="AM424" s="53"/>
      <c r="AN424" s="53"/>
      <c r="AO424" s="53"/>
      <c r="AP424" s="53"/>
      <c r="AQ424" s="53"/>
      <c r="AR424" s="53"/>
      <c r="AS424" s="53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52"/>
      <c r="BG424" s="52"/>
      <c r="BH424" s="52"/>
      <c r="BI424" s="52"/>
      <c r="BJ424" s="52"/>
      <c r="BK424" s="52"/>
      <c r="BL424" s="52"/>
      <c r="BM424" s="54"/>
    </row>
    <row r="425">
      <c r="A425" s="42"/>
      <c r="B425" s="52"/>
      <c r="C425" s="52"/>
      <c r="D425" s="52"/>
      <c r="E425" s="52"/>
      <c r="F425" s="81"/>
      <c r="G425" s="57"/>
      <c r="H425" s="48"/>
      <c r="I425" s="77"/>
      <c r="J425" s="62"/>
      <c r="K425" s="52"/>
      <c r="L425" s="52"/>
      <c r="M425" s="76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62"/>
      <c r="AB425" s="52"/>
      <c r="AC425" s="52"/>
      <c r="AD425" s="52"/>
      <c r="AE425" s="52"/>
      <c r="AF425" s="52"/>
      <c r="AG425" s="52"/>
      <c r="AH425" s="48"/>
      <c r="AI425" s="48"/>
      <c r="AJ425" s="48"/>
      <c r="AK425" s="53"/>
      <c r="AL425" s="53"/>
      <c r="AM425" s="53"/>
      <c r="AN425" s="53"/>
      <c r="AO425" s="53"/>
      <c r="AP425" s="53"/>
      <c r="AQ425" s="53"/>
      <c r="AR425" s="53"/>
      <c r="AS425" s="53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52"/>
      <c r="BG425" s="52"/>
      <c r="BH425" s="52"/>
      <c r="BI425" s="52"/>
      <c r="BJ425" s="52"/>
      <c r="BK425" s="52"/>
      <c r="BL425" s="52"/>
      <c r="BM425" s="54"/>
    </row>
    <row r="426">
      <c r="A426" s="42"/>
      <c r="B426" s="52"/>
      <c r="C426" s="52"/>
      <c r="D426" s="52"/>
      <c r="E426" s="52"/>
      <c r="F426" s="81"/>
      <c r="G426" s="57"/>
      <c r="H426" s="48"/>
      <c r="I426" s="77"/>
      <c r="J426" s="62"/>
      <c r="K426" s="52"/>
      <c r="L426" s="52"/>
      <c r="M426" s="76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62"/>
      <c r="AB426" s="52"/>
      <c r="AC426" s="52"/>
      <c r="AD426" s="52"/>
      <c r="AE426" s="52"/>
      <c r="AF426" s="52"/>
      <c r="AG426" s="52"/>
      <c r="AH426" s="48"/>
      <c r="AI426" s="48"/>
      <c r="AJ426" s="48"/>
      <c r="AK426" s="53"/>
      <c r="AL426" s="53"/>
      <c r="AM426" s="53"/>
      <c r="AN426" s="53"/>
      <c r="AO426" s="53"/>
      <c r="AP426" s="53"/>
      <c r="AQ426" s="53"/>
      <c r="AR426" s="53"/>
      <c r="AS426" s="53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52"/>
      <c r="BG426" s="52"/>
      <c r="BH426" s="52"/>
      <c r="BI426" s="52"/>
      <c r="BJ426" s="52"/>
      <c r="BK426" s="52"/>
      <c r="BL426" s="52"/>
      <c r="BM426" s="54"/>
    </row>
    <row r="427">
      <c r="A427" s="42"/>
      <c r="B427" s="52"/>
      <c r="C427" s="52"/>
      <c r="D427" s="52"/>
      <c r="E427" s="52"/>
      <c r="F427" s="81"/>
      <c r="G427" s="57"/>
      <c r="H427" s="48"/>
      <c r="I427" s="77"/>
      <c r="J427" s="62"/>
      <c r="K427" s="52"/>
      <c r="L427" s="52"/>
      <c r="M427" s="76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62"/>
      <c r="AB427" s="52"/>
      <c r="AC427" s="52"/>
      <c r="AD427" s="52"/>
      <c r="AE427" s="52"/>
      <c r="AF427" s="52"/>
      <c r="AG427" s="52"/>
      <c r="AH427" s="48"/>
      <c r="AI427" s="48"/>
      <c r="AJ427" s="48"/>
      <c r="AK427" s="53"/>
      <c r="AL427" s="53"/>
      <c r="AM427" s="53"/>
      <c r="AN427" s="53"/>
      <c r="AO427" s="53"/>
      <c r="AP427" s="53"/>
      <c r="AQ427" s="53"/>
      <c r="AR427" s="53"/>
      <c r="AS427" s="53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52"/>
      <c r="BG427" s="52"/>
      <c r="BH427" s="52"/>
      <c r="BI427" s="52"/>
      <c r="BJ427" s="52"/>
      <c r="BK427" s="52"/>
      <c r="BL427" s="52"/>
      <c r="BM427" s="54"/>
    </row>
    <row r="428">
      <c r="A428" s="42"/>
      <c r="B428" s="52"/>
      <c r="C428" s="52"/>
      <c r="D428" s="52"/>
      <c r="E428" s="52"/>
      <c r="F428" s="81"/>
      <c r="G428" s="57"/>
      <c r="H428" s="48"/>
      <c r="I428" s="77"/>
      <c r="J428" s="62"/>
      <c r="K428" s="52"/>
      <c r="L428" s="52"/>
      <c r="M428" s="76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62"/>
      <c r="AB428" s="52"/>
      <c r="AC428" s="52"/>
      <c r="AD428" s="52"/>
      <c r="AE428" s="52"/>
      <c r="AF428" s="52"/>
      <c r="AG428" s="52"/>
      <c r="AH428" s="48"/>
      <c r="AI428" s="48"/>
      <c r="AJ428" s="48"/>
      <c r="AK428" s="53"/>
      <c r="AL428" s="53"/>
      <c r="AM428" s="53"/>
      <c r="AN428" s="53"/>
      <c r="AO428" s="53"/>
      <c r="AP428" s="53"/>
      <c r="AQ428" s="53"/>
      <c r="AR428" s="53"/>
      <c r="AS428" s="53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52"/>
      <c r="BG428" s="52"/>
      <c r="BH428" s="52"/>
      <c r="BI428" s="52"/>
      <c r="BJ428" s="52"/>
      <c r="BK428" s="52"/>
      <c r="BL428" s="52"/>
      <c r="BM428" s="54"/>
    </row>
    <row r="429">
      <c r="A429" s="42"/>
      <c r="B429" s="52"/>
      <c r="C429" s="52"/>
      <c r="D429" s="52"/>
      <c r="E429" s="52"/>
      <c r="F429" s="81"/>
      <c r="G429" s="57"/>
      <c r="H429" s="48"/>
      <c r="I429" s="77"/>
      <c r="J429" s="62"/>
      <c r="K429" s="52"/>
      <c r="L429" s="52"/>
      <c r="M429" s="76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62"/>
      <c r="AB429" s="52"/>
      <c r="AC429" s="52"/>
      <c r="AD429" s="52"/>
      <c r="AE429" s="52"/>
      <c r="AF429" s="52"/>
      <c r="AG429" s="52"/>
      <c r="AH429" s="48"/>
      <c r="AI429" s="48"/>
      <c r="AJ429" s="48"/>
      <c r="AK429" s="53"/>
      <c r="AL429" s="53"/>
      <c r="AM429" s="53"/>
      <c r="AN429" s="53"/>
      <c r="AO429" s="53"/>
      <c r="AP429" s="53"/>
      <c r="AQ429" s="53"/>
      <c r="AR429" s="53"/>
      <c r="AS429" s="53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52"/>
      <c r="BG429" s="52"/>
      <c r="BH429" s="52"/>
      <c r="BI429" s="52"/>
      <c r="BJ429" s="52"/>
      <c r="BK429" s="52"/>
      <c r="BL429" s="52"/>
      <c r="BM429" s="54"/>
    </row>
    <row r="430">
      <c r="A430" s="42"/>
      <c r="B430" s="52"/>
      <c r="C430" s="52"/>
      <c r="D430" s="52"/>
      <c r="E430" s="52"/>
      <c r="F430" s="81"/>
      <c r="G430" s="57"/>
      <c r="H430" s="48"/>
      <c r="I430" s="77"/>
      <c r="J430" s="62"/>
      <c r="K430" s="52"/>
      <c r="L430" s="52"/>
      <c r="M430" s="76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62"/>
      <c r="AB430" s="52"/>
      <c r="AC430" s="52"/>
      <c r="AD430" s="52"/>
      <c r="AE430" s="52"/>
      <c r="AF430" s="52"/>
      <c r="AG430" s="52"/>
      <c r="AH430" s="48"/>
      <c r="AI430" s="48"/>
      <c r="AJ430" s="48"/>
      <c r="AK430" s="53"/>
      <c r="AL430" s="53"/>
      <c r="AM430" s="53"/>
      <c r="AN430" s="53"/>
      <c r="AO430" s="53"/>
      <c r="AP430" s="53"/>
      <c r="AQ430" s="53"/>
      <c r="AR430" s="53"/>
      <c r="AS430" s="53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52"/>
      <c r="BG430" s="52"/>
      <c r="BH430" s="52"/>
      <c r="BI430" s="52"/>
      <c r="BJ430" s="52"/>
      <c r="BK430" s="52"/>
      <c r="BL430" s="52"/>
      <c r="BM430" s="54"/>
    </row>
    <row r="431">
      <c r="A431" s="42"/>
      <c r="B431" s="52"/>
      <c r="C431" s="52"/>
      <c r="D431" s="52"/>
      <c r="E431" s="52"/>
      <c r="F431" s="81"/>
      <c r="G431" s="57"/>
      <c r="H431" s="48"/>
      <c r="I431" s="77"/>
      <c r="J431" s="62"/>
      <c r="K431" s="52"/>
      <c r="L431" s="52"/>
      <c r="M431" s="76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62"/>
      <c r="AB431" s="52"/>
      <c r="AC431" s="52"/>
      <c r="AD431" s="52"/>
      <c r="AE431" s="52"/>
      <c r="AF431" s="52"/>
      <c r="AG431" s="52"/>
      <c r="AH431" s="48"/>
      <c r="AI431" s="48"/>
      <c r="AJ431" s="48"/>
      <c r="AK431" s="53"/>
      <c r="AL431" s="53"/>
      <c r="AM431" s="53"/>
      <c r="AN431" s="53"/>
      <c r="AO431" s="53"/>
      <c r="AP431" s="53"/>
      <c r="AQ431" s="53"/>
      <c r="AR431" s="53"/>
      <c r="AS431" s="53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52"/>
      <c r="BG431" s="52"/>
      <c r="BH431" s="52"/>
      <c r="BI431" s="52"/>
      <c r="BJ431" s="52"/>
      <c r="BK431" s="52"/>
      <c r="BL431" s="52"/>
      <c r="BM431" s="54"/>
    </row>
    <row r="432">
      <c r="A432" s="42"/>
      <c r="B432" s="52"/>
      <c r="C432" s="52"/>
      <c r="D432" s="52"/>
      <c r="E432" s="52"/>
      <c r="F432" s="81"/>
      <c r="G432" s="57"/>
      <c r="H432" s="48"/>
      <c r="I432" s="77"/>
      <c r="J432" s="62"/>
      <c r="K432" s="52"/>
      <c r="L432" s="52"/>
      <c r="M432" s="76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62"/>
      <c r="AB432" s="52"/>
      <c r="AC432" s="52"/>
      <c r="AD432" s="52"/>
      <c r="AE432" s="52"/>
      <c r="AF432" s="52"/>
      <c r="AG432" s="52"/>
      <c r="AH432" s="48"/>
      <c r="AI432" s="48"/>
      <c r="AJ432" s="48"/>
      <c r="AK432" s="53"/>
      <c r="AL432" s="53"/>
      <c r="AM432" s="53"/>
      <c r="AN432" s="53"/>
      <c r="AO432" s="53"/>
      <c r="AP432" s="53"/>
      <c r="AQ432" s="53"/>
      <c r="AR432" s="53"/>
      <c r="AS432" s="53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52"/>
      <c r="BG432" s="52"/>
      <c r="BH432" s="52"/>
      <c r="BI432" s="52"/>
      <c r="BJ432" s="52"/>
      <c r="BK432" s="52"/>
      <c r="BL432" s="52"/>
      <c r="BM432" s="54"/>
    </row>
    <row r="433">
      <c r="A433" s="42"/>
      <c r="B433" s="52"/>
      <c r="C433" s="52"/>
      <c r="D433" s="52"/>
      <c r="E433" s="52"/>
      <c r="F433" s="81"/>
      <c r="G433" s="57"/>
      <c r="H433" s="48"/>
      <c r="I433" s="77"/>
      <c r="J433" s="62"/>
      <c r="K433" s="52"/>
      <c r="L433" s="52"/>
      <c r="M433" s="76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62"/>
      <c r="AB433" s="52"/>
      <c r="AC433" s="52"/>
      <c r="AD433" s="52"/>
      <c r="AE433" s="52"/>
      <c r="AF433" s="52"/>
      <c r="AG433" s="52"/>
      <c r="AH433" s="48"/>
      <c r="AI433" s="48"/>
      <c r="AJ433" s="48"/>
      <c r="AK433" s="53"/>
      <c r="AL433" s="53"/>
      <c r="AM433" s="53"/>
      <c r="AN433" s="53"/>
      <c r="AO433" s="53"/>
      <c r="AP433" s="53"/>
      <c r="AQ433" s="53"/>
      <c r="AR433" s="53"/>
      <c r="AS433" s="53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52"/>
      <c r="BG433" s="52"/>
      <c r="BH433" s="52"/>
      <c r="BI433" s="52"/>
      <c r="BJ433" s="52"/>
      <c r="BK433" s="52"/>
      <c r="BL433" s="52"/>
      <c r="BM433" s="54"/>
    </row>
    <row r="434">
      <c r="A434" s="42"/>
      <c r="B434" s="52"/>
      <c r="C434" s="52"/>
      <c r="D434" s="52"/>
      <c r="E434" s="52"/>
      <c r="F434" s="81"/>
      <c r="G434" s="57"/>
      <c r="H434" s="48"/>
      <c r="I434" s="77"/>
      <c r="J434" s="62"/>
      <c r="K434" s="52"/>
      <c r="L434" s="52"/>
      <c r="M434" s="76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62"/>
      <c r="AB434" s="52"/>
      <c r="AC434" s="52"/>
      <c r="AD434" s="52"/>
      <c r="AE434" s="52"/>
      <c r="AF434" s="52"/>
      <c r="AG434" s="52"/>
      <c r="AH434" s="48"/>
      <c r="AI434" s="48"/>
      <c r="AJ434" s="48"/>
      <c r="AK434" s="53"/>
      <c r="AL434" s="53"/>
      <c r="AM434" s="53"/>
      <c r="AN434" s="53"/>
      <c r="AO434" s="53"/>
      <c r="AP434" s="53"/>
      <c r="AQ434" s="53"/>
      <c r="AR434" s="53"/>
      <c r="AS434" s="53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52"/>
      <c r="BG434" s="52"/>
      <c r="BH434" s="52"/>
      <c r="BI434" s="52"/>
      <c r="BJ434" s="52"/>
      <c r="BK434" s="52"/>
      <c r="BL434" s="52"/>
      <c r="BM434" s="54"/>
    </row>
    <row r="435">
      <c r="A435" s="42"/>
      <c r="B435" s="52"/>
      <c r="C435" s="52"/>
      <c r="D435" s="52"/>
      <c r="E435" s="52"/>
      <c r="F435" s="81"/>
      <c r="G435" s="57"/>
      <c r="H435" s="48"/>
      <c r="I435" s="77"/>
      <c r="J435" s="62"/>
      <c r="K435" s="52"/>
      <c r="L435" s="52"/>
      <c r="M435" s="76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62"/>
      <c r="AB435" s="52"/>
      <c r="AC435" s="52"/>
      <c r="AD435" s="52"/>
      <c r="AE435" s="52"/>
      <c r="AF435" s="52"/>
      <c r="AG435" s="52"/>
      <c r="AH435" s="48"/>
      <c r="AI435" s="48"/>
      <c r="AJ435" s="48"/>
      <c r="AK435" s="53"/>
      <c r="AL435" s="53"/>
      <c r="AM435" s="53"/>
      <c r="AN435" s="53"/>
      <c r="AO435" s="53"/>
      <c r="AP435" s="53"/>
      <c r="AQ435" s="53"/>
      <c r="AR435" s="53"/>
      <c r="AS435" s="53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52"/>
      <c r="BG435" s="52"/>
      <c r="BH435" s="52"/>
      <c r="BI435" s="52"/>
      <c r="BJ435" s="52"/>
      <c r="BK435" s="52"/>
      <c r="BL435" s="52"/>
      <c r="BM435" s="54"/>
    </row>
    <row r="436">
      <c r="A436" s="42"/>
      <c r="B436" s="52"/>
      <c r="C436" s="52"/>
      <c r="D436" s="52"/>
      <c r="E436" s="52"/>
      <c r="F436" s="81"/>
      <c r="G436" s="57"/>
      <c r="H436" s="48"/>
      <c r="I436" s="77"/>
      <c r="J436" s="62"/>
      <c r="K436" s="52"/>
      <c r="L436" s="52"/>
      <c r="M436" s="76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62"/>
      <c r="AB436" s="52"/>
      <c r="AC436" s="52"/>
      <c r="AD436" s="52"/>
      <c r="AE436" s="52"/>
      <c r="AF436" s="52"/>
      <c r="AG436" s="52"/>
      <c r="AH436" s="48"/>
      <c r="AI436" s="48"/>
      <c r="AJ436" s="48"/>
      <c r="AK436" s="53"/>
      <c r="AL436" s="53"/>
      <c r="AM436" s="53"/>
      <c r="AN436" s="53"/>
      <c r="AO436" s="53"/>
      <c r="AP436" s="53"/>
      <c r="AQ436" s="53"/>
      <c r="AR436" s="53"/>
      <c r="AS436" s="53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52"/>
      <c r="BG436" s="52"/>
      <c r="BH436" s="52"/>
      <c r="BI436" s="52"/>
      <c r="BJ436" s="52"/>
      <c r="BK436" s="52"/>
      <c r="BL436" s="52"/>
      <c r="BM436" s="54"/>
    </row>
    <row r="437">
      <c r="A437" s="42"/>
      <c r="B437" s="52"/>
      <c r="C437" s="52"/>
      <c r="D437" s="52"/>
      <c r="E437" s="52"/>
      <c r="F437" s="81"/>
      <c r="G437" s="57"/>
      <c r="H437" s="48"/>
      <c r="I437" s="77"/>
      <c r="J437" s="62"/>
      <c r="K437" s="52"/>
      <c r="L437" s="52"/>
      <c r="M437" s="76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62"/>
      <c r="AB437" s="52"/>
      <c r="AC437" s="52"/>
      <c r="AD437" s="52"/>
      <c r="AE437" s="52"/>
      <c r="AF437" s="52"/>
      <c r="AG437" s="52"/>
      <c r="AH437" s="48"/>
      <c r="AI437" s="48"/>
      <c r="AJ437" s="48"/>
      <c r="AK437" s="53"/>
      <c r="AL437" s="53"/>
      <c r="AM437" s="53"/>
      <c r="AN437" s="53"/>
      <c r="AO437" s="53"/>
      <c r="AP437" s="53"/>
      <c r="AQ437" s="53"/>
      <c r="AR437" s="53"/>
      <c r="AS437" s="53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52"/>
      <c r="BG437" s="52"/>
      <c r="BH437" s="52"/>
      <c r="BI437" s="52"/>
      <c r="BJ437" s="52"/>
      <c r="BK437" s="52"/>
      <c r="BL437" s="52"/>
      <c r="BM437" s="54"/>
    </row>
    <row r="438">
      <c r="A438" s="42"/>
      <c r="B438" s="52"/>
      <c r="C438" s="52"/>
      <c r="D438" s="52"/>
      <c r="E438" s="52"/>
      <c r="F438" s="81"/>
      <c r="G438" s="57"/>
      <c r="H438" s="48"/>
      <c r="I438" s="77"/>
      <c r="J438" s="62"/>
      <c r="K438" s="52"/>
      <c r="L438" s="52"/>
      <c r="M438" s="76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62"/>
      <c r="AB438" s="52"/>
      <c r="AC438" s="52"/>
      <c r="AD438" s="52"/>
      <c r="AE438" s="52"/>
      <c r="AF438" s="52"/>
      <c r="AG438" s="52"/>
      <c r="AH438" s="48"/>
      <c r="AI438" s="48"/>
      <c r="AJ438" s="48"/>
      <c r="AK438" s="53"/>
      <c r="AL438" s="53"/>
      <c r="AM438" s="53"/>
      <c r="AN438" s="53"/>
      <c r="AO438" s="53"/>
      <c r="AP438" s="53"/>
      <c r="AQ438" s="53"/>
      <c r="AR438" s="53"/>
      <c r="AS438" s="53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52"/>
      <c r="BG438" s="52"/>
      <c r="BH438" s="52"/>
      <c r="BI438" s="52"/>
      <c r="BJ438" s="52"/>
      <c r="BK438" s="52"/>
      <c r="BL438" s="52"/>
      <c r="BM438" s="54"/>
    </row>
    <row r="439">
      <c r="A439" s="42"/>
      <c r="B439" s="52"/>
      <c r="C439" s="52"/>
      <c r="D439" s="52"/>
      <c r="E439" s="52"/>
      <c r="F439" s="81"/>
      <c r="G439" s="57"/>
      <c r="H439" s="48"/>
      <c r="I439" s="77"/>
      <c r="J439" s="62"/>
      <c r="K439" s="52"/>
      <c r="L439" s="52"/>
      <c r="M439" s="76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62"/>
      <c r="AB439" s="52"/>
      <c r="AC439" s="52"/>
      <c r="AD439" s="52"/>
      <c r="AE439" s="52"/>
      <c r="AF439" s="52"/>
      <c r="AG439" s="52"/>
      <c r="AH439" s="48"/>
      <c r="AI439" s="48"/>
      <c r="AJ439" s="48"/>
      <c r="AK439" s="53"/>
      <c r="AL439" s="53"/>
      <c r="AM439" s="53"/>
      <c r="AN439" s="53"/>
      <c r="AO439" s="53"/>
      <c r="AP439" s="53"/>
      <c r="AQ439" s="53"/>
      <c r="AR439" s="53"/>
      <c r="AS439" s="53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52"/>
      <c r="BG439" s="52"/>
      <c r="BH439" s="52"/>
      <c r="BI439" s="52"/>
      <c r="BJ439" s="52"/>
      <c r="BK439" s="52"/>
      <c r="BL439" s="52"/>
      <c r="BM439" s="54"/>
    </row>
    <row r="440">
      <c r="A440" s="42"/>
      <c r="B440" s="52"/>
      <c r="C440" s="52"/>
      <c r="D440" s="52"/>
      <c r="E440" s="52"/>
      <c r="F440" s="81"/>
      <c r="G440" s="57"/>
      <c r="H440" s="48"/>
      <c r="I440" s="77"/>
      <c r="J440" s="62"/>
      <c r="K440" s="52"/>
      <c r="L440" s="52"/>
      <c r="M440" s="76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62"/>
      <c r="AB440" s="52"/>
      <c r="AC440" s="52"/>
      <c r="AD440" s="52"/>
      <c r="AE440" s="52"/>
      <c r="AF440" s="52"/>
      <c r="AG440" s="52"/>
      <c r="AH440" s="48"/>
      <c r="AI440" s="48"/>
      <c r="AJ440" s="48"/>
      <c r="AK440" s="53"/>
      <c r="AL440" s="53"/>
      <c r="AM440" s="53"/>
      <c r="AN440" s="53"/>
      <c r="AO440" s="53"/>
      <c r="AP440" s="53"/>
      <c r="AQ440" s="53"/>
      <c r="AR440" s="53"/>
      <c r="AS440" s="53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52"/>
      <c r="BG440" s="52"/>
      <c r="BH440" s="52"/>
      <c r="BI440" s="52"/>
      <c r="BJ440" s="52"/>
      <c r="BK440" s="52"/>
      <c r="BL440" s="52"/>
      <c r="BM440" s="54"/>
    </row>
    <row r="441">
      <c r="A441" s="42"/>
      <c r="B441" s="52"/>
      <c r="C441" s="52"/>
      <c r="D441" s="52"/>
      <c r="E441" s="52"/>
      <c r="F441" s="81"/>
      <c r="G441" s="57"/>
      <c r="H441" s="48"/>
      <c r="I441" s="77"/>
      <c r="J441" s="62"/>
      <c r="K441" s="52"/>
      <c r="L441" s="52"/>
      <c r="M441" s="76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62"/>
      <c r="AB441" s="52"/>
      <c r="AC441" s="52"/>
      <c r="AD441" s="52"/>
      <c r="AE441" s="52"/>
      <c r="AF441" s="52"/>
      <c r="AG441" s="52"/>
      <c r="AH441" s="48"/>
      <c r="AI441" s="48"/>
      <c r="AJ441" s="48"/>
      <c r="AK441" s="53"/>
      <c r="AL441" s="53"/>
      <c r="AM441" s="53"/>
      <c r="AN441" s="53"/>
      <c r="AO441" s="53"/>
      <c r="AP441" s="53"/>
      <c r="AQ441" s="53"/>
      <c r="AR441" s="53"/>
      <c r="AS441" s="53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52"/>
      <c r="BG441" s="52"/>
      <c r="BH441" s="52"/>
      <c r="BI441" s="52"/>
      <c r="BJ441" s="52"/>
      <c r="BK441" s="52"/>
      <c r="BL441" s="52"/>
      <c r="BM441" s="54"/>
    </row>
    <row r="442">
      <c r="A442" s="42"/>
      <c r="B442" s="52"/>
      <c r="C442" s="52"/>
      <c r="D442" s="52"/>
      <c r="E442" s="52"/>
      <c r="F442" s="81"/>
      <c r="G442" s="57"/>
      <c r="H442" s="48"/>
      <c r="I442" s="77"/>
      <c r="J442" s="62"/>
      <c r="K442" s="52"/>
      <c r="L442" s="52"/>
      <c r="M442" s="76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62"/>
      <c r="AB442" s="52"/>
      <c r="AC442" s="52"/>
      <c r="AD442" s="52"/>
      <c r="AE442" s="52"/>
      <c r="AF442" s="52"/>
      <c r="AG442" s="52"/>
      <c r="AH442" s="48"/>
      <c r="AI442" s="48"/>
      <c r="AJ442" s="48"/>
      <c r="AK442" s="53"/>
      <c r="AL442" s="53"/>
      <c r="AM442" s="53"/>
      <c r="AN442" s="53"/>
      <c r="AO442" s="53"/>
      <c r="AP442" s="53"/>
      <c r="AQ442" s="53"/>
      <c r="AR442" s="53"/>
      <c r="AS442" s="53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52"/>
      <c r="BG442" s="52"/>
      <c r="BH442" s="52"/>
      <c r="BI442" s="52"/>
      <c r="BJ442" s="52"/>
      <c r="BK442" s="52"/>
      <c r="BL442" s="52"/>
      <c r="BM442" s="54"/>
    </row>
    <row r="443">
      <c r="A443" s="42"/>
      <c r="B443" s="52"/>
      <c r="C443" s="52"/>
      <c r="D443" s="52"/>
      <c r="E443" s="52"/>
      <c r="F443" s="81"/>
      <c r="G443" s="57"/>
      <c r="H443" s="48"/>
      <c r="I443" s="77"/>
      <c r="J443" s="62"/>
      <c r="K443" s="52"/>
      <c r="L443" s="52"/>
      <c r="M443" s="76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62"/>
      <c r="AB443" s="52"/>
      <c r="AC443" s="52"/>
      <c r="AD443" s="52"/>
      <c r="AE443" s="52"/>
      <c r="AF443" s="52"/>
      <c r="AG443" s="52"/>
      <c r="AH443" s="48"/>
      <c r="AI443" s="48"/>
      <c r="AJ443" s="48"/>
      <c r="AK443" s="53"/>
      <c r="AL443" s="53"/>
      <c r="AM443" s="53"/>
      <c r="AN443" s="53"/>
      <c r="AO443" s="53"/>
      <c r="AP443" s="53"/>
      <c r="AQ443" s="53"/>
      <c r="AR443" s="53"/>
      <c r="AS443" s="53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52"/>
      <c r="BG443" s="52"/>
      <c r="BH443" s="52"/>
      <c r="BI443" s="52"/>
      <c r="BJ443" s="52"/>
      <c r="BK443" s="52"/>
      <c r="BL443" s="52"/>
      <c r="BM443" s="54"/>
    </row>
    <row r="444">
      <c r="A444" s="42"/>
      <c r="B444" s="52"/>
      <c r="C444" s="52"/>
      <c r="D444" s="52"/>
      <c r="E444" s="52"/>
      <c r="F444" s="81"/>
      <c r="G444" s="57"/>
      <c r="H444" s="48"/>
      <c r="I444" s="77"/>
      <c r="J444" s="62"/>
      <c r="K444" s="52"/>
      <c r="L444" s="52"/>
      <c r="M444" s="76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62"/>
      <c r="AB444" s="52"/>
      <c r="AC444" s="52"/>
      <c r="AD444" s="52"/>
      <c r="AE444" s="52"/>
      <c r="AF444" s="52"/>
      <c r="AG444" s="52"/>
      <c r="AH444" s="48"/>
      <c r="AI444" s="48"/>
      <c r="AJ444" s="48"/>
      <c r="AK444" s="53"/>
      <c r="AL444" s="53"/>
      <c r="AM444" s="53"/>
      <c r="AN444" s="53"/>
      <c r="AO444" s="53"/>
      <c r="AP444" s="53"/>
      <c r="AQ444" s="53"/>
      <c r="AR444" s="53"/>
      <c r="AS444" s="53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52"/>
      <c r="BG444" s="52"/>
      <c r="BH444" s="52"/>
      <c r="BI444" s="52"/>
      <c r="BJ444" s="52"/>
      <c r="BK444" s="52"/>
      <c r="BL444" s="52"/>
      <c r="BM444" s="54"/>
    </row>
    <row r="445">
      <c r="A445" s="42"/>
      <c r="B445" s="52"/>
      <c r="C445" s="52"/>
      <c r="D445" s="52"/>
      <c r="E445" s="52"/>
      <c r="F445" s="81"/>
      <c r="G445" s="57"/>
      <c r="H445" s="48"/>
      <c r="I445" s="77"/>
      <c r="J445" s="62"/>
      <c r="K445" s="52"/>
      <c r="L445" s="52"/>
      <c r="M445" s="76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62"/>
      <c r="AB445" s="52"/>
      <c r="AC445" s="52"/>
      <c r="AD445" s="52"/>
      <c r="AE445" s="52"/>
      <c r="AF445" s="52"/>
      <c r="AG445" s="52"/>
      <c r="AH445" s="48"/>
      <c r="AI445" s="48"/>
      <c r="AJ445" s="48"/>
      <c r="AK445" s="53"/>
      <c r="AL445" s="53"/>
      <c r="AM445" s="53"/>
      <c r="AN445" s="53"/>
      <c r="AO445" s="53"/>
      <c r="AP445" s="53"/>
      <c r="AQ445" s="53"/>
      <c r="AR445" s="53"/>
      <c r="AS445" s="53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52"/>
      <c r="BG445" s="52"/>
      <c r="BH445" s="52"/>
      <c r="BI445" s="52"/>
      <c r="BJ445" s="52"/>
      <c r="BK445" s="52"/>
      <c r="BL445" s="52"/>
      <c r="BM445" s="54"/>
    </row>
    <row r="446">
      <c r="A446" s="42"/>
      <c r="B446" s="52"/>
      <c r="C446" s="52"/>
      <c r="D446" s="52"/>
      <c r="E446" s="52"/>
      <c r="F446" s="81"/>
      <c r="G446" s="57"/>
      <c r="H446" s="48"/>
      <c r="I446" s="77"/>
      <c r="J446" s="62"/>
      <c r="K446" s="52"/>
      <c r="L446" s="52"/>
      <c r="M446" s="76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62"/>
      <c r="AB446" s="52"/>
      <c r="AC446" s="52"/>
      <c r="AD446" s="52"/>
      <c r="AE446" s="52"/>
      <c r="AF446" s="52"/>
      <c r="AG446" s="52"/>
      <c r="AH446" s="48"/>
      <c r="AI446" s="48"/>
      <c r="AJ446" s="48"/>
      <c r="AK446" s="53"/>
      <c r="AL446" s="53"/>
      <c r="AM446" s="53"/>
      <c r="AN446" s="53"/>
      <c r="AO446" s="53"/>
      <c r="AP446" s="53"/>
      <c r="AQ446" s="53"/>
      <c r="AR446" s="53"/>
      <c r="AS446" s="53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52"/>
      <c r="BG446" s="52"/>
      <c r="BH446" s="52"/>
      <c r="BI446" s="52"/>
      <c r="BJ446" s="52"/>
      <c r="BK446" s="52"/>
      <c r="BL446" s="52"/>
      <c r="BM446" s="54"/>
    </row>
    <row r="447">
      <c r="A447" s="42"/>
      <c r="B447" s="52"/>
      <c r="C447" s="52"/>
      <c r="D447" s="52"/>
      <c r="E447" s="52"/>
      <c r="F447" s="81"/>
      <c r="G447" s="57"/>
      <c r="H447" s="48"/>
      <c r="I447" s="77"/>
      <c r="J447" s="62"/>
      <c r="K447" s="52"/>
      <c r="L447" s="52"/>
      <c r="M447" s="76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62"/>
      <c r="AB447" s="52"/>
      <c r="AC447" s="52"/>
      <c r="AD447" s="52"/>
      <c r="AE447" s="52"/>
      <c r="AF447" s="52"/>
      <c r="AG447" s="52"/>
      <c r="AH447" s="48"/>
      <c r="AI447" s="48"/>
      <c r="AJ447" s="48"/>
      <c r="AK447" s="53"/>
      <c r="AL447" s="53"/>
      <c r="AM447" s="53"/>
      <c r="AN447" s="53"/>
      <c r="AO447" s="53"/>
      <c r="AP447" s="53"/>
      <c r="AQ447" s="53"/>
      <c r="AR447" s="53"/>
      <c r="AS447" s="53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52"/>
      <c r="BG447" s="52"/>
      <c r="BH447" s="52"/>
      <c r="BI447" s="52"/>
      <c r="BJ447" s="52"/>
      <c r="BK447" s="52"/>
      <c r="BL447" s="52"/>
      <c r="BM447" s="54"/>
    </row>
    <row r="448">
      <c r="A448" s="42"/>
      <c r="B448" s="52"/>
      <c r="C448" s="52"/>
      <c r="D448" s="52"/>
      <c r="E448" s="52"/>
      <c r="F448" s="81"/>
      <c r="G448" s="57"/>
      <c r="H448" s="48"/>
      <c r="I448" s="77"/>
      <c r="J448" s="62"/>
      <c r="K448" s="52"/>
      <c r="L448" s="52"/>
      <c r="M448" s="76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62"/>
      <c r="AB448" s="52"/>
      <c r="AC448" s="52"/>
      <c r="AD448" s="52"/>
      <c r="AE448" s="52"/>
      <c r="AF448" s="52"/>
      <c r="AG448" s="52"/>
      <c r="AH448" s="48"/>
      <c r="AI448" s="48"/>
      <c r="AJ448" s="48"/>
      <c r="AK448" s="53"/>
      <c r="AL448" s="53"/>
      <c r="AM448" s="53"/>
      <c r="AN448" s="53"/>
      <c r="AO448" s="53"/>
      <c r="AP448" s="53"/>
      <c r="AQ448" s="53"/>
      <c r="AR448" s="53"/>
      <c r="AS448" s="53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52"/>
      <c r="BG448" s="52"/>
      <c r="BH448" s="52"/>
      <c r="BI448" s="52"/>
      <c r="BJ448" s="52"/>
      <c r="BK448" s="52"/>
      <c r="BL448" s="52"/>
      <c r="BM448" s="54"/>
    </row>
    <row r="449">
      <c r="A449" s="42"/>
      <c r="B449" s="52"/>
      <c r="C449" s="52"/>
      <c r="D449" s="52"/>
      <c r="E449" s="52"/>
      <c r="F449" s="81"/>
      <c r="G449" s="57"/>
      <c r="H449" s="48"/>
      <c r="I449" s="77"/>
      <c r="J449" s="62"/>
      <c r="K449" s="52"/>
      <c r="L449" s="52"/>
      <c r="M449" s="76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62"/>
      <c r="AB449" s="52"/>
      <c r="AC449" s="52"/>
      <c r="AD449" s="52"/>
      <c r="AE449" s="52"/>
      <c r="AF449" s="52"/>
      <c r="AG449" s="52"/>
      <c r="AH449" s="48"/>
      <c r="AI449" s="48"/>
      <c r="AJ449" s="48"/>
      <c r="AK449" s="53"/>
      <c r="AL449" s="53"/>
      <c r="AM449" s="53"/>
      <c r="AN449" s="53"/>
      <c r="AO449" s="53"/>
      <c r="AP449" s="53"/>
      <c r="AQ449" s="53"/>
      <c r="AR449" s="53"/>
      <c r="AS449" s="53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52"/>
      <c r="BG449" s="52"/>
      <c r="BH449" s="52"/>
      <c r="BI449" s="52"/>
      <c r="BJ449" s="52"/>
      <c r="BK449" s="52"/>
      <c r="BL449" s="52"/>
      <c r="BM449" s="54"/>
    </row>
    <row r="450">
      <c r="A450" s="42"/>
      <c r="B450" s="52"/>
      <c r="C450" s="52"/>
      <c r="D450" s="52"/>
      <c r="E450" s="52"/>
      <c r="F450" s="81"/>
      <c r="G450" s="57"/>
      <c r="H450" s="48"/>
      <c r="I450" s="77"/>
      <c r="J450" s="62"/>
      <c r="K450" s="52"/>
      <c r="L450" s="52"/>
      <c r="M450" s="76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62"/>
      <c r="AB450" s="52"/>
      <c r="AC450" s="52"/>
      <c r="AD450" s="52"/>
      <c r="AE450" s="52"/>
      <c r="AF450" s="52"/>
      <c r="AG450" s="52"/>
      <c r="AH450" s="48"/>
      <c r="AI450" s="48"/>
      <c r="AJ450" s="48"/>
      <c r="AK450" s="53"/>
      <c r="AL450" s="53"/>
      <c r="AM450" s="53"/>
      <c r="AN450" s="53"/>
      <c r="AO450" s="53"/>
      <c r="AP450" s="53"/>
      <c r="AQ450" s="53"/>
      <c r="AR450" s="53"/>
      <c r="AS450" s="53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52"/>
      <c r="BG450" s="52"/>
      <c r="BH450" s="52"/>
      <c r="BI450" s="52"/>
      <c r="BJ450" s="52"/>
      <c r="BK450" s="52"/>
      <c r="BL450" s="52"/>
      <c r="BM450" s="54"/>
    </row>
    <row r="451">
      <c r="A451" s="42"/>
      <c r="B451" s="52"/>
      <c r="C451" s="52"/>
      <c r="D451" s="52"/>
      <c r="E451" s="52"/>
      <c r="F451" s="81"/>
      <c r="G451" s="57"/>
      <c r="H451" s="48"/>
      <c r="I451" s="77"/>
      <c r="J451" s="62"/>
      <c r="K451" s="52"/>
      <c r="L451" s="52"/>
      <c r="M451" s="76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62"/>
      <c r="AB451" s="52"/>
      <c r="AC451" s="52"/>
      <c r="AD451" s="52"/>
      <c r="AE451" s="52"/>
      <c r="AF451" s="52"/>
      <c r="AG451" s="52"/>
      <c r="AH451" s="48"/>
      <c r="AI451" s="48"/>
      <c r="AJ451" s="48"/>
      <c r="AK451" s="53"/>
      <c r="AL451" s="53"/>
      <c r="AM451" s="53"/>
      <c r="AN451" s="53"/>
      <c r="AO451" s="53"/>
      <c r="AP451" s="53"/>
      <c r="AQ451" s="53"/>
      <c r="AR451" s="53"/>
      <c r="AS451" s="53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52"/>
      <c r="BG451" s="52"/>
      <c r="BH451" s="52"/>
      <c r="BI451" s="52"/>
      <c r="BJ451" s="52"/>
      <c r="BK451" s="52"/>
      <c r="BL451" s="52"/>
      <c r="BM451" s="54"/>
    </row>
    <row r="452">
      <c r="A452" s="42"/>
      <c r="B452" s="52"/>
      <c r="C452" s="52"/>
      <c r="D452" s="52"/>
      <c r="E452" s="52"/>
      <c r="F452" s="81"/>
      <c r="G452" s="57"/>
      <c r="H452" s="48"/>
      <c r="I452" s="77"/>
      <c r="J452" s="62"/>
      <c r="K452" s="52"/>
      <c r="L452" s="52"/>
      <c r="M452" s="76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62"/>
      <c r="AB452" s="52"/>
      <c r="AC452" s="52"/>
      <c r="AD452" s="52"/>
      <c r="AE452" s="52"/>
      <c r="AF452" s="52"/>
      <c r="AG452" s="52"/>
      <c r="AH452" s="48"/>
      <c r="AI452" s="48"/>
      <c r="AJ452" s="48"/>
      <c r="AK452" s="53"/>
      <c r="AL452" s="53"/>
      <c r="AM452" s="53"/>
      <c r="AN452" s="53"/>
      <c r="AO452" s="53"/>
      <c r="AP452" s="53"/>
      <c r="AQ452" s="53"/>
      <c r="AR452" s="53"/>
      <c r="AS452" s="53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52"/>
      <c r="BG452" s="52"/>
      <c r="BH452" s="52"/>
      <c r="BI452" s="52"/>
      <c r="BJ452" s="52"/>
      <c r="BK452" s="52"/>
      <c r="BL452" s="52"/>
      <c r="BM452" s="54"/>
    </row>
    <row r="453">
      <c r="A453" s="42"/>
      <c r="B453" s="52"/>
      <c r="C453" s="52"/>
      <c r="D453" s="52"/>
      <c r="E453" s="52"/>
      <c r="F453" s="81"/>
      <c r="G453" s="57"/>
      <c r="H453" s="48"/>
      <c r="I453" s="77"/>
      <c r="J453" s="62"/>
      <c r="K453" s="52"/>
      <c r="L453" s="52"/>
      <c r="M453" s="76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62"/>
      <c r="AB453" s="52"/>
      <c r="AC453" s="52"/>
      <c r="AD453" s="52"/>
      <c r="AE453" s="52"/>
      <c r="AF453" s="52"/>
      <c r="AG453" s="52"/>
      <c r="AH453" s="48"/>
      <c r="AI453" s="48"/>
      <c r="AJ453" s="48"/>
      <c r="AK453" s="53"/>
      <c r="AL453" s="53"/>
      <c r="AM453" s="53"/>
      <c r="AN453" s="53"/>
      <c r="AO453" s="53"/>
      <c r="AP453" s="53"/>
      <c r="AQ453" s="53"/>
      <c r="AR453" s="53"/>
      <c r="AS453" s="53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52"/>
      <c r="BG453" s="52"/>
      <c r="BH453" s="52"/>
      <c r="BI453" s="52"/>
      <c r="BJ453" s="52"/>
      <c r="BK453" s="52"/>
      <c r="BL453" s="52"/>
      <c r="BM453" s="54"/>
    </row>
    <row r="454">
      <c r="A454" s="42"/>
      <c r="B454" s="52"/>
      <c r="C454" s="52"/>
      <c r="D454" s="52"/>
      <c r="E454" s="52"/>
      <c r="F454" s="81"/>
      <c r="G454" s="57"/>
      <c r="H454" s="48"/>
      <c r="I454" s="77"/>
      <c r="J454" s="62"/>
      <c r="K454" s="52"/>
      <c r="L454" s="52"/>
      <c r="M454" s="76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62"/>
      <c r="AB454" s="52"/>
      <c r="AC454" s="52"/>
      <c r="AD454" s="52"/>
      <c r="AE454" s="52"/>
      <c r="AF454" s="52"/>
      <c r="AG454" s="52"/>
      <c r="AH454" s="48"/>
      <c r="AI454" s="48"/>
      <c r="AJ454" s="48"/>
      <c r="AK454" s="53"/>
      <c r="AL454" s="53"/>
      <c r="AM454" s="53"/>
      <c r="AN454" s="53"/>
      <c r="AO454" s="53"/>
      <c r="AP454" s="53"/>
      <c r="AQ454" s="53"/>
      <c r="AR454" s="53"/>
      <c r="AS454" s="53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52"/>
      <c r="BG454" s="52"/>
      <c r="BH454" s="52"/>
      <c r="BI454" s="52"/>
      <c r="BJ454" s="52"/>
      <c r="BK454" s="52"/>
      <c r="BL454" s="52"/>
      <c r="BM454" s="54"/>
    </row>
    <row r="455">
      <c r="A455" s="42"/>
      <c r="B455" s="52"/>
      <c r="C455" s="52"/>
      <c r="D455" s="52"/>
      <c r="E455" s="52"/>
      <c r="F455" s="81"/>
      <c r="G455" s="57"/>
      <c r="H455" s="48"/>
      <c r="I455" s="77"/>
      <c r="J455" s="62"/>
      <c r="K455" s="52"/>
      <c r="L455" s="52"/>
      <c r="M455" s="76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62"/>
      <c r="AB455" s="52"/>
      <c r="AC455" s="52"/>
      <c r="AD455" s="52"/>
      <c r="AE455" s="52"/>
      <c r="AF455" s="52"/>
      <c r="AG455" s="52"/>
      <c r="AH455" s="48"/>
      <c r="AI455" s="48"/>
      <c r="AJ455" s="48"/>
      <c r="AK455" s="53"/>
      <c r="AL455" s="53"/>
      <c r="AM455" s="53"/>
      <c r="AN455" s="53"/>
      <c r="AO455" s="53"/>
      <c r="AP455" s="53"/>
      <c r="AQ455" s="53"/>
      <c r="AR455" s="53"/>
      <c r="AS455" s="53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52"/>
      <c r="BG455" s="52"/>
      <c r="BH455" s="52"/>
      <c r="BI455" s="52"/>
      <c r="BJ455" s="52"/>
      <c r="BK455" s="52"/>
      <c r="BL455" s="52"/>
      <c r="BM455" s="54"/>
    </row>
    <row r="456">
      <c r="A456" s="42"/>
      <c r="B456" s="52"/>
      <c r="C456" s="52"/>
      <c r="D456" s="52"/>
      <c r="E456" s="52"/>
      <c r="F456" s="81"/>
      <c r="G456" s="57"/>
      <c r="H456" s="48"/>
      <c r="I456" s="77"/>
      <c r="J456" s="62"/>
      <c r="K456" s="52"/>
      <c r="L456" s="52"/>
      <c r="M456" s="76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62"/>
      <c r="AB456" s="52"/>
      <c r="AC456" s="52"/>
      <c r="AD456" s="52"/>
      <c r="AE456" s="52"/>
      <c r="AF456" s="52"/>
      <c r="AG456" s="52"/>
      <c r="AH456" s="48"/>
      <c r="AI456" s="48"/>
      <c r="AJ456" s="48"/>
      <c r="AK456" s="53"/>
      <c r="AL456" s="53"/>
      <c r="AM456" s="53"/>
      <c r="AN456" s="53"/>
      <c r="AO456" s="53"/>
      <c r="AP456" s="53"/>
      <c r="AQ456" s="53"/>
      <c r="AR456" s="53"/>
      <c r="AS456" s="53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52"/>
      <c r="BG456" s="52"/>
      <c r="BH456" s="52"/>
      <c r="BI456" s="52"/>
      <c r="BJ456" s="52"/>
      <c r="BK456" s="52"/>
      <c r="BL456" s="52"/>
      <c r="BM456" s="54"/>
    </row>
    <row r="457">
      <c r="A457" s="42"/>
      <c r="B457" s="52"/>
      <c r="C457" s="52"/>
      <c r="D457" s="52"/>
      <c r="E457" s="52"/>
      <c r="F457" s="81"/>
      <c r="G457" s="57"/>
      <c r="H457" s="48"/>
      <c r="I457" s="77"/>
      <c r="J457" s="62"/>
      <c r="K457" s="52"/>
      <c r="L457" s="52"/>
      <c r="M457" s="76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62"/>
      <c r="AB457" s="52"/>
      <c r="AC457" s="52"/>
      <c r="AD457" s="52"/>
      <c r="AE457" s="52"/>
      <c r="AF457" s="52"/>
      <c r="AG457" s="52"/>
      <c r="AH457" s="48"/>
      <c r="AI457" s="48"/>
      <c r="AJ457" s="48"/>
      <c r="AK457" s="53"/>
      <c r="AL457" s="53"/>
      <c r="AM457" s="53"/>
      <c r="AN457" s="53"/>
      <c r="AO457" s="53"/>
      <c r="AP457" s="53"/>
      <c r="AQ457" s="53"/>
      <c r="AR457" s="53"/>
      <c r="AS457" s="53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52"/>
      <c r="BG457" s="52"/>
      <c r="BH457" s="52"/>
      <c r="BI457" s="52"/>
      <c r="BJ457" s="52"/>
      <c r="BK457" s="52"/>
      <c r="BL457" s="52"/>
      <c r="BM457" s="54"/>
    </row>
    <row r="458">
      <c r="A458" s="42"/>
      <c r="B458" s="52"/>
      <c r="C458" s="52"/>
      <c r="D458" s="52"/>
      <c r="E458" s="52"/>
      <c r="F458" s="81"/>
      <c r="G458" s="57"/>
      <c r="H458" s="48"/>
      <c r="I458" s="77"/>
      <c r="J458" s="62"/>
      <c r="K458" s="52"/>
      <c r="L458" s="52"/>
      <c r="M458" s="76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62"/>
      <c r="AB458" s="52"/>
      <c r="AC458" s="52"/>
      <c r="AD458" s="52"/>
      <c r="AE458" s="52"/>
      <c r="AF458" s="52"/>
      <c r="AG458" s="52"/>
      <c r="AH458" s="48"/>
      <c r="AI458" s="48"/>
      <c r="AJ458" s="48"/>
      <c r="AK458" s="53"/>
      <c r="AL458" s="53"/>
      <c r="AM458" s="53"/>
      <c r="AN458" s="53"/>
      <c r="AO458" s="53"/>
      <c r="AP458" s="53"/>
      <c r="AQ458" s="53"/>
      <c r="AR458" s="53"/>
      <c r="AS458" s="53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52"/>
      <c r="BG458" s="52"/>
      <c r="BH458" s="52"/>
      <c r="BI458" s="52"/>
      <c r="BJ458" s="52"/>
      <c r="BK458" s="52"/>
      <c r="BL458" s="52"/>
      <c r="BM458" s="54"/>
    </row>
    <row r="459">
      <c r="A459" s="42"/>
      <c r="B459" s="52"/>
      <c r="C459" s="52"/>
      <c r="D459" s="52"/>
      <c r="E459" s="52"/>
      <c r="F459" s="81"/>
      <c r="G459" s="57"/>
      <c r="H459" s="48"/>
      <c r="I459" s="77"/>
      <c r="J459" s="62"/>
      <c r="K459" s="52"/>
      <c r="L459" s="52"/>
      <c r="M459" s="76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62"/>
      <c r="AB459" s="52"/>
      <c r="AC459" s="52"/>
      <c r="AD459" s="52"/>
      <c r="AE459" s="52"/>
      <c r="AF459" s="52"/>
      <c r="AG459" s="52"/>
      <c r="AH459" s="48"/>
      <c r="AI459" s="48"/>
      <c r="AJ459" s="48"/>
      <c r="AK459" s="53"/>
      <c r="AL459" s="53"/>
      <c r="AM459" s="53"/>
      <c r="AN459" s="53"/>
      <c r="AO459" s="53"/>
      <c r="AP459" s="53"/>
      <c r="AQ459" s="53"/>
      <c r="AR459" s="53"/>
      <c r="AS459" s="53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52"/>
      <c r="BG459" s="52"/>
      <c r="BH459" s="52"/>
      <c r="BI459" s="52"/>
      <c r="BJ459" s="52"/>
      <c r="BK459" s="52"/>
      <c r="BL459" s="52"/>
      <c r="BM459" s="54"/>
    </row>
    <row r="460">
      <c r="A460" s="42"/>
      <c r="B460" s="52"/>
      <c r="C460" s="52"/>
      <c r="D460" s="52"/>
      <c r="E460" s="52"/>
      <c r="F460" s="81"/>
      <c r="G460" s="57"/>
      <c r="H460" s="48"/>
      <c r="I460" s="77"/>
      <c r="J460" s="62"/>
      <c r="K460" s="52"/>
      <c r="L460" s="52"/>
      <c r="M460" s="76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62"/>
      <c r="AB460" s="52"/>
      <c r="AC460" s="52"/>
      <c r="AD460" s="52"/>
      <c r="AE460" s="52"/>
      <c r="AF460" s="52"/>
      <c r="AG460" s="52"/>
      <c r="AH460" s="48"/>
      <c r="AI460" s="48"/>
      <c r="AJ460" s="48"/>
      <c r="AK460" s="53"/>
      <c r="AL460" s="53"/>
      <c r="AM460" s="53"/>
      <c r="AN460" s="53"/>
      <c r="AO460" s="53"/>
      <c r="AP460" s="53"/>
      <c r="AQ460" s="53"/>
      <c r="AR460" s="53"/>
      <c r="AS460" s="53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52"/>
      <c r="BG460" s="52"/>
      <c r="BH460" s="52"/>
      <c r="BI460" s="52"/>
      <c r="BJ460" s="52"/>
      <c r="BK460" s="52"/>
      <c r="BL460" s="52"/>
      <c r="BM460" s="54"/>
    </row>
    <row r="461">
      <c r="A461" s="42"/>
      <c r="B461" s="52"/>
      <c r="C461" s="52"/>
      <c r="D461" s="52"/>
      <c r="E461" s="52"/>
      <c r="F461" s="81"/>
      <c r="G461" s="57"/>
      <c r="H461" s="48"/>
      <c r="I461" s="77"/>
      <c r="J461" s="62"/>
      <c r="K461" s="52"/>
      <c r="L461" s="52"/>
      <c r="M461" s="76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62"/>
      <c r="AB461" s="52"/>
      <c r="AC461" s="52"/>
      <c r="AD461" s="52"/>
      <c r="AE461" s="52"/>
      <c r="AF461" s="52"/>
      <c r="AG461" s="52"/>
      <c r="AH461" s="48"/>
      <c r="AI461" s="48"/>
      <c r="AJ461" s="48"/>
      <c r="AK461" s="53"/>
      <c r="AL461" s="53"/>
      <c r="AM461" s="53"/>
      <c r="AN461" s="53"/>
      <c r="AO461" s="53"/>
      <c r="AP461" s="53"/>
      <c r="AQ461" s="53"/>
      <c r="AR461" s="53"/>
      <c r="AS461" s="53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52"/>
      <c r="BG461" s="52"/>
      <c r="BH461" s="52"/>
      <c r="BI461" s="52"/>
      <c r="BJ461" s="52"/>
      <c r="BK461" s="52"/>
      <c r="BL461" s="52"/>
      <c r="BM461" s="54"/>
    </row>
    <row r="462">
      <c r="A462" s="42"/>
      <c r="B462" s="52"/>
      <c r="C462" s="52"/>
      <c r="D462" s="52"/>
      <c r="E462" s="52"/>
      <c r="F462" s="81"/>
      <c r="G462" s="57"/>
      <c r="H462" s="48"/>
      <c r="I462" s="77"/>
      <c r="J462" s="62"/>
      <c r="K462" s="52"/>
      <c r="L462" s="52"/>
      <c r="M462" s="76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62"/>
      <c r="AB462" s="52"/>
      <c r="AC462" s="52"/>
      <c r="AD462" s="52"/>
      <c r="AE462" s="52"/>
      <c r="AF462" s="52"/>
      <c r="AG462" s="52"/>
      <c r="AH462" s="48"/>
      <c r="AI462" s="48"/>
      <c r="AJ462" s="48"/>
      <c r="AK462" s="53"/>
      <c r="AL462" s="53"/>
      <c r="AM462" s="53"/>
      <c r="AN462" s="53"/>
      <c r="AO462" s="53"/>
      <c r="AP462" s="53"/>
      <c r="AQ462" s="53"/>
      <c r="AR462" s="53"/>
      <c r="AS462" s="53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52"/>
      <c r="BG462" s="52"/>
      <c r="BH462" s="52"/>
      <c r="BI462" s="52"/>
      <c r="BJ462" s="52"/>
      <c r="BK462" s="52"/>
      <c r="BL462" s="52"/>
      <c r="BM462" s="54"/>
    </row>
    <row r="463">
      <c r="A463" s="42"/>
      <c r="B463" s="52"/>
      <c r="C463" s="52"/>
      <c r="D463" s="52"/>
      <c r="E463" s="52"/>
      <c r="F463" s="81"/>
      <c r="G463" s="57"/>
      <c r="H463" s="48"/>
      <c r="I463" s="77"/>
      <c r="J463" s="62"/>
      <c r="K463" s="52"/>
      <c r="L463" s="52"/>
      <c r="M463" s="76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62"/>
      <c r="AB463" s="52"/>
      <c r="AC463" s="52"/>
      <c r="AD463" s="52"/>
      <c r="AE463" s="52"/>
      <c r="AF463" s="52"/>
      <c r="AG463" s="52"/>
      <c r="AH463" s="48"/>
      <c r="AI463" s="48"/>
      <c r="AJ463" s="48"/>
      <c r="AK463" s="53"/>
      <c r="AL463" s="53"/>
      <c r="AM463" s="53"/>
      <c r="AN463" s="53"/>
      <c r="AO463" s="53"/>
      <c r="AP463" s="53"/>
      <c r="AQ463" s="53"/>
      <c r="AR463" s="53"/>
      <c r="AS463" s="53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52"/>
      <c r="BG463" s="52"/>
      <c r="BH463" s="52"/>
      <c r="BI463" s="52"/>
      <c r="BJ463" s="52"/>
      <c r="BK463" s="52"/>
      <c r="BL463" s="52"/>
      <c r="BM463" s="54"/>
    </row>
    <row r="464">
      <c r="A464" s="42"/>
      <c r="B464" s="52"/>
      <c r="C464" s="52"/>
      <c r="D464" s="52"/>
      <c r="E464" s="52"/>
      <c r="F464" s="81"/>
      <c r="G464" s="57"/>
      <c r="H464" s="48"/>
      <c r="I464" s="77"/>
      <c r="J464" s="62"/>
      <c r="K464" s="52"/>
      <c r="L464" s="52"/>
      <c r="M464" s="76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62"/>
      <c r="AB464" s="52"/>
      <c r="AC464" s="52"/>
      <c r="AD464" s="52"/>
      <c r="AE464" s="52"/>
      <c r="AF464" s="52"/>
      <c r="AG464" s="52"/>
      <c r="AH464" s="48"/>
      <c r="AI464" s="48"/>
      <c r="AJ464" s="48"/>
      <c r="AK464" s="53"/>
      <c r="AL464" s="53"/>
      <c r="AM464" s="53"/>
      <c r="AN464" s="53"/>
      <c r="AO464" s="53"/>
      <c r="AP464" s="53"/>
      <c r="AQ464" s="53"/>
      <c r="AR464" s="53"/>
      <c r="AS464" s="53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52"/>
      <c r="BG464" s="52"/>
      <c r="BH464" s="52"/>
      <c r="BI464" s="52"/>
      <c r="BJ464" s="52"/>
      <c r="BK464" s="52"/>
      <c r="BL464" s="52"/>
      <c r="BM464" s="54"/>
    </row>
    <row r="465">
      <c r="A465" s="42"/>
      <c r="B465" s="52"/>
      <c r="C465" s="52"/>
      <c r="D465" s="52"/>
      <c r="E465" s="52"/>
      <c r="F465" s="81"/>
      <c r="G465" s="57"/>
      <c r="H465" s="48"/>
      <c r="I465" s="77"/>
      <c r="J465" s="62"/>
      <c r="K465" s="52"/>
      <c r="L465" s="52"/>
      <c r="M465" s="76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62"/>
      <c r="AB465" s="52"/>
      <c r="AC465" s="52"/>
      <c r="AD465" s="52"/>
      <c r="AE465" s="52"/>
      <c r="AF465" s="52"/>
      <c r="AG465" s="52"/>
      <c r="AH465" s="48"/>
      <c r="AI465" s="48"/>
      <c r="AJ465" s="48"/>
      <c r="AK465" s="53"/>
      <c r="AL465" s="53"/>
      <c r="AM465" s="53"/>
      <c r="AN465" s="53"/>
      <c r="AO465" s="53"/>
      <c r="AP465" s="53"/>
      <c r="AQ465" s="53"/>
      <c r="AR465" s="53"/>
      <c r="AS465" s="53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52"/>
      <c r="BG465" s="52"/>
      <c r="BH465" s="52"/>
      <c r="BI465" s="52"/>
      <c r="BJ465" s="52"/>
      <c r="BK465" s="52"/>
      <c r="BL465" s="52"/>
      <c r="BM465" s="54"/>
    </row>
    <row r="466">
      <c r="A466" s="42"/>
      <c r="B466" s="52"/>
      <c r="C466" s="52"/>
      <c r="D466" s="52"/>
      <c r="E466" s="52"/>
      <c r="F466" s="81"/>
      <c r="G466" s="57"/>
      <c r="H466" s="48"/>
      <c r="I466" s="77"/>
      <c r="J466" s="62"/>
      <c r="K466" s="52"/>
      <c r="L466" s="52"/>
      <c r="M466" s="76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62"/>
      <c r="AB466" s="52"/>
      <c r="AC466" s="52"/>
      <c r="AD466" s="52"/>
      <c r="AE466" s="52"/>
      <c r="AF466" s="52"/>
      <c r="AG466" s="52"/>
      <c r="AH466" s="48"/>
      <c r="AI466" s="48"/>
      <c r="AJ466" s="48"/>
      <c r="AK466" s="53"/>
      <c r="AL466" s="53"/>
      <c r="AM466" s="53"/>
      <c r="AN466" s="53"/>
      <c r="AO466" s="53"/>
      <c r="AP466" s="53"/>
      <c r="AQ466" s="53"/>
      <c r="AR466" s="53"/>
      <c r="AS466" s="53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52"/>
      <c r="BG466" s="52"/>
      <c r="BH466" s="52"/>
      <c r="BI466" s="52"/>
      <c r="BJ466" s="52"/>
      <c r="BK466" s="52"/>
      <c r="BL466" s="52"/>
      <c r="BM466" s="54"/>
    </row>
    <row r="467">
      <c r="A467" s="42"/>
      <c r="B467" s="52"/>
      <c r="C467" s="52"/>
      <c r="D467" s="52"/>
      <c r="E467" s="52"/>
      <c r="F467" s="81"/>
      <c r="G467" s="57"/>
      <c r="H467" s="48"/>
      <c r="I467" s="77"/>
      <c r="J467" s="62"/>
      <c r="K467" s="52"/>
      <c r="L467" s="52"/>
      <c r="M467" s="76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62"/>
      <c r="AB467" s="52"/>
      <c r="AC467" s="52"/>
      <c r="AD467" s="52"/>
      <c r="AE467" s="52"/>
      <c r="AF467" s="52"/>
      <c r="AG467" s="52"/>
      <c r="AH467" s="48"/>
      <c r="AI467" s="48"/>
      <c r="AJ467" s="48"/>
      <c r="AK467" s="53"/>
      <c r="AL467" s="53"/>
      <c r="AM467" s="53"/>
      <c r="AN467" s="53"/>
      <c r="AO467" s="53"/>
      <c r="AP467" s="53"/>
      <c r="AQ467" s="53"/>
      <c r="AR467" s="53"/>
      <c r="AS467" s="53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52"/>
      <c r="BG467" s="52"/>
      <c r="BH467" s="52"/>
      <c r="BI467" s="52"/>
      <c r="BJ467" s="52"/>
      <c r="BK467" s="52"/>
      <c r="BL467" s="52"/>
      <c r="BM467" s="54"/>
    </row>
    <row r="468">
      <c r="A468" s="42"/>
      <c r="B468" s="52"/>
      <c r="C468" s="52"/>
      <c r="D468" s="52"/>
      <c r="E468" s="52"/>
      <c r="F468" s="81"/>
      <c r="G468" s="57"/>
      <c r="H468" s="48"/>
      <c r="I468" s="77"/>
      <c r="J468" s="62"/>
      <c r="K468" s="52"/>
      <c r="L468" s="52"/>
      <c r="M468" s="76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62"/>
      <c r="AB468" s="52"/>
      <c r="AC468" s="52"/>
      <c r="AD468" s="52"/>
      <c r="AE468" s="52"/>
      <c r="AF468" s="52"/>
      <c r="AG468" s="52"/>
      <c r="AH468" s="48"/>
      <c r="AI468" s="48"/>
      <c r="AJ468" s="48"/>
      <c r="AK468" s="53"/>
      <c r="AL468" s="53"/>
      <c r="AM468" s="53"/>
      <c r="AN468" s="53"/>
      <c r="AO468" s="53"/>
      <c r="AP468" s="53"/>
      <c r="AQ468" s="53"/>
      <c r="AR468" s="53"/>
      <c r="AS468" s="53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52"/>
      <c r="BG468" s="52"/>
      <c r="BH468" s="52"/>
      <c r="BI468" s="52"/>
      <c r="BJ468" s="52"/>
      <c r="BK468" s="52"/>
      <c r="BL468" s="52"/>
      <c r="BM468" s="54"/>
    </row>
    <row r="469">
      <c r="A469" s="42"/>
      <c r="B469" s="52"/>
      <c r="C469" s="52"/>
      <c r="D469" s="52"/>
      <c r="E469" s="52"/>
      <c r="F469" s="81"/>
      <c r="G469" s="57"/>
      <c r="H469" s="48"/>
      <c r="I469" s="77"/>
      <c r="J469" s="62"/>
      <c r="K469" s="52"/>
      <c r="L469" s="52"/>
      <c r="M469" s="76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62"/>
      <c r="AB469" s="52"/>
      <c r="AC469" s="52"/>
      <c r="AD469" s="52"/>
      <c r="AE469" s="52"/>
      <c r="AF469" s="52"/>
      <c r="AG469" s="52"/>
      <c r="AH469" s="48"/>
      <c r="AI469" s="48"/>
      <c r="AJ469" s="48"/>
      <c r="AK469" s="53"/>
      <c r="AL469" s="53"/>
      <c r="AM469" s="53"/>
      <c r="AN469" s="53"/>
      <c r="AO469" s="53"/>
      <c r="AP469" s="53"/>
      <c r="AQ469" s="53"/>
      <c r="AR469" s="53"/>
      <c r="AS469" s="53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52"/>
      <c r="BG469" s="52"/>
      <c r="BH469" s="52"/>
      <c r="BI469" s="52"/>
      <c r="BJ469" s="52"/>
      <c r="BK469" s="52"/>
      <c r="BL469" s="52"/>
      <c r="BM469" s="54"/>
    </row>
    <row r="470">
      <c r="A470" s="42"/>
      <c r="B470" s="52"/>
      <c r="C470" s="52"/>
      <c r="D470" s="52"/>
      <c r="E470" s="52"/>
      <c r="F470" s="81"/>
      <c r="G470" s="57"/>
      <c r="H470" s="48"/>
      <c r="I470" s="77"/>
      <c r="J470" s="62"/>
      <c r="K470" s="52"/>
      <c r="L470" s="52"/>
      <c r="M470" s="76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62"/>
      <c r="AB470" s="52"/>
      <c r="AC470" s="52"/>
      <c r="AD470" s="52"/>
      <c r="AE470" s="52"/>
      <c r="AF470" s="52"/>
      <c r="AG470" s="52"/>
      <c r="AH470" s="48"/>
      <c r="AI470" s="48"/>
      <c r="AJ470" s="48"/>
      <c r="AK470" s="53"/>
      <c r="AL470" s="53"/>
      <c r="AM470" s="53"/>
      <c r="AN470" s="53"/>
      <c r="AO470" s="53"/>
      <c r="AP470" s="53"/>
      <c r="AQ470" s="53"/>
      <c r="AR470" s="53"/>
      <c r="AS470" s="53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52"/>
      <c r="BG470" s="52"/>
      <c r="BH470" s="52"/>
      <c r="BI470" s="52"/>
      <c r="BJ470" s="52"/>
      <c r="BK470" s="52"/>
      <c r="BL470" s="52"/>
      <c r="BM470" s="54"/>
    </row>
    <row r="471">
      <c r="A471" s="42"/>
      <c r="B471" s="52"/>
      <c r="C471" s="52"/>
      <c r="D471" s="52"/>
      <c r="E471" s="52"/>
      <c r="F471" s="81"/>
      <c r="G471" s="57"/>
      <c r="H471" s="48"/>
      <c r="I471" s="77"/>
      <c r="J471" s="62"/>
      <c r="K471" s="52"/>
      <c r="L471" s="52"/>
      <c r="M471" s="76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62"/>
      <c r="AB471" s="52"/>
      <c r="AC471" s="52"/>
      <c r="AD471" s="52"/>
      <c r="AE471" s="52"/>
      <c r="AF471" s="52"/>
      <c r="AG471" s="52"/>
      <c r="AH471" s="48"/>
      <c r="AI471" s="48"/>
      <c r="AJ471" s="48"/>
      <c r="AK471" s="53"/>
      <c r="AL471" s="53"/>
      <c r="AM471" s="53"/>
      <c r="AN471" s="53"/>
      <c r="AO471" s="53"/>
      <c r="AP471" s="53"/>
      <c r="AQ471" s="53"/>
      <c r="AR471" s="53"/>
      <c r="AS471" s="53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52"/>
      <c r="BG471" s="52"/>
      <c r="BH471" s="52"/>
      <c r="BI471" s="52"/>
      <c r="BJ471" s="52"/>
      <c r="BK471" s="52"/>
      <c r="BL471" s="52"/>
      <c r="BM471" s="54"/>
    </row>
    <row r="472">
      <c r="A472" s="42"/>
      <c r="B472" s="52"/>
      <c r="C472" s="52"/>
      <c r="D472" s="52"/>
      <c r="E472" s="52"/>
      <c r="F472" s="81"/>
      <c r="G472" s="57"/>
      <c r="H472" s="48"/>
      <c r="I472" s="77"/>
      <c r="J472" s="62"/>
      <c r="K472" s="52"/>
      <c r="L472" s="52"/>
      <c r="M472" s="76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62"/>
      <c r="AB472" s="52"/>
      <c r="AC472" s="52"/>
      <c r="AD472" s="52"/>
      <c r="AE472" s="52"/>
      <c r="AF472" s="52"/>
      <c r="AG472" s="52"/>
      <c r="AH472" s="48"/>
      <c r="AI472" s="48"/>
      <c r="AJ472" s="48"/>
      <c r="AK472" s="53"/>
      <c r="AL472" s="53"/>
      <c r="AM472" s="53"/>
      <c r="AN472" s="53"/>
      <c r="AO472" s="53"/>
      <c r="AP472" s="53"/>
      <c r="AQ472" s="53"/>
      <c r="AR472" s="53"/>
      <c r="AS472" s="53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52"/>
      <c r="BG472" s="52"/>
      <c r="BH472" s="52"/>
      <c r="BI472" s="52"/>
      <c r="BJ472" s="52"/>
      <c r="BK472" s="52"/>
      <c r="BL472" s="52"/>
      <c r="BM472" s="54"/>
    </row>
    <row r="473">
      <c r="A473" s="42"/>
      <c r="B473" s="52"/>
      <c r="C473" s="52"/>
      <c r="D473" s="52"/>
      <c r="E473" s="52"/>
      <c r="F473" s="81"/>
      <c r="G473" s="57"/>
      <c r="H473" s="48"/>
      <c r="I473" s="77"/>
      <c r="J473" s="62"/>
      <c r="K473" s="52"/>
      <c r="L473" s="52"/>
      <c r="M473" s="76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62"/>
      <c r="AB473" s="52"/>
      <c r="AC473" s="52"/>
      <c r="AD473" s="52"/>
      <c r="AE473" s="52"/>
      <c r="AF473" s="52"/>
      <c r="AG473" s="52"/>
      <c r="AH473" s="48"/>
      <c r="AI473" s="48"/>
      <c r="AJ473" s="48"/>
      <c r="AK473" s="53"/>
      <c r="AL473" s="53"/>
      <c r="AM473" s="53"/>
      <c r="AN473" s="53"/>
      <c r="AO473" s="53"/>
      <c r="AP473" s="53"/>
      <c r="AQ473" s="53"/>
      <c r="AR473" s="53"/>
      <c r="AS473" s="53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52"/>
      <c r="BG473" s="52"/>
      <c r="BH473" s="52"/>
      <c r="BI473" s="52"/>
      <c r="BJ473" s="52"/>
      <c r="BK473" s="52"/>
      <c r="BL473" s="52"/>
      <c r="BM473" s="54"/>
    </row>
    <row r="474">
      <c r="A474" s="42"/>
      <c r="B474" s="52"/>
      <c r="C474" s="52"/>
      <c r="D474" s="52"/>
      <c r="E474" s="52"/>
      <c r="F474" s="81"/>
      <c r="G474" s="57"/>
      <c r="H474" s="48"/>
      <c r="I474" s="77"/>
      <c r="J474" s="62"/>
      <c r="K474" s="52"/>
      <c r="L474" s="52"/>
      <c r="M474" s="76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62"/>
      <c r="AB474" s="52"/>
      <c r="AC474" s="52"/>
      <c r="AD474" s="52"/>
      <c r="AE474" s="52"/>
      <c r="AF474" s="52"/>
      <c r="AG474" s="52"/>
      <c r="AH474" s="48"/>
      <c r="AI474" s="48"/>
      <c r="AJ474" s="48"/>
      <c r="AK474" s="53"/>
      <c r="AL474" s="53"/>
      <c r="AM474" s="53"/>
      <c r="AN474" s="53"/>
      <c r="AO474" s="53"/>
      <c r="AP474" s="53"/>
      <c r="AQ474" s="53"/>
      <c r="AR474" s="53"/>
      <c r="AS474" s="53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52"/>
      <c r="BG474" s="52"/>
      <c r="BH474" s="52"/>
      <c r="BI474" s="52"/>
      <c r="BJ474" s="52"/>
      <c r="BK474" s="52"/>
      <c r="BL474" s="52"/>
      <c r="BM474" s="54"/>
    </row>
    <row r="475">
      <c r="A475" s="42"/>
      <c r="B475" s="52"/>
      <c r="C475" s="52"/>
      <c r="D475" s="52"/>
      <c r="E475" s="52"/>
      <c r="F475" s="81"/>
      <c r="G475" s="57"/>
      <c r="H475" s="48"/>
      <c r="I475" s="77"/>
      <c r="J475" s="62"/>
      <c r="K475" s="52"/>
      <c r="L475" s="52"/>
      <c r="M475" s="76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62"/>
      <c r="AB475" s="52"/>
      <c r="AC475" s="52"/>
      <c r="AD475" s="52"/>
      <c r="AE475" s="52"/>
      <c r="AF475" s="52"/>
      <c r="AG475" s="52"/>
      <c r="AH475" s="48"/>
      <c r="AI475" s="48"/>
      <c r="AJ475" s="48"/>
      <c r="AK475" s="53"/>
      <c r="AL475" s="53"/>
      <c r="AM475" s="53"/>
      <c r="AN475" s="53"/>
      <c r="AO475" s="53"/>
      <c r="AP475" s="53"/>
      <c r="AQ475" s="53"/>
      <c r="AR475" s="53"/>
      <c r="AS475" s="53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52"/>
      <c r="BG475" s="52"/>
      <c r="BH475" s="52"/>
      <c r="BI475" s="52"/>
      <c r="BJ475" s="52"/>
      <c r="BK475" s="52"/>
      <c r="BL475" s="52"/>
      <c r="BM475" s="54"/>
    </row>
    <row r="476">
      <c r="A476" s="42"/>
      <c r="B476" s="52"/>
      <c r="C476" s="52"/>
      <c r="D476" s="52"/>
      <c r="E476" s="52"/>
      <c r="F476" s="81"/>
      <c r="G476" s="57"/>
      <c r="H476" s="48"/>
      <c r="I476" s="77"/>
      <c r="J476" s="62"/>
      <c r="K476" s="52"/>
      <c r="L476" s="52"/>
      <c r="M476" s="76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62"/>
      <c r="AB476" s="52"/>
      <c r="AC476" s="52"/>
      <c r="AD476" s="52"/>
      <c r="AE476" s="52"/>
      <c r="AF476" s="52"/>
      <c r="AG476" s="52"/>
      <c r="AH476" s="48"/>
      <c r="AI476" s="48"/>
      <c r="AJ476" s="48"/>
      <c r="AK476" s="53"/>
      <c r="AL476" s="53"/>
      <c r="AM476" s="53"/>
      <c r="AN476" s="53"/>
      <c r="AO476" s="53"/>
      <c r="AP476" s="53"/>
      <c r="AQ476" s="53"/>
      <c r="AR476" s="53"/>
      <c r="AS476" s="53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52"/>
      <c r="BG476" s="52"/>
      <c r="BH476" s="52"/>
      <c r="BI476" s="52"/>
      <c r="BJ476" s="52"/>
      <c r="BK476" s="52"/>
      <c r="BL476" s="52"/>
      <c r="BM476" s="54"/>
    </row>
    <row r="477">
      <c r="A477" s="42"/>
      <c r="B477" s="52"/>
      <c r="C477" s="52"/>
      <c r="D477" s="52"/>
      <c r="E477" s="52"/>
      <c r="F477" s="81"/>
      <c r="G477" s="57"/>
      <c r="H477" s="48"/>
      <c r="I477" s="77"/>
      <c r="J477" s="62"/>
      <c r="K477" s="52"/>
      <c r="L477" s="52"/>
      <c r="M477" s="76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62"/>
      <c r="AB477" s="52"/>
      <c r="AC477" s="52"/>
      <c r="AD477" s="52"/>
      <c r="AE477" s="52"/>
      <c r="AF477" s="52"/>
      <c r="AG477" s="52"/>
      <c r="AH477" s="48"/>
      <c r="AI477" s="48"/>
      <c r="AJ477" s="48"/>
      <c r="AK477" s="53"/>
      <c r="AL477" s="53"/>
      <c r="AM477" s="53"/>
      <c r="AN477" s="53"/>
      <c r="AO477" s="53"/>
      <c r="AP477" s="53"/>
      <c r="AQ477" s="53"/>
      <c r="AR477" s="53"/>
      <c r="AS477" s="53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52"/>
      <c r="BG477" s="52"/>
      <c r="BH477" s="52"/>
      <c r="BI477" s="52"/>
      <c r="BJ477" s="52"/>
      <c r="BK477" s="52"/>
      <c r="BL477" s="52"/>
      <c r="BM477" s="54"/>
    </row>
    <row r="478">
      <c r="A478" s="42"/>
      <c r="B478" s="52"/>
      <c r="C478" s="52"/>
      <c r="D478" s="52"/>
      <c r="E478" s="52"/>
      <c r="F478" s="81"/>
      <c r="G478" s="57"/>
      <c r="H478" s="48"/>
      <c r="I478" s="77"/>
      <c r="J478" s="62"/>
      <c r="K478" s="52"/>
      <c r="L478" s="52"/>
      <c r="M478" s="76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62"/>
      <c r="AB478" s="52"/>
      <c r="AC478" s="52"/>
      <c r="AD478" s="52"/>
      <c r="AE478" s="52"/>
      <c r="AF478" s="52"/>
      <c r="AG478" s="52"/>
      <c r="AH478" s="48"/>
      <c r="AI478" s="48"/>
      <c r="AJ478" s="48"/>
      <c r="AK478" s="53"/>
      <c r="AL478" s="53"/>
      <c r="AM478" s="53"/>
      <c r="AN478" s="53"/>
      <c r="AO478" s="53"/>
      <c r="AP478" s="53"/>
      <c r="AQ478" s="53"/>
      <c r="AR478" s="53"/>
      <c r="AS478" s="53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52"/>
      <c r="BG478" s="52"/>
      <c r="BH478" s="52"/>
      <c r="BI478" s="52"/>
      <c r="BJ478" s="52"/>
      <c r="BK478" s="52"/>
      <c r="BL478" s="52"/>
      <c r="BM478" s="54"/>
    </row>
    <row r="479">
      <c r="A479" s="42"/>
      <c r="B479" s="52"/>
      <c r="C479" s="52"/>
      <c r="D479" s="52"/>
      <c r="E479" s="52"/>
      <c r="F479" s="81"/>
      <c r="G479" s="57"/>
      <c r="H479" s="48"/>
      <c r="I479" s="77"/>
      <c r="J479" s="62"/>
      <c r="K479" s="52"/>
      <c r="L479" s="52"/>
      <c r="M479" s="76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62"/>
      <c r="AB479" s="52"/>
      <c r="AC479" s="52"/>
      <c r="AD479" s="52"/>
      <c r="AE479" s="52"/>
      <c r="AF479" s="52"/>
      <c r="AG479" s="52"/>
      <c r="AH479" s="48"/>
      <c r="AI479" s="48"/>
      <c r="AJ479" s="48"/>
      <c r="AK479" s="53"/>
      <c r="AL479" s="53"/>
      <c r="AM479" s="53"/>
      <c r="AN479" s="53"/>
      <c r="AO479" s="53"/>
      <c r="AP479" s="53"/>
      <c r="AQ479" s="53"/>
      <c r="AR479" s="53"/>
      <c r="AS479" s="53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52"/>
      <c r="BG479" s="52"/>
      <c r="BH479" s="52"/>
      <c r="BI479" s="52"/>
      <c r="BJ479" s="52"/>
      <c r="BK479" s="52"/>
      <c r="BL479" s="52"/>
      <c r="BM479" s="54"/>
    </row>
    <row r="480">
      <c r="A480" s="42"/>
      <c r="B480" s="52"/>
      <c r="C480" s="52"/>
      <c r="D480" s="52"/>
      <c r="E480" s="52"/>
      <c r="F480" s="81"/>
      <c r="G480" s="57"/>
      <c r="H480" s="48"/>
      <c r="I480" s="77"/>
      <c r="J480" s="62"/>
      <c r="K480" s="52"/>
      <c r="L480" s="52"/>
      <c r="M480" s="76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62"/>
      <c r="AB480" s="52"/>
      <c r="AC480" s="52"/>
      <c r="AD480" s="52"/>
      <c r="AE480" s="52"/>
      <c r="AF480" s="52"/>
      <c r="AG480" s="52"/>
      <c r="AH480" s="48"/>
      <c r="AI480" s="48"/>
      <c r="AJ480" s="48"/>
      <c r="AK480" s="53"/>
      <c r="AL480" s="53"/>
      <c r="AM480" s="53"/>
      <c r="AN480" s="53"/>
      <c r="AO480" s="53"/>
      <c r="AP480" s="53"/>
      <c r="AQ480" s="53"/>
      <c r="AR480" s="53"/>
      <c r="AS480" s="53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52"/>
      <c r="BG480" s="52"/>
      <c r="BH480" s="52"/>
      <c r="BI480" s="52"/>
      <c r="BJ480" s="52"/>
      <c r="BK480" s="52"/>
      <c r="BL480" s="52"/>
      <c r="BM480" s="54"/>
    </row>
    <row r="481">
      <c r="A481" s="42"/>
      <c r="B481" s="52"/>
      <c r="C481" s="52"/>
      <c r="D481" s="52"/>
      <c r="E481" s="52"/>
      <c r="F481" s="81"/>
      <c r="G481" s="57"/>
      <c r="H481" s="48"/>
      <c r="I481" s="77"/>
      <c r="J481" s="62"/>
      <c r="K481" s="52"/>
      <c r="L481" s="52"/>
      <c r="M481" s="76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62"/>
      <c r="AB481" s="52"/>
      <c r="AC481" s="52"/>
      <c r="AD481" s="52"/>
      <c r="AE481" s="52"/>
      <c r="AF481" s="52"/>
      <c r="AG481" s="52"/>
      <c r="AH481" s="48"/>
      <c r="AI481" s="48"/>
      <c r="AJ481" s="48"/>
      <c r="AK481" s="53"/>
      <c r="AL481" s="53"/>
      <c r="AM481" s="53"/>
      <c r="AN481" s="53"/>
      <c r="AO481" s="53"/>
      <c r="AP481" s="53"/>
      <c r="AQ481" s="53"/>
      <c r="AR481" s="53"/>
      <c r="AS481" s="53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52"/>
      <c r="BG481" s="52"/>
      <c r="BH481" s="52"/>
      <c r="BI481" s="52"/>
      <c r="BJ481" s="52"/>
      <c r="BK481" s="52"/>
      <c r="BL481" s="52"/>
      <c r="BM481" s="54"/>
    </row>
    <row r="482">
      <c r="A482" s="42"/>
      <c r="B482" s="52"/>
      <c r="C482" s="52"/>
      <c r="D482" s="52"/>
      <c r="E482" s="52"/>
      <c r="F482" s="81"/>
      <c r="G482" s="57"/>
      <c r="H482" s="48"/>
      <c r="I482" s="77"/>
      <c r="J482" s="62"/>
      <c r="K482" s="52"/>
      <c r="L482" s="52"/>
      <c r="M482" s="76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62"/>
      <c r="AB482" s="52"/>
      <c r="AC482" s="52"/>
      <c r="AD482" s="52"/>
      <c r="AE482" s="52"/>
      <c r="AF482" s="52"/>
      <c r="AG482" s="52"/>
      <c r="AH482" s="48"/>
      <c r="AI482" s="48"/>
      <c r="AJ482" s="48"/>
      <c r="AK482" s="53"/>
      <c r="AL482" s="53"/>
      <c r="AM482" s="53"/>
      <c r="AN482" s="53"/>
      <c r="AO482" s="53"/>
      <c r="AP482" s="53"/>
      <c r="AQ482" s="53"/>
      <c r="AR482" s="53"/>
      <c r="AS482" s="53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52"/>
      <c r="BG482" s="52"/>
      <c r="BH482" s="52"/>
      <c r="BI482" s="52"/>
      <c r="BJ482" s="52"/>
      <c r="BK482" s="52"/>
      <c r="BL482" s="52"/>
      <c r="BM482" s="54"/>
    </row>
    <row r="483">
      <c r="A483" s="42"/>
      <c r="B483" s="52"/>
      <c r="C483" s="52"/>
      <c r="D483" s="52"/>
      <c r="E483" s="52"/>
      <c r="F483" s="81"/>
      <c r="G483" s="57"/>
      <c r="H483" s="48"/>
      <c r="I483" s="77"/>
      <c r="J483" s="62"/>
      <c r="K483" s="52"/>
      <c r="L483" s="52"/>
      <c r="M483" s="76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62"/>
      <c r="AB483" s="52"/>
      <c r="AC483" s="52"/>
      <c r="AD483" s="52"/>
      <c r="AE483" s="52"/>
      <c r="AF483" s="52"/>
      <c r="AG483" s="52"/>
      <c r="AH483" s="48"/>
      <c r="AI483" s="48"/>
      <c r="AJ483" s="48"/>
      <c r="AK483" s="53"/>
      <c r="AL483" s="53"/>
      <c r="AM483" s="53"/>
      <c r="AN483" s="53"/>
      <c r="AO483" s="53"/>
      <c r="AP483" s="53"/>
      <c r="AQ483" s="53"/>
      <c r="AR483" s="53"/>
      <c r="AS483" s="53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52"/>
      <c r="BG483" s="52"/>
      <c r="BH483" s="52"/>
      <c r="BI483" s="52"/>
      <c r="BJ483" s="52"/>
      <c r="BK483" s="52"/>
      <c r="BL483" s="52"/>
      <c r="BM483" s="54"/>
    </row>
    <row r="484">
      <c r="A484" s="42"/>
      <c r="B484" s="52"/>
      <c r="C484" s="52"/>
      <c r="D484" s="52"/>
      <c r="E484" s="52"/>
      <c r="F484" s="81"/>
      <c r="G484" s="57"/>
      <c r="H484" s="48"/>
      <c r="I484" s="77"/>
      <c r="J484" s="62"/>
      <c r="K484" s="52"/>
      <c r="L484" s="52"/>
      <c r="M484" s="76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62"/>
      <c r="AB484" s="52"/>
      <c r="AC484" s="52"/>
      <c r="AD484" s="52"/>
      <c r="AE484" s="52"/>
      <c r="AF484" s="52"/>
      <c r="AG484" s="52"/>
      <c r="AH484" s="48"/>
      <c r="AI484" s="48"/>
      <c r="AJ484" s="48"/>
      <c r="AK484" s="53"/>
      <c r="AL484" s="53"/>
      <c r="AM484" s="53"/>
      <c r="AN484" s="53"/>
      <c r="AO484" s="53"/>
      <c r="AP484" s="53"/>
      <c r="AQ484" s="53"/>
      <c r="AR484" s="53"/>
      <c r="AS484" s="53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52"/>
      <c r="BG484" s="52"/>
      <c r="BH484" s="52"/>
      <c r="BI484" s="52"/>
      <c r="BJ484" s="52"/>
      <c r="BK484" s="52"/>
      <c r="BL484" s="52"/>
      <c r="BM484" s="54"/>
    </row>
    <row r="485">
      <c r="A485" s="42"/>
      <c r="B485" s="52"/>
      <c r="C485" s="52"/>
      <c r="D485" s="52"/>
      <c r="E485" s="52"/>
      <c r="F485" s="81"/>
      <c r="G485" s="57"/>
      <c r="H485" s="48"/>
      <c r="I485" s="77"/>
      <c r="J485" s="62"/>
      <c r="K485" s="52"/>
      <c r="L485" s="52"/>
      <c r="M485" s="76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62"/>
      <c r="AB485" s="52"/>
      <c r="AC485" s="52"/>
      <c r="AD485" s="52"/>
      <c r="AE485" s="52"/>
      <c r="AF485" s="52"/>
      <c r="AG485" s="52"/>
      <c r="AH485" s="48"/>
      <c r="AI485" s="48"/>
      <c r="AJ485" s="48"/>
      <c r="AK485" s="53"/>
      <c r="AL485" s="53"/>
      <c r="AM485" s="53"/>
      <c r="AN485" s="53"/>
      <c r="AO485" s="53"/>
      <c r="AP485" s="53"/>
      <c r="AQ485" s="53"/>
      <c r="AR485" s="53"/>
      <c r="AS485" s="53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52"/>
      <c r="BG485" s="52"/>
      <c r="BH485" s="52"/>
      <c r="BI485" s="52"/>
      <c r="BJ485" s="52"/>
      <c r="BK485" s="52"/>
      <c r="BL485" s="52"/>
      <c r="BM485" s="54"/>
    </row>
    <row r="486">
      <c r="A486" s="42"/>
      <c r="B486" s="52"/>
      <c r="C486" s="52"/>
      <c r="D486" s="52"/>
      <c r="E486" s="52"/>
      <c r="F486" s="81"/>
      <c r="G486" s="57"/>
      <c r="H486" s="48"/>
      <c r="I486" s="77"/>
      <c r="J486" s="62"/>
      <c r="K486" s="52"/>
      <c r="L486" s="52"/>
      <c r="M486" s="76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62"/>
      <c r="AB486" s="52"/>
      <c r="AC486" s="52"/>
      <c r="AD486" s="52"/>
      <c r="AE486" s="52"/>
      <c r="AF486" s="52"/>
      <c r="AG486" s="52"/>
      <c r="AH486" s="48"/>
      <c r="AI486" s="48"/>
      <c r="AJ486" s="48"/>
      <c r="AK486" s="53"/>
      <c r="AL486" s="53"/>
      <c r="AM486" s="53"/>
      <c r="AN486" s="53"/>
      <c r="AO486" s="53"/>
      <c r="AP486" s="53"/>
      <c r="AQ486" s="53"/>
      <c r="AR486" s="53"/>
      <c r="AS486" s="53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52"/>
      <c r="BG486" s="52"/>
      <c r="BH486" s="52"/>
      <c r="BI486" s="52"/>
      <c r="BJ486" s="52"/>
      <c r="BK486" s="52"/>
      <c r="BL486" s="52"/>
      <c r="BM486" s="54"/>
    </row>
    <row r="487">
      <c r="A487" s="42"/>
      <c r="B487" s="52"/>
      <c r="C487" s="52"/>
      <c r="D487" s="52"/>
      <c r="E487" s="52"/>
      <c r="F487" s="81"/>
      <c r="G487" s="57"/>
      <c r="H487" s="48"/>
      <c r="I487" s="77"/>
      <c r="J487" s="62"/>
      <c r="K487" s="52"/>
      <c r="L487" s="52"/>
      <c r="M487" s="76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62"/>
      <c r="AB487" s="52"/>
      <c r="AC487" s="52"/>
      <c r="AD487" s="52"/>
      <c r="AE487" s="52"/>
      <c r="AF487" s="52"/>
      <c r="AG487" s="52"/>
      <c r="AH487" s="48"/>
      <c r="AI487" s="48"/>
      <c r="AJ487" s="48"/>
      <c r="AK487" s="53"/>
      <c r="AL487" s="53"/>
      <c r="AM487" s="53"/>
      <c r="AN487" s="53"/>
      <c r="AO487" s="53"/>
      <c r="AP487" s="53"/>
      <c r="AQ487" s="53"/>
      <c r="AR487" s="53"/>
      <c r="AS487" s="53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52"/>
      <c r="BG487" s="52"/>
      <c r="BH487" s="52"/>
      <c r="BI487" s="52"/>
      <c r="BJ487" s="52"/>
      <c r="BK487" s="52"/>
      <c r="BL487" s="52"/>
      <c r="BM487" s="54"/>
    </row>
    <row r="488">
      <c r="A488" s="42"/>
      <c r="B488" s="52"/>
      <c r="C488" s="52"/>
      <c r="D488" s="52"/>
      <c r="E488" s="52"/>
      <c r="F488" s="81"/>
      <c r="G488" s="57"/>
      <c r="H488" s="48"/>
      <c r="I488" s="77"/>
      <c r="J488" s="62"/>
      <c r="K488" s="52"/>
      <c r="L488" s="52"/>
      <c r="M488" s="76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62"/>
      <c r="AB488" s="52"/>
      <c r="AC488" s="52"/>
      <c r="AD488" s="52"/>
      <c r="AE488" s="52"/>
      <c r="AF488" s="52"/>
      <c r="AG488" s="52"/>
      <c r="AH488" s="48"/>
      <c r="AI488" s="48"/>
      <c r="AJ488" s="48"/>
      <c r="AK488" s="53"/>
      <c r="AL488" s="53"/>
      <c r="AM488" s="53"/>
      <c r="AN488" s="53"/>
      <c r="AO488" s="53"/>
      <c r="AP488" s="53"/>
      <c r="AQ488" s="53"/>
      <c r="AR488" s="53"/>
      <c r="AS488" s="53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52"/>
      <c r="BG488" s="52"/>
      <c r="BH488" s="52"/>
      <c r="BI488" s="52"/>
      <c r="BJ488" s="52"/>
      <c r="BK488" s="52"/>
      <c r="BL488" s="52"/>
      <c r="BM488" s="54"/>
    </row>
    <row r="489">
      <c r="A489" s="42"/>
      <c r="B489" s="52"/>
      <c r="C489" s="52"/>
      <c r="D489" s="52"/>
      <c r="E489" s="52"/>
      <c r="F489" s="81"/>
      <c r="G489" s="57"/>
      <c r="H489" s="48"/>
      <c r="I489" s="77"/>
      <c r="J489" s="62"/>
      <c r="K489" s="52"/>
      <c r="L489" s="52"/>
      <c r="M489" s="76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62"/>
      <c r="AB489" s="52"/>
      <c r="AC489" s="52"/>
      <c r="AD489" s="52"/>
      <c r="AE489" s="52"/>
      <c r="AF489" s="52"/>
      <c r="AG489" s="52"/>
      <c r="AH489" s="48"/>
      <c r="AI489" s="48"/>
      <c r="AJ489" s="48"/>
      <c r="AK489" s="53"/>
      <c r="AL489" s="53"/>
      <c r="AM489" s="53"/>
      <c r="AN489" s="53"/>
      <c r="AO489" s="53"/>
      <c r="AP489" s="53"/>
      <c r="AQ489" s="53"/>
      <c r="AR489" s="53"/>
      <c r="AS489" s="53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52"/>
      <c r="BG489" s="52"/>
      <c r="BH489" s="52"/>
      <c r="BI489" s="52"/>
      <c r="BJ489" s="52"/>
      <c r="BK489" s="52"/>
      <c r="BL489" s="52"/>
      <c r="BM489" s="54"/>
    </row>
    <row r="490">
      <c r="A490" s="42"/>
      <c r="B490" s="52"/>
      <c r="C490" s="52"/>
      <c r="D490" s="52"/>
      <c r="E490" s="52"/>
      <c r="F490" s="81"/>
      <c r="G490" s="57"/>
      <c r="H490" s="48"/>
      <c r="I490" s="77"/>
      <c r="J490" s="62"/>
      <c r="K490" s="52"/>
      <c r="L490" s="52"/>
      <c r="M490" s="76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62"/>
      <c r="AB490" s="52"/>
      <c r="AC490" s="52"/>
      <c r="AD490" s="52"/>
      <c r="AE490" s="52"/>
      <c r="AF490" s="52"/>
      <c r="AG490" s="52"/>
      <c r="AH490" s="48"/>
      <c r="AI490" s="48"/>
      <c r="AJ490" s="48"/>
      <c r="AK490" s="53"/>
      <c r="AL490" s="53"/>
      <c r="AM490" s="53"/>
      <c r="AN490" s="53"/>
      <c r="AO490" s="53"/>
      <c r="AP490" s="53"/>
      <c r="AQ490" s="53"/>
      <c r="AR490" s="53"/>
      <c r="AS490" s="53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52"/>
      <c r="BG490" s="52"/>
      <c r="BH490" s="52"/>
      <c r="BI490" s="52"/>
      <c r="BJ490" s="52"/>
      <c r="BK490" s="52"/>
      <c r="BL490" s="52"/>
      <c r="BM490" s="54"/>
    </row>
    <row r="491">
      <c r="A491" s="42"/>
      <c r="B491" s="52"/>
      <c r="C491" s="52"/>
      <c r="D491" s="52"/>
      <c r="E491" s="52"/>
      <c r="F491" s="81"/>
      <c r="G491" s="57"/>
      <c r="H491" s="48"/>
      <c r="I491" s="77"/>
      <c r="J491" s="62"/>
      <c r="K491" s="52"/>
      <c r="L491" s="52"/>
      <c r="M491" s="76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62"/>
      <c r="AB491" s="52"/>
      <c r="AC491" s="52"/>
      <c r="AD491" s="52"/>
      <c r="AE491" s="52"/>
      <c r="AF491" s="52"/>
      <c r="AG491" s="52"/>
      <c r="AH491" s="48"/>
      <c r="AI491" s="48"/>
      <c r="AJ491" s="48"/>
      <c r="AK491" s="53"/>
      <c r="AL491" s="53"/>
      <c r="AM491" s="53"/>
      <c r="AN491" s="53"/>
      <c r="AO491" s="53"/>
      <c r="AP491" s="53"/>
      <c r="AQ491" s="53"/>
      <c r="AR491" s="53"/>
      <c r="AS491" s="53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52"/>
      <c r="BG491" s="52"/>
      <c r="BH491" s="52"/>
      <c r="BI491" s="52"/>
      <c r="BJ491" s="52"/>
      <c r="BK491" s="52"/>
      <c r="BL491" s="52"/>
      <c r="BM491" s="54"/>
    </row>
    <row r="492">
      <c r="A492" s="42"/>
      <c r="B492" s="52"/>
      <c r="C492" s="52"/>
      <c r="D492" s="52"/>
      <c r="E492" s="52"/>
      <c r="F492" s="81"/>
      <c r="G492" s="57"/>
      <c r="H492" s="48"/>
      <c r="I492" s="77"/>
      <c r="J492" s="62"/>
      <c r="K492" s="52"/>
      <c r="L492" s="52"/>
      <c r="M492" s="76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62"/>
      <c r="AB492" s="52"/>
      <c r="AC492" s="52"/>
      <c r="AD492" s="52"/>
      <c r="AE492" s="52"/>
      <c r="AF492" s="52"/>
      <c r="AG492" s="52"/>
      <c r="AH492" s="48"/>
      <c r="AI492" s="48"/>
      <c r="AJ492" s="48"/>
      <c r="AK492" s="53"/>
      <c r="AL492" s="53"/>
      <c r="AM492" s="53"/>
      <c r="AN492" s="53"/>
      <c r="AO492" s="53"/>
      <c r="AP492" s="53"/>
      <c r="AQ492" s="53"/>
      <c r="AR492" s="53"/>
      <c r="AS492" s="53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52"/>
      <c r="BG492" s="52"/>
      <c r="BH492" s="52"/>
      <c r="BI492" s="52"/>
      <c r="BJ492" s="52"/>
      <c r="BK492" s="52"/>
      <c r="BL492" s="52"/>
      <c r="BM492" s="54"/>
    </row>
    <row r="493">
      <c r="A493" s="42"/>
      <c r="B493" s="52"/>
      <c r="C493" s="52"/>
      <c r="D493" s="52"/>
      <c r="E493" s="52"/>
      <c r="F493" s="81"/>
      <c r="G493" s="57"/>
      <c r="H493" s="48"/>
      <c r="I493" s="77"/>
      <c r="J493" s="62"/>
      <c r="K493" s="52"/>
      <c r="L493" s="52"/>
      <c r="M493" s="76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62"/>
      <c r="AB493" s="52"/>
      <c r="AC493" s="52"/>
      <c r="AD493" s="52"/>
      <c r="AE493" s="52"/>
      <c r="AF493" s="52"/>
      <c r="AG493" s="52"/>
      <c r="AH493" s="48"/>
      <c r="AI493" s="48"/>
      <c r="AJ493" s="48"/>
      <c r="AK493" s="53"/>
      <c r="AL493" s="53"/>
      <c r="AM493" s="53"/>
      <c r="AN493" s="53"/>
      <c r="AO493" s="53"/>
      <c r="AP493" s="53"/>
      <c r="AQ493" s="53"/>
      <c r="AR493" s="53"/>
      <c r="AS493" s="53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52"/>
      <c r="BG493" s="52"/>
      <c r="BH493" s="52"/>
      <c r="BI493" s="52"/>
      <c r="BJ493" s="52"/>
      <c r="BK493" s="52"/>
      <c r="BL493" s="52"/>
      <c r="BM493" s="54"/>
    </row>
    <row r="494">
      <c r="A494" s="42"/>
      <c r="B494" s="52"/>
      <c r="C494" s="52"/>
      <c r="D494" s="52"/>
      <c r="E494" s="52"/>
      <c r="F494" s="81"/>
      <c r="G494" s="57"/>
      <c r="H494" s="48"/>
      <c r="I494" s="77"/>
      <c r="J494" s="62"/>
      <c r="K494" s="52"/>
      <c r="L494" s="52"/>
      <c r="M494" s="76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62"/>
      <c r="AB494" s="52"/>
      <c r="AC494" s="52"/>
      <c r="AD494" s="52"/>
      <c r="AE494" s="52"/>
      <c r="AF494" s="52"/>
      <c r="AG494" s="52"/>
      <c r="AH494" s="48"/>
      <c r="AI494" s="48"/>
      <c r="AJ494" s="48"/>
      <c r="AK494" s="53"/>
      <c r="AL494" s="53"/>
      <c r="AM494" s="53"/>
      <c r="AN494" s="53"/>
      <c r="AO494" s="53"/>
      <c r="AP494" s="53"/>
      <c r="AQ494" s="53"/>
      <c r="AR494" s="53"/>
      <c r="AS494" s="53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52"/>
      <c r="BG494" s="52"/>
      <c r="BH494" s="52"/>
      <c r="BI494" s="52"/>
      <c r="BJ494" s="52"/>
      <c r="BK494" s="52"/>
      <c r="BL494" s="52"/>
      <c r="BM494" s="54"/>
    </row>
    <row r="495">
      <c r="A495" s="42"/>
      <c r="B495" s="52"/>
      <c r="C495" s="52"/>
      <c r="D495" s="52"/>
      <c r="E495" s="52"/>
      <c r="F495" s="81"/>
      <c r="G495" s="57"/>
      <c r="H495" s="48"/>
      <c r="I495" s="77"/>
      <c r="J495" s="62"/>
      <c r="K495" s="52"/>
      <c r="L495" s="52"/>
      <c r="M495" s="76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62"/>
      <c r="AB495" s="52"/>
      <c r="AC495" s="52"/>
      <c r="AD495" s="52"/>
      <c r="AE495" s="52"/>
      <c r="AF495" s="52"/>
      <c r="AG495" s="52"/>
      <c r="AH495" s="48"/>
      <c r="AI495" s="48"/>
      <c r="AJ495" s="48"/>
      <c r="AK495" s="53"/>
      <c r="AL495" s="53"/>
      <c r="AM495" s="53"/>
      <c r="AN495" s="53"/>
      <c r="AO495" s="53"/>
      <c r="AP495" s="53"/>
      <c r="AQ495" s="53"/>
      <c r="AR495" s="53"/>
      <c r="AS495" s="53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52"/>
      <c r="BG495" s="52"/>
      <c r="BH495" s="52"/>
      <c r="BI495" s="52"/>
      <c r="BJ495" s="52"/>
      <c r="BK495" s="52"/>
      <c r="BL495" s="52"/>
      <c r="BM495" s="54"/>
    </row>
    <row r="496">
      <c r="A496" s="42"/>
      <c r="B496" s="52"/>
      <c r="C496" s="52"/>
      <c r="D496" s="52"/>
      <c r="E496" s="52"/>
      <c r="F496" s="81"/>
      <c r="G496" s="57"/>
      <c r="H496" s="48"/>
      <c r="I496" s="77"/>
      <c r="J496" s="62"/>
      <c r="K496" s="52"/>
      <c r="L496" s="52"/>
      <c r="M496" s="76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62"/>
      <c r="AB496" s="52"/>
      <c r="AC496" s="52"/>
      <c r="AD496" s="52"/>
      <c r="AE496" s="52"/>
      <c r="AF496" s="52"/>
      <c r="AG496" s="52"/>
      <c r="AH496" s="48"/>
      <c r="AI496" s="48"/>
      <c r="AJ496" s="48"/>
      <c r="AK496" s="53"/>
      <c r="AL496" s="53"/>
      <c r="AM496" s="53"/>
      <c r="AN496" s="53"/>
      <c r="AO496" s="53"/>
      <c r="AP496" s="53"/>
      <c r="AQ496" s="53"/>
      <c r="AR496" s="53"/>
      <c r="AS496" s="53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52"/>
      <c r="BG496" s="52"/>
      <c r="BH496" s="52"/>
      <c r="BI496" s="52"/>
      <c r="BJ496" s="52"/>
      <c r="BK496" s="52"/>
      <c r="BL496" s="52"/>
      <c r="BM496" s="54"/>
    </row>
    <row r="497">
      <c r="A497" s="42"/>
      <c r="B497" s="52"/>
      <c r="C497" s="52"/>
      <c r="D497" s="52"/>
      <c r="E497" s="52"/>
      <c r="F497" s="81"/>
      <c r="G497" s="57"/>
      <c r="H497" s="48"/>
      <c r="I497" s="77"/>
      <c r="J497" s="62"/>
      <c r="K497" s="52"/>
      <c r="L497" s="52"/>
      <c r="M497" s="76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62"/>
      <c r="AB497" s="52"/>
      <c r="AC497" s="52"/>
      <c r="AD497" s="52"/>
      <c r="AE497" s="52"/>
      <c r="AF497" s="52"/>
      <c r="AG497" s="52"/>
      <c r="AH497" s="48"/>
      <c r="AI497" s="48"/>
      <c r="AJ497" s="48"/>
      <c r="AK497" s="53"/>
      <c r="AL497" s="53"/>
      <c r="AM497" s="53"/>
      <c r="AN497" s="53"/>
      <c r="AO497" s="53"/>
      <c r="AP497" s="53"/>
      <c r="AQ497" s="53"/>
      <c r="AR497" s="53"/>
      <c r="AS497" s="53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52"/>
      <c r="BG497" s="52"/>
      <c r="BH497" s="52"/>
      <c r="BI497" s="52"/>
      <c r="BJ497" s="52"/>
      <c r="BK497" s="52"/>
      <c r="BL497" s="52"/>
      <c r="BM497" s="54"/>
    </row>
    <row r="498">
      <c r="A498" s="42"/>
      <c r="B498" s="52"/>
      <c r="C498" s="52"/>
      <c r="D498" s="52"/>
      <c r="E498" s="52"/>
      <c r="F498" s="81"/>
      <c r="G498" s="57"/>
      <c r="H498" s="48"/>
      <c r="I498" s="77"/>
      <c r="J498" s="62"/>
      <c r="K498" s="52"/>
      <c r="L498" s="52"/>
      <c r="M498" s="76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62"/>
      <c r="AB498" s="52"/>
      <c r="AC498" s="52"/>
      <c r="AD498" s="52"/>
      <c r="AE498" s="52"/>
      <c r="AF498" s="52"/>
      <c r="AG498" s="52"/>
      <c r="AH498" s="48"/>
      <c r="AI498" s="48"/>
      <c r="AJ498" s="48"/>
      <c r="AK498" s="53"/>
      <c r="AL498" s="53"/>
      <c r="AM498" s="53"/>
      <c r="AN498" s="53"/>
      <c r="AO498" s="53"/>
      <c r="AP498" s="53"/>
      <c r="AQ498" s="53"/>
      <c r="AR498" s="53"/>
      <c r="AS498" s="53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52"/>
      <c r="BG498" s="52"/>
      <c r="BH498" s="52"/>
      <c r="BI498" s="52"/>
      <c r="BJ498" s="52"/>
      <c r="BK498" s="52"/>
      <c r="BL498" s="52"/>
      <c r="BM498" s="54"/>
    </row>
    <row r="499">
      <c r="A499" s="42"/>
      <c r="B499" s="52"/>
      <c r="C499" s="52"/>
      <c r="D499" s="52"/>
      <c r="E499" s="52"/>
      <c r="F499" s="81"/>
      <c r="G499" s="57"/>
      <c r="H499" s="48"/>
      <c r="I499" s="77"/>
      <c r="J499" s="62"/>
      <c r="K499" s="52"/>
      <c r="L499" s="52"/>
      <c r="M499" s="76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62"/>
      <c r="AB499" s="52"/>
      <c r="AC499" s="52"/>
      <c r="AD499" s="52"/>
      <c r="AE499" s="52"/>
      <c r="AF499" s="52"/>
      <c r="AG499" s="52"/>
      <c r="AH499" s="48"/>
      <c r="AI499" s="48"/>
      <c r="AJ499" s="48"/>
      <c r="AK499" s="53"/>
      <c r="AL499" s="53"/>
      <c r="AM499" s="53"/>
      <c r="AN499" s="53"/>
      <c r="AO499" s="53"/>
      <c r="AP499" s="53"/>
      <c r="AQ499" s="53"/>
      <c r="AR499" s="53"/>
      <c r="AS499" s="53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52"/>
      <c r="BG499" s="52"/>
      <c r="BH499" s="52"/>
      <c r="BI499" s="52"/>
      <c r="BJ499" s="52"/>
      <c r="BK499" s="52"/>
      <c r="BL499" s="52"/>
      <c r="BM499" s="54"/>
    </row>
    <row r="500">
      <c r="A500" s="42"/>
      <c r="B500" s="52"/>
      <c r="C500" s="52"/>
      <c r="D500" s="52"/>
      <c r="E500" s="52"/>
      <c r="F500" s="81"/>
      <c r="G500" s="57"/>
      <c r="H500" s="48"/>
      <c r="I500" s="77"/>
      <c r="J500" s="62"/>
      <c r="K500" s="52"/>
      <c r="L500" s="52"/>
      <c r="M500" s="76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62"/>
      <c r="AB500" s="52"/>
      <c r="AC500" s="52"/>
      <c r="AD500" s="52"/>
      <c r="AE500" s="52"/>
      <c r="AF500" s="52"/>
      <c r="AG500" s="52"/>
      <c r="AH500" s="48"/>
      <c r="AI500" s="48"/>
      <c r="AJ500" s="48"/>
      <c r="AK500" s="53"/>
      <c r="AL500" s="53"/>
      <c r="AM500" s="53"/>
      <c r="AN500" s="53"/>
      <c r="AO500" s="53"/>
      <c r="AP500" s="53"/>
      <c r="AQ500" s="53"/>
      <c r="AR500" s="53"/>
      <c r="AS500" s="53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52"/>
      <c r="BG500" s="52"/>
      <c r="BH500" s="52"/>
      <c r="BI500" s="52"/>
      <c r="BJ500" s="52"/>
      <c r="BK500" s="52"/>
      <c r="BL500" s="52"/>
      <c r="BM500" s="54"/>
    </row>
    <row r="501">
      <c r="A501" s="42"/>
      <c r="B501" s="52"/>
      <c r="C501" s="52"/>
      <c r="D501" s="52"/>
      <c r="E501" s="52"/>
      <c r="F501" s="81"/>
      <c r="G501" s="57"/>
      <c r="H501" s="48"/>
      <c r="I501" s="77"/>
      <c r="J501" s="62"/>
      <c r="K501" s="52"/>
      <c r="L501" s="52"/>
      <c r="M501" s="76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62"/>
      <c r="AB501" s="52"/>
      <c r="AC501" s="52"/>
      <c r="AD501" s="52"/>
      <c r="AE501" s="52"/>
      <c r="AF501" s="52"/>
      <c r="AG501" s="52"/>
      <c r="AH501" s="48"/>
      <c r="AI501" s="48"/>
      <c r="AJ501" s="48"/>
      <c r="AK501" s="53"/>
      <c r="AL501" s="53"/>
      <c r="AM501" s="53"/>
      <c r="AN501" s="53"/>
      <c r="AO501" s="53"/>
      <c r="AP501" s="53"/>
      <c r="AQ501" s="53"/>
      <c r="AR501" s="53"/>
      <c r="AS501" s="53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52"/>
      <c r="BG501" s="52"/>
      <c r="BH501" s="52"/>
      <c r="BI501" s="52"/>
      <c r="BJ501" s="52"/>
      <c r="BK501" s="52"/>
      <c r="BL501" s="52"/>
      <c r="BM501" s="54"/>
    </row>
    <row r="502">
      <c r="A502" s="42"/>
      <c r="B502" s="52"/>
      <c r="C502" s="52"/>
      <c r="D502" s="52"/>
      <c r="E502" s="52"/>
      <c r="F502" s="81"/>
      <c r="G502" s="57"/>
      <c r="H502" s="48"/>
      <c r="I502" s="77"/>
      <c r="J502" s="62"/>
      <c r="K502" s="52"/>
      <c r="L502" s="52"/>
      <c r="M502" s="76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62"/>
      <c r="AB502" s="52"/>
      <c r="AC502" s="52"/>
      <c r="AD502" s="52"/>
      <c r="AE502" s="52"/>
      <c r="AF502" s="52"/>
      <c r="AG502" s="52"/>
      <c r="AH502" s="48"/>
      <c r="AI502" s="48"/>
      <c r="AJ502" s="48"/>
      <c r="AK502" s="53"/>
      <c r="AL502" s="53"/>
      <c r="AM502" s="53"/>
      <c r="AN502" s="53"/>
      <c r="AO502" s="53"/>
      <c r="AP502" s="53"/>
      <c r="AQ502" s="53"/>
      <c r="AR502" s="53"/>
      <c r="AS502" s="53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52"/>
      <c r="BG502" s="52"/>
      <c r="BH502" s="52"/>
      <c r="BI502" s="52"/>
      <c r="BJ502" s="52"/>
      <c r="BK502" s="52"/>
      <c r="BL502" s="52"/>
      <c r="BM502" s="54"/>
    </row>
    <row r="503">
      <c r="A503" s="42"/>
      <c r="B503" s="52"/>
      <c r="C503" s="52"/>
      <c r="D503" s="52"/>
      <c r="E503" s="52"/>
      <c r="F503" s="81"/>
      <c r="G503" s="57"/>
      <c r="H503" s="48"/>
      <c r="I503" s="77"/>
      <c r="J503" s="62"/>
      <c r="K503" s="52"/>
      <c r="L503" s="52"/>
      <c r="M503" s="76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62"/>
      <c r="AB503" s="52"/>
      <c r="AC503" s="52"/>
      <c r="AD503" s="52"/>
      <c r="AE503" s="52"/>
      <c r="AF503" s="52"/>
      <c r="AG503" s="52"/>
      <c r="AH503" s="48"/>
      <c r="AI503" s="48"/>
      <c r="AJ503" s="48"/>
      <c r="AK503" s="53"/>
      <c r="AL503" s="53"/>
      <c r="AM503" s="53"/>
      <c r="AN503" s="53"/>
      <c r="AO503" s="53"/>
      <c r="AP503" s="53"/>
      <c r="AQ503" s="53"/>
      <c r="AR503" s="53"/>
      <c r="AS503" s="53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52"/>
      <c r="BG503" s="52"/>
      <c r="BH503" s="52"/>
      <c r="BI503" s="52"/>
      <c r="BJ503" s="52"/>
      <c r="BK503" s="52"/>
      <c r="BL503" s="52"/>
      <c r="BM503" s="54"/>
    </row>
    <row r="504">
      <c r="A504" s="42"/>
      <c r="B504" s="52"/>
      <c r="C504" s="52"/>
      <c r="D504" s="52"/>
      <c r="E504" s="52"/>
      <c r="F504" s="81"/>
      <c r="G504" s="57"/>
      <c r="H504" s="48"/>
      <c r="I504" s="77"/>
      <c r="J504" s="62"/>
      <c r="K504" s="52"/>
      <c r="L504" s="52"/>
      <c r="M504" s="76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62"/>
      <c r="AB504" s="52"/>
      <c r="AC504" s="52"/>
      <c r="AD504" s="52"/>
      <c r="AE504" s="52"/>
      <c r="AF504" s="52"/>
      <c r="AG504" s="52"/>
      <c r="AH504" s="48"/>
      <c r="AI504" s="48"/>
      <c r="AJ504" s="48"/>
      <c r="AK504" s="53"/>
      <c r="AL504" s="53"/>
      <c r="AM504" s="53"/>
      <c r="AN504" s="53"/>
      <c r="AO504" s="53"/>
      <c r="AP504" s="53"/>
      <c r="AQ504" s="53"/>
      <c r="AR504" s="53"/>
      <c r="AS504" s="53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52"/>
      <c r="BG504" s="52"/>
      <c r="BH504" s="52"/>
      <c r="BI504" s="52"/>
      <c r="BJ504" s="52"/>
      <c r="BK504" s="52"/>
      <c r="BL504" s="52"/>
      <c r="BM504" s="54"/>
    </row>
    <row r="505">
      <c r="A505" s="42"/>
      <c r="B505" s="52"/>
      <c r="C505" s="52"/>
      <c r="D505" s="52"/>
      <c r="E505" s="52"/>
      <c r="F505" s="81"/>
      <c r="G505" s="57"/>
      <c r="H505" s="48"/>
      <c r="I505" s="77"/>
      <c r="J505" s="62"/>
      <c r="K505" s="52"/>
      <c r="L505" s="52"/>
      <c r="M505" s="76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62"/>
      <c r="AB505" s="52"/>
      <c r="AC505" s="52"/>
      <c r="AD505" s="52"/>
      <c r="AE505" s="52"/>
      <c r="AF505" s="52"/>
      <c r="AG505" s="52"/>
      <c r="AH505" s="48"/>
      <c r="AI505" s="48"/>
      <c r="AJ505" s="48"/>
      <c r="AK505" s="53"/>
      <c r="AL505" s="53"/>
      <c r="AM505" s="53"/>
      <c r="AN505" s="53"/>
      <c r="AO505" s="53"/>
      <c r="AP505" s="53"/>
      <c r="AQ505" s="53"/>
      <c r="AR505" s="53"/>
      <c r="AS505" s="53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52"/>
      <c r="BG505" s="52"/>
      <c r="BH505" s="52"/>
      <c r="BI505" s="52"/>
      <c r="BJ505" s="52"/>
      <c r="BK505" s="52"/>
      <c r="BL505" s="52"/>
      <c r="BM505" s="54"/>
    </row>
    <row r="506">
      <c r="A506" s="42"/>
      <c r="B506" s="52"/>
      <c r="C506" s="52"/>
      <c r="D506" s="52"/>
      <c r="E506" s="52"/>
      <c r="F506" s="81"/>
      <c r="G506" s="57"/>
      <c r="H506" s="48"/>
      <c r="I506" s="77"/>
      <c r="J506" s="62"/>
      <c r="K506" s="52"/>
      <c r="L506" s="52"/>
      <c r="M506" s="76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62"/>
      <c r="AB506" s="52"/>
      <c r="AC506" s="52"/>
      <c r="AD506" s="52"/>
      <c r="AE506" s="52"/>
      <c r="AF506" s="52"/>
      <c r="AG506" s="52"/>
      <c r="AH506" s="48"/>
      <c r="AI506" s="48"/>
      <c r="AJ506" s="48"/>
      <c r="AK506" s="53"/>
      <c r="AL506" s="53"/>
      <c r="AM506" s="53"/>
      <c r="AN506" s="53"/>
      <c r="AO506" s="53"/>
      <c r="AP506" s="53"/>
      <c r="AQ506" s="53"/>
      <c r="AR506" s="53"/>
      <c r="AS506" s="53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52"/>
      <c r="BG506" s="52"/>
      <c r="BH506" s="52"/>
      <c r="BI506" s="52"/>
      <c r="BJ506" s="52"/>
      <c r="BK506" s="52"/>
      <c r="BL506" s="52"/>
      <c r="BM506" s="54"/>
    </row>
    <row r="507">
      <c r="A507" s="42"/>
      <c r="B507" s="52"/>
      <c r="C507" s="52"/>
      <c r="D507" s="52"/>
      <c r="E507" s="52"/>
      <c r="F507" s="81"/>
      <c r="G507" s="57"/>
      <c r="H507" s="48"/>
      <c r="I507" s="77"/>
      <c r="J507" s="62"/>
      <c r="K507" s="52"/>
      <c r="L507" s="52"/>
      <c r="M507" s="76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62"/>
      <c r="AB507" s="52"/>
      <c r="AC507" s="52"/>
      <c r="AD507" s="52"/>
      <c r="AE507" s="52"/>
      <c r="AF507" s="52"/>
      <c r="AG507" s="52"/>
      <c r="AH507" s="48"/>
      <c r="AI507" s="48"/>
      <c r="AJ507" s="48"/>
      <c r="AK507" s="53"/>
      <c r="AL507" s="53"/>
      <c r="AM507" s="53"/>
      <c r="AN507" s="53"/>
      <c r="AO507" s="53"/>
      <c r="AP507" s="53"/>
      <c r="AQ507" s="53"/>
      <c r="AR507" s="53"/>
      <c r="AS507" s="53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52"/>
      <c r="BG507" s="52"/>
      <c r="BH507" s="52"/>
      <c r="BI507" s="52"/>
      <c r="BJ507" s="52"/>
      <c r="BK507" s="52"/>
      <c r="BL507" s="52"/>
      <c r="BM507" s="54"/>
    </row>
    <row r="508">
      <c r="A508" s="42"/>
      <c r="B508" s="52"/>
      <c r="C508" s="52"/>
      <c r="D508" s="52"/>
      <c r="E508" s="52"/>
      <c r="F508" s="81"/>
      <c r="G508" s="57"/>
      <c r="H508" s="48"/>
      <c r="I508" s="77"/>
      <c r="J508" s="62"/>
      <c r="K508" s="52"/>
      <c r="L508" s="52"/>
      <c r="M508" s="76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62"/>
      <c r="AB508" s="52"/>
      <c r="AC508" s="52"/>
      <c r="AD508" s="52"/>
      <c r="AE508" s="52"/>
      <c r="AF508" s="52"/>
      <c r="AG508" s="52"/>
      <c r="AH508" s="48"/>
      <c r="AI508" s="48"/>
      <c r="AJ508" s="48"/>
      <c r="AK508" s="53"/>
      <c r="AL508" s="53"/>
      <c r="AM508" s="53"/>
      <c r="AN508" s="53"/>
      <c r="AO508" s="53"/>
      <c r="AP508" s="53"/>
      <c r="AQ508" s="53"/>
      <c r="AR508" s="53"/>
      <c r="AS508" s="53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52"/>
      <c r="BG508" s="52"/>
      <c r="BH508" s="52"/>
      <c r="BI508" s="52"/>
      <c r="BJ508" s="52"/>
      <c r="BK508" s="52"/>
      <c r="BL508" s="52"/>
      <c r="BM508" s="54"/>
    </row>
    <row r="509">
      <c r="A509" s="42"/>
      <c r="B509" s="52"/>
      <c r="C509" s="52"/>
      <c r="D509" s="52"/>
      <c r="E509" s="52"/>
      <c r="F509" s="81"/>
      <c r="G509" s="57"/>
      <c r="H509" s="48"/>
      <c r="I509" s="77"/>
      <c r="J509" s="62"/>
      <c r="K509" s="52"/>
      <c r="L509" s="52"/>
      <c r="M509" s="76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62"/>
      <c r="AB509" s="52"/>
      <c r="AC509" s="52"/>
      <c r="AD509" s="52"/>
      <c r="AE509" s="52"/>
      <c r="AF509" s="52"/>
      <c r="AG509" s="52"/>
      <c r="AH509" s="48"/>
      <c r="AI509" s="48"/>
      <c r="AJ509" s="48"/>
      <c r="AK509" s="53"/>
      <c r="AL509" s="53"/>
      <c r="AM509" s="53"/>
      <c r="AN509" s="53"/>
      <c r="AO509" s="53"/>
      <c r="AP509" s="53"/>
      <c r="AQ509" s="53"/>
      <c r="AR509" s="53"/>
      <c r="AS509" s="53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52"/>
      <c r="BG509" s="52"/>
      <c r="BH509" s="52"/>
      <c r="BI509" s="52"/>
      <c r="BJ509" s="52"/>
      <c r="BK509" s="52"/>
      <c r="BL509" s="52"/>
      <c r="BM509" s="54"/>
    </row>
    <row r="510">
      <c r="A510" s="42"/>
      <c r="B510" s="52"/>
      <c r="C510" s="52"/>
      <c r="D510" s="52"/>
      <c r="E510" s="52"/>
      <c r="F510" s="81"/>
      <c r="G510" s="57"/>
      <c r="H510" s="48"/>
      <c r="I510" s="77"/>
      <c r="J510" s="62"/>
      <c r="K510" s="52"/>
      <c r="L510" s="52"/>
      <c r="M510" s="76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62"/>
      <c r="AB510" s="52"/>
      <c r="AC510" s="52"/>
      <c r="AD510" s="52"/>
      <c r="AE510" s="52"/>
      <c r="AF510" s="52"/>
      <c r="AG510" s="52"/>
      <c r="AH510" s="48"/>
      <c r="AI510" s="48"/>
      <c r="AJ510" s="48"/>
      <c r="AK510" s="53"/>
      <c r="AL510" s="53"/>
      <c r="AM510" s="53"/>
      <c r="AN510" s="53"/>
      <c r="AO510" s="53"/>
      <c r="AP510" s="53"/>
      <c r="AQ510" s="53"/>
      <c r="AR510" s="53"/>
      <c r="AS510" s="53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52"/>
      <c r="BG510" s="52"/>
      <c r="BH510" s="52"/>
      <c r="BI510" s="52"/>
      <c r="BJ510" s="52"/>
      <c r="BK510" s="52"/>
      <c r="BL510" s="52"/>
      <c r="BM510" s="54"/>
    </row>
    <row r="511">
      <c r="A511" s="42"/>
      <c r="B511" s="52"/>
      <c r="C511" s="52"/>
      <c r="D511" s="52"/>
      <c r="E511" s="52"/>
      <c r="F511" s="81"/>
      <c r="G511" s="57"/>
      <c r="H511" s="48"/>
      <c r="I511" s="77"/>
      <c r="J511" s="62"/>
      <c r="K511" s="52"/>
      <c r="L511" s="52"/>
      <c r="M511" s="76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62"/>
      <c r="AB511" s="52"/>
      <c r="AC511" s="52"/>
      <c r="AD511" s="52"/>
      <c r="AE511" s="52"/>
      <c r="AF511" s="52"/>
      <c r="AG511" s="52"/>
      <c r="AH511" s="48"/>
      <c r="AI511" s="48"/>
      <c r="AJ511" s="48"/>
      <c r="AK511" s="53"/>
      <c r="AL511" s="53"/>
      <c r="AM511" s="53"/>
      <c r="AN511" s="53"/>
      <c r="AO511" s="53"/>
      <c r="AP511" s="53"/>
      <c r="AQ511" s="53"/>
      <c r="AR511" s="53"/>
      <c r="AS511" s="53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52"/>
      <c r="BG511" s="52"/>
      <c r="BH511" s="52"/>
      <c r="BI511" s="52"/>
      <c r="BJ511" s="52"/>
      <c r="BK511" s="52"/>
      <c r="BL511" s="52"/>
      <c r="BM511" s="54"/>
    </row>
    <row r="512">
      <c r="A512" s="42"/>
      <c r="B512" s="52"/>
      <c r="C512" s="52"/>
      <c r="D512" s="52"/>
      <c r="E512" s="52"/>
      <c r="F512" s="81"/>
      <c r="G512" s="57"/>
      <c r="H512" s="48"/>
      <c r="I512" s="77"/>
      <c r="J512" s="62"/>
      <c r="K512" s="52"/>
      <c r="L512" s="52"/>
      <c r="M512" s="76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62"/>
      <c r="AB512" s="52"/>
      <c r="AC512" s="52"/>
      <c r="AD512" s="52"/>
      <c r="AE512" s="52"/>
      <c r="AF512" s="52"/>
      <c r="AG512" s="52"/>
      <c r="AH512" s="48"/>
      <c r="AI512" s="48"/>
      <c r="AJ512" s="48"/>
      <c r="AK512" s="53"/>
      <c r="AL512" s="53"/>
      <c r="AM512" s="53"/>
      <c r="AN512" s="53"/>
      <c r="AO512" s="53"/>
      <c r="AP512" s="53"/>
      <c r="AQ512" s="53"/>
      <c r="AR512" s="53"/>
      <c r="AS512" s="53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52"/>
      <c r="BG512" s="52"/>
      <c r="BH512" s="52"/>
      <c r="BI512" s="52"/>
      <c r="BJ512" s="52"/>
      <c r="BK512" s="52"/>
      <c r="BL512" s="52"/>
      <c r="BM512" s="54"/>
    </row>
    <row r="513">
      <c r="A513" s="42"/>
      <c r="B513" s="52"/>
      <c r="C513" s="52"/>
      <c r="D513" s="52"/>
      <c r="E513" s="52"/>
      <c r="F513" s="81"/>
      <c r="G513" s="57"/>
      <c r="H513" s="48"/>
      <c r="I513" s="77"/>
      <c r="J513" s="62"/>
      <c r="K513" s="52"/>
      <c r="L513" s="52"/>
      <c r="M513" s="76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62"/>
      <c r="AB513" s="52"/>
      <c r="AC513" s="52"/>
      <c r="AD513" s="52"/>
      <c r="AE513" s="52"/>
      <c r="AF513" s="52"/>
      <c r="AG513" s="52"/>
      <c r="AH513" s="48"/>
      <c r="AI513" s="48"/>
      <c r="AJ513" s="48"/>
      <c r="AK513" s="53"/>
      <c r="AL513" s="53"/>
      <c r="AM513" s="53"/>
      <c r="AN513" s="53"/>
      <c r="AO513" s="53"/>
      <c r="AP513" s="53"/>
      <c r="AQ513" s="53"/>
      <c r="AR513" s="53"/>
      <c r="AS513" s="53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52"/>
      <c r="BG513" s="52"/>
      <c r="BH513" s="52"/>
      <c r="BI513" s="52"/>
      <c r="BJ513" s="52"/>
      <c r="BK513" s="52"/>
      <c r="BL513" s="52"/>
      <c r="BM513" s="54"/>
    </row>
    <row r="514">
      <c r="A514" s="42"/>
      <c r="B514" s="52"/>
      <c r="C514" s="52"/>
      <c r="D514" s="52"/>
      <c r="E514" s="52"/>
      <c r="F514" s="81"/>
      <c r="G514" s="57"/>
      <c r="H514" s="48"/>
      <c r="I514" s="77"/>
      <c r="J514" s="62"/>
      <c r="K514" s="52"/>
      <c r="L514" s="52"/>
      <c r="M514" s="76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62"/>
      <c r="AB514" s="52"/>
      <c r="AC514" s="52"/>
      <c r="AD514" s="52"/>
      <c r="AE514" s="52"/>
      <c r="AF514" s="52"/>
      <c r="AG514" s="52"/>
      <c r="AH514" s="48"/>
      <c r="AI514" s="48"/>
      <c r="AJ514" s="48"/>
      <c r="AK514" s="53"/>
      <c r="AL514" s="53"/>
      <c r="AM514" s="53"/>
      <c r="AN514" s="53"/>
      <c r="AO514" s="53"/>
      <c r="AP514" s="53"/>
      <c r="AQ514" s="53"/>
      <c r="AR514" s="53"/>
      <c r="AS514" s="53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52"/>
      <c r="BG514" s="52"/>
      <c r="BH514" s="52"/>
      <c r="BI514" s="52"/>
      <c r="BJ514" s="52"/>
      <c r="BK514" s="52"/>
      <c r="BL514" s="52"/>
      <c r="BM514" s="54"/>
    </row>
    <row r="515">
      <c r="A515" s="42"/>
      <c r="B515" s="52"/>
      <c r="C515" s="52"/>
      <c r="D515" s="52"/>
      <c r="E515" s="52"/>
      <c r="F515" s="81"/>
      <c r="G515" s="57"/>
      <c r="H515" s="48"/>
      <c r="I515" s="77"/>
      <c r="J515" s="62"/>
      <c r="K515" s="52"/>
      <c r="L515" s="52"/>
      <c r="M515" s="76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62"/>
      <c r="AB515" s="52"/>
      <c r="AC515" s="52"/>
      <c r="AD515" s="52"/>
      <c r="AE515" s="52"/>
      <c r="AF515" s="52"/>
      <c r="AG515" s="52"/>
      <c r="AH515" s="48"/>
      <c r="AI515" s="48"/>
      <c r="AJ515" s="48"/>
      <c r="AK515" s="53"/>
      <c r="AL515" s="53"/>
      <c r="AM515" s="53"/>
      <c r="AN515" s="53"/>
      <c r="AO515" s="53"/>
      <c r="AP515" s="53"/>
      <c r="AQ515" s="53"/>
      <c r="AR515" s="53"/>
      <c r="AS515" s="53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52"/>
      <c r="BG515" s="52"/>
      <c r="BH515" s="52"/>
      <c r="BI515" s="52"/>
      <c r="BJ515" s="52"/>
      <c r="BK515" s="52"/>
      <c r="BL515" s="52"/>
      <c r="BM515" s="54"/>
    </row>
    <row r="516">
      <c r="A516" s="42"/>
      <c r="B516" s="52"/>
      <c r="C516" s="52"/>
      <c r="D516" s="52"/>
      <c r="E516" s="52"/>
      <c r="F516" s="81"/>
      <c r="G516" s="57"/>
      <c r="H516" s="48"/>
      <c r="I516" s="77"/>
      <c r="J516" s="62"/>
      <c r="K516" s="52"/>
      <c r="L516" s="52"/>
      <c r="M516" s="76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62"/>
      <c r="AB516" s="52"/>
      <c r="AC516" s="52"/>
      <c r="AD516" s="52"/>
      <c r="AE516" s="52"/>
      <c r="AF516" s="52"/>
      <c r="AG516" s="52"/>
      <c r="AH516" s="48"/>
      <c r="AI516" s="48"/>
      <c r="AJ516" s="48"/>
      <c r="AK516" s="53"/>
      <c r="AL516" s="53"/>
      <c r="AM516" s="53"/>
      <c r="AN516" s="53"/>
      <c r="AO516" s="53"/>
      <c r="AP516" s="53"/>
      <c r="AQ516" s="53"/>
      <c r="AR516" s="53"/>
      <c r="AS516" s="53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52"/>
      <c r="BG516" s="52"/>
      <c r="BH516" s="52"/>
      <c r="BI516" s="52"/>
      <c r="BJ516" s="52"/>
      <c r="BK516" s="52"/>
      <c r="BL516" s="52"/>
      <c r="BM516" s="54"/>
    </row>
    <row r="517">
      <c r="A517" s="42"/>
      <c r="B517" s="52"/>
      <c r="C517" s="52"/>
      <c r="D517" s="52"/>
      <c r="E517" s="52"/>
      <c r="F517" s="81"/>
      <c r="G517" s="57"/>
      <c r="H517" s="48"/>
      <c r="I517" s="77"/>
      <c r="J517" s="62"/>
      <c r="K517" s="52"/>
      <c r="L517" s="52"/>
      <c r="M517" s="76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62"/>
      <c r="AB517" s="52"/>
      <c r="AC517" s="52"/>
      <c r="AD517" s="52"/>
      <c r="AE517" s="52"/>
      <c r="AF517" s="52"/>
      <c r="AG517" s="52"/>
      <c r="AH517" s="48"/>
      <c r="AI517" s="48"/>
      <c r="AJ517" s="48"/>
      <c r="AK517" s="53"/>
      <c r="AL517" s="53"/>
      <c r="AM517" s="53"/>
      <c r="AN517" s="53"/>
      <c r="AO517" s="53"/>
      <c r="AP517" s="53"/>
      <c r="AQ517" s="53"/>
      <c r="AR517" s="53"/>
      <c r="AS517" s="53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52"/>
      <c r="BG517" s="52"/>
      <c r="BH517" s="52"/>
      <c r="BI517" s="52"/>
      <c r="BJ517" s="52"/>
      <c r="BK517" s="52"/>
      <c r="BL517" s="52"/>
      <c r="BM517" s="54"/>
    </row>
    <row r="518">
      <c r="A518" s="42"/>
      <c r="B518" s="52"/>
      <c r="C518" s="52"/>
      <c r="D518" s="52"/>
      <c r="E518" s="52"/>
      <c r="F518" s="81"/>
      <c r="G518" s="57"/>
      <c r="H518" s="48"/>
      <c r="I518" s="77"/>
      <c r="J518" s="62"/>
      <c r="K518" s="52"/>
      <c r="L518" s="52"/>
      <c r="M518" s="76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62"/>
      <c r="AB518" s="52"/>
      <c r="AC518" s="52"/>
      <c r="AD518" s="52"/>
      <c r="AE518" s="52"/>
      <c r="AF518" s="52"/>
      <c r="AG518" s="52"/>
      <c r="AH518" s="48"/>
      <c r="AI518" s="48"/>
      <c r="AJ518" s="48"/>
      <c r="AK518" s="53"/>
      <c r="AL518" s="53"/>
      <c r="AM518" s="53"/>
      <c r="AN518" s="53"/>
      <c r="AO518" s="53"/>
      <c r="AP518" s="53"/>
      <c r="AQ518" s="53"/>
      <c r="AR518" s="53"/>
      <c r="AS518" s="53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52"/>
      <c r="BG518" s="52"/>
      <c r="BH518" s="52"/>
      <c r="BI518" s="52"/>
      <c r="BJ518" s="52"/>
      <c r="BK518" s="52"/>
      <c r="BL518" s="52"/>
      <c r="BM518" s="54"/>
    </row>
    <row r="519">
      <c r="A519" s="42"/>
      <c r="B519" s="52"/>
      <c r="C519" s="52"/>
      <c r="D519" s="52"/>
      <c r="E519" s="52"/>
      <c r="F519" s="81"/>
      <c r="G519" s="57"/>
      <c r="H519" s="48"/>
      <c r="I519" s="77"/>
      <c r="J519" s="62"/>
      <c r="K519" s="52"/>
      <c r="L519" s="52"/>
      <c r="M519" s="76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62"/>
      <c r="AB519" s="52"/>
      <c r="AC519" s="52"/>
      <c r="AD519" s="52"/>
      <c r="AE519" s="52"/>
      <c r="AF519" s="52"/>
      <c r="AG519" s="52"/>
      <c r="AH519" s="48"/>
      <c r="AI519" s="48"/>
      <c r="AJ519" s="48"/>
      <c r="AK519" s="53"/>
      <c r="AL519" s="53"/>
      <c r="AM519" s="53"/>
      <c r="AN519" s="53"/>
      <c r="AO519" s="53"/>
      <c r="AP519" s="53"/>
      <c r="AQ519" s="53"/>
      <c r="AR519" s="53"/>
      <c r="AS519" s="53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52"/>
      <c r="BG519" s="52"/>
      <c r="BH519" s="52"/>
      <c r="BI519" s="52"/>
      <c r="BJ519" s="52"/>
      <c r="BK519" s="52"/>
      <c r="BL519" s="52"/>
      <c r="BM519" s="54"/>
    </row>
    <row r="520">
      <c r="A520" s="42"/>
      <c r="B520" s="52"/>
      <c r="C520" s="52"/>
      <c r="D520" s="52"/>
      <c r="E520" s="52"/>
      <c r="F520" s="81"/>
      <c r="G520" s="57"/>
      <c r="H520" s="48"/>
      <c r="I520" s="77"/>
      <c r="J520" s="62"/>
      <c r="K520" s="52"/>
      <c r="L520" s="52"/>
      <c r="M520" s="76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62"/>
      <c r="AB520" s="52"/>
      <c r="AC520" s="52"/>
      <c r="AD520" s="52"/>
      <c r="AE520" s="52"/>
      <c r="AF520" s="52"/>
      <c r="AG520" s="52"/>
      <c r="AH520" s="48"/>
      <c r="AI520" s="48"/>
      <c r="AJ520" s="48"/>
      <c r="AK520" s="53"/>
      <c r="AL520" s="53"/>
      <c r="AM520" s="53"/>
      <c r="AN520" s="53"/>
      <c r="AO520" s="53"/>
      <c r="AP520" s="53"/>
      <c r="AQ520" s="53"/>
      <c r="AR520" s="53"/>
      <c r="AS520" s="53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52"/>
      <c r="BG520" s="52"/>
      <c r="BH520" s="52"/>
      <c r="BI520" s="52"/>
      <c r="BJ520" s="52"/>
      <c r="BK520" s="52"/>
      <c r="BL520" s="52"/>
      <c r="BM520" s="54"/>
    </row>
    <row r="521">
      <c r="A521" s="42"/>
      <c r="B521" s="52"/>
      <c r="C521" s="52"/>
      <c r="D521" s="52"/>
      <c r="E521" s="52"/>
      <c r="F521" s="81"/>
      <c r="G521" s="57"/>
      <c r="H521" s="48"/>
      <c r="I521" s="77"/>
      <c r="J521" s="62"/>
      <c r="K521" s="52"/>
      <c r="L521" s="52"/>
      <c r="M521" s="76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62"/>
      <c r="AB521" s="52"/>
      <c r="AC521" s="52"/>
      <c r="AD521" s="52"/>
      <c r="AE521" s="52"/>
      <c r="AF521" s="52"/>
      <c r="AG521" s="52"/>
      <c r="AH521" s="48"/>
      <c r="AI521" s="48"/>
      <c r="AJ521" s="48"/>
      <c r="AK521" s="53"/>
      <c r="AL521" s="53"/>
      <c r="AM521" s="53"/>
      <c r="AN521" s="53"/>
      <c r="AO521" s="53"/>
      <c r="AP521" s="53"/>
      <c r="AQ521" s="53"/>
      <c r="AR521" s="53"/>
      <c r="AS521" s="53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52"/>
      <c r="BG521" s="52"/>
      <c r="BH521" s="52"/>
      <c r="BI521" s="52"/>
      <c r="BJ521" s="52"/>
      <c r="BK521" s="52"/>
      <c r="BL521" s="52"/>
      <c r="BM521" s="54"/>
    </row>
    <row r="522">
      <c r="A522" s="42"/>
      <c r="B522" s="52"/>
      <c r="C522" s="52"/>
      <c r="D522" s="52"/>
      <c r="E522" s="52"/>
      <c r="F522" s="81"/>
      <c r="G522" s="57"/>
      <c r="H522" s="48"/>
      <c r="I522" s="77"/>
      <c r="J522" s="62"/>
      <c r="K522" s="52"/>
      <c r="L522" s="52"/>
      <c r="M522" s="76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62"/>
      <c r="AB522" s="52"/>
      <c r="AC522" s="52"/>
      <c r="AD522" s="52"/>
      <c r="AE522" s="52"/>
      <c r="AF522" s="52"/>
      <c r="AG522" s="52"/>
      <c r="AH522" s="48"/>
      <c r="AI522" s="48"/>
      <c r="AJ522" s="48"/>
      <c r="AK522" s="53"/>
      <c r="AL522" s="53"/>
      <c r="AM522" s="53"/>
      <c r="AN522" s="53"/>
      <c r="AO522" s="53"/>
      <c r="AP522" s="53"/>
      <c r="AQ522" s="53"/>
      <c r="AR522" s="53"/>
      <c r="AS522" s="53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52"/>
      <c r="BG522" s="52"/>
      <c r="BH522" s="52"/>
      <c r="BI522" s="52"/>
      <c r="BJ522" s="52"/>
      <c r="BK522" s="52"/>
      <c r="BL522" s="52"/>
      <c r="BM522" s="54"/>
    </row>
    <row r="523">
      <c r="A523" s="42"/>
      <c r="B523" s="52"/>
      <c r="C523" s="52"/>
      <c r="D523" s="52"/>
      <c r="E523" s="52"/>
      <c r="F523" s="81"/>
      <c r="G523" s="57"/>
      <c r="H523" s="48"/>
      <c r="I523" s="77"/>
      <c r="J523" s="62"/>
      <c r="K523" s="52"/>
      <c r="L523" s="52"/>
      <c r="M523" s="76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62"/>
      <c r="AB523" s="52"/>
      <c r="AC523" s="52"/>
      <c r="AD523" s="52"/>
      <c r="AE523" s="52"/>
      <c r="AF523" s="52"/>
      <c r="AG523" s="52"/>
      <c r="AH523" s="48"/>
      <c r="AI523" s="48"/>
      <c r="AJ523" s="48"/>
      <c r="AK523" s="53"/>
      <c r="AL523" s="53"/>
      <c r="AM523" s="53"/>
      <c r="AN523" s="53"/>
      <c r="AO523" s="53"/>
      <c r="AP523" s="53"/>
      <c r="AQ523" s="53"/>
      <c r="AR523" s="53"/>
      <c r="AS523" s="53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52"/>
      <c r="BG523" s="52"/>
      <c r="BH523" s="52"/>
      <c r="BI523" s="52"/>
      <c r="BJ523" s="52"/>
      <c r="BK523" s="52"/>
      <c r="BL523" s="52"/>
      <c r="BM523" s="54"/>
    </row>
    <row r="524">
      <c r="A524" s="42"/>
      <c r="B524" s="52"/>
      <c r="C524" s="52"/>
      <c r="D524" s="52"/>
      <c r="E524" s="52"/>
      <c r="F524" s="81"/>
      <c r="G524" s="57"/>
      <c r="H524" s="48"/>
      <c r="I524" s="77"/>
      <c r="J524" s="62"/>
      <c r="K524" s="52"/>
      <c r="L524" s="52"/>
      <c r="M524" s="76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62"/>
      <c r="AB524" s="52"/>
      <c r="AC524" s="52"/>
      <c r="AD524" s="52"/>
      <c r="AE524" s="52"/>
      <c r="AF524" s="52"/>
      <c r="AG524" s="52"/>
      <c r="AH524" s="48"/>
      <c r="AI524" s="48"/>
      <c r="AJ524" s="48"/>
      <c r="AK524" s="53"/>
      <c r="AL524" s="53"/>
      <c r="AM524" s="53"/>
      <c r="AN524" s="53"/>
      <c r="AO524" s="53"/>
      <c r="AP524" s="53"/>
      <c r="AQ524" s="53"/>
      <c r="AR524" s="53"/>
      <c r="AS524" s="53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52"/>
      <c r="BG524" s="52"/>
      <c r="BH524" s="52"/>
      <c r="BI524" s="52"/>
      <c r="BJ524" s="52"/>
      <c r="BK524" s="52"/>
      <c r="BL524" s="52"/>
      <c r="BM524" s="54"/>
    </row>
    <row r="525">
      <c r="A525" s="42"/>
      <c r="B525" s="52"/>
      <c r="C525" s="52"/>
      <c r="D525" s="52"/>
      <c r="E525" s="52"/>
      <c r="F525" s="81"/>
      <c r="G525" s="57"/>
      <c r="H525" s="48"/>
      <c r="I525" s="77"/>
      <c r="J525" s="62"/>
      <c r="K525" s="52"/>
      <c r="L525" s="52"/>
      <c r="M525" s="76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62"/>
      <c r="AB525" s="52"/>
      <c r="AC525" s="52"/>
      <c r="AD525" s="52"/>
      <c r="AE525" s="52"/>
      <c r="AF525" s="52"/>
      <c r="AG525" s="52"/>
      <c r="AH525" s="48"/>
      <c r="AI525" s="48"/>
      <c r="AJ525" s="48"/>
      <c r="AK525" s="53"/>
      <c r="AL525" s="53"/>
      <c r="AM525" s="53"/>
      <c r="AN525" s="53"/>
      <c r="AO525" s="53"/>
      <c r="AP525" s="53"/>
      <c r="AQ525" s="53"/>
      <c r="AR525" s="53"/>
      <c r="AS525" s="53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52"/>
      <c r="BG525" s="52"/>
      <c r="BH525" s="52"/>
      <c r="BI525" s="52"/>
      <c r="BJ525" s="52"/>
      <c r="BK525" s="52"/>
      <c r="BL525" s="52"/>
      <c r="BM525" s="54"/>
    </row>
    <row r="526">
      <c r="A526" s="42"/>
      <c r="B526" s="52"/>
      <c r="C526" s="52"/>
      <c r="D526" s="52"/>
      <c r="E526" s="52"/>
      <c r="F526" s="81"/>
      <c r="G526" s="57"/>
      <c r="H526" s="48"/>
      <c r="I526" s="77"/>
      <c r="J526" s="62"/>
      <c r="K526" s="52"/>
      <c r="L526" s="52"/>
      <c r="M526" s="76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62"/>
      <c r="AB526" s="52"/>
      <c r="AC526" s="52"/>
      <c r="AD526" s="52"/>
      <c r="AE526" s="52"/>
      <c r="AF526" s="52"/>
      <c r="AG526" s="52"/>
      <c r="AH526" s="48"/>
      <c r="AI526" s="48"/>
      <c r="AJ526" s="48"/>
      <c r="AK526" s="53"/>
      <c r="AL526" s="53"/>
      <c r="AM526" s="53"/>
      <c r="AN526" s="53"/>
      <c r="AO526" s="53"/>
      <c r="AP526" s="53"/>
      <c r="AQ526" s="53"/>
      <c r="AR526" s="53"/>
      <c r="AS526" s="53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52"/>
      <c r="BG526" s="52"/>
      <c r="BH526" s="52"/>
      <c r="BI526" s="52"/>
      <c r="BJ526" s="52"/>
      <c r="BK526" s="52"/>
      <c r="BL526" s="52"/>
      <c r="BM526" s="54"/>
    </row>
    <row r="527">
      <c r="A527" s="42"/>
      <c r="B527" s="52"/>
      <c r="C527" s="52"/>
      <c r="D527" s="52"/>
      <c r="E527" s="52"/>
      <c r="F527" s="81"/>
      <c r="G527" s="57"/>
      <c r="H527" s="48"/>
      <c r="I527" s="77"/>
      <c r="J527" s="62"/>
      <c r="K527" s="52"/>
      <c r="L527" s="52"/>
      <c r="M527" s="76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62"/>
      <c r="AB527" s="52"/>
      <c r="AC527" s="52"/>
      <c r="AD527" s="52"/>
      <c r="AE527" s="52"/>
      <c r="AF527" s="52"/>
      <c r="AG527" s="52"/>
      <c r="AH527" s="48"/>
      <c r="AI527" s="48"/>
      <c r="AJ527" s="48"/>
      <c r="AK527" s="53"/>
      <c r="AL527" s="53"/>
      <c r="AM527" s="53"/>
      <c r="AN527" s="53"/>
      <c r="AO527" s="53"/>
      <c r="AP527" s="53"/>
      <c r="AQ527" s="53"/>
      <c r="AR527" s="53"/>
      <c r="AS527" s="53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52"/>
      <c r="BG527" s="52"/>
      <c r="BH527" s="52"/>
      <c r="BI527" s="52"/>
      <c r="BJ527" s="52"/>
      <c r="BK527" s="52"/>
      <c r="BL527" s="52"/>
      <c r="BM527" s="54"/>
    </row>
    <row r="528">
      <c r="A528" s="42"/>
      <c r="B528" s="52"/>
      <c r="C528" s="52"/>
      <c r="D528" s="52"/>
      <c r="E528" s="52"/>
      <c r="F528" s="81"/>
      <c r="G528" s="57"/>
      <c r="H528" s="48"/>
      <c r="I528" s="77"/>
      <c r="J528" s="62"/>
      <c r="K528" s="52"/>
      <c r="L528" s="52"/>
      <c r="M528" s="76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62"/>
      <c r="AB528" s="52"/>
      <c r="AC528" s="52"/>
      <c r="AD528" s="52"/>
      <c r="AE528" s="52"/>
      <c r="AF528" s="52"/>
      <c r="AG528" s="52"/>
      <c r="AH528" s="48"/>
      <c r="AI528" s="48"/>
      <c r="AJ528" s="48"/>
      <c r="AK528" s="53"/>
      <c r="AL528" s="53"/>
      <c r="AM528" s="53"/>
      <c r="AN528" s="53"/>
      <c r="AO528" s="53"/>
      <c r="AP528" s="53"/>
      <c r="AQ528" s="53"/>
      <c r="AR528" s="53"/>
      <c r="AS528" s="53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52"/>
      <c r="BG528" s="52"/>
      <c r="BH528" s="52"/>
      <c r="BI528" s="52"/>
      <c r="BJ528" s="52"/>
      <c r="BK528" s="52"/>
      <c r="BL528" s="52"/>
      <c r="BM528" s="54"/>
    </row>
    <row r="529">
      <c r="A529" s="42"/>
      <c r="B529" s="52"/>
      <c r="C529" s="52"/>
      <c r="D529" s="52"/>
      <c r="E529" s="52"/>
      <c r="F529" s="81"/>
      <c r="G529" s="57"/>
      <c r="H529" s="48"/>
      <c r="I529" s="77"/>
      <c r="J529" s="62"/>
      <c r="K529" s="52"/>
      <c r="L529" s="52"/>
      <c r="M529" s="76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62"/>
      <c r="AB529" s="52"/>
      <c r="AC529" s="52"/>
      <c r="AD529" s="52"/>
      <c r="AE529" s="52"/>
      <c r="AF529" s="52"/>
      <c r="AG529" s="52"/>
      <c r="AH529" s="48"/>
      <c r="AI529" s="48"/>
      <c r="AJ529" s="48"/>
      <c r="AK529" s="53"/>
      <c r="AL529" s="53"/>
      <c r="AM529" s="53"/>
      <c r="AN529" s="53"/>
      <c r="AO529" s="53"/>
      <c r="AP529" s="53"/>
      <c r="AQ529" s="53"/>
      <c r="AR529" s="53"/>
      <c r="AS529" s="53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52"/>
      <c r="BG529" s="52"/>
      <c r="BH529" s="52"/>
      <c r="BI529" s="52"/>
      <c r="BJ529" s="52"/>
      <c r="BK529" s="52"/>
      <c r="BL529" s="52"/>
      <c r="BM529" s="54"/>
    </row>
    <row r="530">
      <c r="A530" s="42"/>
      <c r="B530" s="52"/>
      <c r="C530" s="52"/>
      <c r="D530" s="52"/>
      <c r="E530" s="52"/>
      <c r="F530" s="81"/>
      <c r="G530" s="57"/>
      <c r="H530" s="48"/>
      <c r="I530" s="77"/>
      <c r="J530" s="62"/>
      <c r="K530" s="52"/>
      <c r="L530" s="52"/>
      <c r="M530" s="76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62"/>
      <c r="AB530" s="52"/>
      <c r="AC530" s="52"/>
      <c r="AD530" s="52"/>
      <c r="AE530" s="52"/>
      <c r="AF530" s="52"/>
      <c r="AG530" s="52"/>
      <c r="AH530" s="48"/>
      <c r="AI530" s="48"/>
      <c r="AJ530" s="48"/>
      <c r="AK530" s="53"/>
      <c r="AL530" s="53"/>
      <c r="AM530" s="53"/>
      <c r="AN530" s="53"/>
      <c r="AO530" s="53"/>
      <c r="AP530" s="53"/>
      <c r="AQ530" s="53"/>
      <c r="AR530" s="53"/>
      <c r="AS530" s="53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52"/>
      <c r="BG530" s="52"/>
      <c r="BH530" s="52"/>
      <c r="BI530" s="52"/>
      <c r="BJ530" s="52"/>
      <c r="BK530" s="52"/>
      <c r="BL530" s="52"/>
      <c r="BM530" s="54"/>
    </row>
    <row r="531">
      <c r="A531" s="42"/>
      <c r="B531" s="52"/>
      <c r="C531" s="52"/>
      <c r="D531" s="52"/>
      <c r="E531" s="52"/>
      <c r="F531" s="81"/>
      <c r="G531" s="57"/>
      <c r="H531" s="48"/>
      <c r="I531" s="77"/>
      <c r="J531" s="62"/>
      <c r="K531" s="52"/>
      <c r="L531" s="52"/>
      <c r="M531" s="76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62"/>
      <c r="AB531" s="52"/>
      <c r="AC531" s="52"/>
      <c r="AD531" s="52"/>
      <c r="AE531" s="52"/>
      <c r="AF531" s="52"/>
      <c r="AG531" s="52"/>
      <c r="AH531" s="48"/>
      <c r="AI531" s="48"/>
      <c r="AJ531" s="48"/>
      <c r="AK531" s="53"/>
      <c r="AL531" s="53"/>
      <c r="AM531" s="53"/>
      <c r="AN531" s="53"/>
      <c r="AO531" s="53"/>
      <c r="AP531" s="53"/>
      <c r="AQ531" s="53"/>
      <c r="AR531" s="53"/>
      <c r="AS531" s="53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52"/>
      <c r="BG531" s="52"/>
      <c r="BH531" s="52"/>
      <c r="BI531" s="52"/>
      <c r="BJ531" s="52"/>
      <c r="BK531" s="52"/>
      <c r="BL531" s="52"/>
      <c r="BM531" s="54"/>
    </row>
    <row r="532">
      <c r="A532" s="42"/>
      <c r="B532" s="52"/>
      <c r="C532" s="52"/>
      <c r="D532" s="52"/>
      <c r="E532" s="52"/>
      <c r="F532" s="81"/>
      <c r="G532" s="57"/>
      <c r="H532" s="48"/>
      <c r="I532" s="77"/>
      <c r="J532" s="62"/>
      <c r="K532" s="52"/>
      <c r="L532" s="52"/>
      <c r="M532" s="76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62"/>
      <c r="AB532" s="52"/>
      <c r="AC532" s="52"/>
      <c r="AD532" s="52"/>
      <c r="AE532" s="52"/>
      <c r="AF532" s="52"/>
      <c r="AG532" s="52"/>
      <c r="AH532" s="48"/>
      <c r="AI532" s="48"/>
      <c r="AJ532" s="48"/>
      <c r="AK532" s="53"/>
      <c r="AL532" s="53"/>
      <c r="AM532" s="53"/>
      <c r="AN532" s="53"/>
      <c r="AO532" s="53"/>
      <c r="AP532" s="53"/>
      <c r="AQ532" s="53"/>
      <c r="AR532" s="53"/>
      <c r="AS532" s="53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52"/>
      <c r="BG532" s="52"/>
      <c r="BH532" s="52"/>
      <c r="BI532" s="52"/>
      <c r="BJ532" s="52"/>
      <c r="BK532" s="52"/>
      <c r="BL532" s="52"/>
      <c r="BM532" s="54"/>
    </row>
    <row r="533">
      <c r="A533" s="42"/>
      <c r="B533" s="52"/>
      <c r="C533" s="52"/>
      <c r="D533" s="52"/>
      <c r="E533" s="52"/>
      <c r="F533" s="81"/>
      <c r="G533" s="57"/>
      <c r="H533" s="48"/>
      <c r="I533" s="77"/>
      <c r="J533" s="62"/>
      <c r="K533" s="52"/>
      <c r="L533" s="52"/>
      <c r="M533" s="76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62"/>
      <c r="AB533" s="52"/>
      <c r="AC533" s="52"/>
      <c r="AD533" s="52"/>
      <c r="AE533" s="52"/>
      <c r="AF533" s="52"/>
      <c r="AG533" s="52"/>
      <c r="AH533" s="48"/>
      <c r="AI533" s="48"/>
      <c r="AJ533" s="48"/>
      <c r="AK533" s="53"/>
      <c r="AL533" s="53"/>
      <c r="AM533" s="53"/>
      <c r="AN533" s="53"/>
      <c r="AO533" s="53"/>
      <c r="AP533" s="53"/>
      <c r="AQ533" s="53"/>
      <c r="AR533" s="53"/>
      <c r="AS533" s="53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52"/>
      <c r="BG533" s="52"/>
      <c r="BH533" s="52"/>
      <c r="BI533" s="52"/>
      <c r="BJ533" s="52"/>
      <c r="BK533" s="52"/>
      <c r="BL533" s="52"/>
      <c r="BM533" s="54"/>
    </row>
    <row r="534">
      <c r="A534" s="42"/>
      <c r="B534" s="52"/>
      <c r="C534" s="52"/>
      <c r="D534" s="52"/>
      <c r="E534" s="52"/>
      <c r="F534" s="81"/>
      <c r="G534" s="57"/>
      <c r="H534" s="48"/>
      <c r="I534" s="77"/>
      <c r="J534" s="62"/>
      <c r="K534" s="52"/>
      <c r="L534" s="52"/>
      <c r="M534" s="76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62"/>
      <c r="AB534" s="52"/>
      <c r="AC534" s="52"/>
      <c r="AD534" s="52"/>
      <c r="AE534" s="52"/>
      <c r="AF534" s="52"/>
      <c r="AG534" s="52"/>
      <c r="AH534" s="48"/>
      <c r="AI534" s="48"/>
      <c r="AJ534" s="48"/>
      <c r="AK534" s="53"/>
      <c r="AL534" s="53"/>
      <c r="AM534" s="53"/>
      <c r="AN534" s="53"/>
      <c r="AO534" s="53"/>
      <c r="AP534" s="53"/>
      <c r="AQ534" s="53"/>
      <c r="AR534" s="53"/>
      <c r="AS534" s="53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52"/>
      <c r="BG534" s="52"/>
      <c r="BH534" s="52"/>
      <c r="BI534" s="52"/>
      <c r="BJ534" s="52"/>
      <c r="BK534" s="52"/>
      <c r="BL534" s="52"/>
      <c r="BM534" s="54"/>
    </row>
    <row r="535">
      <c r="A535" s="42"/>
      <c r="B535" s="52"/>
      <c r="C535" s="52"/>
      <c r="D535" s="52"/>
      <c r="E535" s="52"/>
      <c r="F535" s="81"/>
      <c r="G535" s="57"/>
      <c r="H535" s="48"/>
      <c r="I535" s="77"/>
      <c r="J535" s="62"/>
      <c r="K535" s="52"/>
      <c r="L535" s="52"/>
      <c r="M535" s="76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62"/>
      <c r="AB535" s="52"/>
      <c r="AC535" s="52"/>
      <c r="AD535" s="52"/>
      <c r="AE535" s="52"/>
      <c r="AF535" s="52"/>
      <c r="AG535" s="52"/>
      <c r="AH535" s="48"/>
      <c r="AI535" s="48"/>
      <c r="AJ535" s="48"/>
      <c r="AK535" s="53"/>
      <c r="AL535" s="53"/>
      <c r="AM535" s="53"/>
      <c r="AN535" s="53"/>
      <c r="AO535" s="53"/>
      <c r="AP535" s="53"/>
      <c r="AQ535" s="53"/>
      <c r="AR535" s="53"/>
      <c r="AS535" s="53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52"/>
      <c r="BG535" s="52"/>
      <c r="BH535" s="52"/>
      <c r="BI535" s="52"/>
      <c r="BJ535" s="52"/>
      <c r="BK535" s="52"/>
      <c r="BL535" s="52"/>
      <c r="BM535" s="54"/>
    </row>
    <row r="536">
      <c r="A536" s="42"/>
      <c r="B536" s="52"/>
      <c r="C536" s="52"/>
      <c r="D536" s="52"/>
      <c r="E536" s="52"/>
      <c r="F536" s="81"/>
      <c r="G536" s="57"/>
      <c r="H536" s="48"/>
      <c r="I536" s="77"/>
      <c r="J536" s="62"/>
      <c r="K536" s="52"/>
      <c r="L536" s="52"/>
      <c r="M536" s="76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62"/>
      <c r="AB536" s="52"/>
      <c r="AC536" s="52"/>
      <c r="AD536" s="52"/>
      <c r="AE536" s="52"/>
      <c r="AF536" s="52"/>
      <c r="AG536" s="52"/>
      <c r="AH536" s="48"/>
      <c r="AI536" s="48"/>
      <c r="AJ536" s="48"/>
      <c r="AK536" s="53"/>
      <c r="AL536" s="53"/>
      <c r="AM536" s="53"/>
      <c r="AN536" s="53"/>
      <c r="AO536" s="53"/>
      <c r="AP536" s="53"/>
      <c r="AQ536" s="53"/>
      <c r="AR536" s="53"/>
      <c r="AS536" s="53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52"/>
      <c r="BG536" s="52"/>
      <c r="BH536" s="52"/>
      <c r="BI536" s="52"/>
      <c r="BJ536" s="52"/>
      <c r="BK536" s="52"/>
      <c r="BL536" s="52"/>
      <c r="BM536" s="54"/>
    </row>
    <row r="537">
      <c r="A537" s="42"/>
      <c r="B537" s="52"/>
      <c r="C537" s="52"/>
      <c r="D537" s="52"/>
      <c r="E537" s="52"/>
      <c r="F537" s="81"/>
      <c r="G537" s="57"/>
      <c r="H537" s="48"/>
      <c r="I537" s="77"/>
      <c r="J537" s="62"/>
      <c r="K537" s="52"/>
      <c r="L537" s="52"/>
      <c r="M537" s="76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62"/>
      <c r="AB537" s="52"/>
      <c r="AC537" s="52"/>
      <c r="AD537" s="52"/>
      <c r="AE537" s="52"/>
      <c r="AF537" s="52"/>
      <c r="AG537" s="52"/>
      <c r="AH537" s="48"/>
      <c r="AI537" s="48"/>
      <c r="AJ537" s="48"/>
      <c r="AK537" s="53"/>
      <c r="AL537" s="53"/>
      <c r="AM537" s="53"/>
      <c r="AN537" s="53"/>
      <c r="AO537" s="53"/>
      <c r="AP537" s="53"/>
      <c r="AQ537" s="53"/>
      <c r="AR537" s="53"/>
      <c r="AS537" s="53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52"/>
      <c r="BG537" s="52"/>
      <c r="BH537" s="52"/>
      <c r="BI537" s="52"/>
      <c r="BJ537" s="52"/>
      <c r="BK537" s="52"/>
      <c r="BL537" s="52"/>
      <c r="BM537" s="54"/>
    </row>
    <row r="538">
      <c r="A538" s="42"/>
      <c r="B538" s="52"/>
      <c r="C538" s="52"/>
      <c r="D538" s="52"/>
      <c r="E538" s="52"/>
      <c r="F538" s="81"/>
      <c r="G538" s="57"/>
      <c r="H538" s="48"/>
      <c r="I538" s="77"/>
      <c r="J538" s="62"/>
      <c r="K538" s="52"/>
      <c r="L538" s="52"/>
      <c r="M538" s="76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62"/>
      <c r="AB538" s="52"/>
      <c r="AC538" s="52"/>
      <c r="AD538" s="52"/>
      <c r="AE538" s="52"/>
      <c r="AF538" s="52"/>
      <c r="AG538" s="52"/>
      <c r="AH538" s="48"/>
      <c r="AI538" s="48"/>
      <c r="AJ538" s="48"/>
      <c r="AK538" s="53"/>
      <c r="AL538" s="53"/>
      <c r="AM538" s="53"/>
      <c r="AN538" s="53"/>
      <c r="AO538" s="53"/>
      <c r="AP538" s="53"/>
      <c r="AQ538" s="53"/>
      <c r="AR538" s="53"/>
      <c r="AS538" s="53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52"/>
      <c r="BG538" s="52"/>
      <c r="BH538" s="52"/>
      <c r="BI538" s="52"/>
      <c r="BJ538" s="52"/>
      <c r="BK538" s="52"/>
      <c r="BL538" s="52"/>
      <c r="BM538" s="54"/>
    </row>
    <row r="539">
      <c r="A539" s="42"/>
      <c r="B539" s="52"/>
      <c r="C539" s="52"/>
      <c r="D539" s="52"/>
      <c r="E539" s="52"/>
      <c r="F539" s="81"/>
      <c r="G539" s="57"/>
      <c r="H539" s="48"/>
      <c r="I539" s="77"/>
      <c r="J539" s="62"/>
      <c r="K539" s="52"/>
      <c r="L539" s="52"/>
      <c r="M539" s="76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62"/>
      <c r="AB539" s="52"/>
      <c r="AC539" s="52"/>
      <c r="AD539" s="52"/>
      <c r="AE539" s="52"/>
      <c r="AF539" s="52"/>
      <c r="AG539" s="52"/>
      <c r="AH539" s="48"/>
      <c r="AI539" s="48"/>
      <c r="AJ539" s="48"/>
      <c r="AK539" s="53"/>
      <c r="AL539" s="53"/>
      <c r="AM539" s="53"/>
      <c r="AN539" s="53"/>
      <c r="AO539" s="53"/>
      <c r="AP539" s="53"/>
      <c r="AQ539" s="53"/>
      <c r="AR539" s="53"/>
      <c r="AS539" s="53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52"/>
      <c r="BG539" s="52"/>
      <c r="BH539" s="52"/>
      <c r="BI539" s="52"/>
      <c r="BJ539" s="52"/>
      <c r="BK539" s="52"/>
      <c r="BL539" s="52"/>
      <c r="BM539" s="54"/>
    </row>
    <row r="540">
      <c r="A540" s="42"/>
      <c r="B540" s="52"/>
      <c r="C540" s="52"/>
      <c r="D540" s="52"/>
      <c r="E540" s="52"/>
      <c r="F540" s="81"/>
      <c r="G540" s="57"/>
      <c r="H540" s="48"/>
      <c r="I540" s="77"/>
      <c r="J540" s="62"/>
      <c r="K540" s="52"/>
      <c r="L540" s="52"/>
      <c r="M540" s="76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62"/>
      <c r="AB540" s="52"/>
      <c r="AC540" s="52"/>
      <c r="AD540" s="52"/>
      <c r="AE540" s="52"/>
      <c r="AF540" s="52"/>
      <c r="AG540" s="52"/>
      <c r="AH540" s="48"/>
      <c r="AI540" s="48"/>
      <c r="AJ540" s="48"/>
      <c r="AK540" s="53"/>
      <c r="AL540" s="53"/>
      <c r="AM540" s="53"/>
      <c r="AN540" s="53"/>
      <c r="AO540" s="53"/>
      <c r="AP540" s="53"/>
      <c r="AQ540" s="53"/>
      <c r="AR540" s="53"/>
      <c r="AS540" s="53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52"/>
      <c r="BG540" s="52"/>
      <c r="BH540" s="52"/>
      <c r="BI540" s="52"/>
      <c r="BJ540" s="52"/>
      <c r="BK540" s="52"/>
      <c r="BL540" s="52"/>
      <c r="BM540" s="54"/>
    </row>
    <row r="541">
      <c r="A541" s="42"/>
      <c r="B541" s="52"/>
      <c r="C541" s="52"/>
      <c r="D541" s="52"/>
      <c r="E541" s="52"/>
      <c r="F541" s="81"/>
      <c r="G541" s="57"/>
      <c r="H541" s="48"/>
      <c r="I541" s="77"/>
      <c r="J541" s="62"/>
      <c r="K541" s="52"/>
      <c r="L541" s="52"/>
      <c r="M541" s="76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62"/>
      <c r="AB541" s="52"/>
      <c r="AC541" s="52"/>
      <c r="AD541" s="52"/>
      <c r="AE541" s="52"/>
      <c r="AF541" s="52"/>
      <c r="AG541" s="52"/>
      <c r="AH541" s="48"/>
      <c r="AI541" s="48"/>
      <c r="AJ541" s="48"/>
      <c r="AK541" s="53"/>
      <c r="AL541" s="53"/>
      <c r="AM541" s="53"/>
      <c r="AN541" s="53"/>
      <c r="AO541" s="53"/>
      <c r="AP541" s="53"/>
      <c r="AQ541" s="53"/>
      <c r="AR541" s="53"/>
      <c r="AS541" s="53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52"/>
      <c r="BG541" s="52"/>
      <c r="BH541" s="52"/>
      <c r="BI541" s="52"/>
      <c r="BJ541" s="52"/>
      <c r="BK541" s="52"/>
      <c r="BL541" s="52"/>
      <c r="BM541" s="54"/>
    </row>
    <row r="542">
      <c r="A542" s="42"/>
      <c r="B542" s="52"/>
      <c r="C542" s="52"/>
      <c r="D542" s="52"/>
      <c r="E542" s="52"/>
      <c r="F542" s="81"/>
      <c r="G542" s="57"/>
      <c r="H542" s="48"/>
      <c r="I542" s="77"/>
      <c r="J542" s="62"/>
      <c r="K542" s="52"/>
      <c r="L542" s="52"/>
      <c r="M542" s="76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62"/>
      <c r="AB542" s="52"/>
      <c r="AC542" s="52"/>
      <c r="AD542" s="52"/>
      <c r="AE542" s="52"/>
      <c r="AF542" s="52"/>
      <c r="AG542" s="52"/>
      <c r="AH542" s="48"/>
      <c r="AI542" s="48"/>
      <c r="AJ542" s="48"/>
      <c r="AK542" s="53"/>
      <c r="AL542" s="53"/>
      <c r="AM542" s="53"/>
      <c r="AN542" s="53"/>
      <c r="AO542" s="53"/>
      <c r="AP542" s="53"/>
      <c r="AQ542" s="53"/>
      <c r="AR542" s="53"/>
      <c r="AS542" s="53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52"/>
      <c r="BG542" s="52"/>
      <c r="BH542" s="52"/>
      <c r="BI542" s="52"/>
      <c r="BJ542" s="52"/>
      <c r="BK542" s="52"/>
      <c r="BL542" s="52"/>
      <c r="BM542" s="54"/>
    </row>
    <row r="543">
      <c r="A543" s="42"/>
      <c r="B543" s="52"/>
      <c r="C543" s="52"/>
      <c r="D543" s="52"/>
      <c r="E543" s="52"/>
      <c r="F543" s="81"/>
      <c r="G543" s="57"/>
      <c r="H543" s="48"/>
      <c r="I543" s="77"/>
      <c r="J543" s="62"/>
      <c r="K543" s="52"/>
      <c r="L543" s="52"/>
      <c r="M543" s="76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62"/>
      <c r="AB543" s="52"/>
      <c r="AC543" s="52"/>
      <c r="AD543" s="52"/>
      <c r="AE543" s="52"/>
      <c r="AF543" s="52"/>
      <c r="AG543" s="52"/>
      <c r="AH543" s="48"/>
      <c r="AI543" s="48"/>
      <c r="AJ543" s="48"/>
      <c r="AK543" s="53"/>
      <c r="AL543" s="53"/>
      <c r="AM543" s="53"/>
      <c r="AN543" s="53"/>
      <c r="AO543" s="53"/>
      <c r="AP543" s="53"/>
      <c r="AQ543" s="53"/>
      <c r="AR543" s="53"/>
      <c r="AS543" s="53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52"/>
      <c r="BG543" s="52"/>
      <c r="BH543" s="52"/>
      <c r="BI543" s="52"/>
      <c r="BJ543" s="52"/>
      <c r="BK543" s="52"/>
      <c r="BL543" s="52"/>
      <c r="BM543" s="54"/>
    </row>
    <row r="544">
      <c r="A544" s="42"/>
      <c r="B544" s="52"/>
      <c r="C544" s="52"/>
      <c r="D544" s="52"/>
      <c r="E544" s="52"/>
      <c r="F544" s="81"/>
      <c r="G544" s="57"/>
      <c r="H544" s="48"/>
      <c r="I544" s="77"/>
      <c r="J544" s="62"/>
      <c r="K544" s="52"/>
      <c r="L544" s="52"/>
      <c r="M544" s="76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62"/>
      <c r="AB544" s="52"/>
      <c r="AC544" s="52"/>
      <c r="AD544" s="52"/>
      <c r="AE544" s="52"/>
      <c r="AF544" s="52"/>
      <c r="AG544" s="52"/>
      <c r="AH544" s="48"/>
      <c r="AI544" s="48"/>
      <c r="AJ544" s="48"/>
      <c r="AK544" s="53"/>
      <c r="AL544" s="53"/>
      <c r="AM544" s="53"/>
      <c r="AN544" s="53"/>
      <c r="AO544" s="53"/>
      <c r="AP544" s="53"/>
      <c r="AQ544" s="53"/>
      <c r="AR544" s="53"/>
      <c r="AS544" s="53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52"/>
      <c r="BG544" s="52"/>
      <c r="BH544" s="52"/>
      <c r="BI544" s="52"/>
      <c r="BJ544" s="52"/>
      <c r="BK544" s="52"/>
      <c r="BL544" s="52"/>
      <c r="BM544" s="54"/>
    </row>
    <row r="545">
      <c r="A545" s="42"/>
      <c r="B545" s="52"/>
      <c r="C545" s="52"/>
      <c r="D545" s="52"/>
      <c r="E545" s="52"/>
      <c r="F545" s="81"/>
      <c r="G545" s="57"/>
      <c r="H545" s="48"/>
      <c r="I545" s="77"/>
      <c r="J545" s="62"/>
      <c r="K545" s="52"/>
      <c r="L545" s="52"/>
      <c r="M545" s="76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62"/>
      <c r="AB545" s="52"/>
      <c r="AC545" s="52"/>
      <c r="AD545" s="52"/>
      <c r="AE545" s="52"/>
      <c r="AF545" s="52"/>
      <c r="AG545" s="52"/>
      <c r="AH545" s="48"/>
      <c r="AI545" s="48"/>
      <c r="AJ545" s="48"/>
      <c r="AK545" s="53"/>
      <c r="AL545" s="53"/>
      <c r="AM545" s="53"/>
      <c r="AN545" s="53"/>
      <c r="AO545" s="53"/>
      <c r="AP545" s="53"/>
      <c r="AQ545" s="53"/>
      <c r="AR545" s="53"/>
      <c r="AS545" s="53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52"/>
      <c r="BG545" s="52"/>
      <c r="BH545" s="52"/>
      <c r="BI545" s="52"/>
      <c r="BJ545" s="52"/>
      <c r="BK545" s="52"/>
      <c r="BL545" s="52"/>
      <c r="BM545" s="54"/>
    </row>
    <row r="546">
      <c r="A546" s="42"/>
      <c r="B546" s="52"/>
      <c r="C546" s="52"/>
      <c r="D546" s="52"/>
      <c r="E546" s="52"/>
      <c r="F546" s="81"/>
      <c r="G546" s="57"/>
      <c r="H546" s="48"/>
      <c r="I546" s="77"/>
      <c r="J546" s="62"/>
      <c r="K546" s="52"/>
      <c r="L546" s="52"/>
      <c r="M546" s="76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62"/>
      <c r="AB546" s="52"/>
      <c r="AC546" s="52"/>
      <c r="AD546" s="52"/>
      <c r="AE546" s="52"/>
      <c r="AF546" s="52"/>
      <c r="AG546" s="52"/>
      <c r="AH546" s="48"/>
      <c r="AI546" s="48"/>
      <c r="AJ546" s="48"/>
      <c r="AK546" s="53"/>
      <c r="AL546" s="53"/>
      <c r="AM546" s="53"/>
      <c r="AN546" s="53"/>
      <c r="AO546" s="53"/>
      <c r="AP546" s="53"/>
      <c r="AQ546" s="53"/>
      <c r="AR546" s="53"/>
      <c r="AS546" s="53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52"/>
      <c r="BG546" s="52"/>
      <c r="BH546" s="52"/>
      <c r="BI546" s="52"/>
      <c r="BJ546" s="52"/>
      <c r="BK546" s="52"/>
      <c r="BL546" s="52"/>
      <c r="BM546" s="54"/>
    </row>
    <row r="547">
      <c r="A547" s="42"/>
      <c r="B547" s="52"/>
      <c r="C547" s="52"/>
      <c r="D547" s="52"/>
      <c r="E547" s="52"/>
      <c r="F547" s="81"/>
      <c r="G547" s="57"/>
      <c r="H547" s="48"/>
      <c r="I547" s="77"/>
      <c r="J547" s="62"/>
      <c r="K547" s="52"/>
      <c r="L547" s="52"/>
      <c r="M547" s="76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62"/>
      <c r="AB547" s="52"/>
      <c r="AC547" s="52"/>
      <c r="AD547" s="52"/>
      <c r="AE547" s="52"/>
      <c r="AF547" s="52"/>
      <c r="AG547" s="52"/>
      <c r="AH547" s="48"/>
      <c r="AI547" s="48"/>
      <c r="AJ547" s="48"/>
      <c r="AK547" s="53"/>
      <c r="AL547" s="53"/>
      <c r="AM547" s="53"/>
      <c r="AN547" s="53"/>
      <c r="AO547" s="53"/>
      <c r="AP547" s="53"/>
      <c r="AQ547" s="53"/>
      <c r="AR547" s="53"/>
      <c r="AS547" s="53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52"/>
      <c r="BG547" s="52"/>
      <c r="BH547" s="52"/>
      <c r="BI547" s="52"/>
      <c r="BJ547" s="52"/>
      <c r="BK547" s="52"/>
      <c r="BL547" s="52"/>
      <c r="BM547" s="54"/>
    </row>
    <row r="548">
      <c r="A548" s="42"/>
      <c r="B548" s="52"/>
      <c r="C548" s="52"/>
      <c r="D548" s="52"/>
      <c r="E548" s="52"/>
      <c r="F548" s="81"/>
      <c r="G548" s="57"/>
      <c r="H548" s="48"/>
      <c r="I548" s="77"/>
      <c r="J548" s="62"/>
      <c r="K548" s="52"/>
      <c r="L548" s="52"/>
      <c r="M548" s="76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62"/>
      <c r="AB548" s="52"/>
      <c r="AC548" s="52"/>
      <c r="AD548" s="52"/>
      <c r="AE548" s="52"/>
      <c r="AF548" s="52"/>
      <c r="AG548" s="52"/>
      <c r="AH548" s="48"/>
      <c r="AI548" s="48"/>
      <c r="AJ548" s="48"/>
      <c r="AK548" s="53"/>
      <c r="AL548" s="53"/>
      <c r="AM548" s="53"/>
      <c r="AN548" s="53"/>
      <c r="AO548" s="53"/>
      <c r="AP548" s="53"/>
      <c r="AQ548" s="53"/>
      <c r="AR548" s="53"/>
      <c r="AS548" s="53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52"/>
      <c r="BG548" s="52"/>
      <c r="BH548" s="52"/>
      <c r="BI548" s="52"/>
      <c r="BJ548" s="52"/>
      <c r="BK548" s="52"/>
      <c r="BL548" s="52"/>
      <c r="BM548" s="54"/>
    </row>
    <row r="549">
      <c r="A549" s="42"/>
      <c r="B549" s="52"/>
      <c r="C549" s="52"/>
      <c r="D549" s="52"/>
      <c r="E549" s="52"/>
      <c r="F549" s="81"/>
      <c r="G549" s="57"/>
      <c r="H549" s="48"/>
      <c r="I549" s="77"/>
      <c r="J549" s="62"/>
      <c r="K549" s="52"/>
      <c r="L549" s="52"/>
      <c r="M549" s="76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62"/>
      <c r="AB549" s="52"/>
      <c r="AC549" s="52"/>
      <c r="AD549" s="52"/>
      <c r="AE549" s="52"/>
      <c r="AF549" s="52"/>
      <c r="AG549" s="52"/>
      <c r="AH549" s="48"/>
      <c r="AI549" s="48"/>
      <c r="AJ549" s="48"/>
      <c r="AK549" s="53"/>
      <c r="AL549" s="53"/>
      <c r="AM549" s="53"/>
      <c r="AN549" s="53"/>
      <c r="AO549" s="53"/>
      <c r="AP549" s="53"/>
      <c r="AQ549" s="53"/>
      <c r="AR549" s="53"/>
      <c r="AS549" s="53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52"/>
      <c r="BG549" s="52"/>
      <c r="BH549" s="52"/>
      <c r="BI549" s="52"/>
      <c r="BJ549" s="52"/>
      <c r="BK549" s="52"/>
      <c r="BL549" s="52"/>
      <c r="BM549" s="54"/>
    </row>
    <row r="550">
      <c r="A550" s="42"/>
      <c r="B550" s="52"/>
      <c r="C550" s="52"/>
      <c r="D550" s="52"/>
      <c r="E550" s="52"/>
      <c r="F550" s="81"/>
      <c r="G550" s="57"/>
      <c r="H550" s="48"/>
      <c r="I550" s="77"/>
      <c r="J550" s="62"/>
      <c r="K550" s="52"/>
      <c r="L550" s="52"/>
      <c r="M550" s="76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62"/>
      <c r="AB550" s="52"/>
      <c r="AC550" s="52"/>
      <c r="AD550" s="52"/>
      <c r="AE550" s="52"/>
      <c r="AF550" s="52"/>
      <c r="AG550" s="52"/>
      <c r="AH550" s="48"/>
      <c r="AI550" s="48"/>
      <c r="AJ550" s="48"/>
      <c r="AK550" s="53"/>
      <c r="AL550" s="53"/>
      <c r="AM550" s="53"/>
      <c r="AN550" s="53"/>
      <c r="AO550" s="53"/>
      <c r="AP550" s="53"/>
      <c r="AQ550" s="53"/>
      <c r="AR550" s="53"/>
      <c r="AS550" s="53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52"/>
      <c r="BG550" s="52"/>
      <c r="BH550" s="52"/>
      <c r="BI550" s="52"/>
      <c r="BJ550" s="52"/>
      <c r="BK550" s="52"/>
      <c r="BL550" s="52"/>
      <c r="BM550" s="54"/>
    </row>
    <row r="551">
      <c r="A551" s="42"/>
      <c r="B551" s="52"/>
      <c r="C551" s="52"/>
      <c r="D551" s="52"/>
      <c r="E551" s="52"/>
      <c r="F551" s="81"/>
      <c r="G551" s="57"/>
      <c r="H551" s="48"/>
      <c r="I551" s="77"/>
      <c r="J551" s="62"/>
      <c r="K551" s="52"/>
      <c r="L551" s="52"/>
      <c r="M551" s="76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62"/>
      <c r="AB551" s="52"/>
      <c r="AC551" s="52"/>
      <c r="AD551" s="52"/>
      <c r="AE551" s="52"/>
      <c r="AF551" s="52"/>
      <c r="AG551" s="52"/>
      <c r="AH551" s="48"/>
      <c r="AI551" s="48"/>
      <c r="AJ551" s="48"/>
      <c r="AK551" s="53"/>
      <c r="AL551" s="53"/>
      <c r="AM551" s="53"/>
      <c r="AN551" s="53"/>
      <c r="AO551" s="53"/>
      <c r="AP551" s="53"/>
      <c r="AQ551" s="53"/>
      <c r="AR551" s="53"/>
      <c r="AS551" s="53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52"/>
      <c r="BG551" s="52"/>
      <c r="BH551" s="52"/>
      <c r="BI551" s="52"/>
      <c r="BJ551" s="52"/>
      <c r="BK551" s="52"/>
      <c r="BL551" s="52"/>
      <c r="BM551" s="54"/>
    </row>
    <row r="552">
      <c r="A552" s="42"/>
      <c r="B552" s="52"/>
      <c r="C552" s="52"/>
      <c r="D552" s="52"/>
      <c r="E552" s="52"/>
      <c r="F552" s="81"/>
      <c r="G552" s="57"/>
      <c r="H552" s="48"/>
      <c r="I552" s="77"/>
      <c r="J552" s="62"/>
      <c r="K552" s="52"/>
      <c r="L552" s="52"/>
      <c r="M552" s="76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62"/>
      <c r="AB552" s="52"/>
      <c r="AC552" s="52"/>
      <c r="AD552" s="52"/>
      <c r="AE552" s="52"/>
      <c r="AF552" s="52"/>
      <c r="AG552" s="52"/>
      <c r="AH552" s="48"/>
      <c r="AI552" s="48"/>
      <c r="AJ552" s="48"/>
      <c r="AK552" s="53"/>
      <c r="AL552" s="53"/>
      <c r="AM552" s="53"/>
      <c r="AN552" s="53"/>
      <c r="AO552" s="53"/>
      <c r="AP552" s="53"/>
      <c r="AQ552" s="53"/>
      <c r="AR552" s="53"/>
      <c r="AS552" s="53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52"/>
      <c r="BG552" s="52"/>
      <c r="BH552" s="52"/>
      <c r="BI552" s="52"/>
      <c r="BJ552" s="52"/>
      <c r="BK552" s="52"/>
      <c r="BL552" s="52"/>
      <c r="BM552" s="54"/>
    </row>
    <row r="553">
      <c r="A553" s="42"/>
      <c r="B553" s="52"/>
      <c r="C553" s="52"/>
      <c r="D553" s="52"/>
      <c r="E553" s="52"/>
      <c r="F553" s="81"/>
      <c r="G553" s="57"/>
      <c r="H553" s="48"/>
      <c r="I553" s="77"/>
      <c r="J553" s="62"/>
      <c r="K553" s="52"/>
      <c r="L553" s="52"/>
      <c r="M553" s="76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62"/>
      <c r="AB553" s="52"/>
      <c r="AC553" s="52"/>
      <c r="AD553" s="52"/>
      <c r="AE553" s="52"/>
      <c r="AF553" s="52"/>
      <c r="AG553" s="52"/>
      <c r="AH553" s="48"/>
      <c r="AI553" s="48"/>
      <c r="AJ553" s="48"/>
      <c r="AK553" s="53"/>
      <c r="AL553" s="53"/>
      <c r="AM553" s="53"/>
      <c r="AN553" s="53"/>
      <c r="AO553" s="53"/>
      <c r="AP553" s="53"/>
      <c r="AQ553" s="53"/>
      <c r="AR553" s="53"/>
      <c r="AS553" s="53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52"/>
      <c r="BG553" s="52"/>
      <c r="BH553" s="52"/>
      <c r="BI553" s="52"/>
      <c r="BJ553" s="52"/>
      <c r="BK553" s="52"/>
      <c r="BL553" s="52"/>
      <c r="BM553" s="54"/>
    </row>
    <row r="554">
      <c r="A554" s="42"/>
      <c r="B554" s="52"/>
      <c r="C554" s="52"/>
      <c r="D554" s="52"/>
      <c r="E554" s="52"/>
      <c r="F554" s="81"/>
      <c r="G554" s="57"/>
      <c r="H554" s="48"/>
      <c r="I554" s="77"/>
      <c r="J554" s="62"/>
      <c r="K554" s="52"/>
      <c r="L554" s="52"/>
      <c r="M554" s="76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62"/>
      <c r="AB554" s="52"/>
      <c r="AC554" s="52"/>
      <c r="AD554" s="52"/>
      <c r="AE554" s="52"/>
      <c r="AF554" s="52"/>
      <c r="AG554" s="52"/>
      <c r="AH554" s="48"/>
      <c r="AI554" s="48"/>
      <c r="AJ554" s="48"/>
      <c r="AK554" s="53"/>
      <c r="AL554" s="53"/>
      <c r="AM554" s="53"/>
      <c r="AN554" s="53"/>
      <c r="AO554" s="53"/>
      <c r="AP554" s="53"/>
      <c r="AQ554" s="53"/>
      <c r="AR554" s="53"/>
      <c r="AS554" s="53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52"/>
      <c r="BG554" s="52"/>
      <c r="BH554" s="52"/>
      <c r="BI554" s="52"/>
      <c r="BJ554" s="52"/>
      <c r="BK554" s="52"/>
      <c r="BL554" s="52"/>
      <c r="BM554" s="54"/>
    </row>
    <row r="555">
      <c r="A555" s="42"/>
      <c r="B555" s="52"/>
      <c r="C555" s="52"/>
      <c r="D555" s="52"/>
      <c r="E555" s="52"/>
      <c r="F555" s="81"/>
      <c r="G555" s="57"/>
      <c r="H555" s="48"/>
      <c r="I555" s="77"/>
      <c r="J555" s="62"/>
      <c r="K555" s="52"/>
      <c r="L555" s="52"/>
      <c r="M555" s="76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62"/>
      <c r="AB555" s="52"/>
      <c r="AC555" s="52"/>
      <c r="AD555" s="52"/>
      <c r="AE555" s="52"/>
      <c r="AF555" s="52"/>
      <c r="AG555" s="52"/>
      <c r="AH555" s="48"/>
      <c r="AI555" s="48"/>
      <c r="AJ555" s="48"/>
      <c r="AK555" s="53"/>
      <c r="AL555" s="53"/>
      <c r="AM555" s="53"/>
      <c r="AN555" s="53"/>
      <c r="AO555" s="53"/>
      <c r="AP555" s="53"/>
      <c r="AQ555" s="53"/>
      <c r="AR555" s="53"/>
      <c r="AS555" s="53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52"/>
      <c r="BG555" s="52"/>
      <c r="BH555" s="52"/>
      <c r="BI555" s="52"/>
      <c r="BJ555" s="52"/>
      <c r="BK555" s="52"/>
      <c r="BL555" s="52"/>
      <c r="BM555" s="54"/>
    </row>
    <row r="556">
      <c r="A556" s="42"/>
      <c r="B556" s="52"/>
      <c r="C556" s="52"/>
      <c r="D556" s="52"/>
      <c r="E556" s="52"/>
      <c r="F556" s="81"/>
      <c r="G556" s="57"/>
      <c r="H556" s="48"/>
      <c r="I556" s="77"/>
      <c r="J556" s="62"/>
      <c r="K556" s="52"/>
      <c r="L556" s="52"/>
      <c r="M556" s="76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62"/>
      <c r="AB556" s="52"/>
      <c r="AC556" s="52"/>
      <c r="AD556" s="52"/>
      <c r="AE556" s="52"/>
      <c r="AF556" s="52"/>
      <c r="AG556" s="52"/>
      <c r="AH556" s="48"/>
      <c r="AI556" s="48"/>
      <c r="AJ556" s="48"/>
      <c r="AK556" s="53"/>
      <c r="AL556" s="53"/>
      <c r="AM556" s="53"/>
      <c r="AN556" s="53"/>
      <c r="AO556" s="53"/>
      <c r="AP556" s="53"/>
      <c r="AQ556" s="53"/>
      <c r="AR556" s="53"/>
      <c r="AS556" s="53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52"/>
      <c r="BG556" s="52"/>
      <c r="BH556" s="52"/>
      <c r="BI556" s="52"/>
      <c r="BJ556" s="52"/>
      <c r="BK556" s="52"/>
      <c r="BL556" s="52"/>
      <c r="BM556" s="54"/>
    </row>
    <row r="557">
      <c r="A557" s="42"/>
      <c r="B557" s="52"/>
      <c r="C557" s="52"/>
      <c r="D557" s="52"/>
      <c r="E557" s="52"/>
      <c r="F557" s="81"/>
      <c r="G557" s="57"/>
      <c r="H557" s="48"/>
      <c r="I557" s="77"/>
      <c r="J557" s="62"/>
      <c r="K557" s="52"/>
      <c r="L557" s="52"/>
      <c r="M557" s="76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62"/>
      <c r="AB557" s="52"/>
      <c r="AC557" s="52"/>
      <c r="AD557" s="52"/>
      <c r="AE557" s="52"/>
      <c r="AF557" s="52"/>
      <c r="AG557" s="52"/>
      <c r="AH557" s="48"/>
      <c r="AI557" s="48"/>
      <c r="AJ557" s="48"/>
      <c r="AK557" s="53"/>
      <c r="AL557" s="53"/>
      <c r="AM557" s="53"/>
      <c r="AN557" s="53"/>
      <c r="AO557" s="53"/>
      <c r="AP557" s="53"/>
      <c r="AQ557" s="53"/>
      <c r="AR557" s="53"/>
      <c r="AS557" s="53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52"/>
      <c r="BG557" s="52"/>
      <c r="BH557" s="52"/>
      <c r="BI557" s="52"/>
      <c r="BJ557" s="52"/>
      <c r="BK557" s="52"/>
      <c r="BL557" s="52"/>
      <c r="BM557" s="54"/>
    </row>
    <row r="558">
      <c r="A558" s="42"/>
      <c r="B558" s="52"/>
      <c r="C558" s="52"/>
      <c r="D558" s="52"/>
      <c r="E558" s="52"/>
      <c r="F558" s="81"/>
      <c r="G558" s="57"/>
      <c r="H558" s="48"/>
      <c r="I558" s="77"/>
      <c r="J558" s="62"/>
      <c r="K558" s="52"/>
      <c r="L558" s="52"/>
      <c r="M558" s="76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62"/>
      <c r="AB558" s="52"/>
      <c r="AC558" s="52"/>
      <c r="AD558" s="52"/>
      <c r="AE558" s="52"/>
      <c r="AF558" s="52"/>
      <c r="AG558" s="52"/>
      <c r="AH558" s="48"/>
      <c r="AI558" s="48"/>
      <c r="AJ558" s="48"/>
      <c r="AK558" s="53"/>
      <c r="AL558" s="53"/>
      <c r="AM558" s="53"/>
      <c r="AN558" s="53"/>
      <c r="AO558" s="53"/>
      <c r="AP558" s="53"/>
      <c r="AQ558" s="53"/>
      <c r="AR558" s="53"/>
      <c r="AS558" s="53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52"/>
      <c r="BG558" s="52"/>
      <c r="BH558" s="52"/>
      <c r="BI558" s="52"/>
      <c r="BJ558" s="52"/>
      <c r="BK558" s="52"/>
      <c r="BL558" s="52"/>
      <c r="BM558" s="54"/>
    </row>
    <row r="559">
      <c r="A559" s="42"/>
      <c r="B559" s="52"/>
      <c r="C559" s="52"/>
      <c r="D559" s="52"/>
      <c r="E559" s="52"/>
      <c r="F559" s="81"/>
      <c r="G559" s="57"/>
      <c r="H559" s="48"/>
      <c r="I559" s="77"/>
      <c r="J559" s="62"/>
      <c r="K559" s="52"/>
      <c r="L559" s="52"/>
      <c r="M559" s="76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62"/>
      <c r="AB559" s="52"/>
      <c r="AC559" s="52"/>
      <c r="AD559" s="52"/>
      <c r="AE559" s="52"/>
      <c r="AF559" s="52"/>
      <c r="AG559" s="52"/>
      <c r="AH559" s="48"/>
      <c r="AI559" s="48"/>
      <c r="AJ559" s="48"/>
      <c r="AK559" s="53"/>
      <c r="AL559" s="53"/>
      <c r="AM559" s="53"/>
      <c r="AN559" s="53"/>
      <c r="AO559" s="53"/>
      <c r="AP559" s="53"/>
      <c r="AQ559" s="53"/>
      <c r="AR559" s="53"/>
      <c r="AS559" s="53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52"/>
      <c r="BG559" s="52"/>
      <c r="BH559" s="52"/>
      <c r="BI559" s="52"/>
      <c r="BJ559" s="52"/>
      <c r="BK559" s="52"/>
      <c r="BL559" s="52"/>
      <c r="BM559" s="54"/>
    </row>
    <row r="560">
      <c r="A560" s="42"/>
      <c r="B560" s="52"/>
      <c r="C560" s="52"/>
      <c r="D560" s="52"/>
      <c r="E560" s="52"/>
      <c r="F560" s="81"/>
      <c r="G560" s="57"/>
      <c r="H560" s="48"/>
      <c r="I560" s="77"/>
      <c r="J560" s="62"/>
      <c r="K560" s="52"/>
      <c r="L560" s="52"/>
      <c r="M560" s="76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62"/>
      <c r="AB560" s="52"/>
      <c r="AC560" s="52"/>
      <c r="AD560" s="52"/>
      <c r="AE560" s="52"/>
      <c r="AF560" s="52"/>
      <c r="AG560" s="52"/>
      <c r="AH560" s="48"/>
      <c r="AI560" s="48"/>
      <c r="AJ560" s="48"/>
      <c r="AK560" s="53"/>
      <c r="AL560" s="53"/>
      <c r="AM560" s="53"/>
      <c r="AN560" s="53"/>
      <c r="AO560" s="53"/>
      <c r="AP560" s="53"/>
      <c r="AQ560" s="53"/>
      <c r="AR560" s="53"/>
      <c r="AS560" s="53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52"/>
      <c r="BG560" s="52"/>
      <c r="BH560" s="52"/>
      <c r="BI560" s="52"/>
      <c r="BJ560" s="52"/>
      <c r="BK560" s="52"/>
      <c r="BL560" s="52"/>
      <c r="BM560" s="54"/>
    </row>
    <row r="561">
      <c r="A561" s="42"/>
      <c r="B561" s="52"/>
      <c r="C561" s="52"/>
      <c r="D561" s="52"/>
      <c r="E561" s="52"/>
      <c r="F561" s="81"/>
      <c r="G561" s="57"/>
      <c r="H561" s="48"/>
      <c r="I561" s="77"/>
      <c r="J561" s="62"/>
      <c r="K561" s="52"/>
      <c r="L561" s="52"/>
      <c r="M561" s="76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62"/>
      <c r="AB561" s="52"/>
      <c r="AC561" s="52"/>
      <c r="AD561" s="52"/>
      <c r="AE561" s="52"/>
      <c r="AF561" s="52"/>
      <c r="AG561" s="52"/>
      <c r="AH561" s="48"/>
      <c r="AI561" s="48"/>
      <c r="AJ561" s="48"/>
      <c r="AK561" s="53"/>
      <c r="AL561" s="53"/>
      <c r="AM561" s="53"/>
      <c r="AN561" s="53"/>
      <c r="AO561" s="53"/>
      <c r="AP561" s="53"/>
      <c r="AQ561" s="53"/>
      <c r="AR561" s="53"/>
      <c r="AS561" s="53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52"/>
      <c r="BG561" s="52"/>
      <c r="BH561" s="52"/>
      <c r="BI561" s="52"/>
      <c r="BJ561" s="52"/>
      <c r="BK561" s="52"/>
      <c r="BL561" s="52"/>
      <c r="BM561" s="54"/>
    </row>
    <row r="562">
      <c r="A562" s="42"/>
      <c r="B562" s="52"/>
      <c r="C562" s="52"/>
      <c r="D562" s="52"/>
      <c r="E562" s="52"/>
      <c r="F562" s="81"/>
      <c r="G562" s="57"/>
      <c r="H562" s="48"/>
      <c r="I562" s="77"/>
      <c r="J562" s="62"/>
      <c r="K562" s="52"/>
      <c r="L562" s="52"/>
      <c r="M562" s="76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62"/>
      <c r="AB562" s="52"/>
      <c r="AC562" s="52"/>
      <c r="AD562" s="52"/>
      <c r="AE562" s="52"/>
      <c r="AF562" s="52"/>
      <c r="AG562" s="52"/>
      <c r="AH562" s="48"/>
      <c r="AI562" s="48"/>
      <c r="AJ562" s="48"/>
      <c r="AK562" s="53"/>
      <c r="AL562" s="53"/>
      <c r="AM562" s="53"/>
      <c r="AN562" s="53"/>
      <c r="AO562" s="53"/>
      <c r="AP562" s="53"/>
      <c r="AQ562" s="53"/>
      <c r="AR562" s="53"/>
      <c r="AS562" s="53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52"/>
      <c r="BG562" s="52"/>
      <c r="BH562" s="52"/>
      <c r="BI562" s="52"/>
      <c r="BJ562" s="52"/>
      <c r="BK562" s="52"/>
      <c r="BL562" s="52"/>
      <c r="BM562" s="54"/>
    </row>
    <row r="563">
      <c r="A563" s="42"/>
      <c r="B563" s="52"/>
      <c r="C563" s="52"/>
      <c r="D563" s="52"/>
      <c r="E563" s="52"/>
      <c r="F563" s="81"/>
      <c r="G563" s="57"/>
      <c r="H563" s="48"/>
      <c r="I563" s="77"/>
      <c r="J563" s="62"/>
      <c r="K563" s="52"/>
      <c r="L563" s="52"/>
      <c r="M563" s="76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62"/>
      <c r="AB563" s="52"/>
      <c r="AC563" s="52"/>
      <c r="AD563" s="52"/>
      <c r="AE563" s="52"/>
      <c r="AF563" s="52"/>
      <c r="AG563" s="52"/>
      <c r="AH563" s="48"/>
      <c r="AI563" s="48"/>
      <c r="AJ563" s="48"/>
      <c r="AK563" s="53"/>
      <c r="AL563" s="53"/>
      <c r="AM563" s="53"/>
      <c r="AN563" s="53"/>
      <c r="AO563" s="53"/>
      <c r="AP563" s="53"/>
      <c r="AQ563" s="53"/>
      <c r="AR563" s="53"/>
      <c r="AS563" s="53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52"/>
      <c r="BG563" s="52"/>
      <c r="BH563" s="52"/>
      <c r="BI563" s="52"/>
      <c r="BJ563" s="52"/>
      <c r="BK563" s="52"/>
      <c r="BL563" s="52"/>
      <c r="BM563" s="54"/>
    </row>
    <row r="564">
      <c r="A564" s="42"/>
      <c r="B564" s="52"/>
      <c r="C564" s="52"/>
      <c r="D564" s="52"/>
      <c r="E564" s="52"/>
      <c r="F564" s="81"/>
      <c r="G564" s="57"/>
      <c r="H564" s="48"/>
      <c r="I564" s="77"/>
      <c r="J564" s="62"/>
      <c r="K564" s="52"/>
      <c r="L564" s="52"/>
      <c r="M564" s="76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62"/>
      <c r="AB564" s="52"/>
      <c r="AC564" s="52"/>
      <c r="AD564" s="52"/>
      <c r="AE564" s="52"/>
      <c r="AF564" s="52"/>
      <c r="AG564" s="52"/>
      <c r="AH564" s="48"/>
      <c r="AI564" s="48"/>
      <c r="AJ564" s="48"/>
      <c r="AK564" s="53"/>
      <c r="AL564" s="53"/>
      <c r="AM564" s="53"/>
      <c r="AN564" s="53"/>
      <c r="AO564" s="53"/>
      <c r="AP564" s="53"/>
      <c r="AQ564" s="53"/>
      <c r="AR564" s="53"/>
      <c r="AS564" s="53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52"/>
      <c r="BG564" s="52"/>
      <c r="BH564" s="52"/>
      <c r="BI564" s="52"/>
      <c r="BJ564" s="52"/>
      <c r="BK564" s="52"/>
      <c r="BL564" s="52"/>
      <c r="BM564" s="54"/>
    </row>
    <row r="565">
      <c r="A565" s="42"/>
      <c r="B565" s="52"/>
      <c r="C565" s="52"/>
      <c r="D565" s="52"/>
      <c r="E565" s="52"/>
      <c r="F565" s="81"/>
      <c r="G565" s="57"/>
      <c r="H565" s="48"/>
      <c r="I565" s="77"/>
      <c r="J565" s="62"/>
      <c r="K565" s="52"/>
      <c r="L565" s="52"/>
      <c r="M565" s="76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62"/>
      <c r="AB565" s="52"/>
      <c r="AC565" s="52"/>
      <c r="AD565" s="52"/>
      <c r="AE565" s="52"/>
      <c r="AF565" s="52"/>
      <c r="AG565" s="52"/>
      <c r="AH565" s="48"/>
      <c r="AI565" s="48"/>
      <c r="AJ565" s="48"/>
      <c r="AK565" s="53"/>
      <c r="AL565" s="53"/>
      <c r="AM565" s="53"/>
      <c r="AN565" s="53"/>
      <c r="AO565" s="53"/>
      <c r="AP565" s="53"/>
      <c r="AQ565" s="53"/>
      <c r="AR565" s="53"/>
      <c r="AS565" s="53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52"/>
      <c r="BG565" s="52"/>
      <c r="BH565" s="52"/>
      <c r="BI565" s="52"/>
      <c r="BJ565" s="52"/>
      <c r="BK565" s="52"/>
      <c r="BL565" s="52"/>
      <c r="BM565" s="54"/>
    </row>
    <row r="566">
      <c r="A566" s="42"/>
      <c r="B566" s="52"/>
      <c r="C566" s="52"/>
      <c r="D566" s="52"/>
      <c r="E566" s="52"/>
      <c r="F566" s="81"/>
      <c r="G566" s="57"/>
      <c r="H566" s="48"/>
      <c r="I566" s="77"/>
      <c r="J566" s="62"/>
      <c r="K566" s="52"/>
      <c r="L566" s="52"/>
      <c r="M566" s="76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62"/>
      <c r="AB566" s="52"/>
      <c r="AC566" s="52"/>
      <c r="AD566" s="52"/>
      <c r="AE566" s="52"/>
      <c r="AF566" s="52"/>
      <c r="AG566" s="52"/>
      <c r="AH566" s="48"/>
      <c r="AI566" s="48"/>
      <c r="AJ566" s="48"/>
      <c r="AK566" s="53"/>
      <c r="AL566" s="53"/>
      <c r="AM566" s="53"/>
      <c r="AN566" s="53"/>
      <c r="AO566" s="53"/>
      <c r="AP566" s="53"/>
      <c r="AQ566" s="53"/>
      <c r="AR566" s="53"/>
      <c r="AS566" s="53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52"/>
      <c r="BG566" s="52"/>
      <c r="BH566" s="52"/>
      <c r="BI566" s="52"/>
      <c r="BJ566" s="52"/>
      <c r="BK566" s="52"/>
      <c r="BL566" s="52"/>
      <c r="BM566" s="54"/>
    </row>
    <row r="567">
      <c r="A567" s="42"/>
      <c r="B567" s="52"/>
      <c r="C567" s="52"/>
      <c r="D567" s="52"/>
      <c r="E567" s="52"/>
      <c r="F567" s="81"/>
      <c r="G567" s="57"/>
      <c r="H567" s="48"/>
      <c r="I567" s="77"/>
      <c r="J567" s="62"/>
      <c r="K567" s="52"/>
      <c r="L567" s="52"/>
      <c r="M567" s="76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62"/>
      <c r="AB567" s="52"/>
      <c r="AC567" s="52"/>
      <c r="AD567" s="52"/>
      <c r="AE567" s="52"/>
      <c r="AF567" s="52"/>
      <c r="AG567" s="52"/>
      <c r="AH567" s="48"/>
      <c r="AI567" s="48"/>
      <c r="AJ567" s="48"/>
      <c r="AK567" s="53"/>
      <c r="AL567" s="53"/>
      <c r="AM567" s="53"/>
      <c r="AN567" s="53"/>
      <c r="AO567" s="53"/>
      <c r="AP567" s="53"/>
      <c r="AQ567" s="53"/>
      <c r="AR567" s="53"/>
      <c r="AS567" s="53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52"/>
      <c r="BG567" s="52"/>
      <c r="BH567" s="52"/>
      <c r="BI567" s="52"/>
      <c r="BJ567" s="52"/>
      <c r="BK567" s="52"/>
      <c r="BL567" s="52"/>
      <c r="BM567" s="54"/>
    </row>
    <row r="568">
      <c r="A568" s="42"/>
      <c r="B568" s="52"/>
      <c r="C568" s="52"/>
      <c r="D568" s="52"/>
      <c r="E568" s="52"/>
      <c r="F568" s="81"/>
      <c r="G568" s="57"/>
      <c r="H568" s="48"/>
      <c r="I568" s="77"/>
      <c r="J568" s="62"/>
      <c r="K568" s="52"/>
      <c r="L568" s="52"/>
      <c r="M568" s="76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62"/>
      <c r="AB568" s="52"/>
      <c r="AC568" s="52"/>
      <c r="AD568" s="52"/>
      <c r="AE568" s="52"/>
      <c r="AF568" s="52"/>
      <c r="AG568" s="52"/>
      <c r="AH568" s="48"/>
      <c r="AI568" s="48"/>
      <c r="AJ568" s="48"/>
      <c r="AK568" s="53"/>
      <c r="AL568" s="53"/>
      <c r="AM568" s="53"/>
      <c r="AN568" s="53"/>
      <c r="AO568" s="53"/>
      <c r="AP568" s="53"/>
      <c r="AQ568" s="53"/>
      <c r="AR568" s="53"/>
      <c r="AS568" s="53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52"/>
      <c r="BG568" s="52"/>
      <c r="BH568" s="52"/>
      <c r="BI568" s="52"/>
      <c r="BJ568" s="52"/>
      <c r="BK568" s="52"/>
      <c r="BL568" s="52"/>
      <c r="BM568" s="54"/>
    </row>
    <row r="569">
      <c r="A569" s="42"/>
      <c r="B569" s="52"/>
      <c r="C569" s="52"/>
      <c r="D569" s="52"/>
      <c r="E569" s="52"/>
      <c r="F569" s="81"/>
      <c r="G569" s="57"/>
      <c r="H569" s="48"/>
      <c r="I569" s="77"/>
      <c r="J569" s="62"/>
      <c r="K569" s="52"/>
      <c r="L569" s="52"/>
      <c r="M569" s="76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62"/>
      <c r="AB569" s="52"/>
      <c r="AC569" s="52"/>
      <c r="AD569" s="52"/>
      <c r="AE569" s="52"/>
      <c r="AF569" s="52"/>
      <c r="AG569" s="52"/>
      <c r="AH569" s="48"/>
      <c r="AI569" s="48"/>
      <c r="AJ569" s="48"/>
      <c r="AK569" s="53"/>
      <c r="AL569" s="53"/>
      <c r="AM569" s="53"/>
      <c r="AN569" s="53"/>
      <c r="AO569" s="53"/>
      <c r="AP569" s="53"/>
      <c r="AQ569" s="53"/>
      <c r="AR569" s="53"/>
      <c r="AS569" s="53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52"/>
      <c r="BG569" s="52"/>
      <c r="BH569" s="52"/>
      <c r="BI569" s="52"/>
      <c r="BJ569" s="52"/>
      <c r="BK569" s="52"/>
      <c r="BL569" s="52"/>
      <c r="BM569" s="54"/>
    </row>
    <row r="570">
      <c r="A570" s="42"/>
      <c r="B570" s="52"/>
      <c r="C570" s="52"/>
      <c r="D570" s="52"/>
      <c r="E570" s="52"/>
      <c r="F570" s="81"/>
      <c r="G570" s="57"/>
      <c r="H570" s="48"/>
      <c r="I570" s="77"/>
      <c r="J570" s="62"/>
      <c r="K570" s="52"/>
      <c r="L570" s="52"/>
      <c r="M570" s="76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62"/>
      <c r="AB570" s="52"/>
      <c r="AC570" s="52"/>
      <c r="AD570" s="52"/>
      <c r="AE570" s="52"/>
      <c r="AF570" s="52"/>
      <c r="AG570" s="52"/>
      <c r="AH570" s="48"/>
      <c r="AI570" s="48"/>
      <c r="AJ570" s="48"/>
      <c r="AK570" s="53"/>
      <c r="AL570" s="53"/>
      <c r="AM570" s="53"/>
      <c r="AN570" s="53"/>
      <c r="AO570" s="53"/>
      <c r="AP570" s="53"/>
      <c r="AQ570" s="53"/>
      <c r="AR570" s="53"/>
      <c r="AS570" s="53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52"/>
      <c r="BG570" s="52"/>
      <c r="BH570" s="52"/>
      <c r="BI570" s="52"/>
      <c r="BJ570" s="52"/>
      <c r="BK570" s="52"/>
      <c r="BL570" s="52"/>
      <c r="BM570" s="54"/>
    </row>
    <row r="571">
      <c r="A571" s="42"/>
      <c r="B571" s="52"/>
      <c r="C571" s="52"/>
      <c r="D571" s="52"/>
      <c r="E571" s="52"/>
      <c r="F571" s="81"/>
      <c r="G571" s="57"/>
      <c r="H571" s="48"/>
      <c r="I571" s="77"/>
      <c r="J571" s="62"/>
      <c r="K571" s="52"/>
      <c r="L571" s="52"/>
      <c r="M571" s="76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62"/>
      <c r="AB571" s="52"/>
      <c r="AC571" s="52"/>
      <c r="AD571" s="52"/>
      <c r="AE571" s="52"/>
      <c r="AF571" s="52"/>
      <c r="AG571" s="52"/>
      <c r="AH571" s="48"/>
      <c r="AI571" s="48"/>
      <c r="AJ571" s="48"/>
      <c r="AK571" s="53"/>
      <c r="AL571" s="53"/>
      <c r="AM571" s="53"/>
      <c r="AN571" s="53"/>
      <c r="AO571" s="53"/>
      <c r="AP571" s="53"/>
      <c r="AQ571" s="53"/>
      <c r="AR571" s="53"/>
      <c r="AS571" s="53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52"/>
      <c r="BG571" s="52"/>
      <c r="BH571" s="52"/>
      <c r="BI571" s="52"/>
      <c r="BJ571" s="52"/>
      <c r="BK571" s="52"/>
      <c r="BL571" s="52"/>
      <c r="BM571" s="54"/>
    </row>
    <row r="572">
      <c r="A572" s="42"/>
      <c r="B572" s="52"/>
      <c r="C572" s="52"/>
      <c r="D572" s="52"/>
      <c r="E572" s="52"/>
      <c r="F572" s="81"/>
      <c r="G572" s="57"/>
      <c r="H572" s="48"/>
      <c r="I572" s="77"/>
      <c r="J572" s="62"/>
      <c r="K572" s="52"/>
      <c r="L572" s="52"/>
      <c r="M572" s="76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62"/>
      <c r="AB572" s="52"/>
      <c r="AC572" s="52"/>
      <c r="AD572" s="52"/>
      <c r="AE572" s="52"/>
      <c r="AF572" s="52"/>
      <c r="AG572" s="52"/>
      <c r="AH572" s="48"/>
      <c r="AI572" s="48"/>
      <c r="AJ572" s="48"/>
      <c r="AK572" s="53"/>
      <c r="AL572" s="53"/>
      <c r="AM572" s="53"/>
      <c r="AN572" s="53"/>
      <c r="AO572" s="53"/>
      <c r="AP572" s="53"/>
      <c r="AQ572" s="53"/>
      <c r="AR572" s="53"/>
      <c r="AS572" s="53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52"/>
      <c r="BG572" s="52"/>
      <c r="BH572" s="52"/>
      <c r="BI572" s="52"/>
      <c r="BJ572" s="52"/>
      <c r="BK572" s="52"/>
      <c r="BL572" s="52"/>
      <c r="BM572" s="54"/>
    </row>
    <row r="573">
      <c r="A573" s="42"/>
      <c r="B573" s="52"/>
      <c r="C573" s="52"/>
      <c r="D573" s="52"/>
      <c r="E573" s="52"/>
      <c r="F573" s="81"/>
      <c r="G573" s="57"/>
      <c r="H573" s="48"/>
      <c r="I573" s="77"/>
      <c r="J573" s="62"/>
      <c r="K573" s="52"/>
      <c r="L573" s="52"/>
      <c r="M573" s="76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62"/>
      <c r="AB573" s="52"/>
      <c r="AC573" s="52"/>
      <c r="AD573" s="52"/>
      <c r="AE573" s="52"/>
      <c r="AF573" s="52"/>
      <c r="AG573" s="52"/>
      <c r="AH573" s="48"/>
      <c r="AI573" s="48"/>
      <c r="AJ573" s="48"/>
      <c r="AK573" s="53"/>
      <c r="AL573" s="53"/>
      <c r="AM573" s="53"/>
      <c r="AN573" s="53"/>
      <c r="AO573" s="53"/>
      <c r="AP573" s="53"/>
      <c r="AQ573" s="53"/>
      <c r="AR573" s="53"/>
      <c r="AS573" s="53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52"/>
      <c r="BG573" s="52"/>
      <c r="BH573" s="52"/>
      <c r="BI573" s="52"/>
      <c r="BJ573" s="52"/>
      <c r="BK573" s="52"/>
      <c r="BL573" s="52"/>
      <c r="BM573" s="54"/>
    </row>
    <row r="574">
      <c r="A574" s="42"/>
      <c r="B574" s="52"/>
      <c r="C574" s="52"/>
      <c r="D574" s="52"/>
      <c r="E574" s="52"/>
      <c r="F574" s="81"/>
      <c r="G574" s="57"/>
      <c r="H574" s="48"/>
      <c r="I574" s="77"/>
      <c r="J574" s="62"/>
      <c r="K574" s="52"/>
      <c r="L574" s="52"/>
      <c r="M574" s="76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62"/>
      <c r="AB574" s="52"/>
      <c r="AC574" s="52"/>
      <c r="AD574" s="52"/>
      <c r="AE574" s="52"/>
      <c r="AF574" s="52"/>
      <c r="AG574" s="52"/>
      <c r="AH574" s="48"/>
      <c r="AI574" s="48"/>
      <c r="AJ574" s="48"/>
      <c r="AK574" s="53"/>
      <c r="AL574" s="53"/>
      <c r="AM574" s="53"/>
      <c r="AN574" s="53"/>
      <c r="AO574" s="53"/>
      <c r="AP574" s="53"/>
      <c r="AQ574" s="53"/>
      <c r="AR574" s="53"/>
      <c r="AS574" s="53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52"/>
      <c r="BG574" s="52"/>
      <c r="BH574" s="52"/>
      <c r="BI574" s="52"/>
      <c r="BJ574" s="52"/>
      <c r="BK574" s="52"/>
      <c r="BL574" s="52"/>
      <c r="BM574" s="54"/>
    </row>
    <row r="575">
      <c r="A575" s="42"/>
      <c r="B575" s="52"/>
      <c r="C575" s="52"/>
      <c r="D575" s="52"/>
      <c r="E575" s="52"/>
      <c r="F575" s="81"/>
      <c r="G575" s="57"/>
      <c r="H575" s="48"/>
      <c r="I575" s="77"/>
      <c r="J575" s="62"/>
      <c r="K575" s="52"/>
      <c r="L575" s="52"/>
      <c r="M575" s="76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62"/>
      <c r="AB575" s="52"/>
      <c r="AC575" s="52"/>
      <c r="AD575" s="52"/>
      <c r="AE575" s="52"/>
      <c r="AF575" s="52"/>
      <c r="AG575" s="52"/>
      <c r="AH575" s="48"/>
      <c r="AI575" s="48"/>
      <c r="AJ575" s="48"/>
      <c r="AK575" s="53"/>
      <c r="AL575" s="53"/>
      <c r="AM575" s="53"/>
      <c r="AN575" s="53"/>
      <c r="AO575" s="53"/>
      <c r="AP575" s="53"/>
      <c r="AQ575" s="53"/>
      <c r="AR575" s="53"/>
      <c r="AS575" s="53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52"/>
      <c r="BG575" s="52"/>
      <c r="BH575" s="52"/>
      <c r="BI575" s="52"/>
      <c r="BJ575" s="52"/>
      <c r="BK575" s="52"/>
      <c r="BL575" s="52"/>
      <c r="BM575" s="54"/>
    </row>
    <row r="576">
      <c r="A576" s="42"/>
      <c r="B576" s="52"/>
      <c r="C576" s="52"/>
      <c r="D576" s="52"/>
      <c r="E576" s="52"/>
      <c r="F576" s="81"/>
      <c r="G576" s="57"/>
      <c r="H576" s="48"/>
      <c r="I576" s="77"/>
      <c r="J576" s="62"/>
      <c r="K576" s="52"/>
      <c r="L576" s="52"/>
      <c r="M576" s="76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62"/>
      <c r="AB576" s="52"/>
      <c r="AC576" s="52"/>
      <c r="AD576" s="52"/>
      <c r="AE576" s="52"/>
      <c r="AF576" s="52"/>
      <c r="AG576" s="52"/>
      <c r="AH576" s="48"/>
      <c r="AI576" s="48"/>
      <c r="AJ576" s="48"/>
      <c r="AK576" s="53"/>
      <c r="AL576" s="53"/>
      <c r="AM576" s="53"/>
      <c r="AN576" s="53"/>
      <c r="AO576" s="53"/>
      <c r="AP576" s="53"/>
      <c r="AQ576" s="53"/>
      <c r="AR576" s="53"/>
      <c r="AS576" s="53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52"/>
      <c r="BG576" s="52"/>
      <c r="BH576" s="52"/>
      <c r="BI576" s="52"/>
      <c r="BJ576" s="52"/>
      <c r="BK576" s="52"/>
      <c r="BL576" s="52"/>
      <c r="BM576" s="54"/>
    </row>
    <row r="577">
      <c r="A577" s="42"/>
      <c r="B577" s="52"/>
      <c r="C577" s="52"/>
      <c r="D577" s="52"/>
      <c r="E577" s="52"/>
      <c r="F577" s="81"/>
      <c r="G577" s="57"/>
      <c r="H577" s="48"/>
      <c r="I577" s="77"/>
      <c r="J577" s="62"/>
      <c r="K577" s="52"/>
      <c r="L577" s="52"/>
      <c r="M577" s="76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62"/>
      <c r="AB577" s="52"/>
      <c r="AC577" s="52"/>
      <c r="AD577" s="52"/>
      <c r="AE577" s="52"/>
      <c r="AF577" s="52"/>
      <c r="AG577" s="52"/>
      <c r="AH577" s="48"/>
      <c r="AI577" s="48"/>
      <c r="AJ577" s="48"/>
      <c r="AK577" s="53"/>
      <c r="AL577" s="53"/>
      <c r="AM577" s="53"/>
      <c r="AN577" s="53"/>
      <c r="AO577" s="53"/>
      <c r="AP577" s="53"/>
      <c r="AQ577" s="53"/>
      <c r="AR577" s="53"/>
      <c r="AS577" s="53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52"/>
      <c r="BG577" s="52"/>
      <c r="BH577" s="52"/>
      <c r="BI577" s="52"/>
      <c r="BJ577" s="52"/>
      <c r="BK577" s="52"/>
      <c r="BL577" s="52"/>
      <c r="BM577" s="54"/>
    </row>
    <row r="578">
      <c r="A578" s="42"/>
      <c r="B578" s="52"/>
      <c r="C578" s="52"/>
      <c r="D578" s="52"/>
      <c r="E578" s="52"/>
      <c r="F578" s="81"/>
      <c r="G578" s="57"/>
      <c r="H578" s="48"/>
      <c r="I578" s="77"/>
      <c r="J578" s="62"/>
      <c r="K578" s="52"/>
      <c r="L578" s="52"/>
      <c r="M578" s="76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62"/>
      <c r="AB578" s="52"/>
      <c r="AC578" s="52"/>
      <c r="AD578" s="52"/>
      <c r="AE578" s="52"/>
      <c r="AF578" s="52"/>
      <c r="AG578" s="52"/>
      <c r="AH578" s="48"/>
      <c r="AI578" s="48"/>
      <c r="AJ578" s="48"/>
      <c r="AK578" s="53"/>
      <c r="AL578" s="53"/>
      <c r="AM578" s="53"/>
      <c r="AN578" s="53"/>
      <c r="AO578" s="53"/>
      <c r="AP578" s="53"/>
      <c r="AQ578" s="53"/>
      <c r="AR578" s="53"/>
      <c r="AS578" s="53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52"/>
      <c r="BG578" s="52"/>
      <c r="BH578" s="52"/>
      <c r="BI578" s="52"/>
      <c r="BJ578" s="52"/>
      <c r="BK578" s="52"/>
      <c r="BL578" s="52"/>
      <c r="BM578" s="54"/>
    </row>
    <row r="579">
      <c r="A579" s="42"/>
      <c r="B579" s="52"/>
      <c r="C579" s="52"/>
      <c r="D579" s="52"/>
      <c r="E579" s="52"/>
      <c r="F579" s="81"/>
      <c r="G579" s="57"/>
      <c r="H579" s="48"/>
      <c r="I579" s="77"/>
      <c r="J579" s="62"/>
      <c r="K579" s="52"/>
      <c r="L579" s="52"/>
      <c r="M579" s="76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62"/>
      <c r="AB579" s="52"/>
      <c r="AC579" s="52"/>
      <c r="AD579" s="52"/>
      <c r="AE579" s="52"/>
      <c r="AF579" s="52"/>
      <c r="AG579" s="52"/>
      <c r="AH579" s="48"/>
      <c r="AI579" s="48"/>
      <c r="AJ579" s="48"/>
      <c r="AK579" s="53"/>
      <c r="AL579" s="53"/>
      <c r="AM579" s="53"/>
      <c r="AN579" s="53"/>
      <c r="AO579" s="53"/>
      <c r="AP579" s="53"/>
      <c r="AQ579" s="53"/>
      <c r="AR579" s="53"/>
      <c r="AS579" s="53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52"/>
      <c r="BG579" s="52"/>
      <c r="BH579" s="52"/>
      <c r="BI579" s="52"/>
      <c r="BJ579" s="52"/>
      <c r="BK579" s="52"/>
      <c r="BL579" s="52"/>
      <c r="BM579" s="54"/>
    </row>
    <row r="580">
      <c r="A580" s="42"/>
      <c r="B580" s="52"/>
      <c r="C580" s="52"/>
      <c r="D580" s="52"/>
      <c r="E580" s="52"/>
      <c r="F580" s="81"/>
      <c r="G580" s="57"/>
      <c r="H580" s="48"/>
      <c r="I580" s="77"/>
      <c r="J580" s="62"/>
      <c r="K580" s="52"/>
      <c r="L580" s="52"/>
      <c r="M580" s="76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62"/>
      <c r="AB580" s="52"/>
      <c r="AC580" s="52"/>
      <c r="AD580" s="52"/>
      <c r="AE580" s="52"/>
      <c r="AF580" s="52"/>
      <c r="AG580" s="52"/>
      <c r="AH580" s="48"/>
      <c r="AI580" s="48"/>
      <c r="AJ580" s="48"/>
      <c r="AK580" s="53"/>
      <c r="AL580" s="53"/>
      <c r="AM580" s="53"/>
      <c r="AN580" s="53"/>
      <c r="AO580" s="53"/>
      <c r="AP580" s="53"/>
      <c r="AQ580" s="53"/>
      <c r="AR580" s="53"/>
      <c r="AS580" s="53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52"/>
      <c r="BG580" s="52"/>
      <c r="BH580" s="52"/>
      <c r="BI580" s="52"/>
      <c r="BJ580" s="52"/>
      <c r="BK580" s="52"/>
      <c r="BL580" s="52"/>
      <c r="BM580" s="54"/>
    </row>
    <row r="581">
      <c r="A581" s="42"/>
      <c r="B581" s="52"/>
      <c r="C581" s="52"/>
      <c r="D581" s="52"/>
      <c r="E581" s="52"/>
      <c r="F581" s="81"/>
      <c r="G581" s="57"/>
      <c r="H581" s="48"/>
      <c r="I581" s="77"/>
      <c r="J581" s="62"/>
      <c r="K581" s="52"/>
      <c r="L581" s="52"/>
      <c r="M581" s="76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62"/>
      <c r="AB581" s="52"/>
      <c r="AC581" s="52"/>
      <c r="AD581" s="52"/>
      <c r="AE581" s="52"/>
      <c r="AF581" s="52"/>
      <c r="AG581" s="52"/>
      <c r="AH581" s="48"/>
      <c r="AI581" s="48"/>
      <c r="AJ581" s="48"/>
      <c r="AK581" s="53"/>
      <c r="AL581" s="53"/>
      <c r="AM581" s="53"/>
      <c r="AN581" s="53"/>
      <c r="AO581" s="53"/>
      <c r="AP581" s="53"/>
      <c r="AQ581" s="53"/>
      <c r="AR581" s="53"/>
      <c r="AS581" s="53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52"/>
      <c r="BG581" s="52"/>
      <c r="BH581" s="52"/>
      <c r="BI581" s="52"/>
      <c r="BJ581" s="52"/>
      <c r="BK581" s="52"/>
      <c r="BL581" s="52"/>
      <c r="BM581" s="54"/>
    </row>
    <row r="582">
      <c r="A582" s="42"/>
      <c r="B582" s="52"/>
      <c r="C582" s="52"/>
      <c r="D582" s="52"/>
      <c r="E582" s="52"/>
      <c r="F582" s="81"/>
      <c r="G582" s="57"/>
      <c r="H582" s="48"/>
      <c r="I582" s="77"/>
      <c r="J582" s="62"/>
      <c r="K582" s="52"/>
      <c r="L582" s="52"/>
      <c r="M582" s="76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62"/>
      <c r="AB582" s="52"/>
      <c r="AC582" s="52"/>
      <c r="AD582" s="52"/>
      <c r="AE582" s="52"/>
      <c r="AF582" s="52"/>
      <c r="AG582" s="52"/>
      <c r="AH582" s="48"/>
      <c r="AI582" s="48"/>
      <c r="AJ582" s="48"/>
      <c r="AK582" s="53"/>
      <c r="AL582" s="53"/>
      <c r="AM582" s="53"/>
      <c r="AN582" s="53"/>
      <c r="AO582" s="53"/>
      <c r="AP582" s="53"/>
      <c r="AQ582" s="53"/>
      <c r="AR582" s="53"/>
      <c r="AS582" s="53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52"/>
      <c r="BG582" s="52"/>
      <c r="BH582" s="52"/>
      <c r="BI582" s="52"/>
      <c r="BJ582" s="52"/>
      <c r="BK582" s="52"/>
      <c r="BL582" s="52"/>
      <c r="BM582" s="54"/>
    </row>
    <row r="583">
      <c r="A583" s="42"/>
      <c r="B583" s="52"/>
      <c r="C583" s="52"/>
      <c r="D583" s="52"/>
      <c r="E583" s="52"/>
      <c r="F583" s="81"/>
      <c r="G583" s="57"/>
      <c r="H583" s="48"/>
      <c r="I583" s="77"/>
      <c r="J583" s="62"/>
      <c r="K583" s="52"/>
      <c r="L583" s="52"/>
      <c r="M583" s="76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62"/>
      <c r="AB583" s="52"/>
      <c r="AC583" s="52"/>
      <c r="AD583" s="52"/>
      <c r="AE583" s="52"/>
      <c r="AF583" s="52"/>
      <c r="AG583" s="52"/>
      <c r="AH583" s="48"/>
      <c r="AI583" s="48"/>
      <c r="AJ583" s="48"/>
      <c r="AK583" s="53"/>
      <c r="AL583" s="53"/>
      <c r="AM583" s="53"/>
      <c r="AN583" s="53"/>
      <c r="AO583" s="53"/>
      <c r="AP583" s="53"/>
      <c r="AQ583" s="53"/>
      <c r="AR583" s="53"/>
      <c r="AS583" s="53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52"/>
      <c r="BG583" s="52"/>
      <c r="BH583" s="52"/>
      <c r="BI583" s="52"/>
      <c r="BJ583" s="52"/>
      <c r="BK583" s="52"/>
      <c r="BL583" s="52"/>
      <c r="BM583" s="54"/>
    </row>
    <row r="584">
      <c r="A584" s="42"/>
      <c r="B584" s="52"/>
      <c r="C584" s="52"/>
      <c r="D584" s="52"/>
      <c r="E584" s="52"/>
      <c r="F584" s="81"/>
      <c r="G584" s="57"/>
      <c r="H584" s="48"/>
      <c r="I584" s="77"/>
      <c r="J584" s="62"/>
      <c r="K584" s="52"/>
      <c r="L584" s="52"/>
      <c r="M584" s="76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62"/>
      <c r="AB584" s="52"/>
      <c r="AC584" s="52"/>
      <c r="AD584" s="52"/>
      <c r="AE584" s="52"/>
      <c r="AF584" s="52"/>
      <c r="AG584" s="52"/>
      <c r="AH584" s="48"/>
      <c r="AI584" s="48"/>
      <c r="AJ584" s="48"/>
      <c r="AK584" s="53"/>
      <c r="AL584" s="53"/>
      <c r="AM584" s="53"/>
      <c r="AN584" s="53"/>
      <c r="AO584" s="53"/>
      <c r="AP584" s="53"/>
      <c r="AQ584" s="53"/>
      <c r="AR584" s="53"/>
      <c r="AS584" s="53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52"/>
      <c r="BG584" s="52"/>
      <c r="BH584" s="52"/>
      <c r="BI584" s="52"/>
      <c r="BJ584" s="52"/>
      <c r="BK584" s="52"/>
      <c r="BL584" s="52"/>
      <c r="BM584" s="54"/>
    </row>
    <row r="585">
      <c r="A585" s="42"/>
      <c r="B585" s="52"/>
      <c r="C585" s="52"/>
      <c r="D585" s="52"/>
      <c r="E585" s="52"/>
      <c r="F585" s="81"/>
      <c r="G585" s="57"/>
      <c r="H585" s="48"/>
      <c r="I585" s="77"/>
      <c r="J585" s="62"/>
      <c r="K585" s="52"/>
      <c r="L585" s="52"/>
      <c r="M585" s="76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62"/>
      <c r="AB585" s="52"/>
      <c r="AC585" s="52"/>
      <c r="AD585" s="52"/>
      <c r="AE585" s="52"/>
      <c r="AF585" s="52"/>
      <c r="AG585" s="52"/>
      <c r="AH585" s="48"/>
      <c r="AI585" s="48"/>
      <c r="AJ585" s="48"/>
      <c r="AK585" s="53"/>
      <c r="AL585" s="53"/>
      <c r="AM585" s="53"/>
      <c r="AN585" s="53"/>
      <c r="AO585" s="53"/>
      <c r="AP585" s="53"/>
      <c r="AQ585" s="53"/>
      <c r="AR585" s="53"/>
      <c r="AS585" s="53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52"/>
      <c r="BG585" s="52"/>
      <c r="BH585" s="52"/>
      <c r="BI585" s="52"/>
      <c r="BJ585" s="52"/>
      <c r="BK585" s="52"/>
      <c r="BL585" s="52"/>
      <c r="BM585" s="54"/>
    </row>
    <row r="586">
      <c r="A586" s="42"/>
      <c r="B586" s="52"/>
      <c r="C586" s="52"/>
      <c r="D586" s="52"/>
      <c r="E586" s="52"/>
      <c r="F586" s="81"/>
      <c r="G586" s="57"/>
      <c r="H586" s="48"/>
      <c r="I586" s="77"/>
      <c r="J586" s="62"/>
      <c r="K586" s="52"/>
      <c r="L586" s="52"/>
      <c r="M586" s="76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62"/>
      <c r="AB586" s="52"/>
      <c r="AC586" s="52"/>
      <c r="AD586" s="52"/>
      <c r="AE586" s="52"/>
      <c r="AF586" s="52"/>
      <c r="AG586" s="52"/>
      <c r="AH586" s="48"/>
      <c r="AI586" s="48"/>
      <c r="AJ586" s="48"/>
      <c r="AK586" s="53"/>
      <c r="AL586" s="53"/>
      <c r="AM586" s="53"/>
      <c r="AN586" s="53"/>
      <c r="AO586" s="53"/>
      <c r="AP586" s="53"/>
      <c r="AQ586" s="53"/>
      <c r="AR586" s="53"/>
      <c r="AS586" s="53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52"/>
      <c r="BG586" s="52"/>
      <c r="BH586" s="52"/>
      <c r="BI586" s="52"/>
      <c r="BJ586" s="52"/>
      <c r="BK586" s="52"/>
      <c r="BL586" s="52"/>
      <c r="BM586" s="54"/>
    </row>
    <row r="587">
      <c r="A587" s="42"/>
      <c r="B587" s="52"/>
      <c r="C587" s="52"/>
      <c r="D587" s="52"/>
      <c r="E587" s="52"/>
      <c r="F587" s="81"/>
      <c r="G587" s="57"/>
      <c r="H587" s="48"/>
      <c r="I587" s="77"/>
      <c r="J587" s="62"/>
      <c r="K587" s="52"/>
      <c r="L587" s="52"/>
      <c r="M587" s="76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62"/>
      <c r="AB587" s="52"/>
      <c r="AC587" s="52"/>
      <c r="AD587" s="52"/>
      <c r="AE587" s="52"/>
      <c r="AF587" s="52"/>
      <c r="AG587" s="52"/>
      <c r="AH587" s="48"/>
      <c r="AI587" s="48"/>
      <c r="AJ587" s="48"/>
      <c r="AK587" s="53"/>
      <c r="AL587" s="53"/>
      <c r="AM587" s="53"/>
      <c r="AN587" s="53"/>
      <c r="AO587" s="53"/>
      <c r="AP587" s="53"/>
      <c r="AQ587" s="53"/>
      <c r="AR587" s="53"/>
      <c r="AS587" s="53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52"/>
      <c r="BG587" s="52"/>
      <c r="BH587" s="52"/>
      <c r="BI587" s="52"/>
      <c r="BJ587" s="52"/>
      <c r="BK587" s="52"/>
      <c r="BL587" s="52"/>
      <c r="BM587" s="54"/>
    </row>
    <row r="588">
      <c r="A588" s="42"/>
      <c r="B588" s="52"/>
      <c r="C588" s="52"/>
      <c r="D588" s="52"/>
      <c r="E588" s="52"/>
      <c r="F588" s="81"/>
      <c r="G588" s="57"/>
      <c r="H588" s="48"/>
      <c r="I588" s="77"/>
      <c r="J588" s="62"/>
      <c r="K588" s="52"/>
      <c r="L588" s="52"/>
      <c r="M588" s="76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62"/>
      <c r="AB588" s="52"/>
      <c r="AC588" s="52"/>
      <c r="AD588" s="52"/>
      <c r="AE588" s="52"/>
      <c r="AF588" s="52"/>
      <c r="AG588" s="52"/>
      <c r="AH588" s="48"/>
      <c r="AI588" s="48"/>
      <c r="AJ588" s="48"/>
      <c r="AK588" s="53"/>
      <c r="AL588" s="53"/>
      <c r="AM588" s="53"/>
      <c r="AN588" s="53"/>
      <c r="AO588" s="53"/>
      <c r="AP588" s="53"/>
      <c r="AQ588" s="53"/>
      <c r="AR588" s="53"/>
      <c r="AS588" s="53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52"/>
      <c r="BG588" s="52"/>
      <c r="BH588" s="52"/>
      <c r="BI588" s="52"/>
      <c r="BJ588" s="52"/>
      <c r="BK588" s="52"/>
      <c r="BL588" s="52"/>
      <c r="BM588" s="54"/>
    </row>
    <row r="589">
      <c r="A589" s="42"/>
      <c r="B589" s="52"/>
      <c r="C589" s="52"/>
      <c r="D589" s="52"/>
      <c r="E589" s="52"/>
      <c r="F589" s="81"/>
      <c r="G589" s="57"/>
      <c r="H589" s="48"/>
      <c r="I589" s="77"/>
      <c r="J589" s="62"/>
      <c r="K589" s="52"/>
      <c r="L589" s="52"/>
      <c r="M589" s="76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62"/>
      <c r="AB589" s="52"/>
      <c r="AC589" s="52"/>
      <c r="AD589" s="52"/>
      <c r="AE589" s="52"/>
      <c r="AF589" s="52"/>
      <c r="AG589" s="52"/>
      <c r="AH589" s="48"/>
      <c r="AI589" s="48"/>
      <c r="AJ589" s="48"/>
      <c r="AK589" s="53"/>
      <c r="AL589" s="53"/>
      <c r="AM589" s="53"/>
      <c r="AN589" s="53"/>
      <c r="AO589" s="53"/>
      <c r="AP589" s="53"/>
      <c r="AQ589" s="53"/>
      <c r="AR589" s="53"/>
      <c r="AS589" s="53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52"/>
      <c r="BG589" s="52"/>
      <c r="BH589" s="52"/>
      <c r="BI589" s="52"/>
      <c r="BJ589" s="52"/>
      <c r="BK589" s="52"/>
      <c r="BL589" s="52"/>
      <c r="BM589" s="54"/>
    </row>
    <row r="590">
      <c r="A590" s="42"/>
      <c r="B590" s="52"/>
      <c r="C590" s="52"/>
      <c r="D590" s="52"/>
      <c r="E590" s="52"/>
      <c r="F590" s="81"/>
      <c r="G590" s="57"/>
      <c r="H590" s="48"/>
      <c r="I590" s="77"/>
      <c r="J590" s="62"/>
      <c r="K590" s="52"/>
      <c r="L590" s="52"/>
      <c r="M590" s="76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62"/>
      <c r="AB590" s="52"/>
      <c r="AC590" s="52"/>
      <c r="AD590" s="52"/>
      <c r="AE590" s="52"/>
      <c r="AF590" s="52"/>
      <c r="AG590" s="52"/>
      <c r="AH590" s="48"/>
      <c r="AI590" s="48"/>
      <c r="AJ590" s="48"/>
      <c r="AK590" s="53"/>
      <c r="AL590" s="53"/>
      <c r="AM590" s="53"/>
      <c r="AN590" s="53"/>
      <c r="AO590" s="53"/>
      <c r="AP590" s="53"/>
      <c r="AQ590" s="53"/>
      <c r="AR590" s="53"/>
      <c r="AS590" s="53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52"/>
      <c r="BG590" s="52"/>
      <c r="BH590" s="52"/>
      <c r="BI590" s="52"/>
      <c r="BJ590" s="52"/>
      <c r="BK590" s="52"/>
      <c r="BL590" s="52"/>
      <c r="BM590" s="54"/>
    </row>
    <row r="591">
      <c r="A591" s="42"/>
      <c r="B591" s="52"/>
      <c r="C591" s="52"/>
      <c r="D591" s="52"/>
      <c r="E591" s="52"/>
      <c r="F591" s="81"/>
      <c r="G591" s="57"/>
      <c r="H591" s="48"/>
      <c r="I591" s="77"/>
      <c r="J591" s="62"/>
      <c r="K591" s="52"/>
      <c r="L591" s="52"/>
      <c r="M591" s="76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62"/>
      <c r="AB591" s="52"/>
      <c r="AC591" s="52"/>
      <c r="AD591" s="52"/>
      <c r="AE591" s="52"/>
      <c r="AF591" s="52"/>
      <c r="AG591" s="52"/>
      <c r="AH591" s="48"/>
      <c r="AI591" s="48"/>
      <c r="AJ591" s="48"/>
      <c r="AK591" s="53"/>
      <c r="AL591" s="53"/>
      <c r="AM591" s="53"/>
      <c r="AN591" s="53"/>
      <c r="AO591" s="53"/>
      <c r="AP591" s="53"/>
      <c r="AQ591" s="53"/>
      <c r="AR591" s="53"/>
      <c r="AS591" s="53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52"/>
      <c r="BG591" s="52"/>
      <c r="BH591" s="52"/>
      <c r="BI591" s="52"/>
      <c r="BJ591" s="52"/>
      <c r="BK591" s="52"/>
      <c r="BL591" s="52"/>
      <c r="BM591" s="54"/>
    </row>
    <row r="592">
      <c r="A592" s="42"/>
      <c r="B592" s="52"/>
      <c r="C592" s="52"/>
      <c r="D592" s="52"/>
      <c r="E592" s="52"/>
      <c r="F592" s="81"/>
      <c r="G592" s="57"/>
      <c r="H592" s="48"/>
      <c r="I592" s="77"/>
      <c r="J592" s="62"/>
      <c r="K592" s="52"/>
      <c r="L592" s="52"/>
      <c r="M592" s="76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62"/>
      <c r="AB592" s="52"/>
      <c r="AC592" s="52"/>
      <c r="AD592" s="52"/>
      <c r="AE592" s="52"/>
      <c r="AF592" s="52"/>
      <c r="AG592" s="52"/>
      <c r="AH592" s="48"/>
      <c r="AI592" s="48"/>
      <c r="AJ592" s="48"/>
      <c r="AK592" s="53"/>
      <c r="AL592" s="53"/>
      <c r="AM592" s="53"/>
      <c r="AN592" s="53"/>
      <c r="AO592" s="53"/>
      <c r="AP592" s="53"/>
      <c r="AQ592" s="53"/>
      <c r="AR592" s="53"/>
      <c r="AS592" s="53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52"/>
      <c r="BG592" s="52"/>
      <c r="BH592" s="52"/>
      <c r="BI592" s="52"/>
      <c r="BJ592" s="52"/>
      <c r="BK592" s="52"/>
      <c r="BL592" s="52"/>
      <c r="BM592" s="54"/>
    </row>
    <row r="593">
      <c r="A593" s="42"/>
      <c r="B593" s="52"/>
      <c r="C593" s="52"/>
      <c r="D593" s="52"/>
      <c r="E593" s="52"/>
      <c r="F593" s="81"/>
      <c r="G593" s="57"/>
      <c r="H593" s="48"/>
      <c r="I593" s="77"/>
      <c r="J593" s="62"/>
      <c r="K593" s="52"/>
      <c r="L593" s="52"/>
      <c r="M593" s="76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62"/>
      <c r="AB593" s="52"/>
      <c r="AC593" s="52"/>
      <c r="AD593" s="52"/>
      <c r="AE593" s="52"/>
      <c r="AF593" s="52"/>
      <c r="AG593" s="52"/>
      <c r="AH593" s="48"/>
      <c r="AI593" s="48"/>
      <c r="AJ593" s="48"/>
      <c r="AK593" s="53"/>
      <c r="AL593" s="53"/>
      <c r="AM593" s="53"/>
      <c r="AN593" s="53"/>
      <c r="AO593" s="53"/>
      <c r="AP593" s="53"/>
      <c r="AQ593" s="53"/>
      <c r="AR593" s="53"/>
      <c r="AS593" s="53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52"/>
      <c r="BG593" s="52"/>
      <c r="BH593" s="52"/>
      <c r="BI593" s="52"/>
      <c r="BJ593" s="52"/>
      <c r="BK593" s="52"/>
      <c r="BL593" s="52"/>
      <c r="BM593" s="54"/>
    </row>
    <row r="594">
      <c r="A594" s="42"/>
      <c r="B594" s="52"/>
      <c r="C594" s="52"/>
      <c r="D594" s="52"/>
      <c r="E594" s="52"/>
      <c r="F594" s="81"/>
      <c r="G594" s="57"/>
      <c r="H594" s="48"/>
      <c r="I594" s="77"/>
      <c r="J594" s="62"/>
      <c r="K594" s="52"/>
      <c r="L594" s="52"/>
      <c r="M594" s="76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62"/>
      <c r="AB594" s="52"/>
      <c r="AC594" s="52"/>
      <c r="AD594" s="52"/>
      <c r="AE594" s="52"/>
      <c r="AF594" s="52"/>
      <c r="AG594" s="52"/>
      <c r="AH594" s="48"/>
      <c r="AI594" s="48"/>
      <c r="AJ594" s="48"/>
      <c r="AK594" s="53"/>
      <c r="AL594" s="53"/>
      <c r="AM594" s="53"/>
      <c r="AN594" s="53"/>
      <c r="AO594" s="53"/>
      <c r="AP594" s="53"/>
      <c r="AQ594" s="53"/>
      <c r="AR594" s="53"/>
      <c r="AS594" s="53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52"/>
      <c r="BG594" s="52"/>
      <c r="BH594" s="52"/>
      <c r="BI594" s="52"/>
      <c r="BJ594" s="52"/>
      <c r="BK594" s="52"/>
      <c r="BL594" s="52"/>
      <c r="BM594" s="54"/>
    </row>
    <row r="595">
      <c r="A595" s="42"/>
      <c r="B595" s="52"/>
      <c r="C595" s="52"/>
      <c r="D595" s="52"/>
      <c r="E595" s="52"/>
      <c r="F595" s="81"/>
      <c r="G595" s="57"/>
      <c r="H595" s="48"/>
      <c r="I595" s="77"/>
      <c r="J595" s="62"/>
      <c r="K595" s="52"/>
      <c r="L595" s="52"/>
      <c r="M595" s="76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62"/>
      <c r="AB595" s="52"/>
      <c r="AC595" s="52"/>
      <c r="AD595" s="52"/>
      <c r="AE595" s="52"/>
      <c r="AF595" s="52"/>
      <c r="AG595" s="52"/>
      <c r="AH595" s="48"/>
      <c r="AI595" s="48"/>
      <c r="AJ595" s="48"/>
      <c r="AK595" s="53"/>
      <c r="AL595" s="53"/>
      <c r="AM595" s="53"/>
      <c r="AN595" s="53"/>
      <c r="AO595" s="53"/>
      <c r="AP595" s="53"/>
      <c r="AQ595" s="53"/>
      <c r="AR595" s="53"/>
      <c r="AS595" s="53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52"/>
      <c r="BG595" s="52"/>
      <c r="BH595" s="52"/>
      <c r="BI595" s="52"/>
      <c r="BJ595" s="52"/>
      <c r="BK595" s="52"/>
      <c r="BL595" s="52"/>
      <c r="BM595" s="54"/>
    </row>
    <row r="596">
      <c r="A596" s="42"/>
      <c r="B596" s="52"/>
      <c r="C596" s="52"/>
      <c r="D596" s="52"/>
      <c r="E596" s="52"/>
      <c r="F596" s="81"/>
      <c r="G596" s="57"/>
      <c r="H596" s="48"/>
      <c r="I596" s="77"/>
      <c r="J596" s="62"/>
      <c r="K596" s="52"/>
      <c r="L596" s="52"/>
      <c r="M596" s="76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62"/>
      <c r="AB596" s="52"/>
      <c r="AC596" s="52"/>
      <c r="AD596" s="52"/>
      <c r="AE596" s="52"/>
      <c r="AF596" s="52"/>
      <c r="AG596" s="52"/>
      <c r="AH596" s="48"/>
      <c r="AI596" s="48"/>
      <c r="AJ596" s="48"/>
      <c r="AK596" s="53"/>
      <c r="AL596" s="53"/>
      <c r="AM596" s="53"/>
      <c r="AN596" s="53"/>
      <c r="AO596" s="53"/>
      <c r="AP596" s="53"/>
      <c r="AQ596" s="53"/>
      <c r="AR596" s="53"/>
      <c r="AS596" s="53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52"/>
      <c r="BG596" s="52"/>
      <c r="BH596" s="52"/>
      <c r="BI596" s="52"/>
      <c r="BJ596" s="52"/>
      <c r="BK596" s="52"/>
      <c r="BL596" s="52"/>
      <c r="BM596" s="54"/>
    </row>
    <row r="597">
      <c r="A597" s="42"/>
      <c r="B597" s="52"/>
      <c r="C597" s="52"/>
      <c r="D597" s="52"/>
      <c r="E597" s="52"/>
      <c r="F597" s="81"/>
      <c r="G597" s="57"/>
      <c r="H597" s="48"/>
      <c r="I597" s="77"/>
      <c r="J597" s="62"/>
      <c r="K597" s="52"/>
      <c r="L597" s="52"/>
      <c r="M597" s="76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62"/>
      <c r="AB597" s="52"/>
      <c r="AC597" s="52"/>
      <c r="AD597" s="52"/>
      <c r="AE597" s="52"/>
      <c r="AF597" s="52"/>
      <c r="AG597" s="52"/>
      <c r="AH597" s="48"/>
      <c r="AI597" s="48"/>
      <c r="AJ597" s="48"/>
      <c r="AK597" s="53"/>
      <c r="AL597" s="53"/>
      <c r="AM597" s="53"/>
      <c r="AN597" s="53"/>
      <c r="AO597" s="53"/>
      <c r="AP597" s="53"/>
      <c r="AQ597" s="53"/>
      <c r="AR597" s="53"/>
      <c r="AS597" s="53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52"/>
      <c r="BG597" s="52"/>
      <c r="BH597" s="52"/>
      <c r="BI597" s="52"/>
      <c r="BJ597" s="52"/>
      <c r="BK597" s="52"/>
      <c r="BL597" s="52"/>
      <c r="BM597" s="54"/>
    </row>
    <row r="598">
      <c r="A598" s="42"/>
      <c r="B598" s="52"/>
      <c r="C598" s="52"/>
      <c r="D598" s="52"/>
      <c r="E598" s="52"/>
      <c r="F598" s="81"/>
      <c r="G598" s="57"/>
      <c r="H598" s="48"/>
      <c r="I598" s="77"/>
      <c r="J598" s="62"/>
      <c r="K598" s="52"/>
      <c r="L598" s="52"/>
      <c r="M598" s="76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62"/>
      <c r="AB598" s="52"/>
      <c r="AC598" s="52"/>
      <c r="AD598" s="52"/>
      <c r="AE598" s="52"/>
      <c r="AF598" s="52"/>
      <c r="AG598" s="52"/>
      <c r="AH598" s="48"/>
      <c r="AI598" s="48"/>
      <c r="AJ598" s="48"/>
      <c r="AK598" s="53"/>
      <c r="AL598" s="53"/>
      <c r="AM598" s="53"/>
      <c r="AN598" s="53"/>
      <c r="AO598" s="53"/>
      <c r="AP598" s="53"/>
      <c r="AQ598" s="53"/>
      <c r="AR598" s="53"/>
      <c r="AS598" s="53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52"/>
      <c r="BG598" s="52"/>
      <c r="BH598" s="52"/>
      <c r="BI598" s="52"/>
      <c r="BJ598" s="52"/>
      <c r="BK598" s="52"/>
      <c r="BL598" s="52"/>
      <c r="BM598" s="54"/>
    </row>
    <row r="599">
      <c r="A599" s="42"/>
      <c r="B599" s="52"/>
      <c r="C599" s="52"/>
      <c r="D599" s="52"/>
      <c r="E599" s="52"/>
      <c r="F599" s="81"/>
      <c r="G599" s="57"/>
      <c r="H599" s="48"/>
      <c r="I599" s="77"/>
      <c r="J599" s="62"/>
      <c r="K599" s="52"/>
      <c r="L599" s="52"/>
      <c r="M599" s="76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62"/>
      <c r="AB599" s="52"/>
      <c r="AC599" s="52"/>
      <c r="AD599" s="52"/>
      <c r="AE599" s="52"/>
      <c r="AF599" s="52"/>
      <c r="AG599" s="52"/>
      <c r="AH599" s="48"/>
      <c r="AI599" s="48"/>
      <c r="AJ599" s="48"/>
      <c r="AK599" s="53"/>
      <c r="AL599" s="53"/>
      <c r="AM599" s="53"/>
      <c r="AN599" s="53"/>
      <c r="AO599" s="53"/>
      <c r="AP599" s="53"/>
      <c r="AQ599" s="53"/>
      <c r="AR599" s="53"/>
      <c r="AS599" s="53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52"/>
      <c r="BG599" s="52"/>
      <c r="BH599" s="52"/>
      <c r="BI599" s="52"/>
      <c r="BJ599" s="52"/>
      <c r="BK599" s="52"/>
      <c r="BL599" s="52"/>
      <c r="BM599" s="54"/>
    </row>
    <row r="600">
      <c r="A600" s="42"/>
      <c r="B600" s="52"/>
      <c r="C600" s="52"/>
      <c r="D600" s="52"/>
      <c r="E600" s="52"/>
      <c r="F600" s="81"/>
      <c r="G600" s="57"/>
      <c r="H600" s="48"/>
      <c r="I600" s="77"/>
      <c r="J600" s="62"/>
      <c r="K600" s="52"/>
      <c r="L600" s="52"/>
      <c r="M600" s="76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62"/>
      <c r="AB600" s="52"/>
      <c r="AC600" s="52"/>
      <c r="AD600" s="52"/>
      <c r="AE600" s="52"/>
      <c r="AF600" s="52"/>
      <c r="AG600" s="52"/>
      <c r="AH600" s="48"/>
      <c r="AI600" s="48"/>
      <c r="AJ600" s="48"/>
      <c r="AK600" s="53"/>
      <c r="AL600" s="53"/>
      <c r="AM600" s="53"/>
      <c r="AN600" s="53"/>
      <c r="AO600" s="53"/>
      <c r="AP600" s="53"/>
      <c r="AQ600" s="53"/>
      <c r="AR600" s="53"/>
      <c r="AS600" s="53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52"/>
      <c r="BG600" s="52"/>
      <c r="BH600" s="52"/>
      <c r="BI600" s="52"/>
      <c r="BJ600" s="52"/>
      <c r="BK600" s="52"/>
      <c r="BL600" s="52"/>
      <c r="BM600" s="54"/>
    </row>
    <row r="601">
      <c r="A601" s="42"/>
      <c r="B601" s="52"/>
      <c r="C601" s="52"/>
      <c r="D601" s="52"/>
      <c r="E601" s="52"/>
      <c r="F601" s="81"/>
      <c r="G601" s="57"/>
      <c r="H601" s="48"/>
      <c r="I601" s="77"/>
      <c r="J601" s="62"/>
      <c r="K601" s="52"/>
      <c r="L601" s="52"/>
      <c r="M601" s="76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62"/>
      <c r="AB601" s="52"/>
      <c r="AC601" s="52"/>
      <c r="AD601" s="52"/>
      <c r="AE601" s="52"/>
      <c r="AF601" s="52"/>
      <c r="AG601" s="52"/>
      <c r="AH601" s="48"/>
      <c r="AI601" s="48"/>
      <c r="AJ601" s="48"/>
      <c r="AK601" s="53"/>
      <c r="AL601" s="53"/>
      <c r="AM601" s="53"/>
      <c r="AN601" s="53"/>
      <c r="AO601" s="53"/>
      <c r="AP601" s="53"/>
      <c r="AQ601" s="53"/>
      <c r="AR601" s="53"/>
      <c r="AS601" s="53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52"/>
      <c r="BG601" s="52"/>
      <c r="BH601" s="52"/>
      <c r="BI601" s="52"/>
      <c r="BJ601" s="52"/>
      <c r="BK601" s="52"/>
      <c r="BL601" s="52"/>
      <c r="BM601" s="54"/>
    </row>
    <row r="602">
      <c r="A602" s="42"/>
      <c r="B602" s="52"/>
      <c r="C602" s="52"/>
      <c r="D602" s="52"/>
      <c r="E602" s="52"/>
      <c r="F602" s="81"/>
      <c r="G602" s="57"/>
      <c r="H602" s="48"/>
      <c r="I602" s="77"/>
      <c r="J602" s="62"/>
      <c r="K602" s="52"/>
      <c r="L602" s="52"/>
      <c r="M602" s="76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62"/>
      <c r="AB602" s="52"/>
      <c r="AC602" s="52"/>
      <c r="AD602" s="52"/>
      <c r="AE602" s="52"/>
      <c r="AF602" s="52"/>
      <c r="AG602" s="52"/>
      <c r="AH602" s="48"/>
      <c r="AI602" s="48"/>
      <c r="AJ602" s="48"/>
      <c r="AK602" s="53"/>
      <c r="AL602" s="53"/>
      <c r="AM602" s="53"/>
      <c r="AN602" s="53"/>
      <c r="AO602" s="53"/>
      <c r="AP602" s="53"/>
      <c r="AQ602" s="53"/>
      <c r="AR602" s="53"/>
      <c r="AS602" s="53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52"/>
      <c r="BG602" s="52"/>
      <c r="BH602" s="52"/>
      <c r="BI602" s="52"/>
      <c r="BJ602" s="52"/>
      <c r="BK602" s="52"/>
      <c r="BL602" s="52"/>
      <c r="BM602" s="54"/>
    </row>
    <row r="603">
      <c r="A603" s="42"/>
      <c r="B603" s="52"/>
      <c r="C603" s="52"/>
      <c r="D603" s="52"/>
      <c r="E603" s="52"/>
      <c r="F603" s="81"/>
      <c r="G603" s="57"/>
      <c r="H603" s="48"/>
      <c r="I603" s="77"/>
      <c r="J603" s="62"/>
      <c r="K603" s="52"/>
      <c r="L603" s="52"/>
      <c r="M603" s="76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62"/>
      <c r="AB603" s="52"/>
      <c r="AC603" s="52"/>
      <c r="AD603" s="52"/>
      <c r="AE603" s="52"/>
      <c r="AF603" s="52"/>
      <c r="AG603" s="52"/>
      <c r="AH603" s="48"/>
      <c r="AI603" s="48"/>
      <c r="AJ603" s="48"/>
      <c r="AK603" s="53"/>
      <c r="AL603" s="53"/>
      <c r="AM603" s="53"/>
      <c r="AN603" s="53"/>
      <c r="AO603" s="53"/>
      <c r="AP603" s="53"/>
      <c r="AQ603" s="53"/>
      <c r="AR603" s="53"/>
      <c r="AS603" s="53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52"/>
      <c r="BG603" s="52"/>
      <c r="BH603" s="52"/>
      <c r="BI603" s="52"/>
      <c r="BJ603" s="52"/>
      <c r="BK603" s="52"/>
      <c r="BL603" s="52"/>
      <c r="BM603" s="54"/>
    </row>
    <row r="604">
      <c r="A604" s="42"/>
      <c r="B604" s="52"/>
      <c r="C604" s="52"/>
      <c r="D604" s="52"/>
      <c r="E604" s="52"/>
      <c r="F604" s="81"/>
      <c r="G604" s="57"/>
      <c r="H604" s="48"/>
      <c r="I604" s="77"/>
      <c r="J604" s="62"/>
      <c r="K604" s="52"/>
      <c r="L604" s="52"/>
      <c r="M604" s="76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62"/>
      <c r="AB604" s="52"/>
      <c r="AC604" s="52"/>
      <c r="AD604" s="52"/>
      <c r="AE604" s="52"/>
      <c r="AF604" s="52"/>
      <c r="AG604" s="52"/>
      <c r="AH604" s="48"/>
      <c r="AI604" s="48"/>
      <c r="AJ604" s="48"/>
      <c r="AK604" s="53"/>
      <c r="AL604" s="53"/>
      <c r="AM604" s="53"/>
      <c r="AN604" s="53"/>
      <c r="AO604" s="53"/>
      <c r="AP604" s="53"/>
      <c r="AQ604" s="53"/>
      <c r="AR604" s="53"/>
      <c r="AS604" s="53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52"/>
      <c r="BG604" s="52"/>
      <c r="BH604" s="52"/>
      <c r="BI604" s="52"/>
      <c r="BJ604" s="52"/>
      <c r="BK604" s="52"/>
      <c r="BL604" s="52"/>
      <c r="BM604" s="54"/>
    </row>
    <row r="605">
      <c r="A605" s="42"/>
      <c r="B605" s="52"/>
      <c r="C605" s="52"/>
      <c r="D605" s="52"/>
      <c r="E605" s="52"/>
      <c r="F605" s="81"/>
      <c r="G605" s="57"/>
      <c r="H605" s="48"/>
      <c r="I605" s="77"/>
      <c r="J605" s="62"/>
      <c r="K605" s="52"/>
      <c r="L605" s="52"/>
      <c r="M605" s="76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62"/>
      <c r="AB605" s="52"/>
      <c r="AC605" s="52"/>
      <c r="AD605" s="52"/>
      <c r="AE605" s="52"/>
      <c r="AF605" s="52"/>
      <c r="AG605" s="52"/>
      <c r="AH605" s="48"/>
      <c r="AI605" s="48"/>
      <c r="AJ605" s="48"/>
      <c r="AK605" s="53"/>
      <c r="AL605" s="53"/>
      <c r="AM605" s="53"/>
      <c r="AN605" s="53"/>
      <c r="AO605" s="53"/>
      <c r="AP605" s="53"/>
      <c r="AQ605" s="53"/>
      <c r="AR605" s="53"/>
      <c r="AS605" s="53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52"/>
      <c r="BG605" s="52"/>
      <c r="BH605" s="52"/>
      <c r="BI605" s="52"/>
      <c r="BJ605" s="52"/>
      <c r="BK605" s="52"/>
      <c r="BL605" s="52"/>
      <c r="BM605" s="54"/>
    </row>
    <row r="606">
      <c r="A606" s="42"/>
      <c r="B606" s="52"/>
      <c r="C606" s="52"/>
      <c r="D606" s="52"/>
      <c r="E606" s="52"/>
      <c r="F606" s="81"/>
      <c r="G606" s="57"/>
      <c r="H606" s="48"/>
      <c r="I606" s="77"/>
      <c r="J606" s="62"/>
      <c r="K606" s="52"/>
      <c r="L606" s="52"/>
      <c r="M606" s="76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62"/>
      <c r="AB606" s="52"/>
      <c r="AC606" s="52"/>
      <c r="AD606" s="52"/>
      <c r="AE606" s="52"/>
      <c r="AF606" s="52"/>
      <c r="AG606" s="52"/>
      <c r="AH606" s="48"/>
      <c r="AI606" s="48"/>
      <c r="AJ606" s="48"/>
      <c r="AK606" s="53"/>
      <c r="AL606" s="53"/>
      <c r="AM606" s="53"/>
      <c r="AN606" s="53"/>
      <c r="AO606" s="53"/>
      <c r="AP606" s="53"/>
      <c r="AQ606" s="53"/>
      <c r="AR606" s="53"/>
      <c r="AS606" s="53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52"/>
      <c r="BG606" s="52"/>
      <c r="BH606" s="52"/>
      <c r="BI606" s="52"/>
      <c r="BJ606" s="52"/>
      <c r="BK606" s="52"/>
      <c r="BL606" s="52"/>
      <c r="BM606" s="54"/>
    </row>
    <row r="607">
      <c r="A607" s="42"/>
      <c r="B607" s="52"/>
      <c r="C607" s="52"/>
      <c r="D607" s="52"/>
      <c r="E607" s="52"/>
      <c r="F607" s="81"/>
      <c r="G607" s="57"/>
      <c r="H607" s="48"/>
      <c r="I607" s="77"/>
      <c r="J607" s="62"/>
      <c r="K607" s="52"/>
      <c r="L607" s="52"/>
      <c r="M607" s="76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62"/>
      <c r="AB607" s="52"/>
      <c r="AC607" s="52"/>
      <c r="AD607" s="52"/>
      <c r="AE607" s="52"/>
      <c r="AF607" s="52"/>
      <c r="AG607" s="52"/>
      <c r="AH607" s="48"/>
      <c r="AI607" s="48"/>
      <c r="AJ607" s="48"/>
      <c r="AK607" s="53"/>
      <c r="AL607" s="53"/>
      <c r="AM607" s="53"/>
      <c r="AN607" s="53"/>
      <c r="AO607" s="53"/>
      <c r="AP607" s="53"/>
      <c r="AQ607" s="53"/>
      <c r="AR607" s="53"/>
      <c r="AS607" s="53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52"/>
      <c r="BG607" s="52"/>
      <c r="BH607" s="52"/>
      <c r="BI607" s="52"/>
      <c r="BJ607" s="52"/>
      <c r="BK607" s="52"/>
      <c r="BL607" s="52"/>
      <c r="BM607" s="54"/>
    </row>
    <row r="608">
      <c r="A608" s="42"/>
      <c r="B608" s="52"/>
      <c r="C608" s="52"/>
      <c r="D608" s="52"/>
      <c r="E608" s="52"/>
      <c r="F608" s="81"/>
      <c r="G608" s="57"/>
      <c r="H608" s="48"/>
      <c r="I608" s="77"/>
      <c r="J608" s="62"/>
      <c r="K608" s="52"/>
      <c r="L608" s="52"/>
      <c r="M608" s="76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62"/>
      <c r="AB608" s="52"/>
      <c r="AC608" s="52"/>
      <c r="AD608" s="52"/>
      <c r="AE608" s="52"/>
      <c r="AF608" s="52"/>
      <c r="AG608" s="52"/>
      <c r="AH608" s="48"/>
      <c r="AI608" s="48"/>
      <c r="AJ608" s="48"/>
      <c r="AK608" s="53"/>
      <c r="AL608" s="53"/>
      <c r="AM608" s="53"/>
      <c r="AN608" s="53"/>
      <c r="AO608" s="53"/>
      <c r="AP608" s="53"/>
      <c r="AQ608" s="53"/>
      <c r="AR608" s="53"/>
      <c r="AS608" s="53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52"/>
      <c r="BG608" s="52"/>
      <c r="BH608" s="52"/>
      <c r="BI608" s="52"/>
      <c r="BJ608" s="52"/>
      <c r="BK608" s="52"/>
      <c r="BL608" s="52"/>
      <c r="BM608" s="54"/>
    </row>
    <row r="609">
      <c r="A609" s="42"/>
      <c r="B609" s="52"/>
      <c r="C609" s="52"/>
      <c r="D609" s="52"/>
      <c r="E609" s="52"/>
      <c r="F609" s="81"/>
      <c r="G609" s="57"/>
      <c r="H609" s="48"/>
      <c r="I609" s="77"/>
      <c r="J609" s="62"/>
      <c r="K609" s="52"/>
      <c r="L609" s="52"/>
      <c r="M609" s="76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62"/>
      <c r="AB609" s="52"/>
      <c r="AC609" s="52"/>
      <c r="AD609" s="52"/>
      <c r="AE609" s="52"/>
      <c r="AF609" s="52"/>
      <c r="AG609" s="52"/>
      <c r="AH609" s="48"/>
      <c r="AI609" s="48"/>
      <c r="AJ609" s="48"/>
      <c r="AK609" s="53"/>
      <c r="AL609" s="53"/>
      <c r="AM609" s="53"/>
      <c r="AN609" s="53"/>
      <c r="AO609" s="53"/>
      <c r="AP609" s="53"/>
      <c r="AQ609" s="53"/>
      <c r="AR609" s="53"/>
      <c r="AS609" s="53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52"/>
      <c r="BG609" s="52"/>
      <c r="BH609" s="52"/>
      <c r="BI609" s="52"/>
      <c r="BJ609" s="52"/>
      <c r="BK609" s="52"/>
      <c r="BL609" s="52"/>
      <c r="BM609" s="54"/>
    </row>
    <row r="610">
      <c r="A610" s="42"/>
      <c r="B610" s="52"/>
      <c r="C610" s="52"/>
      <c r="D610" s="52"/>
      <c r="E610" s="52"/>
      <c r="F610" s="81"/>
      <c r="G610" s="57"/>
      <c r="H610" s="48"/>
      <c r="I610" s="77"/>
      <c r="J610" s="62"/>
      <c r="K610" s="52"/>
      <c r="L610" s="52"/>
      <c r="M610" s="76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62"/>
      <c r="AB610" s="52"/>
      <c r="AC610" s="52"/>
      <c r="AD610" s="52"/>
      <c r="AE610" s="52"/>
      <c r="AF610" s="52"/>
      <c r="AG610" s="52"/>
      <c r="AH610" s="48"/>
      <c r="AI610" s="48"/>
      <c r="AJ610" s="48"/>
      <c r="AK610" s="53"/>
      <c r="AL610" s="53"/>
      <c r="AM610" s="53"/>
      <c r="AN610" s="53"/>
      <c r="AO610" s="53"/>
      <c r="AP610" s="53"/>
      <c r="AQ610" s="53"/>
      <c r="AR610" s="53"/>
      <c r="AS610" s="53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52"/>
      <c r="BG610" s="52"/>
      <c r="BH610" s="52"/>
      <c r="BI610" s="52"/>
      <c r="BJ610" s="52"/>
      <c r="BK610" s="52"/>
      <c r="BL610" s="52"/>
      <c r="BM610" s="54"/>
    </row>
    <row r="611">
      <c r="A611" s="42"/>
      <c r="B611" s="52"/>
      <c r="C611" s="52"/>
      <c r="D611" s="52"/>
      <c r="E611" s="52"/>
      <c r="F611" s="81"/>
      <c r="G611" s="57"/>
      <c r="H611" s="48"/>
      <c r="I611" s="77"/>
      <c r="J611" s="62"/>
      <c r="K611" s="52"/>
      <c r="L611" s="52"/>
      <c r="M611" s="76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62"/>
      <c r="AB611" s="52"/>
      <c r="AC611" s="52"/>
      <c r="AD611" s="52"/>
      <c r="AE611" s="52"/>
      <c r="AF611" s="52"/>
      <c r="AG611" s="52"/>
      <c r="AH611" s="48"/>
      <c r="AI611" s="48"/>
      <c r="AJ611" s="48"/>
      <c r="AK611" s="53"/>
      <c r="AL611" s="53"/>
      <c r="AM611" s="53"/>
      <c r="AN611" s="53"/>
      <c r="AO611" s="53"/>
      <c r="AP611" s="53"/>
      <c r="AQ611" s="53"/>
      <c r="AR611" s="53"/>
      <c r="AS611" s="53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52"/>
      <c r="BG611" s="52"/>
      <c r="BH611" s="52"/>
      <c r="BI611" s="52"/>
      <c r="BJ611" s="52"/>
      <c r="BK611" s="52"/>
      <c r="BL611" s="52"/>
      <c r="BM611" s="54"/>
    </row>
    <row r="612">
      <c r="A612" s="42"/>
      <c r="B612" s="52"/>
      <c r="C612" s="52"/>
      <c r="D612" s="52"/>
      <c r="E612" s="52"/>
      <c r="F612" s="81"/>
      <c r="G612" s="57"/>
      <c r="H612" s="48"/>
      <c r="I612" s="77"/>
      <c r="J612" s="62"/>
      <c r="K612" s="52"/>
      <c r="L612" s="52"/>
      <c r="M612" s="76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62"/>
      <c r="AB612" s="52"/>
      <c r="AC612" s="52"/>
      <c r="AD612" s="52"/>
      <c r="AE612" s="52"/>
      <c r="AF612" s="52"/>
      <c r="AG612" s="52"/>
      <c r="AH612" s="48"/>
      <c r="AI612" s="48"/>
      <c r="AJ612" s="48"/>
      <c r="AK612" s="53"/>
      <c r="AL612" s="53"/>
      <c r="AM612" s="53"/>
      <c r="AN612" s="53"/>
      <c r="AO612" s="53"/>
      <c r="AP612" s="53"/>
      <c r="AQ612" s="53"/>
      <c r="AR612" s="53"/>
      <c r="AS612" s="53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52"/>
      <c r="BG612" s="52"/>
      <c r="BH612" s="52"/>
      <c r="BI612" s="52"/>
      <c r="BJ612" s="52"/>
      <c r="BK612" s="52"/>
      <c r="BL612" s="52"/>
      <c r="BM612" s="54"/>
    </row>
    <row r="613">
      <c r="A613" s="42"/>
      <c r="B613" s="52"/>
      <c r="C613" s="52"/>
      <c r="D613" s="52"/>
      <c r="E613" s="52"/>
      <c r="F613" s="81"/>
      <c r="G613" s="57"/>
      <c r="H613" s="48"/>
      <c r="I613" s="77"/>
      <c r="J613" s="62"/>
      <c r="K613" s="52"/>
      <c r="L613" s="52"/>
      <c r="M613" s="76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62"/>
      <c r="AB613" s="52"/>
      <c r="AC613" s="52"/>
      <c r="AD613" s="52"/>
      <c r="AE613" s="52"/>
      <c r="AF613" s="52"/>
      <c r="AG613" s="52"/>
      <c r="AH613" s="48"/>
      <c r="AI613" s="48"/>
      <c r="AJ613" s="48"/>
      <c r="AK613" s="53"/>
      <c r="AL613" s="53"/>
      <c r="AM613" s="53"/>
      <c r="AN613" s="53"/>
      <c r="AO613" s="53"/>
      <c r="AP613" s="53"/>
      <c r="AQ613" s="53"/>
      <c r="AR613" s="53"/>
      <c r="AS613" s="53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52"/>
      <c r="BG613" s="52"/>
      <c r="BH613" s="52"/>
      <c r="BI613" s="52"/>
      <c r="BJ613" s="52"/>
      <c r="BK613" s="52"/>
      <c r="BL613" s="52"/>
      <c r="BM613" s="54"/>
    </row>
    <row r="614">
      <c r="A614" s="42"/>
      <c r="B614" s="52"/>
      <c r="C614" s="52"/>
      <c r="D614" s="52"/>
      <c r="E614" s="52"/>
      <c r="F614" s="81"/>
      <c r="G614" s="57"/>
      <c r="H614" s="48"/>
      <c r="I614" s="77"/>
      <c r="J614" s="62"/>
      <c r="K614" s="52"/>
      <c r="L614" s="52"/>
      <c r="M614" s="76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62"/>
      <c r="AB614" s="52"/>
      <c r="AC614" s="52"/>
      <c r="AD614" s="52"/>
      <c r="AE614" s="52"/>
      <c r="AF614" s="52"/>
      <c r="AG614" s="52"/>
      <c r="AH614" s="48"/>
      <c r="AI614" s="48"/>
      <c r="AJ614" s="48"/>
      <c r="AK614" s="53"/>
      <c r="AL614" s="53"/>
      <c r="AM614" s="53"/>
      <c r="AN614" s="53"/>
      <c r="AO614" s="53"/>
      <c r="AP614" s="53"/>
      <c r="AQ614" s="53"/>
      <c r="AR614" s="53"/>
      <c r="AS614" s="53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52"/>
      <c r="BG614" s="52"/>
      <c r="BH614" s="52"/>
      <c r="BI614" s="52"/>
      <c r="BJ614" s="52"/>
      <c r="BK614" s="52"/>
      <c r="BL614" s="52"/>
      <c r="BM614" s="54"/>
    </row>
    <row r="615">
      <c r="A615" s="42"/>
      <c r="B615" s="52"/>
      <c r="C615" s="52"/>
      <c r="D615" s="52"/>
      <c r="E615" s="52"/>
      <c r="F615" s="81"/>
      <c r="G615" s="57"/>
      <c r="H615" s="48"/>
      <c r="I615" s="77"/>
      <c r="J615" s="62"/>
      <c r="K615" s="52"/>
      <c r="L615" s="52"/>
      <c r="M615" s="76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62"/>
      <c r="AB615" s="52"/>
      <c r="AC615" s="52"/>
      <c r="AD615" s="52"/>
      <c r="AE615" s="52"/>
      <c r="AF615" s="52"/>
      <c r="AG615" s="52"/>
      <c r="AH615" s="48"/>
      <c r="AI615" s="48"/>
      <c r="AJ615" s="48"/>
      <c r="AK615" s="53"/>
      <c r="AL615" s="53"/>
      <c r="AM615" s="53"/>
      <c r="AN615" s="53"/>
      <c r="AO615" s="53"/>
      <c r="AP615" s="53"/>
      <c r="AQ615" s="53"/>
      <c r="AR615" s="53"/>
      <c r="AS615" s="53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52"/>
      <c r="BG615" s="52"/>
      <c r="BH615" s="52"/>
      <c r="BI615" s="52"/>
      <c r="BJ615" s="52"/>
      <c r="BK615" s="52"/>
      <c r="BL615" s="52"/>
      <c r="BM615" s="54"/>
    </row>
    <row r="616">
      <c r="A616" s="42"/>
      <c r="B616" s="52"/>
      <c r="C616" s="52"/>
      <c r="D616" s="52"/>
      <c r="E616" s="52"/>
      <c r="F616" s="81"/>
      <c r="G616" s="57"/>
      <c r="H616" s="48"/>
      <c r="I616" s="77"/>
      <c r="J616" s="62"/>
      <c r="K616" s="52"/>
      <c r="L616" s="52"/>
      <c r="M616" s="76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62"/>
      <c r="AB616" s="52"/>
      <c r="AC616" s="52"/>
      <c r="AD616" s="52"/>
      <c r="AE616" s="52"/>
      <c r="AF616" s="52"/>
      <c r="AG616" s="52"/>
      <c r="AH616" s="48"/>
      <c r="AI616" s="48"/>
      <c r="AJ616" s="48"/>
      <c r="AK616" s="53"/>
      <c r="AL616" s="53"/>
      <c r="AM616" s="53"/>
      <c r="AN616" s="53"/>
      <c r="AO616" s="53"/>
      <c r="AP616" s="53"/>
      <c r="AQ616" s="53"/>
      <c r="AR616" s="53"/>
      <c r="AS616" s="53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52"/>
      <c r="BG616" s="52"/>
      <c r="BH616" s="52"/>
      <c r="BI616" s="52"/>
      <c r="BJ616" s="52"/>
      <c r="BK616" s="52"/>
      <c r="BL616" s="52"/>
      <c r="BM616" s="54"/>
    </row>
    <row r="617">
      <c r="A617" s="42"/>
      <c r="B617" s="52"/>
      <c r="C617" s="52"/>
      <c r="D617" s="52"/>
      <c r="E617" s="52"/>
      <c r="F617" s="81"/>
      <c r="G617" s="57"/>
      <c r="H617" s="48"/>
      <c r="I617" s="77"/>
      <c r="J617" s="62"/>
      <c r="K617" s="52"/>
      <c r="L617" s="52"/>
      <c r="M617" s="76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62"/>
      <c r="AB617" s="52"/>
      <c r="AC617" s="52"/>
      <c r="AD617" s="52"/>
      <c r="AE617" s="52"/>
      <c r="AF617" s="52"/>
      <c r="AG617" s="52"/>
      <c r="AH617" s="48"/>
      <c r="AI617" s="48"/>
      <c r="AJ617" s="48"/>
      <c r="AK617" s="53"/>
      <c r="AL617" s="53"/>
      <c r="AM617" s="53"/>
      <c r="AN617" s="53"/>
      <c r="AO617" s="53"/>
      <c r="AP617" s="53"/>
      <c r="AQ617" s="53"/>
      <c r="AR617" s="53"/>
      <c r="AS617" s="53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52"/>
      <c r="BG617" s="52"/>
      <c r="BH617" s="52"/>
      <c r="BI617" s="52"/>
      <c r="BJ617" s="52"/>
      <c r="BK617" s="52"/>
      <c r="BL617" s="52"/>
      <c r="BM617" s="54"/>
    </row>
    <row r="618">
      <c r="A618" s="42"/>
      <c r="B618" s="52"/>
      <c r="C618" s="52"/>
      <c r="D618" s="52"/>
      <c r="E618" s="52"/>
      <c r="F618" s="81"/>
      <c r="G618" s="57"/>
      <c r="H618" s="48"/>
      <c r="I618" s="77"/>
      <c r="J618" s="62"/>
      <c r="K618" s="52"/>
      <c r="L618" s="52"/>
      <c r="M618" s="76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62"/>
      <c r="AB618" s="52"/>
      <c r="AC618" s="52"/>
      <c r="AD618" s="52"/>
      <c r="AE618" s="52"/>
      <c r="AF618" s="52"/>
      <c r="AG618" s="52"/>
      <c r="AH618" s="48"/>
      <c r="AI618" s="48"/>
      <c r="AJ618" s="48"/>
      <c r="AK618" s="53"/>
      <c r="AL618" s="53"/>
      <c r="AM618" s="53"/>
      <c r="AN618" s="53"/>
      <c r="AO618" s="53"/>
      <c r="AP618" s="53"/>
      <c r="AQ618" s="53"/>
      <c r="AR618" s="53"/>
      <c r="AS618" s="53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52"/>
      <c r="BG618" s="52"/>
      <c r="BH618" s="52"/>
      <c r="BI618" s="52"/>
      <c r="BJ618" s="52"/>
      <c r="BK618" s="52"/>
      <c r="BL618" s="52"/>
      <c r="BM618" s="54"/>
    </row>
    <row r="619">
      <c r="A619" s="42"/>
      <c r="B619" s="52"/>
      <c r="C619" s="52"/>
      <c r="D619" s="52"/>
      <c r="E619" s="52"/>
      <c r="F619" s="81"/>
      <c r="G619" s="57"/>
      <c r="H619" s="48"/>
      <c r="I619" s="77"/>
      <c r="J619" s="62"/>
      <c r="K619" s="52"/>
      <c r="L619" s="52"/>
      <c r="M619" s="76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62"/>
      <c r="AB619" s="52"/>
      <c r="AC619" s="52"/>
      <c r="AD619" s="52"/>
      <c r="AE619" s="52"/>
      <c r="AF619" s="52"/>
      <c r="AG619" s="52"/>
      <c r="AH619" s="48"/>
      <c r="AI619" s="48"/>
      <c r="AJ619" s="48"/>
      <c r="AK619" s="53"/>
      <c r="AL619" s="53"/>
      <c r="AM619" s="53"/>
      <c r="AN619" s="53"/>
      <c r="AO619" s="53"/>
      <c r="AP619" s="53"/>
      <c r="AQ619" s="53"/>
      <c r="AR619" s="53"/>
      <c r="AS619" s="53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52"/>
      <c r="BG619" s="52"/>
      <c r="BH619" s="52"/>
      <c r="BI619" s="52"/>
      <c r="BJ619" s="52"/>
      <c r="BK619" s="52"/>
      <c r="BL619" s="52"/>
      <c r="BM619" s="54"/>
    </row>
    <row r="620">
      <c r="A620" s="42"/>
      <c r="B620" s="52"/>
      <c r="C620" s="52"/>
      <c r="D620" s="52"/>
      <c r="E620" s="52"/>
      <c r="F620" s="81"/>
      <c r="G620" s="57"/>
      <c r="H620" s="48"/>
      <c r="I620" s="77"/>
      <c r="J620" s="62"/>
      <c r="K620" s="52"/>
      <c r="L620" s="52"/>
      <c r="M620" s="76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62"/>
      <c r="AB620" s="52"/>
      <c r="AC620" s="52"/>
      <c r="AD620" s="52"/>
      <c r="AE620" s="52"/>
      <c r="AF620" s="52"/>
      <c r="AG620" s="52"/>
      <c r="AH620" s="48"/>
      <c r="AI620" s="48"/>
      <c r="AJ620" s="48"/>
      <c r="AK620" s="53"/>
      <c r="AL620" s="53"/>
      <c r="AM620" s="53"/>
      <c r="AN620" s="53"/>
      <c r="AO620" s="53"/>
      <c r="AP620" s="53"/>
      <c r="AQ620" s="53"/>
      <c r="AR620" s="53"/>
      <c r="AS620" s="53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52"/>
      <c r="BG620" s="52"/>
      <c r="BH620" s="52"/>
      <c r="BI620" s="52"/>
      <c r="BJ620" s="52"/>
      <c r="BK620" s="52"/>
      <c r="BL620" s="52"/>
      <c r="BM620" s="54"/>
    </row>
    <row r="621">
      <c r="A621" s="42"/>
      <c r="B621" s="52"/>
      <c r="C621" s="52"/>
      <c r="D621" s="52"/>
      <c r="E621" s="52"/>
      <c r="F621" s="81"/>
      <c r="G621" s="57"/>
      <c r="H621" s="48"/>
      <c r="I621" s="77"/>
      <c r="J621" s="62"/>
      <c r="K621" s="52"/>
      <c r="L621" s="52"/>
      <c r="M621" s="76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62"/>
      <c r="AB621" s="52"/>
      <c r="AC621" s="52"/>
      <c r="AD621" s="52"/>
      <c r="AE621" s="52"/>
      <c r="AF621" s="52"/>
      <c r="AG621" s="52"/>
      <c r="AH621" s="48"/>
      <c r="AI621" s="48"/>
      <c r="AJ621" s="48"/>
      <c r="AK621" s="53"/>
      <c r="AL621" s="53"/>
      <c r="AM621" s="53"/>
      <c r="AN621" s="53"/>
      <c r="AO621" s="53"/>
      <c r="AP621" s="53"/>
      <c r="AQ621" s="53"/>
      <c r="AR621" s="53"/>
      <c r="AS621" s="53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52"/>
      <c r="BG621" s="52"/>
      <c r="BH621" s="52"/>
      <c r="BI621" s="52"/>
      <c r="BJ621" s="52"/>
      <c r="BK621" s="52"/>
      <c r="BL621" s="52"/>
      <c r="BM621" s="54"/>
    </row>
    <row r="622">
      <c r="A622" s="42"/>
      <c r="B622" s="52"/>
      <c r="C622" s="52"/>
      <c r="D622" s="52"/>
      <c r="E622" s="52"/>
      <c r="F622" s="81"/>
      <c r="G622" s="57"/>
      <c r="H622" s="48"/>
      <c r="I622" s="77"/>
      <c r="J622" s="62"/>
      <c r="K622" s="52"/>
      <c r="L622" s="52"/>
      <c r="M622" s="76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62"/>
      <c r="AB622" s="52"/>
      <c r="AC622" s="52"/>
      <c r="AD622" s="52"/>
      <c r="AE622" s="52"/>
      <c r="AF622" s="52"/>
      <c r="AG622" s="52"/>
      <c r="AH622" s="48"/>
      <c r="AI622" s="48"/>
      <c r="AJ622" s="48"/>
      <c r="AK622" s="53"/>
      <c r="AL622" s="53"/>
      <c r="AM622" s="53"/>
      <c r="AN622" s="53"/>
      <c r="AO622" s="53"/>
      <c r="AP622" s="53"/>
      <c r="AQ622" s="53"/>
      <c r="AR622" s="53"/>
      <c r="AS622" s="53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52"/>
      <c r="BG622" s="52"/>
      <c r="BH622" s="52"/>
      <c r="BI622" s="52"/>
      <c r="BJ622" s="52"/>
      <c r="BK622" s="52"/>
      <c r="BL622" s="52"/>
      <c r="BM622" s="54"/>
    </row>
    <row r="623">
      <c r="A623" s="42"/>
      <c r="B623" s="52"/>
      <c r="C623" s="52"/>
      <c r="D623" s="52"/>
      <c r="E623" s="52"/>
      <c r="F623" s="81"/>
      <c r="G623" s="57"/>
      <c r="H623" s="48"/>
      <c r="I623" s="77"/>
      <c r="J623" s="62"/>
      <c r="K623" s="52"/>
      <c r="L623" s="52"/>
      <c r="M623" s="76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62"/>
      <c r="AB623" s="52"/>
      <c r="AC623" s="52"/>
      <c r="AD623" s="52"/>
      <c r="AE623" s="52"/>
      <c r="AF623" s="52"/>
      <c r="AG623" s="52"/>
      <c r="AH623" s="48"/>
      <c r="AI623" s="48"/>
      <c r="AJ623" s="48"/>
      <c r="AK623" s="53"/>
      <c r="AL623" s="53"/>
      <c r="AM623" s="53"/>
      <c r="AN623" s="53"/>
      <c r="AO623" s="53"/>
      <c r="AP623" s="53"/>
      <c r="AQ623" s="53"/>
      <c r="AR623" s="53"/>
      <c r="AS623" s="53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52"/>
      <c r="BG623" s="52"/>
      <c r="BH623" s="52"/>
      <c r="BI623" s="52"/>
      <c r="BJ623" s="52"/>
      <c r="BK623" s="52"/>
      <c r="BL623" s="52"/>
      <c r="BM623" s="54"/>
    </row>
    <row r="624">
      <c r="A624" s="42"/>
      <c r="B624" s="52"/>
      <c r="C624" s="52"/>
      <c r="D624" s="52"/>
      <c r="E624" s="52"/>
      <c r="F624" s="81"/>
      <c r="G624" s="57"/>
      <c r="H624" s="48"/>
      <c r="I624" s="77"/>
      <c r="J624" s="62"/>
      <c r="K624" s="52"/>
      <c r="L624" s="52"/>
      <c r="M624" s="76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62"/>
      <c r="AB624" s="52"/>
      <c r="AC624" s="52"/>
      <c r="AD624" s="52"/>
      <c r="AE624" s="52"/>
      <c r="AF624" s="52"/>
      <c r="AG624" s="52"/>
      <c r="AH624" s="48"/>
      <c r="AI624" s="48"/>
      <c r="AJ624" s="48"/>
      <c r="AK624" s="53"/>
      <c r="AL624" s="53"/>
      <c r="AM624" s="53"/>
      <c r="AN624" s="53"/>
      <c r="AO624" s="53"/>
      <c r="AP624" s="53"/>
      <c r="AQ624" s="53"/>
      <c r="AR624" s="53"/>
      <c r="AS624" s="53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52"/>
      <c r="BG624" s="52"/>
      <c r="BH624" s="52"/>
      <c r="BI624" s="52"/>
      <c r="BJ624" s="52"/>
      <c r="BK624" s="52"/>
      <c r="BL624" s="52"/>
      <c r="BM624" s="54"/>
    </row>
    <row r="625">
      <c r="A625" s="42"/>
      <c r="B625" s="52"/>
      <c r="C625" s="52"/>
      <c r="D625" s="52"/>
      <c r="E625" s="52"/>
      <c r="F625" s="81"/>
      <c r="G625" s="57"/>
      <c r="H625" s="48"/>
      <c r="I625" s="77"/>
      <c r="J625" s="62"/>
      <c r="K625" s="52"/>
      <c r="L625" s="52"/>
      <c r="M625" s="76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62"/>
      <c r="AB625" s="52"/>
      <c r="AC625" s="52"/>
      <c r="AD625" s="52"/>
      <c r="AE625" s="52"/>
      <c r="AF625" s="52"/>
      <c r="AG625" s="52"/>
      <c r="AH625" s="48"/>
      <c r="AI625" s="48"/>
      <c r="AJ625" s="48"/>
      <c r="AK625" s="53"/>
      <c r="AL625" s="53"/>
      <c r="AM625" s="53"/>
      <c r="AN625" s="53"/>
      <c r="AO625" s="53"/>
      <c r="AP625" s="53"/>
      <c r="AQ625" s="53"/>
      <c r="AR625" s="53"/>
      <c r="AS625" s="53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52"/>
      <c r="BG625" s="52"/>
      <c r="BH625" s="52"/>
      <c r="BI625" s="52"/>
      <c r="BJ625" s="52"/>
      <c r="BK625" s="52"/>
      <c r="BL625" s="52"/>
      <c r="BM625" s="54"/>
    </row>
    <row r="626">
      <c r="A626" s="42"/>
      <c r="B626" s="52"/>
      <c r="C626" s="52"/>
      <c r="D626" s="52"/>
      <c r="E626" s="52"/>
      <c r="F626" s="81"/>
      <c r="G626" s="57"/>
      <c r="H626" s="48"/>
      <c r="I626" s="77"/>
      <c r="J626" s="62"/>
      <c r="K626" s="52"/>
      <c r="L626" s="52"/>
      <c r="M626" s="76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62"/>
      <c r="AB626" s="52"/>
      <c r="AC626" s="52"/>
      <c r="AD626" s="52"/>
      <c r="AE626" s="52"/>
      <c r="AF626" s="52"/>
      <c r="AG626" s="52"/>
      <c r="AH626" s="48"/>
      <c r="AI626" s="48"/>
      <c r="AJ626" s="48"/>
      <c r="AK626" s="53"/>
      <c r="AL626" s="53"/>
      <c r="AM626" s="53"/>
      <c r="AN626" s="53"/>
      <c r="AO626" s="53"/>
      <c r="AP626" s="53"/>
      <c r="AQ626" s="53"/>
      <c r="AR626" s="53"/>
      <c r="AS626" s="53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52"/>
      <c r="BG626" s="52"/>
      <c r="BH626" s="52"/>
      <c r="BI626" s="52"/>
      <c r="BJ626" s="52"/>
      <c r="BK626" s="52"/>
      <c r="BL626" s="52"/>
      <c r="BM626" s="54"/>
    </row>
    <row r="627">
      <c r="A627" s="42"/>
      <c r="B627" s="52"/>
      <c r="C627" s="52"/>
      <c r="D627" s="52"/>
      <c r="E627" s="52"/>
      <c r="F627" s="81"/>
      <c r="G627" s="57"/>
      <c r="H627" s="48"/>
      <c r="I627" s="77"/>
      <c r="J627" s="62"/>
      <c r="K627" s="52"/>
      <c r="L627" s="52"/>
      <c r="M627" s="76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62"/>
      <c r="AB627" s="52"/>
      <c r="AC627" s="52"/>
      <c r="AD627" s="52"/>
      <c r="AE627" s="52"/>
      <c r="AF627" s="52"/>
      <c r="AG627" s="52"/>
      <c r="AH627" s="48"/>
      <c r="AI627" s="48"/>
      <c r="AJ627" s="48"/>
      <c r="AK627" s="53"/>
      <c r="AL627" s="53"/>
      <c r="AM627" s="53"/>
      <c r="AN627" s="53"/>
      <c r="AO627" s="53"/>
      <c r="AP627" s="53"/>
      <c r="AQ627" s="53"/>
      <c r="AR627" s="53"/>
      <c r="AS627" s="53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52"/>
      <c r="BG627" s="52"/>
      <c r="BH627" s="52"/>
      <c r="BI627" s="52"/>
      <c r="BJ627" s="52"/>
      <c r="BK627" s="52"/>
      <c r="BL627" s="52"/>
      <c r="BM627" s="54"/>
    </row>
    <row r="628">
      <c r="A628" s="42"/>
      <c r="B628" s="52"/>
      <c r="C628" s="52"/>
      <c r="D628" s="52"/>
      <c r="E628" s="52"/>
      <c r="F628" s="81"/>
      <c r="G628" s="57"/>
      <c r="H628" s="48"/>
      <c r="I628" s="77"/>
      <c r="J628" s="62"/>
      <c r="K628" s="52"/>
      <c r="L628" s="52"/>
      <c r="M628" s="76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62"/>
      <c r="AB628" s="52"/>
      <c r="AC628" s="52"/>
      <c r="AD628" s="52"/>
      <c r="AE628" s="52"/>
      <c r="AF628" s="52"/>
      <c r="AG628" s="52"/>
      <c r="AH628" s="48"/>
      <c r="AI628" s="48"/>
      <c r="AJ628" s="48"/>
      <c r="AK628" s="53"/>
      <c r="AL628" s="53"/>
      <c r="AM628" s="53"/>
      <c r="AN628" s="53"/>
      <c r="AO628" s="53"/>
      <c r="AP628" s="53"/>
      <c r="AQ628" s="53"/>
      <c r="AR628" s="53"/>
      <c r="AS628" s="53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52"/>
      <c r="BG628" s="52"/>
      <c r="BH628" s="52"/>
      <c r="BI628" s="52"/>
      <c r="BJ628" s="52"/>
      <c r="BK628" s="52"/>
      <c r="BL628" s="52"/>
      <c r="BM628" s="54"/>
    </row>
    <row r="629">
      <c r="A629" s="42"/>
      <c r="B629" s="52"/>
      <c r="C629" s="52"/>
      <c r="D629" s="52"/>
      <c r="E629" s="52"/>
      <c r="F629" s="81"/>
      <c r="G629" s="57"/>
      <c r="H629" s="48"/>
      <c r="I629" s="77"/>
      <c r="J629" s="62"/>
      <c r="K629" s="52"/>
      <c r="L629" s="52"/>
      <c r="M629" s="76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62"/>
      <c r="AB629" s="52"/>
      <c r="AC629" s="52"/>
      <c r="AD629" s="52"/>
      <c r="AE629" s="52"/>
      <c r="AF629" s="52"/>
      <c r="AG629" s="52"/>
      <c r="AH629" s="48"/>
      <c r="AI629" s="48"/>
      <c r="AJ629" s="48"/>
      <c r="AK629" s="53"/>
      <c r="AL629" s="53"/>
      <c r="AM629" s="53"/>
      <c r="AN629" s="53"/>
      <c r="AO629" s="53"/>
      <c r="AP629" s="53"/>
      <c r="AQ629" s="53"/>
      <c r="AR629" s="53"/>
      <c r="AS629" s="53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52"/>
      <c r="BG629" s="52"/>
      <c r="BH629" s="52"/>
      <c r="BI629" s="52"/>
      <c r="BJ629" s="52"/>
      <c r="BK629" s="52"/>
      <c r="BL629" s="52"/>
      <c r="BM629" s="54"/>
    </row>
    <row r="630">
      <c r="A630" s="42"/>
      <c r="B630" s="52"/>
      <c r="C630" s="52"/>
      <c r="D630" s="52"/>
      <c r="E630" s="52"/>
      <c r="F630" s="81"/>
      <c r="G630" s="57"/>
      <c r="H630" s="48"/>
      <c r="I630" s="77"/>
      <c r="J630" s="62"/>
      <c r="K630" s="52"/>
      <c r="L630" s="52"/>
      <c r="M630" s="76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62"/>
      <c r="AB630" s="52"/>
      <c r="AC630" s="52"/>
      <c r="AD630" s="52"/>
      <c r="AE630" s="52"/>
      <c r="AF630" s="52"/>
      <c r="AG630" s="52"/>
      <c r="AH630" s="48"/>
      <c r="AI630" s="48"/>
      <c r="AJ630" s="48"/>
      <c r="AK630" s="53"/>
      <c r="AL630" s="53"/>
      <c r="AM630" s="53"/>
      <c r="AN630" s="53"/>
      <c r="AO630" s="53"/>
      <c r="AP630" s="53"/>
      <c r="AQ630" s="53"/>
      <c r="AR630" s="53"/>
      <c r="AS630" s="53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52"/>
      <c r="BG630" s="52"/>
      <c r="BH630" s="52"/>
      <c r="BI630" s="52"/>
      <c r="BJ630" s="52"/>
      <c r="BK630" s="52"/>
      <c r="BL630" s="52"/>
      <c r="BM630" s="54"/>
    </row>
    <row r="631">
      <c r="A631" s="42"/>
      <c r="B631" s="52"/>
      <c r="C631" s="52"/>
      <c r="D631" s="52"/>
      <c r="E631" s="52"/>
      <c r="F631" s="81"/>
      <c r="G631" s="57"/>
      <c r="H631" s="48"/>
      <c r="I631" s="77"/>
      <c r="J631" s="62"/>
      <c r="K631" s="52"/>
      <c r="L631" s="52"/>
      <c r="M631" s="76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62"/>
      <c r="AB631" s="52"/>
      <c r="AC631" s="52"/>
      <c r="AD631" s="52"/>
      <c r="AE631" s="52"/>
      <c r="AF631" s="52"/>
      <c r="AG631" s="52"/>
      <c r="AH631" s="48"/>
      <c r="AI631" s="48"/>
      <c r="AJ631" s="48"/>
      <c r="AK631" s="53"/>
      <c r="AL631" s="53"/>
      <c r="AM631" s="53"/>
      <c r="AN631" s="53"/>
      <c r="AO631" s="53"/>
      <c r="AP631" s="53"/>
      <c r="AQ631" s="53"/>
      <c r="AR631" s="53"/>
      <c r="AS631" s="53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52"/>
      <c r="BG631" s="52"/>
      <c r="BH631" s="52"/>
      <c r="BI631" s="52"/>
      <c r="BJ631" s="52"/>
      <c r="BK631" s="52"/>
      <c r="BL631" s="52"/>
      <c r="BM631" s="54"/>
    </row>
    <row r="632">
      <c r="A632" s="42"/>
      <c r="B632" s="52"/>
      <c r="C632" s="52"/>
      <c r="D632" s="52"/>
      <c r="E632" s="52"/>
      <c r="F632" s="81"/>
      <c r="G632" s="57"/>
      <c r="H632" s="48"/>
      <c r="I632" s="77"/>
      <c r="J632" s="62"/>
      <c r="K632" s="52"/>
      <c r="L632" s="52"/>
      <c r="M632" s="76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62"/>
      <c r="AB632" s="52"/>
      <c r="AC632" s="52"/>
      <c r="AD632" s="52"/>
      <c r="AE632" s="52"/>
      <c r="AF632" s="52"/>
      <c r="AG632" s="52"/>
      <c r="AH632" s="48"/>
      <c r="AI632" s="48"/>
      <c r="AJ632" s="48"/>
      <c r="AK632" s="53"/>
      <c r="AL632" s="53"/>
      <c r="AM632" s="53"/>
      <c r="AN632" s="53"/>
      <c r="AO632" s="53"/>
      <c r="AP632" s="53"/>
      <c r="AQ632" s="53"/>
      <c r="AR632" s="53"/>
      <c r="AS632" s="53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52"/>
      <c r="BG632" s="52"/>
      <c r="BH632" s="52"/>
      <c r="BI632" s="52"/>
      <c r="BJ632" s="52"/>
      <c r="BK632" s="52"/>
      <c r="BL632" s="52"/>
      <c r="BM632" s="54"/>
    </row>
    <row r="633">
      <c r="A633" s="42"/>
      <c r="B633" s="52"/>
      <c r="C633" s="52"/>
      <c r="D633" s="52"/>
      <c r="E633" s="52"/>
      <c r="F633" s="81"/>
      <c r="G633" s="57"/>
      <c r="H633" s="48"/>
      <c r="I633" s="77"/>
      <c r="J633" s="62"/>
      <c r="K633" s="52"/>
      <c r="L633" s="52"/>
      <c r="M633" s="76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62"/>
      <c r="AB633" s="52"/>
      <c r="AC633" s="52"/>
      <c r="AD633" s="52"/>
      <c r="AE633" s="52"/>
      <c r="AF633" s="52"/>
      <c r="AG633" s="52"/>
      <c r="AH633" s="48"/>
      <c r="AI633" s="48"/>
      <c r="AJ633" s="48"/>
      <c r="AK633" s="53"/>
      <c r="AL633" s="53"/>
      <c r="AM633" s="53"/>
      <c r="AN633" s="53"/>
      <c r="AO633" s="53"/>
      <c r="AP633" s="53"/>
      <c r="AQ633" s="53"/>
      <c r="AR633" s="53"/>
      <c r="AS633" s="53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52"/>
      <c r="BG633" s="52"/>
      <c r="BH633" s="52"/>
      <c r="BI633" s="52"/>
      <c r="BJ633" s="52"/>
      <c r="BK633" s="52"/>
      <c r="BL633" s="52"/>
      <c r="BM633" s="54"/>
    </row>
    <row r="634">
      <c r="A634" s="42"/>
      <c r="B634" s="52"/>
      <c r="C634" s="52"/>
      <c r="D634" s="52"/>
      <c r="E634" s="52"/>
      <c r="F634" s="81"/>
      <c r="G634" s="57"/>
      <c r="H634" s="48"/>
      <c r="I634" s="77"/>
      <c r="J634" s="62"/>
      <c r="K634" s="52"/>
      <c r="L634" s="52"/>
      <c r="M634" s="76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62"/>
      <c r="AB634" s="52"/>
      <c r="AC634" s="52"/>
      <c r="AD634" s="52"/>
      <c r="AE634" s="52"/>
      <c r="AF634" s="52"/>
      <c r="AG634" s="52"/>
      <c r="AH634" s="48"/>
      <c r="AI634" s="48"/>
      <c r="AJ634" s="48"/>
      <c r="AK634" s="53"/>
      <c r="AL634" s="53"/>
      <c r="AM634" s="53"/>
      <c r="AN634" s="53"/>
      <c r="AO634" s="53"/>
      <c r="AP634" s="53"/>
      <c r="AQ634" s="53"/>
      <c r="AR634" s="53"/>
      <c r="AS634" s="53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52"/>
      <c r="BG634" s="52"/>
      <c r="BH634" s="52"/>
      <c r="BI634" s="52"/>
      <c r="BJ634" s="52"/>
      <c r="BK634" s="52"/>
      <c r="BL634" s="52"/>
      <c r="BM634" s="54"/>
    </row>
    <row r="635">
      <c r="A635" s="42"/>
      <c r="B635" s="52"/>
      <c r="C635" s="52"/>
      <c r="D635" s="52"/>
      <c r="E635" s="52"/>
      <c r="F635" s="81"/>
      <c r="G635" s="57"/>
      <c r="H635" s="48"/>
      <c r="I635" s="77"/>
      <c r="J635" s="62"/>
      <c r="K635" s="52"/>
      <c r="L635" s="52"/>
      <c r="M635" s="76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62"/>
      <c r="AB635" s="52"/>
      <c r="AC635" s="52"/>
      <c r="AD635" s="52"/>
      <c r="AE635" s="52"/>
      <c r="AF635" s="52"/>
      <c r="AG635" s="52"/>
      <c r="AH635" s="48"/>
      <c r="AI635" s="48"/>
      <c r="AJ635" s="48"/>
      <c r="AK635" s="53"/>
      <c r="AL635" s="53"/>
      <c r="AM635" s="53"/>
      <c r="AN635" s="53"/>
      <c r="AO635" s="53"/>
      <c r="AP635" s="53"/>
      <c r="AQ635" s="53"/>
      <c r="AR635" s="53"/>
      <c r="AS635" s="53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52"/>
      <c r="BG635" s="52"/>
      <c r="BH635" s="52"/>
      <c r="BI635" s="52"/>
      <c r="BJ635" s="52"/>
      <c r="BK635" s="52"/>
      <c r="BL635" s="52"/>
      <c r="BM635" s="54"/>
    </row>
    <row r="636">
      <c r="A636" s="42"/>
      <c r="B636" s="52"/>
      <c r="C636" s="52"/>
      <c r="D636" s="52"/>
      <c r="E636" s="52"/>
      <c r="F636" s="81"/>
      <c r="G636" s="57"/>
      <c r="H636" s="48"/>
      <c r="I636" s="77"/>
      <c r="J636" s="62"/>
      <c r="K636" s="52"/>
      <c r="L636" s="52"/>
      <c r="M636" s="76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62"/>
      <c r="AB636" s="52"/>
      <c r="AC636" s="52"/>
      <c r="AD636" s="52"/>
      <c r="AE636" s="52"/>
      <c r="AF636" s="52"/>
      <c r="AG636" s="52"/>
      <c r="AH636" s="48"/>
      <c r="AI636" s="48"/>
      <c r="AJ636" s="48"/>
      <c r="AK636" s="53"/>
      <c r="AL636" s="53"/>
      <c r="AM636" s="53"/>
      <c r="AN636" s="53"/>
      <c r="AO636" s="53"/>
      <c r="AP636" s="53"/>
      <c r="AQ636" s="53"/>
      <c r="AR636" s="53"/>
      <c r="AS636" s="53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52"/>
      <c r="BG636" s="52"/>
      <c r="BH636" s="52"/>
      <c r="BI636" s="52"/>
      <c r="BJ636" s="52"/>
      <c r="BK636" s="52"/>
      <c r="BL636" s="52"/>
      <c r="BM636" s="54"/>
    </row>
    <row r="637">
      <c r="A637" s="42"/>
      <c r="B637" s="52"/>
      <c r="C637" s="52"/>
      <c r="D637" s="52"/>
      <c r="E637" s="52"/>
      <c r="F637" s="81"/>
      <c r="G637" s="57"/>
      <c r="H637" s="48"/>
      <c r="I637" s="77"/>
      <c r="J637" s="62"/>
      <c r="K637" s="52"/>
      <c r="L637" s="52"/>
      <c r="M637" s="76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62"/>
      <c r="AB637" s="52"/>
      <c r="AC637" s="52"/>
      <c r="AD637" s="52"/>
      <c r="AE637" s="52"/>
      <c r="AF637" s="52"/>
      <c r="AG637" s="52"/>
      <c r="AH637" s="48"/>
      <c r="AI637" s="48"/>
      <c r="AJ637" s="48"/>
      <c r="AK637" s="53"/>
      <c r="AL637" s="53"/>
      <c r="AM637" s="53"/>
      <c r="AN637" s="53"/>
      <c r="AO637" s="53"/>
      <c r="AP637" s="53"/>
      <c r="AQ637" s="53"/>
      <c r="AR637" s="53"/>
      <c r="AS637" s="53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52"/>
      <c r="BG637" s="52"/>
      <c r="BH637" s="52"/>
      <c r="BI637" s="52"/>
      <c r="BJ637" s="52"/>
      <c r="BK637" s="52"/>
      <c r="BL637" s="52"/>
      <c r="BM637" s="54"/>
    </row>
    <row r="638">
      <c r="A638" s="42"/>
      <c r="B638" s="52"/>
      <c r="C638" s="52"/>
      <c r="D638" s="52"/>
      <c r="E638" s="52"/>
      <c r="F638" s="81"/>
      <c r="G638" s="57"/>
      <c r="H638" s="48"/>
      <c r="I638" s="77"/>
      <c r="J638" s="62"/>
      <c r="K638" s="52"/>
      <c r="L638" s="52"/>
      <c r="M638" s="76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62"/>
      <c r="AB638" s="52"/>
      <c r="AC638" s="52"/>
      <c r="AD638" s="52"/>
      <c r="AE638" s="52"/>
      <c r="AF638" s="52"/>
      <c r="AG638" s="52"/>
      <c r="AH638" s="48"/>
      <c r="AI638" s="48"/>
      <c r="AJ638" s="48"/>
      <c r="AK638" s="53"/>
      <c r="AL638" s="53"/>
      <c r="AM638" s="53"/>
      <c r="AN638" s="53"/>
      <c r="AO638" s="53"/>
      <c r="AP638" s="53"/>
      <c r="AQ638" s="53"/>
      <c r="AR638" s="53"/>
      <c r="AS638" s="53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52"/>
      <c r="BG638" s="52"/>
      <c r="BH638" s="52"/>
      <c r="BI638" s="52"/>
      <c r="BJ638" s="52"/>
      <c r="BK638" s="52"/>
      <c r="BL638" s="52"/>
      <c r="BM638" s="54"/>
    </row>
    <row r="639">
      <c r="A639" s="42"/>
      <c r="B639" s="52"/>
      <c r="C639" s="52"/>
      <c r="D639" s="52"/>
      <c r="E639" s="52"/>
      <c r="F639" s="81"/>
      <c r="G639" s="57"/>
      <c r="H639" s="48"/>
      <c r="I639" s="77"/>
      <c r="J639" s="62"/>
      <c r="K639" s="52"/>
      <c r="L639" s="52"/>
      <c r="M639" s="76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62"/>
      <c r="AB639" s="52"/>
      <c r="AC639" s="52"/>
      <c r="AD639" s="52"/>
      <c r="AE639" s="52"/>
      <c r="AF639" s="52"/>
      <c r="AG639" s="52"/>
      <c r="AH639" s="48"/>
      <c r="AI639" s="48"/>
      <c r="AJ639" s="48"/>
      <c r="AK639" s="53"/>
      <c r="AL639" s="53"/>
      <c r="AM639" s="53"/>
      <c r="AN639" s="53"/>
      <c r="AO639" s="53"/>
      <c r="AP639" s="53"/>
      <c r="AQ639" s="53"/>
      <c r="AR639" s="53"/>
      <c r="AS639" s="53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52"/>
      <c r="BG639" s="52"/>
      <c r="BH639" s="52"/>
      <c r="BI639" s="52"/>
      <c r="BJ639" s="52"/>
      <c r="BK639" s="52"/>
      <c r="BL639" s="52"/>
      <c r="BM639" s="54"/>
    </row>
    <row r="640">
      <c r="A640" s="42"/>
      <c r="B640" s="52"/>
      <c r="C640" s="52"/>
      <c r="D640" s="52"/>
      <c r="E640" s="52"/>
      <c r="F640" s="81"/>
      <c r="G640" s="57"/>
      <c r="H640" s="48"/>
      <c r="I640" s="77"/>
      <c r="J640" s="62"/>
      <c r="K640" s="52"/>
      <c r="L640" s="52"/>
      <c r="M640" s="76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62"/>
      <c r="AB640" s="52"/>
      <c r="AC640" s="52"/>
      <c r="AD640" s="52"/>
      <c r="AE640" s="52"/>
      <c r="AF640" s="52"/>
      <c r="AG640" s="52"/>
      <c r="AH640" s="48"/>
      <c r="AI640" s="48"/>
      <c r="AJ640" s="48"/>
      <c r="AK640" s="53"/>
      <c r="AL640" s="53"/>
      <c r="AM640" s="53"/>
      <c r="AN640" s="53"/>
      <c r="AO640" s="53"/>
      <c r="AP640" s="53"/>
      <c r="AQ640" s="53"/>
      <c r="AR640" s="53"/>
      <c r="AS640" s="53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52"/>
      <c r="BG640" s="52"/>
      <c r="BH640" s="52"/>
      <c r="BI640" s="52"/>
      <c r="BJ640" s="52"/>
      <c r="BK640" s="52"/>
      <c r="BL640" s="52"/>
      <c r="BM640" s="54"/>
    </row>
    <row r="641">
      <c r="A641" s="42"/>
      <c r="B641" s="52"/>
      <c r="C641" s="52"/>
      <c r="D641" s="52"/>
      <c r="E641" s="52"/>
      <c r="F641" s="81"/>
      <c r="G641" s="57"/>
      <c r="H641" s="48"/>
      <c r="I641" s="77"/>
      <c r="J641" s="62"/>
      <c r="K641" s="52"/>
      <c r="L641" s="52"/>
      <c r="M641" s="76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62"/>
      <c r="AB641" s="52"/>
      <c r="AC641" s="52"/>
      <c r="AD641" s="52"/>
      <c r="AE641" s="52"/>
      <c r="AF641" s="52"/>
      <c r="AG641" s="52"/>
      <c r="AH641" s="48"/>
      <c r="AI641" s="48"/>
      <c r="AJ641" s="48"/>
      <c r="AK641" s="53"/>
      <c r="AL641" s="53"/>
      <c r="AM641" s="53"/>
      <c r="AN641" s="53"/>
      <c r="AO641" s="53"/>
      <c r="AP641" s="53"/>
      <c r="AQ641" s="53"/>
      <c r="AR641" s="53"/>
      <c r="AS641" s="53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52"/>
      <c r="BG641" s="52"/>
      <c r="BH641" s="52"/>
      <c r="BI641" s="52"/>
      <c r="BJ641" s="52"/>
      <c r="BK641" s="52"/>
      <c r="BL641" s="52"/>
      <c r="BM641" s="54"/>
    </row>
    <row r="642">
      <c r="A642" s="42"/>
      <c r="B642" s="52"/>
      <c r="C642" s="52"/>
      <c r="D642" s="52"/>
      <c r="E642" s="52"/>
      <c r="F642" s="81"/>
      <c r="G642" s="57"/>
      <c r="H642" s="48"/>
      <c r="I642" s="77"/>
      <c r="J642" s="62"/>
      <c r="K642" s="52"/>
      <c r="L642" s="52"/>
      <c r="M642" s="76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62"/>
      <c r="AB642" s="52"/>
      <c r="AC642" s="52"/>
      <c r="AD642" s="52"/>
      <c r="AE642" s="52"/>
      <c r="AF642" s="52"/>
      <c r="AG642" s="52"/>
      <c r="AH642" s="48"/>
      <c r="AI642" s="48"/>
      <c r="AJ642" s="48"/>
      <c r="AK642" s="53"/>
      <c r="AL642" s="53"/>
      <c r="AM642" s="53"/>
      <c r="AN642" s="53"/>
      <c r="AO642" s="53"/>
      <c r="AP642" s="53"/>
      <c r="AQ642" s="53"/>
      <c r="AR642" s="53"/>
      <c r="AS642" s="53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52"/>
      <c r="BG642" s="52"/>
      <c r="BH642" s="52"/>
      <c r="BI642" s="52"/>
      <c r="BJ642" s="52"/>
      <c r="BK642" s="52"/>
      <c r="BL642" s="52"/>
      <c r="BM642" s="54"/>
    </row>
    <row r="643">
      <c r="A643" s="42"/>
      <c r="B643" s="52"/>
      <c r="C643" s="52"/>
      <c r="D643" s="52"/>
      <c r="E643" s="52"/>
      <c r="F643" s="81"/>
      <c r="G643" s="57"/>
      <c r="H643" s="48"/>
      <c r="I643" s="77"/>
      <c r="J643" s="62"/>
      <c r="K643" s="52"/>
      <c r="L643" s="52"/>
      <c r="M643" s="76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62"/>
      <c r="AB643" s="52"/>
      <c r="AC643" s="52"/>
      <c r="AD643" s="52"/>
      <c r="AE643" s="52"/>
      <c r="AF643" s="52"/>
      <c r="AG643" s="52"/>
      <c r="AH643" s="48"/>
      <c r="AI643" s="48"/>
      <c r="AJ643" s="48"/>
      <c r="AK643" s="53"/>
      <c r="AL643" s="53"/>
      <c r="AM643" s="53"/>
      <c r="AN643" s="53"/>
      <c r="AO643" s="53"/>
      <c r="AP643" s="53"/>
      <c r="AQ643" s="53"/>
      <c r="AR643" s="53"/>
      <c r="AS643" s="53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52"/>
      <c r="BG643" s="52"/>
      <c r="BH643" s="52"/>
      <c r="BI643" s="52"/>
      <c r="BJ643" s="52"/>
      <c r="BK643" s="52"/>
      <c r="BL643" s="52"/>
      <c r="BM643" s="54"/>
    </row>
    <row r="644">
      <c r="A644" s="42"/>
      <c r="B644" s="52"/>
      <c r="C644" s="52"/>
      <c r="D644" s="52"/>
      <c r="E644" s="52"/>
      <c r="F644" s="81"/>
      <c r="G644" s="57"/>
      <c r="H644" s="48"/>
      <c r="I644" s="77"/>
      <c r="J644" s="62"/>
      <c r="K644" s="52"/>
      <c r="L644" s="52"/>
      <c r="M644" s="76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62"/>
      <c r="AB644" s="52"/>
      <c r="AC644" s="52"/>
      <c r="AD644" s="52"/>
      <c r="AE644" s="52"/>
      <c r="AF644" s="52"/>
      <c r="AG644" s="52"/>
      <c r="AH644" s="48"/>
      <c r="AI644" s="48"/>
      <c r="AJ644" s="48"/>
      <c r="AK644" s="53"/>
      <c r="AL644" s="53"/>
      <c r="AM644" s="53"/>
      <c r="AN644" s="53"/>
      <c r="AO644" s="53"/>
      <c r="AP644" s="53"/>
      <c r="AQ644" s="53"/>
      <c r="AR644" s="53"/>
      <c r="AS644" s="53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52"/>
      <c r="BG644" s="52"/>
      <c r="BH644" s="52"/>
      <c r="BI644" s="52"/>
      <c r="BJ644" s="52"/>
      <c r="BK644" s="52"/>
      <c r="BL644" s="52"/>
      <c r="BM644" s="54"/>
    </row>
    <row r="645">
      <c r="A645" s="42"/>
      <c r="B645" s="52"/>
      <c r="C645" s="52"/>
      <c r="D645" s="52"/>
      <c r="E645" s="52"/>
      <c r="F645" s="81"/>
      <c r="G645" s="57"/>
      <c r="H645" s="48"/>
      <c r="I645" s="77"/>
      <c r="J645" s="62"/>
      <c r="K645" s="52"/>
      <c r="L645" s="52"/>
      <c r="M645" s="76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62"/>
      <c r="AB645" s="52"/>
      <c r="AC645" s="52"/>
      <c r="AD645" s="52"/>
      <c r="AE645" s="52"/>
      <c r="AF645" s="52"/>
      <c r="AG645" s="52"/>
      <c r="AH645" s="48"/>
      <c r="AI645" s="48"/>
      <c r="AJ645" s="48"/>
      <c r="AK645" s="53"/>
      <c r="AL645" s="53"/>
      <c r="AM645" s="53"/>
      <c r="AN645" s="53"/>
      <c r="AO645" s="53"/>
      <c r="AP645" s="53"/>
      <c r="AQ645" s="53"/>
      <c r="AR645" s="53"/>
      <c r="AS645" s="53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52"/>
      <c r="BG645" s="52"/>
      <c r="BH645" s="52"/>
      <c r="BI645" s="52"/>
      <c r="BJ645" s="52"/>
      <c r="BK645" s="52"/>
      <c r="BL645" s="52"/>
      <c r="BM645" s="54"/>
    </row>
    <row r="646">
      <c r="A646" s="42"/>
      <c r="B646" s="52"/>
      <c r="C646" s="52"/>
      <c r="D646" s="52"/>
      <c r="E646" s="52"/>
      <c r="F646" s="81"/>
      <c r="G646" s="57"/>
      <c r="H646" s="48"/>
      <c r="I646" s="77"/>
      <c r="J646" s="62"/>
      <c r="K646" s="52"/>
      <c r="L646" s="52"/>
      <c r="M646" s="76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62"/>
      <c r="AB646" s="52"/>
      <c r="AC646" s="52"/>
      <c r="AD646" s="52"/>
      <c r="AE646" s="52"/>
      <c r="AF646" s="52"/>
      <c r="AG646" s="52"/>
      <c r="AH646" s="48"/>
      <c r="AI646" s="48"/>
      <c r="AJ646" s="48"/>
      <c r="AK646" s="53"/>
      <c r="AL646" s="53"/>
      <c r="AM646" s="53"/>
      <c r="AN646" s="53"/>
      <c r="AO646" s="53"/>
      <c r="AP646" s="53"/>
      <c r="AQ646" s="53"/>
      <c r="AR646" s="53"/>
      <c r="AS646" s="53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52"/>
      <c r="BG646" s="52"/>
      <c r="BH646" s="52"/>
      <c r="BI646" s="52"/>
      <c r="BJ646" s="52"/>
      <c r="BK646" s="52"/>
      <c r="BL646" s="52"/>
      <c r="BM646" s="54"/>
    </row>
    <row r="647">
      <c r="A647" s="42"/>
      <c r="B647" s="52"/>
      <c r="C647" s="52"/>
      <c r="D647" s="52"/>
      <c r="E647" s="52"/>
      <c r="F647" s="81"/>
      <c r="G647" s="57"/>
      <c r="H647" s="48"/>
      <c r="I647" s="77"/>
      <c r="J647" s="62"/>
      <c r="K647" s="52"/>
      <c r="L647" s="52"/>
      <c r="M647" s="76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62"/>
      <c r="AB647" s="52"/>
      <c r="AC647" s="52"/>
      <c r="AD647" s="52"/>
      <c r="AE647" s="52"/>
      <c r="AF647" s="52"/>
      <c r="AG647" s="52"/>
      <c r="AH647" s="48"/>
      <c r="AI647" s="48"/>
      <c r="AJ647" s="48"/>
      <c r="AK647" s="53"/>
      <c r="AL647" s="53"/>
      <c r="AM647" s="53"/>
      <c r="AN647" s="53"/>
      <c r="AO647" s="53"/>
      <c r="AP647" s="53"/>
      <c r="AQ647" s="53"/>
      <c r="AR647" s="53"/>
      <c r="AS647" s="53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52"/>
      <c r="BG647" s="52"/>
      <c r="BH647" s="52"/>
      <c r="BI647" s="52"/>
      <c r="BJ647" s="52"/>
      <c r="BK647" s="52"/>
      <c r="BL647" s="52"/>
      <c r="BM647" s="54"/>
    </row>
    <row r="648">
      <c r="A648" s="42"/>
      <c r="B648" s="52"/>
      <c r="C648" s="52"/>
      <c r="D648" s="52"/>
      <c r="E648" s="52"/>
      <c r="F648" s="81"/>
      <c r="G648" s="57"/>
      <c r="H648" s="48"/>
      <c r="I648" s="77"/>
      <c r="J648" s="62"/>
      <c r="K648" s="52"/>
      <c r="L648" s="52"/>
      <c r="M648" s="76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62"/>
      <c r="AB648" s="52"/>
      <c r="AC648" s="52"/>
      <c r="AD648" s="52"/>
      <c r="AE648" s="52"/>
      <c r="AF648" s="52"/>
      <c r="AG648" s="52"/>
      <c r="AH648" s="48"/>
      <c r="AI648" s="48"/>
      <c r="AJ648" s="48"/>
      <c r="AK648" s="53"/>
      <c r="AL648" s="53"/>
      <c r="AM648" s="53"/>
      <c r="AN648" s="53"/>
      <c r="AO648" s="53"/>
      <c r="AP648" s="53"/>
      <c r="AQ648" s="53"/>
      <c r="AR648" s="53"/>
      <c r="AS648" s="53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52"/>
      <c r="BG648" s="52"/>
      <c r="BH648" s="52"/>
      <c r="BI648" s="52"/>
      <c r="BJ648" s="52"/>
      <c r="BK648" s="52"/>
      <c r="BL648" s="52"/>
      <c r="BM648" s="54"/>
    </row>
    <row r="649">
      <c r="A649" s="42"/>
      <c r="B649" s="52"/>
      <c r="C649" s="52"/>
      <c r="D649" s="52"/>
      <c r="E649" s="52"/>
      <c r="F649" s="81"/>
      <c r="G649" s="57"/>
      <c r="H649" s="48"/>
      <c r="I649" s="77"/>
      <c r="J649" s="62"/>
      <c r="K649" s="52"/>
      <c r="L649" s="52"/>
      <c r="M649" s="76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62"/>
      <c r="AB649" s="52"/>
      <c r="AC649" s="52"/>
      <c r="AD649" s="52"/>
      <c r="AE649" s="52"/>
      <c r="AF649" s="52"/>
      <c r="AG649" s="52"/>
      <c r="AH649" s="48"/>
      <c r="AI649" s="48"/>
      <c r="AJ649" s="48"/>
      <c r="AK649" s="53"/>
      <c r="AL649" s="53"/>
      <c r="AM649" s="53"/>
      <c r="AN649" s="53"/>
      <c r="AO649" s="53"/>
      <c r="AP649" s="53"/>
      <c r="AQ649" s="53"/>
      <c r="AR649" s="53"/>
      <c r="AS649" s="53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52"/>
      <c r="BG649" s="52"/>
      <c r="BH649" s="52"/>
      <c r="BI649" s="52"/>
      <c r="BJ649" s="52"/>
      <c r="BK649" s="52"/>
      <c r="BL649" s="52"/>
      <c r="BM649" s="54"/>
    </row>
    <row r="650">
      <c r="A650" s="42"/>
      <c r="B650" s="52"/>
      <c r="C650" s="52"/>
      <c r="D650" s="52"/>
      <c r="E650" s="52"/>
      <c r="F650" s="81"/>
      <c r="G650" s="57"/>
      <c r="H650" s="48"/>
      <c r="I650" s="77"/>
      <c r="J650" s="62"/>
      <c r="K650" s="52"/>
      <c r="L650" s="52"/>
      <c r="M650" s="76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62"/>
      <c r="AB650" s="52"/>
      <c r="AC650" s="52"/>
      <c r="AD650" s="52"/>
      <c r="AE650" s="52"/>
      <c r="AF650" s="52"/>
      <c r="AG650" s="52"/>
      <c r="AH650" s="48"/>
      <c r="AI650" s="48"/>
      <c r="AJ650" s="48"/>
      <c r="AK650" s="53"/>
      <c r="AL650" s="53"/>
      <c r="AM650" s="53"/>
      <c r="AN650" s="53"/>
      <c r="AO650" s="53"/>
      <c r="AP650" s="53"/>
      <c r="AQ650" s="53"/>
      <c r="AR650" s="53"/>
      <c r="AS650" s="53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52"/>
      <c r="BG650" s="52"/>
      <c r="BH650" s="52"/>
      <c r="BI650" s="52"/>
      <c r="BJ650" s="52"/>
      <c r="BK650" s="52"/>
      <c r="BL650" s="52"/>
      <c r="BM650" s="54"/>
    </row>
    <row r="651">
      <c r="A651" s="42"/>
      <c r="B651" s="52"/>
      <c r="C651" s="52"/>
      <c r="D651" s="52"/>
      <c r="E651" s="52"/>
      <c r="F651" s="81"/>
      <c r="G651" s="57"/>
      <c r="H651" s="48"/>
      <c r="I651" s="77"/>
      <c r="J651" s="62"/>
      <c r="K651" s="52"/>
      <c r="L651" s="52"/>
      <c r="M651" s="76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62"/>
      <c r="AB651" s="52"/>
      <c r="AC651" s="52"/>
      <c r="AD651" s="52"/>
      <c r="AE651" s="52"/>
      <c r="AF651" s="52"/>
      <c r="AG651" s="52"/>
      <c r="AH651" s="48"/>
      <c r="AI651" s="48"/>
      <c r="AJ651" s="48"/>
      <c r="AK651" s="53"/>
      <c r="AL651" s="53"/>
      <c r="AM651" s="53"/>
      <c r="AN651" s="53"/>
      <c r="AO651" s="53"/>
      <c r="AP651" s="53"/>
      <c r="AQ651" s="53"/>
      <c r="AR651" s="53"/>
      <c r="AS651" s="53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52"/>
      <c r="BG651" s="52"/>
      <c r="BH651" s="52"/>
      <c r="BI651" s="52"/>
      <c r="BJ651" s="52"/>
      <c r="BK651" s="52"/>
      <c r="BL651" s="52"/>
      <c r="BM651" s="54"/>
    </row>
    <row r="652">
      <c r="A652" s="42"/>
      <c r="B652" s="52"/>
      <c r="C652" s="52"/>
      <c r="D652" s="52"/>
      <c r="E652" s="52"/>
      <c r="F652" s="81"/>
      <c r="G652" s="57"/>
      <c r="H652" s="48"/>
      <c r="I652" s="77"/>
      <c r="J652" s="62"/>
      <c r="K652" s="52"/>
      <c r="L652" s="52"/>
      <c r="M652" s="76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62"/>
      <c r="AB652" s="52"/>
      <c r="AC652" s="52"/>
      <c r="AD652" s="52"/>
      <c r="AE652" s="52"/>
      <c r="AF652" s="52"/>
      <c r="AG652" s="52"/>
      <c r="AH652" s="48"/>
      <c r="AI652" s="48"/>
      <c r="AJ652" s="48"/>
      <c r="AK652" s="53"/>
      <c r="AL652" s="53"/>
      <c r="AM652" s="53"/>
      <c r="AN652" s="53"/>
      <c r="AO652" s="53"/>
      <c r="AP652" s="53"/>
      <c r="AQ652" s="53"/>
      <c r="AR652" s="53"/>
      <c r="AS652" s="53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52"/>
      <c r="BG652" s="52"/>
      <c r="BH652" s="52"/>
      <c r="BI652" s="52"/>
      <c r="BJ652" s="52"/>
      <c r="BK652" s="52"/>
      <c r="BL652" s="52"/>
      <c r="BM652" s="54"/>
    </row>
    <row r="653">
      <c r="A653" s="42"/>
      <c r="B653" s="52"/>
      <c r="C653" s="52"/>
      <c r="D653" s="52"/>
      <c r="E653" s="52"/>
      <c r="F653" s="81"/>
      <c r="G653" s="57"/>
      <c r="H653" s="48"/>
      <c r="I653" s="77"/>
      <c r="J653" s="62"/>
      <c r="K653" s="52"/>
      <c r="L653" s="52"/>
      <c r="M653" s="76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62"/>
      <c r="AB653" s="52"/>
      <c r="AC653" s="52"/>
      <c r="AD653" s="52"/>
      <c r="AE653" s="52"/>
      <c r="AF653" s="52"/>
      <c r="AG653" s="52"/>
      <c r="AH653" s="48"/>
      <c r="AI653" s="48"/>
      <c r="AJ653" s="48"/>
      <c r="AK653" s="53"/>
      <c r="AL653" s="53"/>
      <c r="AM653" s="53"/>
      <c r="AN653" s="53"/>
      <c r="AO653" s="53"/>
      <c r="AP653" s="53"/>
      <c r="AQ653" s="53"/>
      <c r="AR653" s="53"/>
      <c r="AS653" s="53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52"/>
      <c r="BG653" s="52"/>
      <c r="BH653" s="52"/>
      <c r="BI653" s="52"/>
      <c r="BJ653" s="52"/>
      <c r="BK653" s="52"/>
      <c r="BL653" s="52"/>
      <c r="BM653" s="54"/>
    </row>
    <row r="654">
      <c r="A654" s="42"/>
      <c r="B654" s="52"/>
      <c r="C654" s="52"/>
      <c r="D654" s="52"/>
      <c r="E654" s="52"/>
      <c r="F654" s="81"/>
      <c r="G654" s="57"/>
      <c r="H654" s="48"/>
      <c r="I654" s="77"/>
      <c r="J654" s="62"/>
      <c r="K654" s="52"/>
      <c r="L654" s="52"/>
      <c r="M654" s="76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62"/>
      <c r="AB654" s="52"/>
      <c r="AC654" s="52"/>
      <c r="AD654" s="52"/>
      <c r="AE654" s="52"/>
      <c r="AF654" s="52"/>
      <c r="AG654" s="52"/>
      <c r="AH654" s="48"/>
      <c r="AI654" s="48"/>
      <c r="AJ654" s="48"/>
      <c r="AK654" s="53"/>
      <c r="AL654" s="53"/>
      <c r="AM654" s="53"/>
      <c r="AN654" s="53"/>
      <c r="AO654" s="53"/>
      <c r="AP654" s="53"/>
      <c r="AQ654" s="53"/>
      <c r="AR654" s="53"/>
      <c r="AS654" s="53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52"/>
      <c r="BG654" s="52"/>
      <c r="BH654" s="52"/>
      <c r="BI654" s="52"/>
      <c r="BJ654" s="52"/>
      <c r="BK654" s="52"/>
      <c r="BL654" s="52"/>
      <c r="BM654" s="54"/>
    </row>
    <row r="655">
      <c r="A655" s="42"/>
      <c r="B655" s="52"/>
      <c r="C655" s="52"/>
      <c r="D655" s="52"/>
      <c r="E655" s="52"/>
      <c r="F655" s="81"/>
      <c r="G655" s="57"/>
      <c r="H655" s="48"/>
      <c r="I655" s="77"/>
      <c r="J655" s="62"/>
      <c r="K655" s="52"/>
      <c r="L655" s="52"/>
      <c r="M655" s="76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62"/>
      <c r="AB655" s="52"/>
      <c r="AC655" s="52"/>
      <c r="AD655" s="52"/>
      <c r="AE655" s="52"/>
      <c r="AF655" s="52"/>
      <c r="AG655" s="52"/>
      <c r="AH655" s="48"/>
      <c r="AI655" s="48"/>
      <c r="AJ655" s="48"/>
      <c r="AK655" s="53"/>
      <c r="AL655" s="53"/>
      <c r="AM655" s="53"/>
      <c r="AN655" s="53"/>
      <c r="AO655" s="53"/>
      <c r="AP655" s="53"/>
      <c r="AQ655" s="53"/>
      <c r="AR655" s="53"/>
      <c r="AS655" s="53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52"/>
      <c r="BG655" s="52"/>
      <c r="BH655" s="52"/>
      <c r="BI655" s="52"/>
      <c r="BJ655" s="52"/>
      <c r="BK655" s="52"/>
      <c r="BL655" s="52"/>
      <c r="BM655" s="54"/>
    </row>
    <row r="656">
      <c r="A656" s="42"/>
      <c r="B656" s="52"/>
      <c r="C656" s="52"/>
      <c r="D656" s="52"/>
      <c r="E656" s="52"/>
      <c r="F656" s="81"/>
      <c r="G656" s="57"/>
      <c r="H656" s="48"/>
      <c r="I656" s="77"/>
      <c r="J656" s="62"/>
      <c r="K656" s="52"/>
      <c r="L656" s="52"/>
      <c r="M656" s="76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62"/>
      <c r="AB656" s="52"/>
      <c r="AC656" s="52"/>
      <c r="AD656" s="52"/>
      <c r="AE656" s="52"/>
      <c r="AF656" s="52"/>
      <c r="AG656" s="52"/>
      <c r="AH656" s="48"/>
      <c r="AI656" s="48"/>
      <c r="AJ656" s="48"/>
      <c r="AK656" s="53"/>
      <c r="AL656" s="53"/>
      <c r="AM656" s="53"/>
      <c r="AN656" s="53"/>
      <c r="AO656" s="53"/>
      <c r="AP656" s="53"/>
      <c r="AQ656" s="53"/>
      <c r="AR656" s="53"/>
      <c r="AS656" s="53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52"/>
      <c r="BG656" s="52"/>
      <c r="BH656" s="52"/>
      <c r="BI656" s="52"/>
      <c r="BJ656" s="52"/>
      <c r="BK656" s="52"/>
      <c r="BL656" s="52"/>
      <c r="BM656" s="54"/>
    </row>
    <row r="657">
      <c r="A657" s="42"/>
      <c r="B657" s="52"/>
      <c r="C657" s="52"/>
      <c r="D657" s="52"/>
      <c r="E657" s="52"/>
      <c r="F657" s="81"/>
      <c r="G657" s="57"/>
      <c r="H657" s="48"/>
      <c r="I657" s="77"/>
      <c r="J657" s="62"/>
      <c r="K657" s="52"/>
      <c r="L657" s="52"/>
      <c r="M657" s="76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62"/>
      <c r="AB657" s="52"/>
      <c r="AC657" s="52"/>
      <c r="AD657" s="52"/>
      <c r="AE657" s="52"/>
      <c r="AF657" s="52"/>
      <c r="AG657" s="52"/>
      <c r="AH657" s="48"/>
      <c r="AI657" s="48"/>
      <c r="AJ657" s="48"/>
      <c r="AK657" s="53"/>
      <c r="AL657" s="53"/>
      <c r="AM657" s="53"/>
      <c r="AN657" s="53"/>
      <c r="AO657" s="53"/>
      <c r="AP657" s="53"/>
      <c r="AQ657" s="53"/>
      <c r="AR657" s="53"/>
      <c r="AS657" s="53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52"/>
      <c r="BG657" s="52"/>
      <c r="BH657" s="52"/>
      <c r="BI657" s="52"/>
      <c r="BJ657" s="52"/>
      <c r="BK657" s="52"/>
      <c r="BL657" s="52"/>
      <c r="BM657" s="54"/>
    </row>
    <row r="658">
      <c r="A658" s="42"/>
      <c r="B658" s="52"/>
      <c r="C658" s="52"/>
      <c r="D658" s="52"/>
      <c r="E658" s="52"/>
      <c r="F658" s="81"/>
      <c r="G658" s="57"/>
      <c r="H658" s="48"/>
      <c r="I658" s="77"/>
      <c r="J658" s="62"/>
      <c r="K658" s="52"/>
      <c r="L658" s="52"/>
      <c r="M658" s="76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62"/>
      <c r="AB658" s="52"/>
      <c r="AC658" s="52"/>
      <c r="AD658" s="52"/>
      <c r="AE658" s="52"/>
      <c r="AF658" s="52"/>
      <c r="AG658" s="52"/>
      <c r="AH658" s="48"/>
      <c r="AI658" s="48"/>
      <c r="AJ658" s="48"/>
      <c r="AK658" s="53"/>
      <c r="AL658" s="53"/>
      <c r="AM658" s="53"/>
      <c r="AN658" s="53"/>
      <c r="AO658" s="53"/>
      <c r="AP658" s="53"/>
      <c r="AQ658" s="53"/>
      <c r="AR658" s="53"/>
      <c r="AS658" s="53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52"/>
      <c r="BG658" s="52"/>
      <c r="BH658" s="52"/>
      <c r="BI658" s="52"/>
      <c r="BJ658" s="52"/>
      <c r="BK658" s="52"/>
      <c r="BL658" s="52"/>
      <c r="BM658" s="54"/>
    </row>
    <row r="659">
      <c r="A659" s="42"/>
      <c r="B659" s="52"/>
      <c r="C659" s="52"/>
      <c r="D659" s="52"/>
      <c r="E659" s="52"/>
      <c r="F659" s="81"/>
      <c r="G659" s="57"/>
      <c r="H659" s="48"/>
      <c r="I659" s="77"/>
      <c r="J659" s="62"/>
      <c r="K659" s="52"/>
      <c r="L659" s="52"/>
      <c r="M659" s="76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62"/>
      <c r="AB659" s="52"/>
      <c r="AC659" s="52"/>
      <c r="AD659" s="52"/>
      <c r="AE659" s="52"/>
      <c r="AF659" s="52"/>
      <c r="AG659" s="52"/>
      <c r="AH659" s="48"/>
      <c r="AI659" s="48"/>
      <c r="AJ659" s="48"/>
      <c r="AK659" s="53"/>
      <c r="AL659" s="53"/>
      <c r="AM659" s="53"/>
      <c r="AN659" s="53"/>
      <c r="AO659" s="53"/>
      <c r="AP659" s="53"/>
      <c r="AQ659" s="53"/>
      <c r="AR659" s="53"/>
      <c r="AS659" s="53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52"/>
      <c r="BG659" s="52"/>
      <c r="BH659" s="52"/>
      <c r="BI659" s="52"/>
      <c r="BJ659" s="52"/>
      <c r="BK659" s="52"/>
      <c r="BL659" s="52"/>
      <c r="BM659" s="54"/>
    </row>
    <row r="660">
      <c r="A660" s="42"/>
      <c r="B660" s="52"/>
      <c r="C660" s="52"/>
      <c r="D660" s="52"/>
      <c r="E660" s="52"/>
      <c r="F660" s="81"/>
      <c r="G660" s="57"/>
      <c r="H660" s="48"/>
      <c r="I660" s="77"/>
      <c r="J660" s="62"/>
      <c r="K660" s="52"/>
      <c r="L660" s="52"/>
      <c r="M660" s="76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62"/>
      <c r="AB660" s="52"/>
      <c r="AC660" s="52"/>
      <c r="AD660" s="52"/>
      <c r="AE660" s="52"/>
      <c r="AF660" s="52"/>
      <c r="AG660" s="52"/>
      <c r="AH660" s="48"/>
      <c r="AI660" s="48"/>
      <c r="AJ660" s="48"/>
      <c r="AK660" s="53"/>
      <c r="AL660" s="53"/>
      <c r="AM660" s="53"/>
      <c r="AN660" s="53"/>
      <c r="AO660" s="53"/>
      <c r="AP660" s="53"/>
      <c r="AQ660" s="53"/>
      <c r="AR660" s="53"/>
      <c r="AS660" s="53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52"/>
      <c r="BG660" s="52"/>
      <c r="BH660" s="52"/>
      <c r="BI660" s="52"/>
      <c r="BJ660" s="52"/>
      <c r="BK660" s="52"/>
      <c r="BL660" s="52"/>
      <c r="BM660" s="54"/>
    </row>
    <row r="661">
      <c r="A661" s="42"/>
      <c r="B661" s="52"/>
      <c r="C661" s="52"/>
      <c r="D661" s="52"/>
      <c r="E661" s="52"/>
      <c r="F661" s="81"/>
      <c r="G661" s="57"/>
      <c r="H661" s="48"/>
      <c r="I661" s="77"/>
      <c r="J661" s="62"/>
      <c r="K661" s="52"/>
      <c r="L661" s="52"/>
      <c r="M661" s="76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62"/>
      <c r="AB661" s="52"/>
      <c r="AC661" s="52"/>
      <c r="AD661" s="52"/>
      <c r="AE661" s="52"/>
      <c r="AF661" s="52"/>
      <c r="AG661" s="52"/>
      <c r="AH661" s="48"/>
      <c r="AI661" s="48"/>
      <c r="AJ661" s="48"/>
      <c r="AK661" s="53"/>
      <c r="AL661" s="53"/>
      <c r="AM661" s="53"/>
      <c r="AN661" s="53"/>
      <c r="AO661" s="53"/>
      <c r="AP661" s="53"/>
      <c r="AQ661" s="53"/>
      <c r="AR661" s="53"/>
      <c r="AS661" s="53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52"/>
      <c r="BG661" s="52"/>
      <c r="BH661" s="52"/>
      <c r="BI661" s="52"/>
      <c r="BJ661" s="52"/>
      <c r="BK661" s="52"/>
      <c r="BL661" s="52"/>
      <c r="BM661" s="54"/>
    </row>
    <row r="662">
      <c r="A662" s="42"/>
      <c r="B662" s="52"/>
      <c r="C662" s="52"/>
      <c r="D662" s="52"/>
      <c r="E662" s="52"/>
      <c r="F662" s="81"/>
      <c r="G662" s="57"/>
      <c r="H662" s="48"/>
      <c r="I662" s="77"/>
      <c r="J662" s="62"/>
      <c r="K662" s="52"/>
      <c r="L662" s="52"/>
      <c r="M662" s="76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62"/>
      <c r="AB662" s="52"/>
      <c r="AC662" s="52"/>
      <c r="AD662" s="52"/>
      <c r="AE662" s="52"/>
      <c r="AF662" s="52"/>
      <c r="AG662" s="52"/>
      <c r="AH662" s="48"/>
      <c r="AI662" s="48"/>
      <c r="AJ662" s="48"/>
      <c r="AK662" s="53"/>
      <c r="AL662" s="53"/>
      <c r="AM662" s="53"/>
      <c r="AN662" s="53"/>
      <c r="AO662" s="53"/>
      <c r="AP662" s="53"/>
      <c r="AQ662" s="53"/>
      <c r="AR662" s="53"/>
      <c r="AS662" s="53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52"/>
      <c r="BG662" s="52"/>
      <c r="BH662" s="52"/>
      <c r="BI662" s="52"/>
      <c r="BJ662" s="52"/>
      <c r="BK662" s="52"/>
      <c r="BL662" s="52"/>
      <c r="BM662" s="54"/>
    </row>
    <row r="663">
      <c r="A663" s="42"/>
      <c r="B663" s="52"/>
      <c r="C663" s="52"/>
      <c r="D663" s="52"/>
      <c r="E663" s="52"/>
      <c r="F663" s="81"/>
      <c r="G663" s="57"/>
      <c r="H663" s="48"/>
      <c r="I663" s="77"/>
      <c r="J663" s="62"/>
      <c r="K663" s="52"/>
      <c r="L663" s="52"/>
      <c r="M663" s="76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62"/>
      <c r="AB663" s="52"/>
      <c r="AC663" s="52"/>
      <c r="AD663" s="52"/>
      <c r="AE663" s="52"/>
      <c r="AF663" s="52"/>
      <c r="AG663" s="52"/>
      <c r="AH663" s="48"/>
      <c r="AI663" s="48"/>
      <c r="AJ663" s="48"/>
      <c r="AK663" s="53"/>
      <c r="AL663" s="53"/>
      <c r="AM663" s="53"/>
      <c r="AN663" s="53"/>
      <c r="AO663" s="53"/>
      <c r="AP663" s="53"/>
      <c r="AQ663" s="53"/>
      <c r="AR663" s="53"/>
      <c r="AS663" s="53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52"/>
      <c r="BG663" s="52"/>
      <c r="BH663" s="52"/>
      <c r="BI663" s="52"/>
      <c r="BJ663" s="52"/>
      <c r="BK663" s="52"/>
      <c r="BL663" s="52"/>
      <c r="BM663" s="54"/>
    </row>
    <row r="664">
      <c r="A664" s="42"/>
      <c r="B664" s="52"/>
      <c r="C664" s="52"/>
      <c r="D664" s="52"/>
      <c r="E664" s="52"/>
      <c r="F664" s="81"/>
      <c r="G664" s="57"/>
      <c r="H664" s="48"/>
      <c r="I664" s="77"/>
      <c r="J664" s="62"/>
      <c r="K664" s="52"/>
      <c r="L664" s="52"/>
      <c r="M664" s="76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62"/>
      <c r="AB664" s="52"/>
      <c r="AC664" s="52"/>
      <c r="AD664" s="52"/>
      <c r="AE664" s="52"/>
      <c r="AF664" s="52"/>
      <c r="AG664" s="52"/>
      <c r="AH664" s="48"/>
      <c r="AI664" s="48"/>
      <c r="AJ664" s="48"/>
      <c r="AK664" s="53"/>
      <c r="AL664" s="53"/>
      <c r="AM664" s="53"/>
      <c r="AN664" s="53"/>
      <c r="AO664" s="53"/>
      <c r="AP664" s="53"/>
      <c r="AQ664" s="53"/>
      <c r="AR664" s="53"/>
      <c r="AS664" s="53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52"/>
      <c r="BG664" s="52"/>
      <c r="BH664" s="52"/>
      <c r="BI664" s="52"/>
      <c r="BJ664" s="52"/>
      <c r="BK664" s="52"/>
      <c r="BL664" s="52"/>
      <c r="BM664" s="54"/>
    </row>
    <row r="665">
      <c r="A665" s="42"/>
      <c r="B665" s="52"/>
      <c r="C665" s="52"/>
      <c r="D665" s="52"/>
      <c r="E665" s="52"/>
      <c r="F665" s="81"/>
      <c r="G665" s="57"/>
      <c r="H665" s="48"/>
      <c r="I665" s="77"/>
      <c r="J665" s="62"/>
      <c r="K665" s="52"/>
      <c r="L665" s="52"/>
      <c r="M665" s="76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62"/>
      <c r="AB665" s="52"/>
      <c r="AC665" s="52"/>
      <c r="AD665" s="52"/>
      <c r="AE665" s="52"/>
      <c r="AF665" s="52"/>
      <c r="AG665" s="52"/>
      <c r="AH665" s="48"/>
      <c r="AI665" s="48"/>
      <c r="AJ665" s="48"/>
      <c r="AK665" s="53"/>
      <c r="AL665" s="53"/>
      <c r="AM665" s="53"/>
      <c r="AN665" s="53"/>
      <c r="AO665" s="53"/>
      <c r="AP665" s="53"/>
      <c r="AQ665" s="53"/>
      <c r="AR665" s="53"/>
      <c r="AS665" s="53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52"/>
      <c r="BG665" s="52"/>
      <c r="BH665" s="52"/>
      <c r="BI665" s="52"/>
      <c r="BJ665" s="52"/>
      <c r="BK665" s="52"/>
      <c r="BL665" s="52"/>
      <c r="BM665" s="54"/>
    </row>
    <row r="666">
      <c r="A666" s="42"/>
      <c r="B666" s="52"/>
      <c r="C666" s="52"/>
      <c r="D666" s="52"/>
      <c r="E666" s="52"/>
      <c r="F666" s="81"/>
      <c r="G666" s="57"/>
      <c r="H666" s="48"/>
      <c r="I666" s="77"/>
      <c r="J666" s="62"/>
      <c r="K666" s="52"/>
      <c r="L666" s="52"/>
      <c r="M666" s="76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62"/>
      <c r="AB666" s="52"/>
      <c r="AC666" s="52"/>
      <c r="AD666" s="52"/>
      <c r="AE666" s="52"/>
      <c r="AF666" s="52"/>
      <c r="AG666" s="52"/>
      <c r="AH666" s="48"/>
      <c r="AI666" s="48"/>
      <c r="AJ666" s="48"/>
      <c r="AK666" s="53"/>
      <c r="AL666" s="53"/>
      <c r="AM666" s="53"/>
      <c r="AN666" s="53"/>
      <c r="AO666" s="53"/>
      <c r="AP666" s="53"/>
      <c r="AQ666" s="53"/>
      <c r="AR666" s="53"/>
      <c r="AS666" s="53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52"/>
      <c r="BG666" s="52"/>
      <c r="BH666" s="52"/>
      <c r="BI666" s="52"/>
      <c r="BJ666" s="52"/>
      <c r="BK666" s="52"/>
      <c r="BL666" s="52"/>
      <c r="BM666" s="54"/>
    </row>
    <row r="667">
      <c r="A667" s="42"/>
      <c r="B667" s="52"/>
      <c r="C667" s="52"/>
      <c r="D667" s="52"/>
      <c r="E667" s="52"/>
      <c r="F667" s="81"/>
      <c r="G667" s="57"/>
      <c r="H667" s="48"/>
      <c r="I667" s="77"/>
      <c r="J667" s="62"/>
      <c r="K667" s="52"/>
      <c r="L667" s="52"/>
      <c r="M667" s="76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62"/>
      <c r="AB667" s="52"/>
      <c r="AC667" s="52"/>
      <c r="AD667" s="52"/>
      <c r="AE667" s="52"/>
      <c r="AF667" s="52"/>
      <c r="AG667" s="52"/>
      <c r="AH667" s="48"/>
      <c r="AI667" s="48"/>
      <c r="AJ667" s="48"/>
      <c r="AK667" s="53"/>
      <c r="AL667" s="53"/>
      <c r="AM667" s="53"/>
      <c r="AN667" s="53"/>
      <c r="AO667" s="53"/>
      <c r="AP667" s="53"/>
      <c r="AQ667" s="53"/>
      <c r="AR667" s="53"/>
      <c r="AS667" s="53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52"/>
      <c r="BG667" s="52"/>
      <c r="BH667" s="52"/>
      <c r="BI667" s="52"/>
      <c r="BJ667" s="52"/>
      <c r="BK667" s="52"/>
      <c r="BL667" s="52"/>
      <c r="BM667" s="54"/>
    </row>
    <row r="668">
      <c r="A668" s="42"/>
      <c r="B668" s="52"/>
      <c r="C668" s="52"/>
      <c r="D668" s="52"/>
      <c r="E668" s="52"/>
      <c r="F668" s="81"/>
      <c r="G668" s="57"/>
      <c r="H668" s="48"/>
      <c r="I668" s="77"/>
      <c r="J668" s="62"/>
      <c r="K668" s="52"/>
      <c r="L668" s="52"/>
      <c r="M668" s="76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62"/>
      <c r="AB668" s="52"/>
      <c r="AC668" s="52"/>
      <c r="AD668" s="52"/>
      <c r="AE668" s="52"/>
      <c r="AF668" s="52"/>
      <c r="AG668" s="52"/>
      <c r="AH668" s="48"/>
      <c r="AI668" s="48"/>
      <c r="AJ668" s="48"/>
      <c r="AK668" s="53"/>
      <c r="AL668" s="53"/>
      <c r="AM668" s="53"/>
      <c r="AN668" s="53"/>
      <c r="AO668" s="53"/>
      <c r="AP668" s="53"/>
      <c r="AQ668" s="53"/>
      <c r="AR668" s="53"/>
      <c r="AS668" s="53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52"/>
      <c r="BG668" s="52"/>
      <c r="BH668" s="52"/>
      <c r="BI668" s="52"/>
      <c r="BJ668" s="52"/>
      <c r="BK668" s="52"/>
      <c r="BL668" s="52"/>
      <c r="BM668" s="54"/>
    </row>
    <row r="669">
      <c r="A669" s="42"/>
      <c r="B669" s="52"/>
      <c r="C669" s="52"/>
      <c r="D669" s="52"/>
      <c r="E669" s="52"/>
      <c r="F669" s="81"/>
      <c r="G669" s="57"/>
      <c r="H669" s="48"/>
      <c r="I669" s="77"/>
      <c r="J669" s="62"/>
      <c r="K669" s="52"/>
      <c r="L669" s="52"/>
      <c r="M669" s="76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62"/>
      <c r="AB669" s="52"/>
      <c r="AC669" s="52"/>
      <c r="AD669" s="52"/>
      <c r="AE669" s="52"/>
      <c r="AF669" s="52"/>
      <c r="AG669" s="52"/>
      <c r="AH669" s="48"/>
      <c r="AI669" s="48"/>
      <c r="AJ669" s="48"/>
      <c r="AK669" s="53"/>
      <c r="AL669" s="53"/>
      <c r="AM669" s="53"/>
      <c r="AN669" s="53"/>
      <c r="AO669" s="53"/>
      <c r="AP669" s="53"/>
      <c r="AQ669" s="53"/>
      <c r="AR669" s="53"/>
      <c r="AS669" s="53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52"/>
      <c r="BG669" s="52"/>
      <c r="BH669" s="52"/>
      <c r="BI669" s="52"/>
      <c r="BJ669" s="52"/>
      <c r="BK669" s="52"/>
      <c r="BL669" s="52"/>
      <c r="BM669" s="54"/>
    </row>
    <row r="670">
      <c r="A670" s="42"/>
      <c r="B670" s="52"/>
      <c r="C670" s="52"/>
      <c r="D670" s="52"/>
      <c r="E670" s="52"/>
      <c r="F670" s="81"/>
      <c r="G670" s="57"/>
      <c r="H670" s="48"/>
      <c r="I670" s="77"/>
      <c r="J670" s="62"/>
      <c r="K670" s="52"/>
      <c r="L670" s="52"/>
      <c r="M670" s="76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62"/>
      <c r="AB670" s="52"/>
      <c r="AC670" s="52"/>
      <c r="AD670" s="52"/>
      <c r="AE670" s="52"/>
      <c r="AF670" s="52"/>
      <c r="AG670" s="52"/>
      <c r="AH670" s="48"/>
      <c r="AI670" s="48"/>
      <c r="AJ670" s="48"/>
      <c r="AK670" s="53"/>
      <c r="AL670" s="53"/>
      <c r="AM670" s="53"/>
      <c r="AN670" s="53"/>
      <c r="AO670" s="53"/>
      <c r="AP670" s="53"/>
      <c r="AQ670" s="53"/>
      <c r="AR670" s="53"/>
      <c r="AS670" s="53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52"/>
      <c r="BG670" s="52"/>
      <c r="BH670" s="52"/>
      <c r="BI670" s="52"/>
      <c r="BJ670" s="52"/>
      <c r="BK670" s="52"/>
      <c r="BL670" s="52"/>
      <c r="BM670" s="54"/>
    </row>
    <row r="671">
      <c r="A671" s="42"/>
      <c r="B671" s="52"/>
      <c r="C671" s="52"/>
      <c r="D671" s="52"/>
      <c r="E671" s="52"/>
      <c r="F671" s="81"/>
      <c r="G671" s="57"/>
      <c r="H671" s="48"/>
      <c r="I671" s="77"/>
      <c r="J671" s="62"/>
      <c r="K671" s="52"/>
      <c r="L671" s="52"/>
      <c r="M671" s="76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62"/>
      <c r="AB671" s="52"/>
      <c r="AC671" s="52"/>
      <c r="AD671" s="52"/>
      <c r="AE671" s="52"/>
      <c r="AF671" s="52"/>
      <c r="AG671" s="52"/>
      <c r="AH671" s="48"/>
      <c r="AI671" s="48"/>
      <c r="AJ671" s="48"/>
      <c r="AK671" s="53"/>
      <c r="AL671" s="53"/>
      <c r="AM671" s="53"/>
      <c r="AN671" s="53"/>
      <c r="AO671" s="53"/>
      <c r="AP671" s="53"/>
      <c r="AQ671" s="53"/>
      <c r="AR671" s="53"/>
      <c r="AS671" s="53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52"/>
      <c r="BG671" s="52"/>
      <c r="BH671" s="52"/>
      <c r="BI671" s="52"/>
      <c r="BJ671" s="52"/>
      <c r="BK671" s="52"/>
      <c r="BL671" s="52"/>
      <c r="BM671" s="54"/>
    </row>
    <row r="672">
      <c r="A672" s="42"/>
      <c r="B672" s="52"/>
      <c r="C672" s="52"/>
      <c r="D672" s="52"/>
      <c r="E672" s="52"/>
      <c r="F672" s="81"/>
      <c r="G672" s="57"/>
      <c r="H672" s="48"/>
      <c r="I672" s="77"/>
      <c r="J672" s="62"/>
      <c r="K672" s="52"/>
      <c r="L672" s="52"/>
      <c r="M672" s="76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62"/>
      <c r="AB672" s="52"/>
      <c r="AC672" s="52"/>
      <c r="AD672" s="52"/>
      <c r="AE672" s="52"/>
      <c r="AF672" s="52"/>
      <c r="AG672" s="52"/>
      <c r="AH672" s="48"/>
      <c r="AI672" s="48"/>
      <c r="AJ672" s="48"/>
      <c r="AK672" s="53"/>
      <c r="AL672" s="53"/>
      <c r="AM672" s="53"/>
      <c r="AN672" s="53"/>
      <c r="AO672" s="53"/>
      <c r="AP672" s="53"/>
      <c r="AQ672" s="53"/>
      <c r="AR672" s="53"/>
      <c r="AS672" s="53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52"/>
      <c r="BG672" s="52"/>
      <c r="BH672" s="52"/>
      <c r="BI672" s="52"/>
      <c r="BJ672" s="52"/>
      <c r="BK672" s="52"/>
      <c r="BL672" s="52"/>
      <c r="BM672" s="54"/>
    </row>
    <row r="673">
      <c r="A673" s="42"/>
      <c r="B673" s="52"/>
      <c r="C673" s="52"/>
      <c r="D673" s="52"/>
      <c r="E673" s="52"/>
      <c r="F673" s="81"/>
      <c r="G673" s="57"/>
      <c r="H673" s="48"/>
      <c r="I673" s="77"/>
      <c r="J673" s="62"/>
      <c r="K673" s="52"/>
      <c r="L673" s="52"/>
      <c r="M673" s="76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62"/>
      <c r="AB673" s="52"/>
      <c r="AC673" s="52"/>
      <c r="AD673" s="52"/>
      <c r="AE673" s="52"/>
      <c r="AF673" s="52"/>
      <c r="AG673" s="52"/>
      <c r="AH673" s="48"/>
      <c r="AI673" s="48"/>
      <c r="AJ673" s="48"/>
      <c r="AK673" s="53"/>
      <c r="AL673" s="53"/>
      <c r="AM673" s="53"/>
      <c r="AN673" s="53"/>
      <c r="AO673" s="53"/>
      <c r="AP673" s="53"/>
      <c r="AQ673" s="53"/>
      <c r="AR673" s="53"/>
      <c r="AS673" s="53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52"/>
      <c r="BG673" s="52"/>
      <c r="BH673" s="52"/>
      <c r="BI673" s="52"/>
      <c r="BJ673" s="52"/>
      <c r="BK673" s="52"/>
      <c r="BL673" s="52"/>
      <c r="BM673" s="54"/>
    </row>
    <row r="674">
      <c r="A674" s="42"/>
      <c r="B674" s="52"/>
      <c r="C674" s="52"/>
      <c r="D674" s="52"/>
      <c r="E674" s="52"/>
      <c r="F674" s="81"/>
      <c r="G674" s="57"/>
      <c r="H674" s="48"/>
      <c r="I674" s="77"/>
      <c r="J674" s="62"/>
      <c r="K674" s="52"/>
      <c r="L674" s="52"/>
      <c r="M674" s="76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62"/>
      <c r="AB674" s="52"/>
      <c r="AC674" s="52"/>
      <c r="AD674" s="52"/>
      <c r="AE674" s="52"/>
      <c r="AF674" s="52"/>
      <c r="AG674" s="52"/>
      <c r="AH674" s="48"/>
      <c r="AI674" s="48"/>
      <c r="AJ674" s="48"/>
      <c r="AK674" s="53"/>
      <c r="AL674" s="53"/>
      <c r="AM674" s="53"/>
      <c r="AN674" s="53"/>
      <c r="AO674" s="53"/>
      <c r="AP674" s="53"/>
      <c r="AQ674" s="53"/>
      <c r="AR674" s="53"/>
      <c r="AS674" s="53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52"/>
      <c r="BG674" s="52"/>
      <c r="BH674" s="52"/>
      <c r="BI674" s="52"/>
      <c r="BJ674" s="52"/>
      <c r="BK674" s="52"/>
      <c r="BL674" s="52"/>
      <c r="BM674" s="54"/>
    </row>
    <row r="675">
      <c r="A675" s="42"/>
      <c r="B675" s="52"/>
      <c r="C675" s="52"/>
      <c r="D675" s="52"/>
      <c r="E675" s="52"/>
      <c r="F675" s="81"/>
      <c r="G675" s="57"/>
      <c r="H675" s="48"/>
      <c r="I675" s="77"/>
      <c r="J675" s="62"/>
      <c r="K675" s="52"/>
      <c r="L675" s="52"/>
      <c r="M675" s="76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62"/>
      <c r="AB675" s="52"/>
      <c r="AC675" s="52"/>
      <c r="AD675" s="52"/>
      <c r="AE675" s="52"/>
      <c r="AF675" s="52"/>
      <c r="AG675" s="52"/>
      <c r="AH675" s="48"/>
      <c r="AI675" s="48"/>
      <c r="AJ675" s="48"/>
      <c r="AK675" s="53"/>
      <c r="AL675" s="53"/>
      <c r="AM675" s="53"/>
      <c r="AN675" s="53"/>
      <c r="AO675" s="53"/>
      <c r="AP675" s="53"/>
      <c r="AQ675" s="53"/>
      <c r="AR675" s="53"/>
      <c r="AS675" s="53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52"/>
      <c r="BG675" s="52"/>
      <c r="BH675" s="52"/>
      <c r="BI675" s="52"/>
      <c r="BJ675" s="52"/>
      <c r="BK675" s="52"/>
      <c r="BL675" s="52"/>
      <c r="BM675" s="54"/>
    </row>
    <row r="676">
      <c r="A676" s="42"/>
      <c r="B676" s="52"/>
      <c r="C676" s="52"/>
      <c r="D676" s="52"/>
      <c r="E676" s="52"/>
      <c r="F676" s="81"/>
      <c r="G676" s="57"/>
      <c r="H676" s="48"/>
      <c r="I676" s="77"/>
      <c r="J676" s="62"/>
      <c r="K676" s="52"/>
      <c r="L676" s="52"/>
      <c r="M676" s="76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62"/>
      <c r="AB676" s="52"/>
      <c r="AC676" s="52"/>
      <c r="AD676" s="52"/>
      <c r="AE676" s="52"/>
      <c r="AF676" s="52"/>
      <c r="AG676" s="52"/>
      <c r="AH676" s="48"/>
      <c r="AI676" s="48"/>
      <c r="AJ676" s="48"/>
      <c r="AK676" s="53"/>
      <c r="AL676" s="53"/>
      <c r="AM676" s="53"/>
      <c r="AN676" s="53"/>
      <c r="AO676" s="53"/>
      <c r="AP676" s="53"/>
      <c r="AQ676" s="53"/>
      <c r="AR676" s="53"/>
      <c r="AS676" s="53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52"/>
      <c r="BG676" s="52"/>
      <c r="BH676" s="52"/>
      <c r="BI676" s="52"/>
      <c r="BJ676" s="52"/>
      <c r="BK676" s="52"/>
      <c r="BL676" s="52"/>
      <c r="BM676" s="54"/>
    </row>
    <row r="677">
      <c r="A677" s="42"/>
      <c r="B677" s="52"/>
      <c r="C677" s="52"/>
      <c r="D677" s="52"/>
      <c r="E677" s="52"/>
      <c r="F677" s="81"/>
      <c r="G677" s="57"/>
      <c r="H677" s="48"/>
      <c r="I677" s="77"/>
      <c r="J677" s="62"/>
      <c r="K677" s="52"/>
      <c r="L677" s="52"/>
      <c r="M677" s="76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62"/>
      <c r="AB677" s="52"/>
      <c r="AC677" s="52"/>
      <c r="AD677" s="52"/>
      <c r="AE677" s="52"/>
      <c r="AF677" s="52"/>
      <c r="AG677" s="52"/>
      <c r="AH677" s="48"/>
      <c r="AI677" s="48"/>
      <c r="AJ677" s="48"/>
      <c r="AK677" s="53"/>
      <c r="AL677" s="53"/>
      <c r="AM677" s="53"/>
      <c r="AN677" s="53"/>
      <c r="AO677" s="53"/>
      <c r="AP677" s="53"/>
      <c r="AQ677" s="53"/>
      <c r="AR677" s="53"/>
      <c r="AS677" s="53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52"/>
      <c r="BG677" s="52"/>
      <c r="BH677" s="52"/>
      <c r="BI677" s="52"/>
      <c r="BJ677" s="52"/>
      <c r="BK677" s="52"/>
      <c r="BL677" s="52"/>
      <c r="BM677" s="54"/>
    </row>
    <row r="678">
      <c r="A678" s="42"/>
      <c r="B678" s="52"/>
      <c r="C678" s="52"/>
      <c r="D678" s="52"/>
      <c r="E678" s="52"/>
      <c r="F678" s="81"/>
      <c r="G678" s="57"/>
      <c r="H678" s="48"/>
      <c r="I678" s="77"/>
      <c r="J678" s="62"/>
      <c r="K678" s="52"/>
      <c r="L678" s="52"/>
      <c r="M678" s="76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62"/>
      <c r="AB678" s="52"/>
      <c r="AC678" s="52"/>
      <c r="AD678" s="52"/>
      <c r="AE678" s="52"/>
      <c r="AF678" s="52"/>
      <c r="AG678" s="52"/>
      <c r="AH678" s="48"/>
      <c r="AI678" s="48"/>
      <c r="AJ678" s="48"/>
      <c r="AK678" s="53"/>
      <c r="AL678" s="53"/>
      <c r="AM678" s="53"/>
      <c r="AN678" s="53"/>
      <c r="AO678" s="53"/>
      <c r="AP678" s="53"/>
      <c r="AQ678" s="53"/>
      <c r="AR678" s="53"/>
      <c r="AS678" s="53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52"/>
      <c r="BG678" s="52"/>
      <c r="BH678" s="52"/>
      <c r="BI678" s="52"/>
      <c r="BJ678" s="52"/>
      <c r="BK678" s="52"/>
      <c r="BL678" s="52"/>
      <c r="BM678" s="54"/>
    </row>
    <row r="679">
      <c r="A679" s="42"/>
      <c r="B679" s="52"/>
      <c r="C679" s="52"/>
      <c r="D679" s="52"/>
      <c r="E679" s="52"/>
      <c r="F679" s="81"/>
      <c r="G679" s="57"/>
      <c r="H679" s="48"/>
      <c r="I679" s="77"/>
      <c r="J679" s="62"/>
      <c r="K679" s="52"/>
      <c r="L679" s="52"/>
      <c r="M679" s="76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62"/>
      <c r="AB679" s="52"/>
      <c r="AC679" s="52"/>
      <c r="AD679" s="52"/>
      <c r="AE679" s="52"/>
      <c r="AF679" s="52"/>
      <c r="AG679" s="52"/>
      <c r="AH679" s="48"/>
      <c r="AI679" s="48"/>
      <c r="AJ679" s="48"/>
      <c r="AK679" s="53"/>
      <c r="AL679" s="53"/>
      <c r="AM679" s="53"/>
      <c r="AN679" s="53"/>
      <c r="AO679" s="53"/>
      <c r="AP679" s="53"/>
      <c r="AQ679" s="53"/>
      <c r="AR679" s="53"/>
      <c r="AS679" s="53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52"/>
      <c r="BG679" s="52"/>
      <c r="BH679" s="52"/>
      <c r="BI679" s="52"/>
      <c r="BJ679" s="52"/>
      <c r="BK679" s="52"/>
      <c r="BL679" s="52"/>
      <c r="BM679" s="54"/>
    </row>
    <row r="680">
      <c r="A680" s="42"/>
      <c r="B680" s="52"/>
      <c r="C680" s="52"/>
      <c r="D680" s="52"/>
      <c r="E680" s="52"/>
      <c r="F680" s="81"/>
      <c r="G680" s="57"/>
      <c r="H680" s="48"/>
      <c r="I680" s="77"/>
      <c r="J680" s="62"/>
      <c r="K680" s="52"/>
      <c r="L680" s="52"/>
      <c r="M680" s="76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62"/>
      <c r="AB680" s="52"/>
      <c r="AC680" s="52"/>
      <c r="AD680" s="52"/>
      <c r="AE680" s="52"/>
      <c r="AF680" s="52"/>
      <c r="AG680" s="52"/>
      <c r="AH680" s="48"/>
      <c r="AI680" s="48"/>
      <c r="AJ680" s="48"/>
      <c r="AK680" s="53"/>
      <c r="AL680" s="53"/>
      <c r="AM680" s="53"/>
      <c r="AN680" s="53"/>
      <c r="AO680" s="53"/>
      <c r="AP680" s="53"/>
      <c r="AQ680" s="53"/>
      <c r="AR680" s="53"/>
      <c r="AS680" s="53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52"/>
      <c r="BG680" s="52"/>
      <c r="BH680" s="52"/>
      <c r="BI680" s="52"/>
      <c r="BJ680" s="52"/>
      <c r="BK680" s="52"/>
      <c r="BL680" s="52"/>
      <c r="BM680" s="54"/>
    </row>
    <row r="681">
      <c r="A681" s="42"/>
      <c r="B681" s="52"/>
      <c r="C681" s="52"/>
      <c r="D681" s="52"/>
      <c r="E681" s="52"/>
      <c r="F681" s="81"/>
      <c r="G681" s="57"/>
      <c r="H681" s="48"/>
      <c r="I681" s="77"/>
      <c r="J681" s="62"/>
      <c r="K681" s="52"/>
      <c r="L681" s="52"/>
      <c r="M681" s="76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62"/>
      <c r="AB681" s="52"/>
      <c r="AC681" s="52"/>
      <c r="AD681" s="52"/>
      <c r="AE681" s="52"/>
      <c r="AF681" s="52"/>
      <c r="AG681" s="52"/>
      <c r="AH681" s="48"/>
      <c r="AI681" s="48"/>
      <c r="AJ681" s="48"/>
      <c r="AK681" s="53"/>
      <c r="AL681" s="53"/>
      <c r="AM681" s="53"/>
      <c r="AN681" s="53"/>
      <c r="AO681" s="53"/>
      <c r="AP681" s="53"/>
      <c r="AQ681" s="53"/>
      <c r="AR681" s="53"/>
      <c r="AS681" s="53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52"/>
      <c r="BG681" s="52"/>
      <c r="BH681" s="52"/>
      <c r="BI681" s="52"/>
      <c r="BJ681" s="52"/>
      <c r="BK681" s="52"/>
      <c r="BL681" s="52"/>
      <c r="BM681" s="54"/>
    </row>
    <row r="682">
      <c r="A682" s="42"/>
      <c r="B682" s="52"/>
      <c r="C682" s="52"/>
      <c r="D682" s="52"/>
      <c r="E682" s="52"/>
      <c r="F682" s="81"/>
      <c r="G682" s="57"/>
      <c r="H682" s="48"/>
      <c r="I682" s="77"/>
      <c r="J682" s="62"/>
      <c r="K682" s="52"/>
      <c r="L682" s="52"/>
      <c r="M682" s="76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62"/>
      <c r="AB682" s="52"/>
      <c r="AC682" s="52"/>
      <c r="AD682" s="52"/>
      <c r="AE682" s="52"/>
      <c r="AF682" s="52"/>
      <c r="AG682" s="52"/>
      <c r="AH682" s="48"/>
      <c r="AI682" s="48"/>
      <c r="AJ682" s="48"/>
      <c r="AK682" s="53"/>
      <c r="AL682" s="53"/>
      <c r="AM682" s="53"/>
      <c r="AN682" s="53"/>
      <c r="AO682" s="53"/>
      <c r="AP682" s="53"/>
      <c r="AQ682" s="53"/>
      <c r="AR682" s="53"/>
      <c r="AS682" s="53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52"/>
      <c r="BG682" s="52"/>
      <c r="BH682" s="52"/>
      <c r="BI682" s="52"/>
      <c r="BJ682" s="52"/>
      <c r="BK682" s="52"/>
      <c r="BL682" s="52"/>
      <c r="BM682" s="54"/>
    </row>
    <row r="683">
      <c r="A683" s="42"/>
      <c r="B683" s="52"/>
      <c r="C683" s="52"/>
      <c r="D683" s="52"/>
      <c r="E683" s="52"/>
      <c r="F683" s="81"/>
      <c r="G683" s="57"/>
      <c r="H683" s="48"/>
      <c r="I683" s="77"/>
      <c r="J683" s="62"/>
      <c r="K683" s="52"/>
      <c r="L683" s="52"/>
      <c r="M683" s="76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62"/>
      <c r="AB683" s="52"/>
      <c r="AC683" s="52"/>
      <c r="AD683" s="52"/>
      <c r="AE683" s="52"/>
      <c r="AF683" s="52"/>
      <c r="AG683" s="52"/>
      <c r="AH683" s="48"/>
      <c r="AI683" s="48"/>
      <c r="AJ683" s="48"/>
      <c r="AK683" s="53"/>
      <c r="AL683" s="53"/>
      <c r="AM683" s="53"/>
      <c r="AN683" s="53"/>
      <c r="AO683" s="53"/>
      <c r="AP683" s="53"/>
      <c r="AQ683" s="53"/>
      <c r="AR683" s="53"/>
      <c r="AS683" s="53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52"/>
      <c r="BG683" s="52"/>
      <c r="BH683" s="52"/>
      <c r="BI683" s="52"/>
      <c r="BJ683" s="52"/>
      <c r="BK683" s="52"/>
      <c r="BL683" s="52"/>
      <c r="BM683" s="54"/>
    </row>
    <row r="684">
      <c r="A684" s="42"/>
      <c r="B684" s="52"/>
      <c r="C684" s="52"/>
      <c r="D684" s="52"/>
      <c r="E684" s="52"/>
      <c r="F684" s="81"/>
      <c r="G684" s="57"/>
      <c r="H684" s="48"/>
      <c r="I684" s="77"/>
      <c r="J684" s="62"/>
      <c r="K684" s="52"/>
      <c r="L684" s="52"/>
      <c r="M684" s="76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62"/>
      <c r="AB684" s="52"/>
      <c r="AC684" s="52"/>
      <c r="AD684" s="52"/>
      <c r="AE684" s="52"/>
      <c r="AF684" s="52"/>
      <c r="AG684" s="52"/>
      <c r="AH684" s="48"/>
      <c r="AI684" s="48"/>
      <c r="AJ684" s="48"/>
      <c r="AK684" s="53"/>
      <c r="AL684" s="53"/>
      <c r="AM684" s="53"/>
      <c r="AN684" s="53"/>
      <c r="AO684" s="53"/>
      <c r="AP684" s="53"/>
      <c r="AQ684" s="53"/>
      <c r="AR684" s="53"/>
      <c r="AS684" s="53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52"/>
      <c r="BG684" s="52"/>
      <c r="BH684" s="52"/>
      <c r="BI684" s="52"/>
      <c r="BJ684" s="52"/>
      <c r="BK684" s="52"/>
      <c r="BL684" s="52"/>
      <c r="BM684" s="54"/>
    </row>
    <row r="685">
      <c r="A685" s="42"/>
      <c r="B685" s="52"/>
      <c r="C685" s="52"/>
      <c r="D685" s="52"/>
      <c r="E685" s="52"/>
      <c r="F685" s="81"/>
      <c r="G685" s="57"/>
      <c r="H685" s="48"/>
      <c r="I685" s="77"/>
      <c r="J685" s="62"/>
      <c r="K685" s="52"/>
      <c r="L685" s="52"/>
      <c r="M685" s="76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62"/>
      <c r="AB685" s="52"/>
      <c r="AC685" s="52"/>
      <c r="AD685" s="52"/>
      <c r="AE685" s="52"/>
      <c r="AF685" s="52"/>
      <c r="AG685" s="52"/>
      <c r="AH685" s="48"/>
      <c r="AI685" s="48"/>
      <c r="AJ685" s="48"/>
      <c r="AK685" s="53"/>
      <c r="AL685" s="53"/>
      <c r="AM685" s="53"/>
      <c r="AN685" s="53"/>
      <c r="AO685" s="53"/>
      <c r="AP685" s="53"/>
      <c r="AQ685" s="53"/>
      <c r="AR685" s="53"/>
      <c r="AS685" s="53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52"/>
      <c r="BG685" s="52"/>
      <c r="BH685" s="52"/>
      <c r="BI685" s="52"/>
      <c r="BJ685" s="52"/>
      <c r="BK685" s="52"/>
      <c r="BL685" s="52"/>
      <c r="BM685" s="54"/>
    </row>
    <row r="686">
      <c r="A686" s="42"/>
      <c r="B686" s="52"/>
      <c r="C686" s="52"/>
      <c r="D686" s="52"/>
      <c r="E686" s="52"/>
      <c r="F686" s="81"/>
      <c r="G686" s="57"/>
      <c r="H686" s="48"/>
      <c r="I686" s="77"/>
      <c r="J686" s="62"/>
      <c r="K686" s="52"/>
      <c r="L686" s="52"/>
      <c r="M686" s="76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62"/>
      <c r="AB686" s="52"/>
      <c r="AC686" s="52"/>
      <c r="AD686" s="52"/>
      <c r="AE686" s="52"/>
      <c r="AF686" s="52"/>
      <c r="AG686" s="52"/>
      <c r="AH686" s="48"/>
      <c r="AI686" s="48"/>
      <c r="AJ686" s="48"/>
      <c r="AK686" s="53"/>
      <c r="AL686" s="53"/>
      <c r="AM686" s="53"/>
      <c r="AN686" s="53"/>
      <c r="AO686" s="53"/>
      <c r="AP686" s="53"/>
      <c r="AQ686" s="53"/>
      <c r="AR686" s="53"/>
      <c r="AS686" s="53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52"/>
      <c r="BG686" s="52"/>
      <c r="BH686" s="52"/>
      <c r="BI686" s="52"/>
      <c r="BJ686" s="52"/>
      <c r="BK686" s="52"/>
      <c r="BL686" s="52"/>
      <c r="BM686" s="54"/>
    </row>
    <row r="687">
      <c r="A687" s="42"/>
      <c r="B687" s="52"/>
      <c r="C687" s="52"/>
      <c r="D687" s="52"/>
      <c r="E687" s="52"/>
      <c r="F687" s="81"/>
      <c r="G687" s="57"/>
      <c r="H687" s="48"/>
      <c r="I687" s="77"/>
      <c r="J687" s="62"/>
      <c r="K687" s="52"/>
      <c r="L687" s="52"/>
      <c r="M687" s="76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62"/>
      <c r="AB687" s="52"/>
      <c r="AC687" s="52"/>
      <c r="AD687" s="52"/>
      <c r="AE687" s="52"/>
      <c r="AF687" s="52"/>
      <c r="AG687" s="52"/>
      <c r="AH687" s="48"/>
      <c r="AI687" s="48"/>
      <c r="AJ687" s="48"/>
      <c r="AK687" s="53"/>
      <c r="AL687" s="53"/>
      <c r="AM687" s="53"/>
      <c r="AN687" s="53"/>
      <c r="AO687" s="53"/>
      <c r="AP687" s="53"/>
      <c r="AQ687" s="53"/>
      <c r="AR687" s="53"/>
      <c r="AS687" s="53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52"/>
      <c r="BG687" s="52"/>
      <c r="BH687" s="52"/>
      <c r="BI687" s="52"/>
      <c r="BJ687" s="52"/>
      <c r="BK687" s="52"/>
      <c r="BL687" s="52"/>
      <c r="BM687" s="54"/>
    </row>
    <row r="688">
      <c r="A688" s="42"/>
      <c r="B688" s="52"/>
      <c r="C688" s="52"/>
      <c r="D688" s="52"/>
      <c r="E688" s="52"/>
      <c r="F688" s="81"/>
      <c r="G688" s="57"/>
      <c r="H688" s="48"/>
      <c r="I688" s="77"/>
      <c r="J688" s="62"/>
      <c r="K688" s="52"/>
      <c r="L688" s="52"/>
      <c r="M688" s="76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62"/>
      <c r="AB688" s="52"/>
      <c r="AC688" s="52"/>
      <c r="AD688" s="52"/>
      <c r="AE688" s="52"/>
      <c r="AF688" s="52"/>
      <c r="AG688" s="52"/>
      <c r="AH688" s="48"/>
      <c r="AI688" s="48"/>
      <c r="AJ688" s="48"/>
      <c r="AK688" s="53"/>
      <c r="AL688" s="53"/>
      <c r="AM688" s="53"/>
      <c r="AN688" s="53"/>
      <c r="AO688" s="53"/>
      <c r="AP688" s="53"/>
      <c r="AQ688" s="53"/>
      <c r="AR688" s="53"/>
      <c r="AS688" s="53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52"/>
      <c r="BG688" s="52"/>
      <c r="BH688" s="52"/>
      <c r="BI688" s="52"/>
      <c r="BJ688" s="52"/>
      <c r="BK688" s="52"/>
      <c r="BL688" s="52"/>
      <c r="BM688" s="54"/>
    </row>
    <row r="689">
      <c r="A689" s="42"/>
      <c r="B689" s="52"/>
      <c r="C689" s="52"/>
      <c r="D689" s="52"/>
      <c r="E689" s="52"/>
      <c r="F689" s="81"/>
      <c r="G689" s="57"/>
      <c r="H689" s="48"/>
      <c r="I689" s="77"/>
      <c r="J689" s="62"/>
      <c r="K689" s="52"/>
      <c r="L689" s="52"/>
      <c r="M689" s="76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62"/>
      <c r="AB689" s="52"/>
      <c r="AC689" s="52"/>
      <c r="AD689" s="52"/>
      <c r="AE689" s="52"/>
      <c r="AF689" s="52"/>
      <c r="AG689" s="52"/>
      <c r="AH689" s="48"/>
      <c r="AI689" s="48"/>
      <c r="AJ689" s="48"/>
      <c r="AK689" s="53"/>
      <c r="AL689" s="53"/>
      <c r="AM689" s="53"/>
      <c r="AN689" s="53"/>
      <c r="AO689" s="53"/>
      <c r="AP689" s="53"/>
      <c r="AQ689" s="53"/>
      <c r="AR689" s="53"/>
      <c r="AS689" s="53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52"/>
      <c r="BG689" s="52"/>
      <c r="BH689" s="52"/>
      <c r="BI689" s="52"/>
      <c r="BJ689" s="52"/>
      <c r="BK689" s="52"/>
      <c r="BL689" s="52"/>
      <c r="BM689" s="54"/>
    </row>
    <row r="690">
      <c r="A690" s="42"/>
      <c r="B690" s="52"/>
      <c r="C690" s="52"/>
      <c r="D690" s="52"/>
      <c r="E690" s="52"/>
      <c r="F690" s="81"/>
      <c r="G690" s="57"/>
      <c r="H690" s="48"/>
      <c r="I690" s="77"/>
      <c r="J690" s="62"/>
      <c r="K690" s="52"/>
      <c r="L690" s="52"/>
      <c r="M690" s="76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62"/>
      <c r="AB690" s="52"/>
      <c r="AC690" s="52"/>
      <c r="AD690" s="52"/>
      <c r="AE690" s="52"/>
      <c r="AF690" s="52"/>
      <c r="AG690" s="52"/>
      <c r="AH690" s="48"/>
      <c r="AI690" s="48"/>
      <c r="AJ690" s="48"/>
      <c r="AK690" s="53"/>
      <c r="AL690" s="53"/>
      <c r="AM690" s="53"/>
      <c r="AN690" s="53"/>
      <c r="AO690" s="53"/>
      <c r="AP690" s="53"/>
      <c r="AQ690" s="53"/>
      <c r="AR690" s="53"/>
      <c r="AS690" s="53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52"/>
      <c r="BG690" s="52"/>
      <c r="BH690" s="52"/>
      <c r="BI690" s="52"/>
      <c r="BJ690" s="52"/>
      <c r="BK690" s="52"/>
      <c r="BL690" s="52"/>
      <c r="BM690" s="54"/>
    </row>
    <row r="691">
      <c r="A691" s="42"/>
      <c r="B691" s="52"/>
      <c r="C691" s="52"/>
      <c r="D691" s="52"/>
      <c r="E691" s="52"/>
      <c r="F691" s="81"/>
      <c r="G691" s="57"/>
      <c r="H691" s="48"/>
      <c r="I691" s="77"/>
      <c r="J691" s="62"/>
      <c r="K691" s="52"/>
      <c r="L691" s="52"/>
      <c r="M691" s="76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62"/>
      <c r="AB691" s="52"/>
      <c r="AC691" s="52"/>
      <c r="AD691" s="52"/>
      <c r="AE691" s="52"/>
      <c r="AF691" s="52"/>
      <c r="AG691" s="52"/>
      <c r="AH691" s="48"/>
      <c r="AI691" s="48"/>
      <c r="AJ691" s="48"/>
      <c r="AK691" s="53"/>
      <c r="AL691" s="53"/>
      <c r="AM691" s="53"/>
      <c r="AN691" s="53"/>
      <c r="AO691" s="53"/>
      <c r="AP691" s="53"/>
      <c r="AQ691" s="53"/>
      <c r="AR691" s="53"/>
      <c r="AS691" s="53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52"/>
      <c r="BG691" s="52"/>
      <c r="BH691" s="52"/>
      <c r="BI691" s="52"/>
      <c r="BJ691" s="52"/>
      <c r="BK691" s="52"/>
      <c r="BL691" s="52"/>
      <c r="BM691" s="54"/>
    </row>
    <row r="692">
      <c r="A692" s="42"/>
      <c r="B692" s="52"/>
      <c r="C692" s="52"/>
      <c r="D692" s="52"/>
      <c r="E692" s="52"/>
      <c r="F692" s="81"/>
      <c r="G692" s="57"/>
      <c r="H692" s="48"/>
      <c r="I692" s="77"/>
      <c r="J692" s="62"/>
      <c r="K692" s="52"/>
      <c r="L692" s="52"/>
      <c r="M692" s="76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62"/>
      <c r="AB692" s="52"/>
      <c r="AC692" s="52"/>
      <c r="AD692" s="52"/>
      <c r="AE692" s="52"/>
      <c r="AF692" s="52"/>
      <c r="AG692" s="52"/>
      <c r="AH692" s="48"/>
      <c r="AI692" s="48"/>
      <c r="AJ692" s="48"/>
      <c r="AK692" s="53"/>
      <c r="AL692" s="53"/>
      <c r="AM692" s="53"/>
      <c r="AN692" s="53"/>
      <c r="AO692" s="53"/>
      <c r="AP692" s="53"/>
      <c r="AQ692" s="53"/>
      <c r="AR692" s="53"/>
      <c r="AS692" s="53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52"/>
      <c r="BG692" s="52"/>
      <c r="BH692" s="52"/>
      <c r="BI692" s="52"/>
      <c r="BJ692" s="52"/>
      <c r="BK692" s="52"/>
      <c r="BL692" s="52"/>
      <c r="BM692" s="54"/>
    </row>
    <row r="693">
      <c r="A693" s="42"/>
      <c r="B693" s="52"/>
      <c r="C693" s="52"/>
      <c r="D693" s="52"/>
      <c r="E693" s="52"/>
      <c r="F693" s="81"/>
      <c r="G693" s="57"/>
      <c r="H693" s="48"/>
      <c r="I693" s="77"/>
      <c r="J693" s="62"/>
      <c r="K693" s="52"/>
      <c r="L693" s="52"/>
      <c r="M693" s="76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62"/>
      <c r="AB693" s="52"/>
      <c r="AC693" s="52"/>
      <c r="AD693" s="52"/>
      <c r="AE693" s="52"/>
      <c r="AF693" s="52"/>
      <c r="AG693" s="52"/>
      <c r="AH693" s="48"/>
      <c r="AI693" s="48"/>
      <c r="AJ693" s="48"/>
      <c r="AK693" s="53"/>
      <c r="AL693" s="53"/>
      <c r="AM693" s="53"/>
      <c r="AN693" s="53"/>
      <c r="AO693" s="53"/>
      <c r="AP693" s="53"/>
      <c r="AQ693" s="53"/>
      <c r="AR693" s="53"/>
      <c r="AS693" s="53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52"/>
      <c r="BG693" s="52"/>
      <c r="BH693" s="52"/>
      <c r="BI693" s="52"/>
      <c r="BJ693" s="52"/>
      <c r="BK693" s="52"/>
      <c r="BL693" s="52"/>
      <c r="BM693" s="54"/>
    </row>
    <row r="694">
      <c r="A694" s="42"/>
      <c r="B694" s="52"/>
      <c r="C694" s="52"/>
      <c r="D694" s="52"/>
      <c r="E694" s="52"/>
      <c r="F694" s="81"/>
      <c r="G694" s="57"/>
      <c r="H694" s="48"/>
      <c r="I694" s="77"/>
      <c r="J694" s="62"/>
      <c r="K694" s="52"/>
      <c r="L694" s="52"/>
      <c r="M694" s="76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62"/>
      <c r="AB694" s="52"/>
      <c r="AC694" s="52"/>
      <c r="AD694" s="52"/>
      <c r="AE694" s="52"/>
      <c r="AF694" s="52"/>
      <c r="AG694" s="52"/>
      <c r="AH694" s="48"/>
      <c r="AI694" s="48"/>
      <c r="AJ694" s="48"/>
      <c r="AK694" s="53"/>
      <c r="AL694" s="53"/>
      <c r="AM694" s="53"/>
      <c r="AN694" s="53"/>
      <c r="AO694" s="53"/>
      <c r="AP694" s="53"/>
      <c r="AQ694" s="53"/>
      <c r="AR694" s="53"/>
      <c r="AS694" s="53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52"/>
      <c r="BG694" s="52"/>
      <c r="BH694" s="52"/>
      <c r="BI694" s="52"/>
      <c r="BJ694" s="52"/>
      <c r="BK694" s="52"/>
      <c r="BL694" s="52"/>
      <c r="BM694" s="54"/>
    </row>
    <row r="695">
      <c r="A695" s="42"/>
      <c r="B695" s="52"/>
      <c r="C695" s="52"/>
      <c r="D695" s="52"/>
      <c r="E695" s="52"/>
      <c r="F695" s="81"/>
      <c r="G695" s="57"/>
      <c r="H695" s="48"/>
      <c r="I695" s="77"/>
      <c r="J695" s="62"/>
      <c r="K695" s="52"/>
      <c r="L695" s="52"/>
      <c r="M695" s="76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62"/>
      <c r="AB695" s="52"/>
      <c r="AC695" s="52"/>
      <c r="AD695" s="52"/>
      <c r="AE695" s="52"/>
      <c r="AF695" s="52"/>
      <c r="AG695" s="52"/>
      <c r="AH695" s="48"/>
      <c r="AI695" s="48"/>
      <c r="AJ695" s="48"/>
      <c r="AK695" s="53"/>
      <c r="AL695" s="53"/>
      <c r="AM695" s="53"/>
      <c r="AN695" s="53"/>
      <c r="AO695" s="53"/>
      <c r="AP695" s="53"/>
      <c r="AQ695" s="53"/>
      <c r="AR695" s="53"/>
      <c r="AS695" s="53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52"/>
      <c r="BG695" s="52"/>
      <c r="BH695" s="52"/>
      <c r="BI695" s="52"/>
      <c r="BJ695" s="52"/>
      <c r="BK695" s="52"/>
      <c r="BL695" s="52"/>
      <c r="BM695" s="54"/>
    </row>
    <row r="696">
      <c r="A696" s="42"/>
      <c r="B696" s="52"/>
      <c r="C696" s="52"/>
      <c r="D696" s="52"/>
      <c r="E696" s="52"/>
      <c r="F696" s="81"/>
      <c r="G696" s="57"/>
      <c r="H696" s="48"/>
      <c r="I696" s="77"/>
      <c r="J696" s="62"/>
      <c r="K696" s="52"/>
      <c r="L696" s="52"/>
      <c r="M696" s="76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62"/>
      <c r="AB696" s="52"/>
      <c r="AC696" s="52"/>
      <c r="AD696" s="52"/>
      <c r="AE696" s="52"/>
      <c r="AF696" s="52"/>
      <c r="AG696" s="52"/>
      <c r="AH696" s="48"/>
      <c r="AI696" s="48"/>
      <c r="AJ696" s="48"/>
      <c r="AK696" s="53"/>
      <c r="AL696" s="53"/>
      <c r="AM696" s="53"/>
      <c r="AN696" s="53"/>
      <c r="AO696" s="53"/>
      <c r="AP696" s="53"/>
      <c r="AQ696" s="53"/>
      <c r="AR696" s="53"/>
      <c r="AS696" s="53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52"/>
      <c r="BG696" s="52"/>
      <c r="BH696" s="52"/>
      <c r="BI696" s="52"/>
      <c r="BJ696" s="52"/>
      <c r="BK696" s="52"/>
      <c r="BL696" s="52"/>
      <c r="BM696" s="54"/>
    </row>
    <row r="697">
      <c r="A697" s="42"/>
      <c r="B697" s="52"/>
      <c r="C697" s="52"/>
      <c r="D697" s="52"/>
      <c r="E697" s="52"/>
      <c r="F697" s="81"/>
      <c r="G697" s="57"/>
      <c r="H697" s="48"/>
      <c r="I697" s="77"/>
      <c r="J697" s="62"/>
      <c r="K697" s="52"/>
      <c r="L697" s="52"/>
      <c r="M697" s="76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62"/>
      <c r="AB697" s="52"/>
      <c r="AC697" s="52"/>
      <c r="AD697" s="52"/>
      <c r="AE697" s="52"/>
      <c r="AF697" s="52"/>
      <c r="AG697" s="52"/>
      <c r="AH697" s="48"/>
      <c r="AI697" s="48"/>
      <c r="AJ697" s="48"/>
      <c r="AK697" s="53"/>
      <c r="AL697" s="53"/>
      <c r="AM697" s="53"/>
      <c r="AN697" s="53"/>
      <c r="AO697" s="53"/>
      <c r="AP697" s="53"/>
      <c r="AQ697" s="53"/>
      <c r="AR697" s="53"/>
      <c r="AS697" s="53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52"/>
      <c r="BG697" s="52"/>
      <c r="BH697" s="52"/>
      <c r="BI697" s="52"/>
      <c r="BJ697" s="52"/>
      <c r="BK697" s="52"/>
      <c r="BL697" s="52"/>
      <c r="BM697" s="54"/>
    </row>
    <row r="698">
      <c r="A698" s="42"/>
      <c r="B698" s="52"/>
      <c r="C698" s="52"/>
      <c r="D698" s="52"/>
      <c r="E698" s="52"/>
      <c r="F698" s="81"/>
      <c r="G698" s="57"/>
      <c r="H698" s="48"/>
      <c r="I698" s="77"/>
      <c r="J698" s="62"/>
      <c r="K698" s="52"/>
      <c r="L698" s="52"/>
      <c r="M698" s="76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62"/>
      <c r="AB698" s="52"/>
      <c r="AC698" s="52"/>
      <c r="AD698" s="52"/>
      <c r="AE698" s="52"/>
      <c r="AF698" s="52"/>
      <c r="AG698" s="52"/>
      <c r="AH698" s="48"/>
      <c r="AI698" s="48"/>
      <c r="AJ698" s="48"/>
      <c r="AK698" s="53"/>
      <c r="AL698" s="53"/>
      <c r="AM698" s="53"/>
      <c r="AN698" s="53"/>
      <c r="AO698" s="53"/>
      <c r="AP698" s="53"/>
      <c r="AQ698" s="53"/>
      <c r="AR698" s="53"/>
      <c r="AS698" s="53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52"/>
      <c r="BG698" s="52"/>
      <c r="BH698" s="52"/>
      <c r="BI698" s="52"/>
      <c r="BJ698" s="52"/>
      <c r="BK698" s="52"/>
      <c r="BL698" s="52"/>
      <c r="BM698" s="54"/>
    </row>
    <row r="699">
      <c r="A699" s="42"/>
      <c r="B699" s="52"/>
      <c r="C699" s="52"/>
      <c r="D699" s="52"/>
      <c r="E699" s="52"/>
      <c r="F699" s="81"/>
      <c r="G699" s="57"/>
      <c r="H699" s="48"/>
      <c r="I699" s="77"/>
      <c r="J699" s="62"/>
      <c r="K699" s="52"/>
      <c r="L699" s="52"/>
      <c r="M699" s="76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62"/>
      <c r="AB699" s="52"/>
      <c r="AC699" s="52"/>
      <c r="AD699" s="52"/>
      <c r="AE699" s="52"/>
      <c r="AF699" s="52"/>
      <c r="AG699" s="52"/>
      <c r="AH699" s="48"/>
      <c r="AI699" s="48"/>
      <c r="AJ699" s="48"/>
      <c r="AK699" s="53"/>
      <c r="AL699" s="53"/>
      <c r="AM699" s="53"/>
      <c r="AN699" s="53"/>
      <c r="AO699" s="53"/>
      <c r="AP699" s="53"/>
      <c r="AQ699" s="53"/>
      <c r="AR699" s="53"/>
      <c r="AS699" s="53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52"/>
      <c r="BG699" s="52"/>
      <c r="BH699" s="52"/>
      <c r="BI699" s="52"/>
      <c r="BJ699" s="52"/>
      <c r="BK699" s="52"/>
      <c r="BL699" s="52"/>
      <c r="BM699" s="54"/>
    </row>
    <row r="700">
      <c r="A700" s="42"/>
      <c r="B700" s="52"/>
      <c r="C700" s="52"/>
      <c r="D700" s="52"/>
      <c r="E700" s="52"/>
      <c r="F700" s="81"/>
      <c r="G700" s="57"/>
      <c r="H700" s="48"/>
      <c r="I700" s="77"/>
      <c r="J700" s="62"/>
      <c r="K700" s="52"/>
      <c r="L700" s="52"/>
      <c r="M700" s="76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62"/>
      <c r="AB700" s="52"/>
      <c r="AC700" s="52"/>
      <c r="AD700" s="52"/>
      <c r="AE700" s="52"/>
      <c r="AF700" s="52"/>
      <c r="AG700" s="52"/>
      <c r="AH700" s="48"/>
      <c r="AI700" s="48"/>
      <c r="AJ700" s="48"/>
      <c r="AK700" s="53"/>
      <c r="AL700" s="53"/>
      <c r="AM700" s="53"/>
      <c r="AN700" s="53"/>
      <c r="AO700" s="53"/>
      <c r="AP700" s="53"/>
      <c r="AQ700" s="53"/>
      <c r="AR700" s="53"/>
      <c r="AS700" s="53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52"/>
      <c r="BG700" s="52"/>
      <c r="BH700" s="52"/>
      <c r="BI700" s="52"/>
      <c r="BJ700" s="52"/>
      <c r="BK700" s="52"/>
      <c r="BL700" s="52"/>
      <c r="BM700" s="54"/>
    </row>
    <row r="701">
      <c r="A701" s="42"/>
      <c r="B701" s="52"/>
      <c r="C701" s="52"/>
      <c r="D701" s="52"/>
      <c r="E701" s="52"/>
      <c r="F701" s="81"/>
      <c r="G701" s="57"/>
      <c r="H701" s="48"/>
      <c r="I701" s="77"/>
      <c r="J701" s="62"/>
      <c r="K701" s="52"/>
      <c r="L701" s="52"/>
      <c r="M701" s="76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62"/>
      <c r="AB701" s="52"/>
      <c r="AC701" s="52"/>
      <c r="AD701" s="52"/>
      <c r="AE701" s="52"/>
      <c r="AF701" s="52"/>
      <c r="AG701" s="52"/>
      <c r="AH701" s="48"/>
      <c r="AI701" s="48"/>
      <c r="AJ701" s="48"/>
      <c r="AK701" s="53"/>
      <c r="AL701" s="53"/>
      <c r="AM701" s="53"/>
      <c r="AN701" s="53"/>
      <c r="AO701" s="53"/>
      <c r="AP701" s="53"/>
      <c r="AQ701" s="53"/>
      <c r="AR701" s="53"/>
      <c r="AS701" s="53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52"/>
      <c r="BG701" s="52"/>
      <c r="BH701" s="52"/>
      <c r="BI701" s="52"/>
      <c r="BJ701" s="52"/>
      <c r="BK701" s="52"/>
      <c r="BL701" s="52"/>
      <c r="BM701" s="54"/>
    </row>
    <row r="702">
      <c r="A702" s="42"/>
      <c r="B702" s="52"/>
      <c r="C702" s="52"/>
      <c r="D702" s="52"/>
      <c r="E702" s="52"/>
      <c r="F702" s="81"/>
      <c r="G702" s="57"/>
      <c r="H702" s="48"/>
      <c r="I702" s="77"/>
      <c r="J702" s="62"/>
      <c r="K702" s="52"/>
      <c r="L702" s="52"/>
      <c r="M702" s="76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62"/>
      <c r="AB702" s="52"/>
      <c r="AC702" s="52"/>
      <c r="AD702" s="52"/>
      <c r="AE702" s="52"/>
      <c r="AF702" s="52"/>
      <c r="AG702" s="52"/>
      <c r="AH702" s="48"/>
      <c r="AI702" s="48"/>
      <c r="AJ702" s="48"/>
      <c r="AK702" s="53"/>
      <c r="AL702" s="53"/>
      <c r="AM702" s="53"/>
      <c r="AN702" s="53"/>
      <c r="AO702" s="53"/>
      <c r="AP702" s="53"/>
      <c r="AQ702" s="53"/>
      <c r="AR702" s="53"/>
      <c r="AS702" s="53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52"/>
      <c r="BG702" s="52"/>
      <c r="BH702" s="52"/>
      <c r="BI702" s="52"/>
      <c r="BJ702" s="52"/>
      <c r="BK702" s="52"/>
      <c r="BL702" s="52"/>
      <c r="BM702" s="54"/>
    </row>
    <row r="703">
      <c r="A703" s="42"/>
      <c r="B703" s="52"/>
      <c r="C703" s="52"/>
      <c r="D703" s="52"/>
      <c r="E703" s="52"/>
      <c r="F703" s="81"/>
      <c r="G703" s="57"/>
      <c r="H703" s="48"/>
      <c r="I703" s="77"/>
      <c r="J703" s="62"/>
      <c r="K703" s="52"/>
      <c r="L703" s="52"/>
      <c r="M703" s="76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62"/>
      <c r="AB703" s="52"/>
      <c r="AC703" s="52"/>
      <c r="AD703" s="52"/>
      <c r="AE703" s="52"/>
      <c r="AF703" s="52"/>
      <c r="AG703" s="52"/>
      <c r="AH703" s="48"/>
      <c r="AI703" s="48"/>
      <c r="AJ703" s="48"/>
      <c r="AK703" s="53"/>
      <c r="AL703" s="53"/>
      <c r="AM703" s="53"/>
      <c r="AN703" s="53"/>
      <c r="AO703" s="53"/>
      <c r="AP703" s="53"/>
      <c r="AQ703" s="53"/>
      <c r="AR703" s="53"/>
      <c r="AS703" s="53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52"/>
      <c r="BG703" s="52"/>
      <c r="BH703" s="52"/>
      <c r="BI703" s="52"/>
      <c r="BJ703" s="52"/>
      <c r="BK703" s="52"/>
      <c r="BL703" s="52"/>
      <c r="BM703" s="54"/>
    </row>
    <row r="704">
      <c r="A704" s="42"/>
      <c r="B704" s="52"/>
      <c r="C704" s="52"/>
      <c r="D704" s="52"/>
      <c r="E704" s="52"/>
      <c r="F704" s="81"/>
      <c r="G704" s="57"/>
      <c r="H704" s="48"/>
      <c r="I704" s="77"/>
      <c r="J704" s="62"/>
      <c r="K704" s="52"/>
      <c r="L704" s="52"/>
      <c r="M704" s="76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62"/>
      <c r="AB704" s="52"/>
      <c r="AC704" s="52"/>
      <c r="AD704" s="52"/>
      <c r="AE704" s="52"/>
      <c r="AF704" s="52"/>
      <c r="AG704" s="52"/>
      <c r="AH704" s="48"/>
      <c r="AI704" s="48"/>
      <c r="AJ704" s="48"/>
      <c r="AK704" s="53"/>
      <c r="AL704" s="53"/>
      <c r="AM704" s="53"/>
      <c r="AN704" s="53"/>
      <c r="AO704" s="53"/>
      <c r="AP704" s="53"/>
      <c r="AQ704" s="53"/>
      <c r="AR704" s="53"/>
      <c r="AS704" s="53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52"/>
      <c r="BG704" s="52"/>
      <c r="BH704" s="52"/>
      <c r="BI704" s="52"/>
      <c r="BJ704" s="52"/>
      <c r="BK704" s="52"/>
      <c r="BL704" s="52"/>
      <c r="BM704" s="54"/>
    </row>
    <row r="705">
      <c r="A705" s="42"/>
      <c r="B705" s="52"/>
      <c r="C705" s="52"/>
      <c r="D705" s="52"/>
      <c r="E705" s="52"/>
      <c r="F705" s="81"/>
      <c r="G705" s="57"/>
      <c r="H705" s="48"/>
      <c r="I705" s="77"/>
      <c r="J705" s="62"/>
      <c r="K705" s="52"/>
      <c r="L705" s="52"/>
      <c r="M705" s="76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62"/>
      <c r="AB705" s="52"/>
      <c r="AC705" s="52"/>
      <c r="AD705" s="52"/>
      <c r="AE705" s="52"/>
      <c r="AF705" s="52"/>
      <c r="AG705" s="52"/>
      <c r="AH705" s="48"/>
      <c r="AI705" s="48"/>
      <c r="AJ705" s="48"/>
      <c r="AK705" s="53"/>
      <c r="AL705" s="53"/>
      <c r="AM705" s="53"/>
      <c r="AN705" s="53"/>
      <c r="AO705" s="53"/>
      <c r="AP705" s="53"/>
      <c r="AQ705" s="53"/>
      <c r="AR705" s="53"/>
      <c r="AS705" s="53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52"/>
      <c r="BG705" s="52"/>
      <c r="BH705" s="52"/>
      <c r="BI705" s="52"/>
      <c r="BJ705" s="52"/>
      <c r="BK705" s="52"/>
      <c r="BL705" s="52"/>
      <c r="BM705" s="54"/>
    </row>
    <row r="706">
      <c r="A706" s="42"/>
      <c r="B706" s="52"/>
      <c r="C706" s="52"/>
      <c r="D706" s="52"/>
      <c r="E706" s="52"/>
      <c r="F706" s="81"/>
      <c r="G706" s="57"/>
      <c r="H706" s="48"/>
      <c r="I706" s="77"/>
      <c r="J706" s="62"/>
      <c r="K706" s="52"/>
      <c r="L706" s="52"/>
      <c r="M706" s="76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62"/>
      <c r="AB706" s="52"/>
      <c r="AC706" s="52"/>
      <c r="AD706" s="52"/>
      <c r="AE706" s="52"/>
      <c r="AF706" s="52"/>
      <c r="AG706" s="52"/>
      <c r="AH706" s="48"/>
      <c r="AI706" s="48"/>
      <c r="AJ706" s="48"/>
      <c r="AK706" s="53"/>
      <c r="AL706" s="53"/>
      <c r="AM706" s="53"/>
      <c r="AN706" s="53"/>
      <c r="AO706" s="53"/>
      <c r="AP706" s="53"/>
      <c r="AQ706" s="53"/>
      <c r="AR706" s="53"/>
      <c r="AS706" s="53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52"/>
      <c r="BG706" s="52"/>
      <c r="BH706" s="52"/>
      <c r="BI706" s="52"/>
      <c r="BJ706" s="52"/>
      <c r="BK706" s="52"/>
      <c r="BL706" s="52"/>
      <c r="BM706" s="54"/>
    </row>
    <row r="707">
      <c r="A707" s="42"/>
      <c r="B707" s="52"/>
      <c r="C707" s="52"/>
      <c r="D707" s="52"/>
      <c r="E707" s="52"/>
      <c r="F707" s="81"/>
      <c r="G707" s="57"/>
      <c r="H707" s="48"/>
      <c r="I707" s="77"/>
      <c r="J707" s="62"/>
      <c r="K707" s="52"/>
      <c r="L707" s="52"/>
      <c r="M707" s="76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62"/>
      <c r="AB707" s="52"/>
      <c r="AC707" s="52"/>
      <c r="AD707" s="52"/>
      <c r="AE707" s="52"/>
      <c r="AF707" s="52"/>
      <c r="AG707" s="52"/>
      <c r="AH707" s="48"/>
      <c r="AI707" s="48"/>
      <c r="AJ707" s="48"/>
      <c r="AK707" s="53"/>
      <c r="AL707" s="53"/>
      <c r="AM707" s="53"/>
      <c r="AN707" s="53"/>
      <c r="AO707" s="53"/>
      <c r="AP707" s="53"/>
      <c r="AQ707" s="53"/>
      <c r="AR707" s="53"/>
      <c r="AS707" s="53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52"/>
      <c r="BG707" s="52"/>
      <c r="BH707" s="52"/>
      <c r="BI707" s="52"/>
      <c r="BJ707" s="52"/>
      <c r="BK707" s="52"/>
      <c r="BL707" s="52"/>
      <c r="BM707" s="54"/>
    </row>
    <row r="708">
      <c r="A708" s="42"/>
      <c r="B708" s="52"/>
      <c r="C708" s="52"/>
      <c r="D708" s="52"/>
      <c r="E708" s="52"/>
      <c r="F708" s="81"/>
      <c r="G708" s="57"/>
      <c r="H708" s="48"/>
      <c r="I708" s="77"/>
      <c r="J708" s="62"/>
      <c r="K708" s="52"/>
      <c r="L708" s="52"/>
      <c r="M708" s="76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62"/>
      <c r="AB708" s="52"/>
      <c r="AC708" s="52"/>
      <c r="AD708" s="52"/>
      <c r="AE708" s="52"/>
      <c r="AF708" s="52"/>
      <c r="AG708" s="52"/>
      <c r="AH708" s="48"/>
      <c r="AI708" s="48"/>
      <c r="AJ708" s="48"/>
      <c r="AK708" s="53"/>
      <c r="AL708" s="53"/>
      <c r="AM708" s="53"/>
      <c r="AN708" s="53"/>
      <c r="AO708" s="53"/>
      <c r="AP708" s="53"/>
      <c r="AQ708" s="53"/>
      <c r="AR708" s="53"/>
      <c r="AS708" s="53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52"/>
      <c r="BG708" s="52"/>
      <c r="BH708" s="52"/>
      <c r="BI708" s="52"/>
      <c r="BJ708" s="52"/>
      <c r="BK708" s="52"/>
      <c r="BL708" s="52"/>
      <c r="BM708" s="54"/>
    </row>
    <row r="709">
      <c r="A709" s="42"/>
      <c r="B709" s="52"/>
      <c r="C709" s="52"/>
      <c r="D709" s="52"/>
      <c r="E709" s="52"/>
      <c r="F709" s="81"/>
      <c r="G709" s="57"/>
      <c r="H709" s="48"/>
      <c r="I709" s="77"/>
      <c r="J709" s="62"/>
      <c r="K709" s="52"/>
      <c r="L709" s="52"/>
      <c r="M709" s="76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62"/>
      <c r="AB709" s="52"/>
      <c r="AC709" s="52"/>
      <c r="AD709" s="52"/>
      <c r="AE709" s="52"/>
      <c r="AF709" s="52"/>
      <c r="AG709" s="52"/>
      <c r="AH709" s="48"/>
      <c r="AI709" s="48"/>
      <c r="AJ709" s="48"/>
      <c r="AK709" s="53"/>
      <c r="AL709" s="53"/>
      <c r="AM709" s="53"/>
      <c r="AN709" s="53"/>
      <c r="AO709" s="53"/>
      <c r="AP709" s="53"/>
      <c r="AQ709" s="53"/>
      <c r="AR709" s="53"/>
      <c r="AS709" s="53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52"/>
      <c r="BG709" s="52"/>
      <c r="BH709" s="52"/>
      <c r="BI709" s="52"/>
      <c r="BJ709" s="52"/>
      <c r="BK709" s="52"/>
      <c r="BL709" s="52"/>
      <c r="BM709" s="54"/>
    </row>
    <row r="710">
      <c r="A710" s="42"/>
      <c r="B710" s="52"/>
      <c r="C710" s="52"/>
      <c r="D710" s="52"/>
      <c r="E710" s="52"/>
      <c r="F710" s="81"/>
      <c r="G710" s="57"/>
      <c r="H710" s="48"/>
      <c r="I710" s="77"/>
      <c r="J710" s="62"/>
      <c r="K710" s="52"/>
      <c r="L710" s="52"/>
      <c r="M710" s="76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62"/>
      <c r="AB710" s="52"/>
      <c r="AC710" s="52"/>
      <c r="AD710" s="52"/>
      <c r="AE710" s="52"/>
      <c r="AF710" s="52"/>
      <c r="AG710" s="52"/>
      <c r="AH710" s="48"/>
      <c r="AI710" s="48"/>
      <c r="AJ710" s="48"/>
      <c r="AK710" s="53"/>
      <c r="AL710" s="53"/>
      <c r="AM710" s="53"/>
      <c r="AN710" s="53"/>
      <c r="AO710" s="53"/>
      <c r="AP710" s="53"/>
      <c r="AQ710" s="53"/>
      <c r="AR710" s="53"/>
      <c r="AS710" s="53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52"/>
      <c r="BG710" s="52"/>
      <c r="BH710" s="52"/>
      <c r="BI710" s="52"/>
      <c r="BJ710" s="52"/>
      <c r="BK710" s="52"/>
      <c r="BL710" s="52"/>
      <c r="BM710" s="54"/>
    </row>
    <row r="711">
      <c r="A711" s="42"/>
      <c r="B711" s="52"/>
      <c r="C711" s="52"/>
      <c r="D711" s="52"/>
      <c r="E711" s="52"/>
      <c r="F711" s="81"/>
      <c r="G711" s="57"/>
      <c r="H711" s="48"/>
      <c r="I711" s="77"/>
      <c r="J711" s="62"/>
      <c r="K711" s="52"/>
      <c r="L711" s="52"/>
      <c r="M711" s="76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62"/>
      <c r="AB711" s="52"/>
      <c r="AC711" s="52"/>
      <c r="AD711" s="52"/>
      <c r="AE711" s="52"/>
      <c r="AF711" s="52"/>
      <c r="AG711" s="52"/>
      <c r="AH711" s="48"/>
      <c r="AI711" s="48"/>
      <c r="AJ711" s="48"/>
      <c r="AK711" s="53"/>
      <c r="AL711" s="53"/>
      <c r="AM711" s="53"/>
      <c r="AN711" s="53"/>
      <c r="AO711" s="53"/>
      <c r="AP711" s="53"/>
      <c r="AQ711" s="53"/>
      <c r="AR711" s="53"/>
      <c r="AS711" s="53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52"/>
      <c r="BG711" s="52"/>
      <c r="BH711" s="52"/>
      <c r="BI711" s="52"/>
      <c r="BJ711" s="52"/>
      <c r="BK711" s="52"/>
      <c r="BL711" s="52"/>
      <c r="BM711" s="54"/>
    </row>
    <row r="712">
      <c r="A712" s="42"/>
      <c r="B712" s="52"/>
      <c r="C712" s="52"/>
      <c r="D712" s="52"/>
      <c r="E712" s="52"/>
      <c r="F712" s="81"/>
      <c r="G712" s="57"/>
      <c r="H712" s="48"/>
      <c r="I712" s="77"/>
      <c r="J712" s="62"/>
      <c r="K712" s="52"/>
      <c r="L712" s="52"/>
      <c r="M712" s="76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62"/>
      <c r="AB712" s="52"/>
      <c r="AC712" s="52"/>
      <c r="AD712" s="52"/>
      <c r="AE712" s="52"/>
      <c r="AF712" s="52"/>
      <c r="AG712" s="52"/>
      <c r="AH712" s="48"/>
      <c r="AI712" s="48"/>
      <c r="AJ712" s="48"/>
      <c r="AK712" s="53"/>
      <c r="AL712" s="53"/>
      <c r="AM712" s="53"/>
      <c r="AN712" s="53"/>
      <c r="AO712" s="53"/>
      <c r="AP712" s="53"/>
      <c r="AQ712" s="53"/>
      <c r="AR712" s="53"/>
      <c r="AS712" s="53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52"/>
      <c r="BG712" s="52"/>
      <c r="BH712" s="52"/>
      <c r="BI712" s="52"/>
      <c r="BJ712" s="52"/>
      <c r="BK712" s="52"/>
      <c r="BL712" s="52"/>
      <c r="BM712" s="54"/>
    </row>
    <row r="713">
      <c r="A713" s="42"/>
      <c r="B713" s="52"/>
      <c r="C713" s="52"/>
      <c r="D713" s="52"/>
      <c r="E713" s="52"/>
      <c r="F713" s="81"/>
      <c r="G713" s="57"/>
      <c r="H713" s="48"/>
      <c r="I713" s="77"/>
      <c r="J713" s="62"/>
      <c r="K713" s="52"/>
      <c r="L713" s="52"/>
      <c r="M713" s="76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62"/>
      <c r="AB713" s="52"/>
      <c r="AC713" s="52"/>
      <c r="AD713" s="52"/>
      <c r="AE713" s="52"/>
      <c r="AF713" s="52"/>
      <c r="AG713" s="52"/>
      <c r="AH713" s="48"/>
      <c r="AI713" s="48"/>
      <c r="AJ713" s="48"/>
      <c r="AK713" s="53"/>
      <c r="AL713" s="53"/>
      <c r="AM713" s="53"/>
      <c r="AN713" s="53"/>
      <c r="AO713" s="53"/>
      <c r="AP713" s="53"/>
      <c r="AQ713" s="53"/>
      <c r="AR713" s="53"/>
      <c r="AS713" s="53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52"/>
      <c r="BG713" s="52"/>
      <c r="BH713" s="52"/>
      <c r="BI713" s="52"/>
      <c r="BJ713" s="52"/>
      <c r="BK713" s="52"/>
      <c r="BL713" s="52"/>
      <c r="BM713" s="54"/>
    </row>
    <row r="714">
      <c r="A714" s="42"/>
      <c r="B714" s="52"/>
      <c r="C714" s="52"/>
      <c r="D714" s="52"/>
      <c r="E714" s="52"/>
      <c r="F714" s="81"/>
      <c r="G714" s="57"/>
      <c r="H714" s="48"/>
      <c r="I714" s="77"/>
      <c r="J714" s="62"/>
      <c r="K714" s="52"/>
      <c r="L714" s="52"/>
      <c r="M714" s="76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62"/>
      <c r="AB714" s="52"/>
      <c r="AC714" s="52"/>
      <c r="AD714" s="52"/>
      <c r="AE714" s="52"/>
      <c r="AF714" s="52"/>
      <c r="AG714" s="52"/>
      <c r="AH714" s="48"/>
      <c r="AI714" s="48"/>
      <c r="AJ714" s="48"/>
      <c r="AK714" s="53"/>
      <c r="AL714" s="53"/>
      <c r="AM714" s="53"/>
      <c r="AN714" s="53"/>
      <c r="AO714" s="53"/>
      <c r="AP714" s="53"/>
      <c r="AQ714" s="53"/>
      <c r="AR714" s="53"/>
      <c r="AS714" s="53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52"/>
      <c r="BG714" s="52"/>
      <c r="BH714" s="52"/>
      <c r="BI714" s="52"/>
      <c r="BJ714" s="52"/>
      <c r="BK714" s="52"/>
      <c r="BL714" s="52"/>
      <c r="BM714" s="54"/>
    </row>
    <row r="715">
      <c r="A715" s="42"/>
      <c r="B715" s="52"/>
      <c r="C715" s="52"/>
      <c r="D715" s="52"/>
      <c r="E715" s="52"/>
      <c r="F715" s="81"/>
      <c r="G715" s="57"/>
      <c r="H715" s="48"/>
      <c r="I715" s="77"/>
      <c r="J715" s="62"/>
      <c r="K715" s="52"/>
      <c r="L715" s="52"/>
      <c r="M715" s="76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62"/>
      <c r="AB715" s="52"/>
      <c r="AC715" s="52"/>
      <c r="AD715" s="52"/>
      <c r="AE715" s="52"/>
      <c r="AF715" s="52"/>
      <c r="AG715" s="52"/>
      <c r="AH715" s="48"/>
      <c r="AI715" s="48"/>
      <c r="AJ715" s="48"/>
      <c r="AK715" s="53"/>
      <c r="AL715" s="53"/>
      <c r="AM715" s="53"/>
      <c r="AN715" s="53"/>
      <c r="AO715" s="53"/>
      <c r="AP715" s="53"/>
      <c r="AQ715" s="53"/>
      <c r="AR715" s="53"/>
      <c r="AS715" s="53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52"/>
      <c r="BG715" s="52"/>
      <c r="BH715" s="52"/>
      <c r="BI715" s="52"/>
      <c r="BJ715" s="52"/>
      <c r="BK715" s="52"/>
      <c r="BL715" s="52"/>
      <c r="BM715" s="54"/>
    </row>
    <row r="716">
      <c r="A716" s="42"/>
      <c r="B716" s="52"/>
      <c r="C716" s="52"/>
      <c r="D716" s="52"/>
      <c r="E716" s="52"/>
      <c r="F716" s="81"/>
      <c r="G716" s="57"/>
      <c r="H716" s="48"/>
      <c r="I716" s="77"/>
      <c r="J716" s="62"/>
      <c r="K716" s="52"/>
      <c r="L716" s="52"/>
      <c r="M716" s="76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62"/>
      <c r="AB716" s="52"/>
      <c r="AC716" s="52"/>
      <c r="AD716" s="52"/>
      <c r="AE716" s="52"/>
      <c r="AF716" s="52"/>
      <c r="AG716" s="52"/>
      <c r="AH716" s="48"/>
      <c r="AI716" s="48"/>
      <c r="AJ716" s="48"/>
      <c r="AK716" s="53"/>
      <c r="AL716" s="53"/>
      <c r="AM716" s="53"/>
      <c r="AN716" s="53"/>
      <c r="AO716" s="53"/>
      <c r="AP716" s="53"/>
      <c r="AQ716" s="53"/>
      <c r="AR716" s="53"/>
      <c r="AS716" s="53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52"/>
      <c r="BG716" s="52"/>
      <c r="BH716" s="52"/>
      <c r="BI716" s="52"/>
      <c r="BJ716" s="52"/>
      <c r="BK716" s="52"/>
      <c r="BL716" s="52"/>
      <c r="BM716" s="54"/>
    </row>
    <row r="717">
      <c r="A717" s="42"/>
      <c r="B717" s="52"/>
      <c r="C717" s="52"/>
      <c r="D717" s="52"/>
      <c r="E717" s="52"/>
      <c r="F717" s="81"/>
      <c r="G717" s="57"/>
      <c r="H717" s="48"/>
      <c r="I717" s="77"/>
      <c r="J717" s="62"/>
      <c r="K717" s="52"/>
      <c r="L717" s="52"/>
      <c r="M717" s="76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62"/>
      <c r="AB717" s="52"/>
      <c r="AC717" s="52"/>
      <c r="AD717" s="52"/>
      <c r="AE717" s="52"/>
      <c r="AF717" s="52"/>
      <c r="AG717" s="52"/>
      <c r="AH717" s="48"/>
      <c r="AI717" s="48"/>
      <c r="AJ717" s="48"/>
      <c r="AK717" s="53"/>
      <c r="AL717" s="53"/>
      <c r="AM717" s="53"/>
      <c r="AN717" s="53"/>
      <c r="AO717" s="53"/>
      <c r="AP717" s="53"/>
      <c r="AQ717" s="53"/>
      <c r="AR717" s="53"/>
      <c r="AS717" s="53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52"/>
      <c r="BG717" s="52"/>
      <c r="BH717" s="52"/>
      <c r="BI717" s="52"/>
      <c r="BJ717" s="52"/>
      <c r="BK717" s="52"/>
      <c r="BL717" s="52"/>
      <c r="BM717" s="54"/>
    </row>
    <row r="718">
      <c r="A718" s="42"/>
      <c r="B718" s="52"/>
      <c r="C718" s="52"/>
      <c r="D718" s="52"/>
      <c r="E718" s="52"/>
      <c r="F718" s="81"/>
      <c r="G718" s="57"/>
      <c r="H718" s="48"/>
      <c r="I718" s="77"/>
      <c r="J718" s="62"/>
      <c r="K718" s="52"/>
      <c r="L718" s="52"/>
      <c r="M718" s="76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62"/>
      <c r="AB718" s="52"/>
      <c r="AC718" s="52"/>
      <c r="AD718" s="52"/>
      <c r="AE718" s="52"/>
      <c r="AF718" s="52"/>
      <c r="AG718" s="52"/>
      <c r="AH718" s="48"/>
      <c r="AI718" s="48"/>
      <c r="AJ718" s="48"/>
      <c r="AK718" s="53"/>
      <c r="AL718" s="53"/>
      <c r="AM718" s="53"/>
      <c r="AN718" s="53"/>
      <c r="AO718" s="53"/>
      <c r="AP718" s="53"/>
      <c r="AQ718" s="53"/>
      <c r="AR718" s="53"/>
      <c r="AS718" s="53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52"/>
      <c r="BG718" s="52"/>
      <c r="BH718" s="52"/>
      <c r="BI718" s="52"/>
      <c r="BJ718" s="52"/>
      <c r="BK718" s="52"/>
      <c r="BL718" s="52"/>
      <c r="BM718" s="54"/>
    </row>
    <row r="719">
      <c r="A719" s="42"/>
      <c r="B719" s="52"/>
      <c r="C719" s="52"/>
      <c r="D719" s="52"/>
      <c r="E719" s="52"/>
      <c r="F719" s="81"/>
      <c r="G719" s="57"/>
      <c r="H719" s="48"/>
      <c r="I719" s="77"/>
      <c r="J719" s="62"/>
      <c r="K719" s="52"/>
      <c r="L719" s="52"/>
      <c r="M719" s="76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62"/>
      <c r="AB719" s="52"/>
      <c r="AC719" s="52"/>
      <c r="AD719" s="52"/>
      <c r="AE719" s="52"/>
      <c r="AF719" s="52"/>
      <c r="AG719" s="52"/>
      <c r="AH719" s="48"/>
      <c r="AI719" s="48"/>
      <c r="AJ719" s="48"/>
      <c r="AK719" s="53"/>
      <c r="AL719" s="53"/>
      <c r="AM719" s="53"/>
      <c r="AN719" s="53"/>
      <c r="AO719" s="53"/>
      <c r="AP719" s="53"/>
      <c r="AQ719" s="53"/>
      <c r="AR719" s="53"/>
      <c r="AS719" s="53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52"/>
      <c r="BG719" s="52"/>
      <c r="BH719" s="52"/>
      <c r="BI719" s="52"/>
      <c r="BJ719" s="52"/>
      <c r="BK719" s="52"/>
      <c r="BL719" s="52"/>
      <c r="BM719" s="54"/>
    </row>
    <row r="720">
      <c r="A720" s="42"/>
      <c r="B720" s="52"/>
      <c r="C720" s="52"/>
      <c r="D720" s="52"/>
      <c r="E720" s="52"/>
      <c r="F720" s="81"/>
      <c r="G720" s="57"/>
      <c r="H720" s="48"/>
      <c r="I720" s="77"/>
      <c r="J720" s="62"/>
      <c r="K720" s="52"/>
      <c r="L720" s="52"/>
      <c r="M720" s="76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62"/>
      <c r="AB720" s="52"/>
      <c r="AC720" s="52"/>
      <c r="AD720" s="52"/>
      <c r="AE720" s="52"/>
      <c r="AF720" s="52"/>
      <c r="AG720" s="52"/>
      <c r="AH720" s="48"/>
      <c r="AI720" s="48"/>
      <c r="AJ720" s="48"/>
      <c r="AK720" s="53"/>
      <c r="AL720" s="53"/>
      <c r="AM720" s="53"/>
      <c r="AN720" s="53"/>
      <c r="AO720" s="53"/>
      <c r="AP720" s="53"/>
      <c r="AQ720" s="53"/>
      <c r="AR720" s="53"/>
      <c r="AS720" s="53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52"/>
      <c r="BG720" s="52"/>
      <c r="BH720" s="52"/>
      <c r="BI720" s="52"/>
      <c r="BJ720" s="52"/>
      <c r="BK720" s="52"/>
      <c r="BL720" s="52"/>
      <c r="BM720" s="54"/>
    </row>
    <row r="721">
      <c r="A721" s="42"/>
      <c r="B721" s="52"/>
      <c r="C721" s="52"/>
      <c r="D721" s="52"/>
      <c r="E721" s="52"/>
      <c r="F721" s="81"/>
      <c r="G721" s="57"/>
      <c r="H721" s="48"/>
      <c r="I721" s="77"/>
      <c r="J721" s="62"/>
      <c r="K721" s="52"/>
      <c r="L721" s="52"/>
      <c r="M721" s="76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62"/>
      <c r="AB721" s="52"/>
      <c r="AC721" s="52"/>
      <c r="AD721" s="52"/>
      <c r="AE721" s="52"/>
      <c r="AF721" s="52"/>
      <c r="AG721" s="52"/>
      <c r="AH721" s="48"/>
      <c r="AI721" s="48"/>
      <c r="AJ721" s="48"/>
      <c r="AK721" s="53"/>
      <c r="AL721" s="53"/>
      <c r="AM721" s="53"/>
      <c r="AN721" s="53"/>
      <c r="AO721" s="53"/>
      <c r="AP721" s="53"/>
      <c r="AQ721" s="53"/>
      <c r="AR721" s="53"/>
      <c r="AS721" s="53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52"/>
      <c r="BG721" s="52"/>
      <c r="BH721" s="52"/>
      <c r="BI721" s="52"/>
      <c r="BJ721" s="52"/>
      <c r="BK721" s="52"/>
      <c r="BL721" s="52"/>
      <c r="BM721" s="54"/>
    </row>
    <row r="722">
      <c r="A722" s="42"/>
      <c r="B722" s="52"/>
      <c r="C722" s="52"/>
      <c r="D722" s="52"/>
      <c r="E722" s="52"/>
      <c r="F722" s="81"/>
      <c r="G722" s="57"/>
      <c r="H722" s="48"/>
      <c r="I722" s="77"/>
      <c r="J722" s="62"/>
      <c r="K722" s="52"/>
      <c r="L722" s="52"/>
      <c r="M722" s="76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62"/>
      <c r="AB722" s="52"/>
      <c r="AC722" s="52"/>
      <c r="AD722" s="52"/>
      <c r="AE722" s="52"/>
      <c r="AF722" s="52"/>
      <c r="AG722" s="52"/>
      <c r="AH722" s="48"/>
      <c r="AI722" s="48"/>
      <c r="AJ722" s="48"/>
      <c r="AK722" s="53"/>
      <c r="AL722" s="53"/>
      <c r="AM722" s="53"/>
      <c r="AN722" s="53"/>
      <c r="AO722" s="53"/>
      <c r="AP722" s="53"/>
      <c r="AQ722" s="53"/>
      <c r="AR722" s="53"/>
      <c r="AS722" s="53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52"/>
      <c r="BG722" s="52"/>
      <c r="BH722" s="52"/>
      <c r="BI722" s="52"/>
      <c r="BJ722" s="52"/>
      <c r="BK722" s="52"/>
      <c r="BL722" s="52"/>
      <c r="BM722" s="54"/>
    </row>
    <row r="723">
      <c r="A723" s="42"/>
      <c r="B723" s="52"/>
      <c r="C723" s="52"/>
      <c r="D723" s="52"/>
      <c r="E723" s="52"/>
      <c r="F723" s="81"/>
      <c r="G723" s="57"/>
      <c r="H723" s="48"/>
      <c r="I723" s="77"/>
      <c r="J723" s="62"/>
      <c r="K723" s="52"/>
      <c r="L723" s="52"/>
      <c r="M723" s="76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62"/>
      <c r="AB723" s="52"/>
      <c r="AC723" s="52"/>
      <c r="AD723" s="52"/>
      <c r="AE723" s="52"/>
      <c r="AF723" s="52"/>
      <c r="AG723" s="52"/>
      <c r="AH723" s="48"/>
      <c r="AI723" s="48"/>
      <c r="AJ723" s="48"/>
      <c r="AK723" s="53"/>
      <c r="AL723" s="53"/>
      <c r="AM723" s="53"/>
      <c r="AN723" s="53"/>
      <c r="AO723" s="53"/>
      <c r="AP723" s="53"/>
      <c r="AQ723" s="53"/>
      <c r="AR723" s="53"/>
      <c r="AS723" s="53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52"/>
      <c r="BG723" s="52"/>
      <c r="BH723" s="52"/>
      <c r="BI723" s="52"/>
      <c r="BJ723" s="52"/>
      <c r="BK723" s="52"/>
      <c r="BL723" s="52"/>
      <c r="BM723" s="54"/>
    </row>
    <row r="724">
      <c r="A724" s="42"/>
      <c r="B724" s="52"/>
      <c r="C724" s="52"/>
      <c r="D724" s="52"/>
      <c r="E724" s="52"/>
      <c r="F724" s="81"/>
      <c r="G724" s="57"/>
      <c r="H724" s="48"/>
      <c r="I724" s="77"/>
      <c r="J724" s="62"/>
      <c r="K724" s="52"/>
      <c r="L724" s="52"/>
      <c r="M724" s="76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62"/>
      <c r="AB724" s="52"/>
      <c r="AC724" s="52"/>
      <c r="AD724" s="52"/>
      <c r="AE724" s="52"/>
      <c r="AF724" s="52"/>
      <c r="AG724" s="52"/>
      <c r="AH724" s="48"/>
      <c r="AI724" s="48"/>
      <c r="AJ724" s="48"/>
      <c r="AK724" s="53"/>
      <c r="AL724" s="53"/>
      <c r="AM724" s="53"/>
      <c r="AN724" s="53"/>
      <c r="AO724" s="53"/>
      <c r="AP724" s="53"/>
      <c r="AQ724" s="53"/>
      <c r="AR724" s="53"/>
      <c r="AS724" s="53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52"/>
      <c r="BG724" s="52"/>
      <c r="BH724" s="52"/>
      <c r="BI724" s="52"/>
      <c r="BJ724" s="52"/>
      <c r="BK724" s="52"/>
      <c r="BL724" s="52"/>
      <c r="BM724" s="54"/>
    </row>
    <row r="725">
      <c r="A725" s="42"/>
      <c r="B725" s="52"/>
      <c r="C725" s="52"/>
      <c r="D725" s="52"/>
      <c r="E725" s="52"/>
      <c r="F725" s="81"/>
      <c r="G725" s="57"/>
      <c r="H725" s="48"/>
      <c r="I725" s="77"/>
      <c r="J725" s="62"/>
      <c r="K725" s="52"/>
      <c r="L725" s="52"/>
      <c r="M725" s="76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62"/>
      <c r="AB725" s="52"/>
      <c r="AC725" s="52"/>
      <c r="AD725" s="52"/>
      <c r="AE725" s="52"/>
      <c r="AF725" s="52"/>
      <c r="AG725" s="52"/>
      <c r="AH725" s="48"/>
      <c r="AI725" s="48"/>
      <c r="AJ725" s="48"/>
      <c r="AK725" s="53"/>
      <c r="AL725" s="53"/>
      <c r="AM725" s="53"/>
      <c r="AN725" s="53"/>
      <c r="AO725" s="53"/>
      <c r="AP725" s="53"/>
      <c r="AQ725" s="53"/>
      <c r="AR725" s="53"/>
      <c r="AS725" s="53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52"/>
      <c r="BG725" s="52"/>
      <c r="BH725" s="52"/>
      <c r="BI725" s="52"/>
      <c r="BJ725" s="52"/>
      <c r="BK725" s="52"/>
      <c r="BL725" s="52"/>
      <c r="BM725" s="54"/>
    </row>
    <row r="726">
      <c r="A726" s="42"/>
      <c r="B726" s="52"/>
      <c r="C726" s="52"/>
      <c r="D726" s="52"/>
      <c r="E726" s="52"/>
      <c r="F726" s="81"/>
      <c r="G726" s="57"/>
      <c r="H726" s="48"/>
      <c r="I726" s="77"/>
      <c r="J726" s="62"/>
      <c r="K726" s="52"/>
      <c r="L726" s="52"/>
      <c r="M726" s="76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62"/>
      <c r="AB726" s="52"/>
      <c r="AC726" s="52"/>
      <c r="AD726" s="52"/>
      <c r="AE726" s="52"/>
      <c r="AF726" s="52"/>
      <c r="AG726" s="52"/>
      <c r="AH726" s="48"/>
      <c r="AI726" s="48"/>
      <c r="AJ726" s="48"/>
      <c r="AK726" s="53"/>
      <c r="AL726" s="53"/>
      <c r="AM726" s="53"/>
      <c r="AN726" s="53"/>
      <c r="AO726" s="53"/>
      <c r="AP726" s="53"/>
      <c r="AQ726" s="53"/>
      <c r="AR726" s="53"/>
      <c r="AS726" s="53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52"/>
      <c r="BG726" s="52"/>
      <c r="BH726" s="52"/>
      <c r="BI726" s="52"/>
      <c r="BJ726" s="52"/>
      <c r="BK726" s="52"/>
      <c r="BL726" s="52"/>
      <c r="BM726" s="54"/>
    </row>
    <row r="727">
      <c r="A727" s="42"/>
      <c r="B727" s="52"/>
      <c r="C727" s="52"/>
      <c r="D727" s="52"/>
      <c r="E727" s="52"/>
      <c r="F727" s="81"/>
      <c r="G727" s="57"/>
      <c r="H727" s="48"/>
      <c r="I727" s="77"/>
      <c r="J727" s="62"/>
      <c r="K727" s="52"/>
      <c r="L727" s="52"/>
      <c r="M727" s="76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62"/>
      <c r="AB727" s="52"/>
      <c r="AC727" s="52"/>
      <c r="AD727" s="52"/>
      <c r="AE727" s="52"/>
      <c r="AF727" s="52"/>
      <c r="AG727" s="52"/>
      <c r="AH727" s="48"/>
      <c r="AI727" s="48"/>
      <c r="AJ727" s="48"/>
      <c r="AK727" s="53"/>
      <c r="AL727" s="53"/>
      <c r="AM727" s="53"/>
      <c r="AN727" s="53"/>
      <c r="AO727" s="53"/>
      <c r="AP727" s="53"/>
      <c r="AQ727" s="53"/>
      <c r="AR727" s="53"/>
      <c r="AS727" s="53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52"/>
      <c r="BG727" s="52"/>
      <c r="BH727" s="52"/>
      <c r="BI727" s="52"/>
      <c r="BJ727" s="52"/>
      <c r="BK727" s="52"/>
      <c r="BL727" s="52"/>
      <c r="BM727" s="54"/>
    </row>
    <row r="728">
      <c r="A728" s="42"/>
      <c r="B728" s="52"/>
      <c r="C728" s="52"/>
      <c r="D728" s="52"/>
      <c r="E728" s="52"/>
      <c r="F728" s="81"/>
      <c r="G728" s="57"/>
      <c r="H728" s="48"/>
      <c r="I728" s="77"/>
      <c r="J728" s="62"/>
      <c r="K728" s="52"/>
      <c r="L728" s="52"/>
      <c r="M728" s="76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62"/>
      <c r="AB728" s="52"/>
      <c r="AC728" s="52"/>
      <c r="AD728" s="52"/>
      <c r="AE728" s="52"/>
      <c r="AF728" s="52"/>
      <c r="AG728" s="52"/>
      <c r="AH728" s="48"/>
      <c r="AI728" s="48"/>
      <c r="AJ728" s="48"/>
      <c r="AK728" s="53"/>
      <c r="AL728" s="53"/>
      <c r="AM728" s="53"/>
      <c r="AN728" s="53"/>
      <c r="AO728" s="53"/>
      <c r="AP728" s="53"/>
      <c r="AQ728" s="53"/>
      <c r="AR728" s="53"/>
      <c r="AS728" s="53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52"/>
      <c r="BG728" s="52"/>
      <c r="BH728" s="52"/>
      <c r="BI728" s="52"/>
      <c r="BJ728" s="52"/>
      <c r="BK728" s="52"/>
      <c r="BL728" s="52"/>
      <c r="BM728" s="54"/>
    </row>
    <row r="729">
      <c r="A729" s="42"/>
      <c r="B729" s="52"/>
      <c r="C729" s="52"/>
      <c r="D729" s="52"/>
      <c r="E729" s="52"/>
      <c r="F729" s="81"/>
      <c r="G729" s="57"/>
      <c r="H729" s="48"/>
      <c r="I729" s="77"/>
      <c r="J729" s="62"/>
      <c r="K729" s="52"/>
      <c r="L729" s="52"/>
      <c r="M729" s="76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62"/>
      <c r="AB729" s="52"/>
      <c r="AC729" s="52"/>
      <c r="AD729" s="52"/>
      <c r="AE729" s="52"/>
      <c r="AF729" s="52"/>
      <c r="AG729" s="52"/>
      <c r="AH729" s="48"/>
      <c r="AI729" s="48"/>
      <c r="AJ729" s="48"/>
      <c r="AK729" s="53"/>
      <c r="AL729" s="53"/>
      <c r="AM729" s="53"/>
      <c r="AN729" s="53"/>
      <c r="AO729" s="53"/>
      <c r="AP729" s="53"/>
      <c r="AQ729" s="53"/>
      <c r="AR729" s="53"/>
      <c r="AS729" s="53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52"/>
      <c r="BG729" s="52"/>
      <c r="BH729" s="52"/>
      <c r="BI729" s="52"/>
      <c r="BJ729" s="52"/>
      <c r="BK729" s="52"/>
      <c r="BL729" s="52"/>
      <c r="BM729" s="54"/>
    </row>
    <row r="730">
      <c r="A730" s="42"/>
      <c r="B730" s="52"/>
      <c r="C730" s="52"/>
      <c r="D730" s="52"/>
      <c r="E730" s="52"/>
      <c r="F730" s="81"/>
      <c r="G730" s="57"/>
      <c r="H730" s="48"/>
      <c r="I730" s="77"/>
      <c r="J730" s="62"/>
      <c r="K730" s="52"/>
      <c r="L730" s="52"/>
      <c r="M730" s="76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62"/>
      <c r="AB730" s="52"/>
      <c r="AC730" s="52"/>
      <c r="AD730" s="52"/>
      <c r="AE730" s="52"/>
      <c r="AF730" s="52"/>
      <c r="AG730" s="52"/>
      <c r="AH730" s="48"/>
      <c r="AI730" s="48"/>
      <c r="AJ730" s="48"/>
      <c r="AK730" s="53"/>
      <c r="AL730" s="53"/>
      <c r="AM730" s="53"/>
      <c r="AN730" s="53"/>
      <c r="AO730" s="53"/>
      <c r="AP730" s="53"/>
      <c r="AQ730" s="53"/>
      <c r="AR730" s="53"/>
      <c r="AS730" s="53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52"/>
      <c r="BG730" s="52"/>
      <c r="BH730" s="52"/>
      <c r="BI730" s="52"/>
      <c r="BJ730" s="52"/>
      <c r="BK730" s="52"/>
      <c r="BL730" s="52"/>
      <c r="BM730" s="54"/>
    </row>
    <row r="731">
      <c r="A731" s="42"/>
      <c r="B731" s="52"/>
      <c r="C731" s="52"/>
      <c r="D731" s="52"/>
      <c r="E731" s="52"/>
      <c r="F731" s="81"/>
      <c r="G731" s="57"/>
      <c r="H731" s="48"/>
      <c r="I731" s="77"/>
      <c r="J731" s="62"/>
      <c r="K731" s="52"/>
      <c r="L731" s="52"/>
      <c r="M731" s="76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62"/>
      <c r="AB731" s="52"/>
      <c r="AC731" s="52"/>
      <c r="AD731" s="52"/>
      <c r="AE731" s="52"/>
      <c r="AF731" s="52"/>
      <c r="AG731" s="52"/>
      <c r="AH731" s="48"/>
      <c r="AI731" s="48"/>
      <c r="AJ731" s="48"/>
      <c r="AK731" s="53"/>
      <c r="AL731" s="53"/>
      <c r="AM731" s="53"/>
      <c r="AN731" s="53"/>
      <c r="AO731" s="53"/>
      <c r="AP731" s="53"/>
      <c r="AQ731" s="53"/>
      <c r="AR731" s="53"/>
      <c r="AS731" s="53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52"/>
      <c r="BG731" s="52"/>
      <c r="BH731" s="52"/>
      <c r="BI731" s="52"/>
      <c r="BJ731" s="52"/>
      <c r="BK731" s="52"/>
      <c r="BL731" s="52"/>
      <c r="BM731" s="54"/>
    </row>
    <row r="732">
      <c r="A732" s="42"/>
      <c r="B732" s="52"/>
      <c r="C732" s="52"/>
      <c r="D732" s="52"/>
      <c r="E732" s="52"/>
      <c r="F732" s="81"/>
      <c r="G732" s="57"/>
      <c r="H732" s="48"/>
      <c r="I732" s="77"/>
      <c r="J732" s="62"/>
      <c r="K732" s="52"/>
      <c r="L732" s="52"/>
      <c r="M732" s="76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62"/>
      <c r="AB732" s="52"/>
      <c r="AC732" s="52"/>
      <c r="AD732" s="52"/>
      <c r="AE732" s="52"/>
      <c r="AF732" s="52"/>
      <c r="AG732" s="52"/>
      <c r="AH732" s="48"/>
      <c r="AI732" s="48"/>
      <c r="AJ732" s="48"/>
      <c r="AK732" s="53"/>
      <c r="AL732" s="53"/>
      <c r="AM732" s="53"/>
      <c r="AN732" s="53"/>
      <c r="AO732" s="53"/>
      <c r="AP732" s="53"/>
      <c r="AQ732" s="53"/>
      <c r="AR732" s="53"/>
      <c r="AS732" s="53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52"/>
      <c r="BG732" s="52"/>
      <c r="BH732" s="52"/>
      <c r="BI732" s="52"/>
      <c r="BJ732" s="52"/>
      <c r="BK732" s="52"/>
      <c r="BL732" s="52"/>
      <c r="BM732" s="54"/>
    </row>
    <row r="733">
      <c r="A733" s="42"/>
      <c r="B733" s="52"/>
      <c r="C733" s="52"/>
      <c r="D733" s="52"/>
      <c r="E733" s="52"/>
      <c r="F733" s="81"/>
      <c r="G733" s="57"/>
      <c r="H733" s="48"/>
      <c r="I733" s="77"/>
      <c r="J733" s="62"/>
      <c r="K733" s="52"/>
      <c r="L733" s="52"/>
      <c r="M733" s="76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62"/>
      <c r="AB733" s="52"/>
      <c r="AC733" s="52"/>
      <c r="AD733" s="52"/>
      <c r="AE733" s="52"/>
      <c r="AF733" s="52"/>
      <c r="AG733" s="52"/>
      <c r="AH733" s="48"/>
      <c r="AI733" s="48"/>
      <c r="AJ733" s="48"/>
      <c r="AK733" s="53"/>
      <c r="AL733" s="53"/>
      <c r="AM733" s="53"/>
      <c r="AN733" s="53"/>
      <c r="AO733" s="53"/>
      <c r="AP733" s="53"/>
      <c r="AQ733" s="53"/>
      <c r="AR733" s="53"/>
      <c r="AS733" s="53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52"/>
      <c r="BG733" s="52"/>
      <c r="BH733" s="52"/>
      <c r="BI733" s="52"/>
      <c r="BJ733" s="52"/>
      <c r="BK733" s="52"/>
      <c r="BL733" s="52"/>
      <c r="BM733" s="54"/>
    </row>
    <row r="734">
      <c r="A734" s="42"/>
      <c r="B734" s="52"/>
      <c r="C734" s="52"/>
      <c r="D734" s="52"/>
      <c r="E734" s="52"/>
      <c r="F734" s="81"/>
      <c r="G734" s="57"/>
      <c r="H734" s="48"/>
      <c r="I734" s="77"/>
      <c r="J734" s="62"/>
      <c r="K734" s="52"/>
      <c r="L734" s="52"/>
      <c r="M734" s="76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62"/>
      <c r="AB734" s="52"/>
      <c r="AC734" s="52"/>
      <c r="AD734" s="52"/>
      <c r="AE734" s="52"/>
      <c r="AF734" s="52"/>
      <c r="AG734" s="52"/>
      <c r="AH734" s="48"/>
      <c r="AI734" s="48"/>
      <c r="AJ734" s="48"/>
      <c r="AK734" s="53"/>
      <c r="AL734" s="53"/>
      <c r="AM734" s="53"/>
      <c r="AN734" s="53"/>
      <c r="AO734" s="53"/>
      <c r="AP734" s="53"/>
      <c r="AQ734" s="53"/>
      <c r="AR734" s="53"/>
      <c r="AS734" s="53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52"/>
      <c r="BG734" s="52"/>
      <c r="BH734" s="52"/>
      <c r="BI734" s="52"/>
      <c r="BJ734" s="52"/>
      <c r="BK734" s="52"/>
      <c r="BL734" s="52"/>
      <c r="BM734" s="54"/>
    </row>
    <row r="735">
      <c r="A735" s="42"/>
      <c r="B735" s="52"/>
      <c r="C735" s="52"/>
      <c r="D735" s="52"/>
      <c r="E735" s="52"/>
      <c r="F735" s="81"/>
      <c r="G735" s="57"/>
      <c r="H735" s="48"/>
      <c r="I735" s="77"/>
      <c r="J735" s="62"/>
      <c r="K735" s="52"/>
      <c r="L735" s="52"/>
      <c r="M735" s="76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62"/>
      <c r="AB735" s="52"/>
      <c r="AC735" s="52"/>
      <c r="AD735" s="52"/>
      <c r="AE735" s="52"/>
      <c r="AF735" s="52"/>
      <c r="AG735" s="52"/>
      <c r="AH735" s="48"/>
      <c r="AI735" s="48"/>
      <c r="AJ735" s="48"/>
      <c r="AK735" s="53"/>
      <c r="AL735" s="53"/>
      <c r="AM735" s="53"/>
      <c r="AN735" s="53"/>
      <c r="AO735" s="53"/>
      <c r="AP735" s="53"/>
      <c r="AQ735" s="53"/>
      <c r="AR735" s="53"/>
      <c r="AS735" s="53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52"/>
      <c r="BG735" s="52"/>
      <c r="BH735" s="52"/>
      <c r="BI735" s="52"/>
      <c r="BJ735" s="52"/>
      <c r="BK735" s="52"/>
      <c r="BL735" s="52"/>
      <c r="BM735" s="54"/>
    </row>
    <row r="736">
      <c r="A736" s="42"/>
      <c r="B736" s="52"/>
      <c r="C736" s="52"/>
      <c r="D736" s="52"/>
      <c r="E736" s="52"/>
      <c r="F736" s="81"/>
      <c r="G736" s="57"/>
      <c r="H736" s="48"/>
      <c r="I736" s="77"/>
      <c r="J736" s="62"/>
      <c r="K736" s="52"/>
      <c r="L736" s="52"/>
      <c r="M736" s="76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62"/>
      <c r="AB736" s="52"/>
      <c r="AC736" s="52"/>
      <c r="AD736" s="52"/>
      <c r="AE736" s="52"/>
      <c r="AF736" s="52"/>
      <c r="AG736" s="52"/>
      <c r="AH736" s="48"/>
      <c r="AI736" s="48"/>
      <c r="AJ736" s="48"/>
      <c r="AK736" s="53"/>
      <c r="AL736" s="53"/>
      <c r="AM736" s="53"/>
      <c r="AN736" s="53"/>
      <c r="AO736" s="53"/>
      <c r="AP736" s="53"/>
      <c r="AQ736" s="53"/>
      <c r="AR736" s="53"/>
      <c r="AS736" s="53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52"/>
      <c r="BG736" s="52"/>
      <c r="BH736" s="52"/>
      <c r="BI736" s="52"/>
      <c r="BJ736" s="52"/>
      <c r="BK736" s="52"/>
      <c r="BL736" s="52"/>
      <c r="BM736" s="54"/>
    </row>
    <row r="737">
      <c r="A737" s="42"/>
      <c r="B737" s="52"/>
      <c r="C737" s="52"/>
      <c r="D737" s="52"/>
      <c r="E737" s="52"/>
      <c r="F737" s="81"/>
      <c r="G737" s="57"/>
      <c r="H737" s="48"/>
      <c r="I737" s="77"/>
      <c r="J737" s="62"/>
      <c r="K737" s="52"/>
      <c r="L737" s="52"/>
      <c r="M737" s="76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62"/>
      <c r="AB737" s="52"/>
      <c r="AC737" s="52"/>
      <c r="AD737" s="52"/>
      <c r="AE737" s="52"/>
      <c r="AF737" s="52"/>
      <c r="AG737" s="52"/>
      <c r="AH737" s="48"/>
      <c r="AI737" s="48"/>
      <c r="AJ737" s="48"/>
      <c r="AK737" s="53"/>
      <c r="AL737" s="53"/>
      <c r="AM737" s="53"/>
      <c r="AN737" s="53"/>
      <c r="AO737" s="53"/>
      <c r="AP737" s="53"/>
      <c r="AQ737" s="53"/>
      <c r="AR737" s="53"/>
      <c r="AS737" s="53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52"/>
      <c r="BG737" s="52"/>
      <c r="BH737" s="52"/>
      <c r="BI737" s="52"/>
      <c r="BJ737" s="52"/>
      <c r="BK737" s="52"/>
      <c r="BL737" s="52"/>
      <c r="BM737" s="54"/>
    </row>
    <row r="738">
      <c r="A738" s="42"/>
      <c r="B738" s="52"/>
      <c r="C738" s="52"/>
      <c r="D738" s="52"/>
      <c r="E738" s="52"/>
      <c r="F738" s="81"/>
      <c r="G738" s="57"/>
      <c r="H738" s="48"/>
      <c r="I738" s="77"/>
      <c r="J738" s="62"/>
      <c r="K738" s="52"/>
      <c r="L738" s="52"/>
      <c r="M738" s="76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62"/>
      <c r="AB738" s="52"/>
      <c r="AC738" s="52"/>
      <c r="AD738" s="52"/>
      <c r="AE738" s="52"/>
      <c r="AF738" s="52"/>
      <c r="AG738" s="52"/>
      <c r="AH738" s="48"/>
      <c r="AI738" s="48"/>
      <c r="AJ738" s="48"/>
      <c r="AK738" s="53"/>
      <c r="AL738" s="53"/>
      <c r="AM738" s="53"/>
      <c r="AN738" s="53"/>
      <c r="AO738" s="53"/>
      <c r="AP738" s="53"/>
      <c r="AQ738" s="53"/>
      <c r="AR738" s="53"/>
      <c r="AS738" s="53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52"/>
      <c r="BG738" s="52"/>
      <c r="BH738" s="52"/>
      <c r="BI738" s="52"/>
      <c r="BJ738" s="52"/>
      <c r="BK738" s="52"/>
      <c r="BL738" s="52"/>
      <c r="BM738" s="54"/>
    </row>
    <row r="739">
      <c r="A739" s="42"/>
      <c r="B739" s="52"/>
      <c r="C739" s="52"/>
      <c r="D739" s="52"/>
      <c r="E739" s="52"/>
      <c r="F739" s="81"/>
      <c r="G739" s="57"/>
      <c r="H739" s="48"/>
      <c r="I739" s="77"/>
      <c r="J739" s="62"/>
      <c r="K739" s="52"/>
      <c r="L739" s="52"/>
      <c r="M739" s="76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62"/>
      <c r="AB739" s="52"/>
      <c r="AC739" s="52"/>
      <c r="AD739" s="52"/>
      <c r="AE739" s="52"/>
      <c r="AF739" s="52"/>
      <c r="AG739" s="52"/>
      <c r="AH739" s="48"/>
      <c r="AI739" s="48"/>
      <c r="AJ739" s="48"/>
      <c r="AK739" s="53"/>
      <c r="AL739" s="53"/>
      <c r="AM739" s="53"/>
      <c r="AN739" s="53"/>
      <c r="AO739" s="53"/>
      <c r="AP739" s="53"/>
      <c r="AQ739" s="53"/>
      <c r="AR739" s="53"/>
      <c r="AS739" s="53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52"/>
      <c r="BG739" s="52"/>
      <c r="BH739" s="52"/>
      <c r="BI739" s="52"/>
      <c r="BJ739" s="52"/>
      <c r="BK739" s="52"/>
      <c r="BL739" s="52"/>
      <c r="BM739" s="54"/>
    </row>
    <row r="740">
      <c r="A740" s="42"/>
      <c r="B740" s="52"/>
      <c r="C740" s="52"/>
      <c r="D740" s="52"/>
      <c r="E740" s="52"/>
      <c r="F740" s="81"/>
      <c r="G740" s="57"/>
      <c r="H740" s="48"/>
      <c r="I740" s="77"/>
      <c r="J740" s="62"/>
      <c r="K740" s="52"/>
      <c r="L740" s="52"/>
      <c r="M740" s="76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62"/>
      <c r="AB740" s="52"/>
      <c r="AC740" s="52"/>
      <c r="AD740" s="52"/>
      <c r="AE740" s="52"/>
      <c r="AF740" s="52"/>
      <c r="AG740" s="52"/>
      <c r="AH740" s="48"/>
      <c r="AI740" s="48"/>
      <c r="AJ740" s="48"/>
      <c r="AK740" s="53"/>
      <c r="AL740" s="53"/>
      <c r="AM740" s="53"/>
      <c r="AN740" s="53"/>
      <c r="AO740" s="53"/>
      <c r="AP740" s="53"/>
      <c r="AQ740" s="53"/>
      <c r="AR740" s="53"/>
      <c r="AS740" s="53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52"/>
      <c r="BG740" s="52"/>
      <c r="BH740" s="52"/>
      <c r="BI740" s="52"/>
      <c r="BJ740" s="52"/>
      <c r="BK740" s="52"/>
      <c r="BL740" s="52"/>
      <c r="BM740" s="54"/>
    </row>
    <row r="741">
      <c r="A741" s="42"/>
      <c r="B741" s="52"/>
      <c r="C741" s="52"/>
      <c r="D741" s="52"/>
      <c r="E741" s="52"/>
      <c r="F741" s="81"/>
      <c r="G741" s="57"/>
      <c r="H741" s="48"/>
      <c r="I741" s="77"/>
      <c r="J741" s="62"/>
      <c r="K741" s="52"/>
      <c r="L741" s="52"/>
      <c r="M741" s="76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62"/>
      <c r="AB741" s="52"/>
      <c r="AC741" s="52"/>
      <c r="AD741" s="52"/>
      <c r="AE741" s="52"/>
      <c r="AF741" s="52"/>
      <c r="AG741" s="52"/>
      <c r="AH741" s="48"/>
      <c r="AI741" s="48"/>
      <c r="AJ741" s="48"/>
      <c r="AK741" s="53"/>
      <c r="AL741" s="53"/>
      <c r="AM741" s="53"/>
      <c r="AN741" s="53"/>
      <c r="AO741" s="53"/>
      <c r="AP741" s="53"/>
      <c r="AQ741" s="53"/>
      <c r="AR741" s="53"/>
      <c r="AS741" s="53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52"/>
      <c r="BG741" s="52"/>
      <c r="BH741" s="52"/>
      <c r="BI741" s="52"/>
      <c r="BJ741" s="52"/>
      <c r="BK741" s="52"/>
      <c r="BL741" s="52"/>
      <c r="BM741" s="54"/>
    </row>
    <row r="742">
      <c r="A742" s="42"/>
      <c r="B742" s="52"/>
      <c r="C742" s="52"/>
      <c r="D742" s="52"/>
      <c r="E742" s="52"/>
      <c r="F742" s="81"/>
      <c r="G742" s="57"/>
      <c r="H742" s="48"/>
      <c r="I742" s="77"/>
      <c r="J742" s="62"/>
      <c r="K742" s="52"/>
      <c r="L742" s="52"/>
      <c r="M742" s="76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62"/>
      <c r="AB742" s="52"/>
      <c r="AC742" s="52"/>
      <c r="AD742" s="52"/>
      <c r="AE742" s="52"/>
      <c r="AF742" s="52"/>
      <c r="AG742" s="52"/>
      <c r="AH742" s="48"/>
      <c r="AI742" s="48"/>
      <c r="AJ742" s="48"/>
      <c r="AK742" s="53"/>
      <c r="AL742" s="53"/>
      <c r="AM742" s="53"/>
      <c r="AN742" s="53"/>
      <c r="AO742" s="53"/>
      <c r="AP742" s="53"/>
      <c r="AQ742" s="53"/>
      <c r="AR742" s="53"/>
      <c r="AS742" s="53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52"/>
      <c r="BG742" s="52"/>
      <c r="BH742" s="52"/>
      <c r="BI742" s="52"/>
      <c r="BJ742" s="52"/>
      <c r="BK742" s="52"/>
      <c r="BL742" s="52"/>
      <c r="BM742" s="54"/>
    </row>
    <row r="743">
      <c r="A743" s="42"/>
      <c r="B743" s="52"/>
      <c r="C743" s="52"/>
      <c r="D743" s="52"/>
      <c r="E743" s="52"/>
      <c r="F743" s="81"/>
      <c r="G743" s="57"/>
      <c r="H743" s="48"/>
      <c r="I743" s="77"/>
      <c r="J743" s="62"/>
      <c r="K743" s="52"/>
      <c r="L743" s="52"/>
      <c r="M743" s="76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62"/>
      <c r="AB743" s="52"/>
      <c r="AC743" s="52"/>
      <c r="AD743" s="52"/>
      <c r="AE743" s="52"/>
      <c r="AF743" s="52"/>
      <c r="AG743" s="52"/>
      <c r="AH743" s="48"/>
      <c r="AI743" s="48"/>
      <c r="AJ743" s="48"/>
      <c r="AK743" s="53"/>
      <c r="AL743" s="53"/>
      <c r="AM743" s="53"/>
      <c r="AN743" s="53"/>
      <c r="AO743" s="53"/>
      <c r="AP743" s="53"/>
      <c r="AQ743" s="53"/>
      <c r="AR743" s="53"/>
      <c r="AS743" s="53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52"/>
      <c r="BG743" s="52"/>
      <c r="BH743" s="52"/>
      <c r="BI743" s="52"/>
      <c r="BJ743" s="52"/>
      <c r="BK743" s="52"/>
      <c r="BL743" s="52"/>
      <c r="BM743" s="54"/>
    </row>
    <row r="744">
      <c r="A744" s="42"/>
      <c r="B744" s="52"/>
      <c r="C744" s="52"/>
      <c r="D744" s="52"/>
      <c r="E744" s="52"/>
      <c r="F744" s="81"/>
      <c r="G744" s="57"/>
      <c r="H744" s="48"/>
      <c r="I744" s="77"/>
      <c r="J744" s="62"/>
      <c r="K744" s="52"/>
      <c r="L744" s="52"/>
      <c r="M744" s="76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62"/>
      <c r="AB744" s="52"/>
      <c r="AC744" s="52"/>
      <c r="AD744" s="52"/>
      <c r="AE744" s="52"/>
      <c r="AF744" s="52"/>
      <c r="AG744" s="52"/>
      <c r="AH744" s="48"/>
      <c r="AI744" s="48"/>
      <c r="AJ744" s="48"/>
      <c r="AK744" s="53"/>
      <c r="AL744" s="53"/>
      <c r="AM744" s="53"/>
      <c r="AN744" s="53"/>
      <c r="AO744" s="53"/>
      <c r="AP744" s="53"/>
      <c r="AQ744" s="53"/>
      <c r="AR744" s="53"/>
      <c r="AS744" s="53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52"/>
      <c r="BG744" s="52"/>
      <c r="BH744" s="52"/>
      <c r="BI744" s="52"/>
      <c r="BJ744" s="52"/>
      <c r="BK744" s="52"/>
      <c r="BL744" s="52"/>
      <c r="BM744" s="54"/>
    </row>
    <row r="745">
      <c r="A745" s="42"/>
      <c r="B745" s="52"/>
      <c r="C745" s="52"/>
      <c r="D745" s="52"/>
      <c r="E745" s="52"/>
      <c r="F745" s="81"/>
      <c r="G745" s="57"/>
      <c r="H745" s="48"/>
      <c r="I745" s="77"/>
      <c r="J745" s="62"/>
      <c r="K745" s="52"/>
      <c r="L745" s="52"/>
      <c r="M745" s="76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62"/>
      <c r="AB745" s="52"/>
      <c r="AC745" s="52"/>
      <c r="AD745" s="52"/>
      <c r="AE745" s="52"/>
      <c r="AF745" s="52"/>
      <c r="AG745" s="52"/>
      <c r="AH745" s="48"/>
      <c r="AI745" s="48"/>
      <c r="AJ745" s="48"/>
      <c r="AK745" s="53"/>
      <c r="AL745" s="53"/>
      <c r="AM745" s="53"/>
      <c r="AN745" s="53"/>
      <c r="AO745" s="53"/>
      <c r="AP745" s="53"/>
      <c r="AQ745" s="53"/>
      <c r="AR745" s="53"/>
      <c r="AS745" s="53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52"/>
      <c r="BG745" s="52"/>
      <c r="BH745" s="52"/>
      <c r="BI745" s="52"/>
      <c r="BJ745" s="52"/>
      <c r="BK745" s="52"/>
      <c r="BL745" s="52"/>
      <c r="BM745" s="54"/>
    </row>
    <row r="746">
      <c r="A746" s="42"/>
      <c r="B746" s="52"/>
      <c r="C746" s="52"/>
      <c r="D746" s="52"/>
      <c r="E746" s="52"/>
      <c r="F746" s="81"/>
      <c r="G746" s="57"/>
      <c r="H746" s="48"/>
      <c r="I746" s="77"/>
      <c r="J746" s="62"/>
      <c r="K746" s="52"/>
      <c r="L746" s="52"/>
      <c r="M746" s="76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62"/>
      <c r="AB746" s="52"/>
      <c r="AC746" s="52"/>
      <c r="AD746" s="52"/>
      <c r="AE746" s="52"/>
      <c r="AF746" s="52"/>
      <c r="AG746" s="52"/>
      <c r="AH746" s="48"/>
      <c r="AI746" s="48"/>
      <c r="AJ746" s="48"/>
      <c r="AK746" s="53"/>
      <c r="AL746" s="53"/>
      <c r="AM746" s="53"/>
      <c r="AN746" s="53"/>
      <c r="AO746" s="53"/>
      <c r="AP746" s="53"/>
      <c r="AQ746" s="53"/>
      <c r="AR746" s="53"/>
      <c r="AS746" s="53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52"/>
      <c r="BG746" s="52"/>
      <c r="BH746" s="52"/>
      <c r="BI746" s="52"/>
      <c r="BJ746" s="52"/>
      <c r="BK746" s="52"/>
      <c r="BL746" s="52"/>
      <c r="BM746" s="54"/>
    </row>
    <row r="747">
      <c r="A747" s="42"/>
      <c r="B747" s="52"/>
      <c r="C747" s="52"/>
      <c r="D747" s="52"/>
      <c r="E747" s="52"/>
      <c r="F747" s="81"/>
      <c r="G747" s="57"/>
      <c r="H747" s="48"/>
      <c r="I747" s="77"/>
      <c r="J747" s="62"/>
      <c r="K747" s="52"/>
      <c r="L747" s="52"/>
      <c r="M747" s="76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62"/>
      <c r="AB747" s="52"/>
      <c r="AC747" s="52"/>
      <c r="AD747" s="52"/>
      <c r="AE747" s="52"/>
      <c r="AF747" s="52"/>
      <c r="AG747" s="52"/>
      <c r="AH747" s="48"/>
      <c r="AI747" s="48"/>
      <c r="AJ747" s="48"/>
      <c r="AK747" s="53"/>
      <c r="AL747" s="53"/>
      <c r="AM747" s="53"/>
      <c r="AN747" s="53"/>
      <c r="AO747" s="53"/>
      <c r="AP747" s="53"/>
      <c r="AQ747" s="53"/>
      <c r="AR747" s="53"/>
      <c r="AS747" s="53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52"/>
      <c r="BG747" s="52"/>
      <c r="BH747" s="52"/>
      <c r="BI747" s="52"/>
      <c r="BJ747" s="52"/>
      <c r="BK747" s="52"/>
      <c r="BL747" s="52"/>
      <c r="BM747" s="54"/>
    </row>
    <row r="748">
      <c r="A748" s="42"/>
      <c r="B748" s="52"/>
      <c r="C748" s="52"/>
      <c r="D748" s="52"/>
      <c r="E748" s="52"/>
      <c r="F748" s="81"/>
      <c r="G748" s="57"/>
      <c r="H748" s="48"/>
      <c r="I748" s="77"/>
      <c r="J748" s="62"/>
      <c r="K748" s="52"/>
      <c r="L748" s="52"/>
      <c r="M748" s="76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62"/>
      <c r="AB748" s="52"/>
      <c r="AC748" s="52"/>
      <c r="AD748" s="52"/>
      <c r="AE748" s="52"/>
      <c r="AF748" s="52"/>
      <c r="AG748" s="52"/>
      <c r="AH748" s="48"/>
      <c r="AI748" s="48"/>
      <c r="AJ748" s="48"/>
      <c r="AK748" s="53"/>
      <c r="AL748" s="53"/>
      <c r="AM748" s="53"/>
      <c r="AN748" s="53"/>
      <c r="AO748" s="53"/>
      <c r="AP748" s="53"/>
      <c r="AQ748" s="53"/>
      <c r="AR748" s="53"/>
      <c r="AS748" s="53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52"/>
      <c r="BG748" s="52"/>
      <c r="BH748" s="52"/>
      <c r="BI748" s="52"/>
      <c r="BJ748" s="52"/>
      <c r="BK748" s="52"/>
      <c r="BL748" s="52"/>
      <c r="BM748" s="54"/>
    </row>
    <row r="749">
      <c r="A749" s="42"/>
      <c r="B749" s="52"/>
      <c r="C749" s="52"/>
      <c r="D749" s="52"/>
      <c r="E749" s="52"/>
      <c r="F749" s="81"/>
      <c r="G749" s="57"/>
      <c r="H749" s="48"/>
      <c r="I749" s="77"/>
      <c r="J749" s="62"/>
      <c r="K749" s="52"/>
      <c r="L749" s="52"/>
      <c r="M749" s="76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62"/>
      <c r="AB749" s="52"/>
      <c r="AC749" s="52"/>
      <c r="AD749" s="52"/>
      <c r="AE749" s="52"/>
      <c r="AF749" s="52"/>
      <c r="AG749" s="52"/>
      <c r="AH749" s="48"/>
      <c r="AI749" s="48"/>
      <c r="AJ749" s="48"/>
      <c r="AK749" s="53"/>
      <c r="AL749" s="53"/>
      <c r="AM749" s="53"/>
      <c r="AN749" s="53"/>
      <c r="AO749" s="53"/>
      <c r="AP749" s="53"/>
      <c r="AQ749" s="53"/>
      <c r="AR749" s="53"/>
      <c r="AS749" s="53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52"/>
      <c r="BG749" s="52"/>
      <c r="BH749" s="52"/>
      <c r="BI749" s="52"/>
      <c r="BJ749" s="52"/>
      <c r="BK749" s="52"/>
      <c r="BL749" s="52"/>
      <c r="BM749" s="54"/>
    </row>
    <row r="750">
      <c r="A750" s="42"/>
      <c r="B750" s="52"/>
      <c r="C750" s="52"/>
      <c r="D750" s="52"/>
      <c r="E750" s="52"/>
      <c r="F750" s="81"/>
      <c r="G750" s="57"/>
      <c r="H750" s="48"/>
      <c r="I750" s="77"/>
      <c r="J750" s="62"/>
      <c r="K750" s="52"/>
      <c r="L750" s="52"/>
      <c r="M750" s="76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62"/>
      <c r="AB750" s="52"/>
      <c r="AC750" s="52"/>
      <c r="AD750" s="52"/>
      <c r="AE750" s="52"/>
      <c r="AF750" s="52"/>
      <c r="AG750" s="52"/>
      <c r="AH750" s="48"/>
      <c r="AI750" s="48"/>
      <c r="AJ750" s="48"/>
      <c r="AK750" s="53"/>
      <c r="AL750" s="53"/>
      <c r="AM750" s="53"/>
      <c r="AN750" s="53"/>
      <c r="AO750" s="53"/>
      <c r="AP750" s="53"/>
      <c r="AQ750" s="53"/>
      <c r="AR750" s="53"/>
      <c r="AS750" s="53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52"/>
      <c r="BG750" s="52"/>
      <c r="BH750" s="52"/>
      <c r="BI750" s="52"/>
      <c r="BJ750" s="52"/>
      <c r="BK750" s="52"/>
      <c r="BL750" s="52"/>
      <c r="BM750" s="54"/>
    </row>
    <row r="751">
      <c r="A751" s="42"/>
      <c r="B751" s="52"/>
      <c r="C751" s="52"/>
      <c r="D751" s="52"/>
      <c r="E751" s="52"/>
      <c r="F751" s="81"/>
      <c r="G751" s="57"/>
      <c r="H751" s="48"/>
      <c r="I751" s="77"/>
      <c r="J751" s="62"/>
      <c r="K751" s="52"/>
      <c r="L751" s="52"/>
      <c r="M751" s="76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62"/>
      <c r="AB751" s="52"/>
      <c r="AC751" s="52"/>
      <c r="AD751" s="52"/>
      <c r="AE751" s="52"/>
      <c r="AF751" s="52"/>
      <c r="AG751" s="52"/>
      <c r="AH751" s="48"/>
      <c r="AI751" s="48"/>
      <c r="AJ751" s="48"/>
      <c r="AK751" s="53"/>
      <c r="AL751" s="53"/>
      <c r="AM751" s="53"/>
      <c r="AN751" s="53"/>
      <c r="AO751" s="53"/>
      <c r="AP751" s="53"/>
      <c r="AQ751" s="53"/>
      <c r="AR751" s="53"/>
      <c r="AS751" s="53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52"/>
      <c r="BG751" s="52"/>
      <c r="BH751" s="52"/>
      <c r="BI751" s="52"/>
      <c r="BJ751" s="52"/>
      <c r="BK751" s="52"/>
      <c r="BL751" s="52"/>
      <c r="BM751" s="54"/>
    </row>
    <row r="752">
      <c r="A752" s="42"/>
      <c r="B752" s="52"/>
      <c r="C752" s="52"/>
      <c r="D752" s="52"/>
      <c r="E752" s="52"/>
      <c r="F752" s="81"/>
      <c r="G752" s="57"/>
      <c r="H752" s="48"/>
      <c r="I752" s="77"/>
      <c r="J752" s="62"/>
      <c r="K752" s="52"/>
      <c r="L752" s="52"/>
      <c r="M752" s="76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62"/>
      <c r="AB752" s="52"/>
      <c r="AC752" s="52"/>
      <c r="AD752" s="52"/>
      <c r="AE752" s="52"/>
      <c r="AF752" s="52"/>
      <c r="AG752" s="52"/>
      <c r="AH752" s="48"/>
      <c r="AI752" s="48"/>
      <c r="AJ752" s="48"/>
      <c r="AK752" s="53"/>
      <c r="AL752" s="53"/>
      <c r="AM752" s="53"/>
      <c r="AN752" s="53"/>
      <c r="AO752" s="53"/>
      <c r="AP752" s="53"/>
      <c r="AQ752" s="53"/>
      <c r="AR752" s="53"/>
      <c r="AS752" s="53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52"/>
      <c r="BG752" s="52"/>
      <c r="BH752" s="52"/>
      <c r="BI752" s="52"/>
      <c r="BJ752" s="52"/>
      <c r="BK752" s="52"/>
      <c r="BL752" s="52"/>
      <c r="BM752" s="54"/>
    </row>
    <row r="753">
      <c r="A753" s="42"/>
      <c r="B753" s="52"/>
      <c r="C753" s="52"/>
      <c r="D753" s="52"/>
      <c r="E753" s="52"/>
      <c r="F753" s="81"/>
      <c r="G753" s="57"/>
      <c r="H753" s="48"/>
      <c r="I753" s="77"/>
      <c r="J753" s="62"/>
      <c r="K753" s="52"/>
      <c r="L753" s="52"/>
      <c r="M753" s="76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62"/>
      <c r="AB753" s="52"/>
      <c r="AC753" s="52"/>
      <c r="AD753" s="52"/>
      <c r="AE753" s="52"/>
      <c r="AF753" s="52"/>
      <c r="AG753" s="52"/>
      <c r="AH753" s="48"/>
      <c r="AI753" s="48"/>
      <c r="AJ753" s="48"/>
      <c r="AK753" s="53"/>
      <c r="AL753" s="53"/>
      <c r="AM753" s="53"/>
      <c r="AN753" s="53"/>
      <c r="AO753" s="53"/>
      <c r="AP753" s="53"/>
      <c r="AQ753" s="53"/>
      <c r="AR753" s="53"/>
      <c r="AS753" s="53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52"/>
      <c r="BG753" s="52"/>
      <c r="BH753" s="52"/>
      <c r="BI753" s="52"/>
      <c r="BJ753" s="52"/>
      <c r="BK753" s="52"/>
      <c r="BL753" s="52"/>
      <c r="BM753" s="54"/>
    </row>
    <row r="754">
      <c r="A754" s="42"/>
      <c r="B754" s="52"/>
      <c r="C754" s="52"/>
      <c r="D754" s="52"/>
      <c r="E754" s="52"/>
      <c r="F754" s="81"/>
      <c r="G754" s="57"/>
      <c r="H754" s="48"/>
      <c r="I754" s="77"/>
      <c r="J754" s="62"/>
      <c r="K754" s="52"/>
      <c r="L754" s="52"/>
      <c r="M754" s="76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62"/>
      <c r="AB754" s="52"/>
      <c r="AC754" s="52"/>
      <c r="AD754" s="52"/>
      <c r="AE754" s="52"/>
      <c r="AF754" s="52"/>
      <c r="AG754" s="52"/>
      <c r="AH754" s="48"/>
      <c r="AI754" s="48"/>
      <c r="AJ754" s="48"/>
      <c r="AK754" s="53"/>
      <c r="AL754" s="53"/>
      <c r="AM754" s="53"/>
      <c r="AN754" s="53"/>
      <c r="AO754" s="53"/>
      <c r="AP754" s="53"/>
      <c r="AQ754" s="53"/>
      <c r="AR754" s="53"/>
      <c r="AS754" s="53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52"/>
      <c r="BG754" s="52"/>
      <c r="BH754" s="52"/>
      <c r="BI754" s="52"/>
      <c r="BJ754" s="52"/>
      <c r="BK754" s="52"/>
      <c r="BL754" s="52"/>
      <c r="BM754" s="54"/>
    </row>
    <row r="755">
      <c r="A755" s="42"/>
      <c r="B755" s="52"/>
      <c r="C755" s="52"/>
      <c r="D755" s="52"/>
      <c r="E755" s="52"/>
      <c r="F755" s="81"/>
      <c r="G755" s="57"/>
      <c r="H755" s="48"/>
      <c r="I755" s="77"/>
      <c r="J755" s="62"/>
      <c r="K755" s="52"/>
      <c r="L755" s="52"/>
      <c r="M755" s="76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62"/>
      <c r="AB755" s="52"/>
      <c r="AC755" s="52"/>
      <c r="AD755" s="52"/>
      <c r="AE755" s="52"/>
      <c r="AF755" s="52"/>
      <c r="AG755" s="52"/>
      <c r="AH755" s="48"/>
      <c r="AI755" s="48"/>
      <c r="AJ755" s="48"/>
      <c r="AK755" s="53"/>
      <c r="AL755" s="53"/>
      <c r="AM755" s="53"/>
      <c r="AN755" s="53"/>
      <c r="AO755" s="53"/>
      <c r="AP755" s="53"/>
      <c r="AQ755" s="53"/>
      <c r="AR755" s="53"/>
      <c r="AS755" s="53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52"/>
      <c r="BG755" s="52"/>
      <c r="BH755" s="52"/>
      <c r="BI755" s="52"/>
      <c r="BJ755" s="52"/>
      <c r="BK755" s="52"/>
      <c r="BL755" s="52"/>
      <c r="BM755" s="54"/>
    </row>
    <row r="756">
      <c r="A756" s="42"/>
      <c r="B756" s="52"/>
      <c r="C756" s="52"/>
      <c r="D756" s="52"/>
      <c r="E756" s="52"/>
      <c r="F756" s="81"/>
      <c r="G756" s="57"/>
      <c r="H756" s="48"/>
      <c r="I756" s="77"/>
      <c r="J756" s="62"/>
      <c r="K756" s="52"/>
      <c r="L756" s="52"/>
      <c r="M756" s="76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62"/>
      <c r="AB756" s="52"/>
      <c r="AC756" s="52"/>
      <c r="AD756" s="52"/>
      <c r="AE756" s="52"/>
      <c r="AF756" s="52"/>
      <c r="AG756" s="52"/>
      <c r="AH756" s="48"/>
      <c r="AI756" s="48"/>
      <c r="AJ756" s="48"/>
      <c r="AK756" s="53"/>
      <c r="AL756" s="53"/>
      <c r="AM756" s="53"/>
      <c r="AN756" s="53"/>
      <c r="AO756" s="53"/>
      <c r="AP756" s="53"/>
      <c r="AQ756" s="53"/>
      <c r="AR756" s="53"/>
      <c r="AS756" s="53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52"/>
      <c r="BG756" s="52"/>
      <c r="BH756" s="52"/>
      <c r="BI756" s="52"/>
      <c r="BJ756" s="52"/>
      <c r="BK756" s="52"/>
      <c r="BL756" s="52"/>
      <c r="BM756" s="54"/>
    </row>
    <row r="757">
      <c r="A757" s="42"/>
      <c r="B757" s="52"/>
      <c r="C757" s="52"/>
      <c r="D757" s="52"/>
      <c r="E757" s="52"/>
      <c r="F757" s="81"/>
      <c r="G757" s="57"/>
      <c r="H757" s="48"/>
      <c r="I757" s="77"/>
      <c r="J757" s="62"/>
      <c r="K757" s="52"/>
      <c r="L757" s="52"/>
      <c r="M757" s="76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62"/>
      <c r="AB757" s="52"/>
      <c r="AC757" s="52"/>
      <c r="AD757" s="52"/>
      <c r="AE757" s="52"/>
      <c r="AF757" s="52"/>
      <c r="AG757" s="52"/>
      <c r="AH757" s="48"/>
      <c r="AI757" s="48"/>
      <c r="AJ757" s="48"/>
      <c r="AK757" s="53"/>
      <c r="AL757" s="53"/>
      <c r="AM757" s="53"/>
      <c r="AN757" s="53"/>
      <c r="AO757" s="53"/>
      <c r="AP757" s="53"/>
      <c r="AQ757" s="53"/>
      <c r="AR757" s="53"/>
      <c r="AS757" s="53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52"/>
      <c r="BG757" s="52"/>
      <c r="BH757" s="52"/>
      <c r="BI757" s="52"/>
      <c r="BJ757" s="52"/>
      <c r="BK757" s="52"/>
      <c r="BL757" s="52"/>
      <c r="BM757" s="54"/>
    </row>
    <row r="758">
      <c r="A758" s="42"/>
      <c r="B758" s="52"/>
      <c r="C758" s="52"/>
      <c r="D758" s="52"/>
      <c r="E758" s="52"/>
      <c r="F758" s="81"/>
      <c r="G758" s="57"/>
      <c r="H758" s="48"/>
      <c r="I758" s="77"/>
      <c r="J758" s="62"/>
      <c r="K758" s="52"/>
      <c r="L758" s="52"/>
      <c r="M758" s="76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62"/>
      <c r="AB758" s="52"/>
      <c r="AC758" s="52"/>
      <c r="AD758" s="52"/>
      <c r="AE758" s="52"/>
      <c r="AF758" s="52"/>
      <c r="AG758" s="52"/>
      <c r="AH758" s="48"/>
      <c r="AI758" s="48"/>
      <c r="AJ758" s="48"/>
      <c r="AK758" s="53"/>
      <c r="AL758" s="53"/>
      <c r="AM758" s="53"/>
      <c r="AN758" s="53"/>
      <c r="AO758" s="53"/>
      <c r="AP758" s="53"/>
      <c r="AQ758" s="53"/>
      <c r="AR758" s="53"/>
      <c r="AS758" s="53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52"/>
      <c r="BG758" s="52"/>
      <c r="BH758" s="52"/>
      <c r="BI758" s="52"/>
      <c r="BJ758" s="52"/>
      <c r="BK758" s="52"/>
      <c r="BL758" s="52"/>
      <c r="BM758" s="54"/>
    </row>
    <row r="759">
      <c r="A759" s="42"/>
      <c r="B759" s="52"/>
      <c r="C759" s="52"/>
      <c r="D759" s="52"/>
      <c r="E759" s="52"/>
      <c r="F759" s="81"/>
      <c r="G759" s="57"/>
      <c r="H759" s="48"/>
      <c r="I759" s="77"/>
      <c r="J759" s="62"/>
      <c r="K759" s="52"/>
      <c r="L759" s="52"/>
      <c r="M759" s="76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62"/>
      <c r="AB759" s="52"/>
      <c r="AC759" s="52"/>
      <c r="AD759" s="52"/>
      <c r="AE759" s="52"/>
      <c r="AF759" s="52"/>
      <c r="AG759" s="52"/>
      <c r="AH759" s="48"/>
      <c r="AI759" s="48"/>
      <c r="AJ759" s="48"/>
      <c r="AK759" s="53"/>
      <c r="AL759" s="53"/>
      <c r="AM759" s="53"/>
      <c r="AN759" s="53"/>
      <c r="AO759" s="53"/>
      <c r="AP759" s="53"/>
      <c r="AQ759" s="53"/>
      <c r="AR759" s="53"/>
      <c r="AS759" s="53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52"/>
      <c r="BG759" s="52"/>
      <c r="BH759" s="52"/>
      <c r="BI759" s="52"/>
      <c r="BJ759" s="52"/>
      <c r="BK759" s="52"/>
      <c r="BL759" s="52"/>
      <c r="BM759" s="54"/>
    </row>
    <row r="760">
      <c r="A760" s="42"/>
      <c r="B760" s="52"/>
      <c r="C760" s="52"/>
      <c r="D760" s="52"/>
      <c r="E760" s="52"/>
      <c r="F760" s="81"/>
      <c r="G760" s="57"/>
      <c r="H760" s="48"/>
      <c r="I760" s="77"/>
      <c r="J760" s="62"/>
      <c r="K760" s="52"/>
      <c r="L760" s="52"/>
      <c r="M760" s="76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62"/>
      <c r="AB760" s="52"/>
      <c r="AC760" s="52"/>
      <c r="AD760" s="52"/>
      <c r="AE760" s="52"/>
      <c r="AF760" s="52"/>
      <c r="AG760" s="52"/>
      <c r="AH760" s="48"/>
      <c r="AI760" s="48"/>
      <c r="AJ760" s="48"/>
      <c r="AK760" s="53"/>
      <c r="AL760" s="53"/>
      <c r="AM760" s="53"/>
      <c r="AN760" s="53"/>
      <c r="AO760" s="53"/>
      <c r="AP760" s="53"/>
      <c r="AQ760" s="53"/>
      <c r="AR760" s="53"/>
      <c r="AS760" s="53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52"/>
      <c r="BG760" s="52"/>
      <c r="BH760" s="52"/>
      <c r="BI760" s="52"/>
      <c r="BJ760" s="52"/>
      <c r="BK760" s="52"/>
      <c r="BL760" s="52"/>
      <c r="BM760" s="54"/>
    </row>
    <row r="761">
      <c r="A761" s="42"/>
      <c r="B761" s="52"/>
      <c r="C761" s="52"/>
      <c r="D761" s="52"/>
      <c r="E761" s="52"/>
      <c r="F761" s="81"/>
      <c r="G761" s="57"/>
      <c r="H761" s="48"/>
      <c r="I761" s="77"/>
      <c r="J761" s="62"/>
      <c r="K761" s="52"/>
      <c r="L761" s="52"/>
      <c r="M761" s="76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62"/>
      <c r="AB761" s="52"/>
      <c r="AC761" s="52"/>
      <c r="AD761" s="52"/>
      <c r="AE761" s="52"/>
      <c r="AF761" s="52"/>
      <c r="AG761" s="52"/>
      <c r="AH761" s="48"/>
      <c r="AI761" s="48"/>
      <c r="AJ761" s="48"/>
      <c r="AK761" s="53"/>
      <c r="AL761" s="53"/>
      <c r="AM761" s="53"/>
      <c r="AN761" s="53"/>
      <c r="AO761" s="53"/>
      <c r="AP761" s="53"/>
      <c r="AQ761" s="53"/>
      <c r="AR761" s="53"/>
      <c r="AS761" s="53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52"/>
      <c r="BG761" s="52"/>
      <c r="BH761" s="52"/>
      <c r="BI761" s="52"/>
      <c r="BJ761" s="52"/>
      <c r="BK761" s="52"/>
      <c r="BL761" s="52"/>
      <c r="BM761" s="54"/>
    </row>
    <row r="762">
      <c r="A762" s="42"/>
      <c r="B762" s="52"/>
      <c r="C762" s="52"/>
      <c r="D762" s="52"/>
      <c r="E762" s="52"/>
      <c r="F762" s="81"/>
      <c r="G762" s="57"/>
      <c r="H762" s="48"/>
      <c r="I762" s="77"/>
      <c r="J762" s="62"/>
      <c r="K762" s="52"/>
      <c r="L762" s="52"/>
      <c r="M762" s="76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62"/>
      <c r="AB762" s="52"/>
      <c r="AC762" s="52"/>
      <c r="AD762" s="52"/>
      <c r="AE762" s="52"/>
      <c r="AF762" s="52"/>
      <c r="AG762" s="52"/>
      <c r="AH762" s="48"/>
      <c r="AI762" s="48"/>
      <c r="AJ762" s="48"/>
      <c r="AK762" s="53"/>
      <c r="AL762" s="53"/>
      <c r="AM762" s="53"/>
      <c r="AN762" s="53"/>
      <c r="AO762" s="53"/>
      <c r="AP762" s="53"/>
      <c r="AQ762" s="53"/>
      <c r="AR762" s="53"/>
      <c r="AS762" s="53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52"/>
      <c r="BG762" s="52"/>
      <c r="BH762" s="52"/>
      <c r="BI762" s="52"/>
      <c r="BJ762" s="52"/>
      <c r="BK762" s="52"/>
      <c r="BL762" s="52"/>
      <c r="BM762" s="54"/>
    </row>
    <row r="763">
      <c r="A763" s="42"/>
      <c r="B763" s="52"/>
      <c r="C763" s="52"/>
      <c r="D763" s="52"/>
      <c r="E763" s="52"/>
      <c r="F763" s="81"/>
      <c r="G763" s="57"/>
      <c r="H763" s="48"/>
      <c r="I763" s="77"/>
      <c r="J763" s="62"/>
      <c r="K763" s="52"/>
      <c r="L763" s="52"/>
      <c r="M763" s="76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62"/>
      <c r="AB763" s="52"/>
      <c r="AC763" s="52"/>
      <c r="AD763" s="52"/>
      <c r="AE763" s="52"/>
      <c r="AF763" s="52"/>
      <c r="AG763" s="52"/>
      <c r="AH763" s="48"/>
      <c r="AI763" s="48"/>
      <c r="AJ763" s="48"/>
      <c r="AK763" s="53"/>
      <c r="AL763" s="53"/>
      <c r="AM763" s="53"/>
      <c r="AN763" s="53"/>
      <c r="AO763" s="53"/>
      <c r="AP763" s="53"/>
      <c r="AQ763" s="53"/>
      <c r="AR763" s="53"/>
      <c r="AS763" s="53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52"/>
      <c r="BG763" s="52"/>
      <c r="BH763" s="52"/>
      <c r="BI763" s="52"/>
      <c r="BJ763" s="52"/>
      <c r="BK763" s="52"/>
      <c r="BL763" s="52"/>
      <c r="BM763" s="54"/>
    </row>
    <row r="764">
      <c r="A764" s="42"/>
      <c r="B764" s="52"/>
      <c r="C764" s="52"/>
      <c r="D764" s="52"/>
      <c r="E764" s="52"/>
      <c r="F764" s="81"/>
      <c r="G764" s="57"/>
      <c r="H764" s="48"/>
      <c r="I764" s="77"/>
      <c r="J764" s="62"/>
      <c r="K764" s="52"/>
      <c r="L764" s="52"/>
      <c r="M764" s="76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62"/>
      <c r="AB764" s="52"/>
      <c r="AC764" s="52"/>
      <c r="AD764" s="52"/>
      <c r="AE764" s="52"/>
      <c r="AF764" s="52"/>
      <c r="AG764" s="52"/>
      <c r="AH764" s="48"/>
      <c r="AI764" s="48"/>
      <c r="AJ764" s="48"/>
      <c r="AK764" s="53"/>
      <c r="AL764" s="53"/>
      <c r="AM764" s="53"/>
      <c r="AN764" s="53"/>
      <c r="AO764" s="53"/>
      <c r="AP764" s="53"/>
      <c r="AQ764" s="53"/>
      <c r="AR764" s="53"/>
      <c r="AS764" s="53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52"/>
      <c r="BG764" s="52"/>
      <c r="BH764" s="52"/>
      <c r="BI764" s="52"/>
      <c r="BJ764" s="52"/>
      <c r="BK764" s="52"/>
      <c r="BL764" s="52"/>
      <c r="BM764" s="54"/>
    </row>
    <row r="765">
      <c r="A765" s="42"/>
      <c r="B765" s="52"/>
      <c r="C765" s="52"/>
      <c r="D765" s="52"/>
      <c r="E765" s="52"/>
      <c r="F765" s="81"/>
      <c r="G765" s="57"/>
      <c r="H765" s="48"/>
      <c r="I765" s="77"/>
      <c r="J765" s="62"/>
      <c r="K765" s="52"/>
      <c r="L765" s="52"/>
      <c r="M765" s="76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62"/>
      <c r="AB765" s="52"/>
      <c r="AC765" s="52"/>
      <c r="AD765" s="52"/>
      <c r="AE765" s="52"/>
      <c r="AF765" s="52"/>
      <c r="AG765" s="52"/>
      <c r="AH765" s="48"/>
      <c r="AI765" s="48"/>
      <c r="AJ765" s="48"/>
      <c r="AK765" s="53"/>
      <c r="AL765" s="53"/>
      <c r="AM765" s="53"/>
      <c r="AN765" s="53"/>
      <c r="AO765" s="53"/>
      <c r="AP765" s="53"/>
      <c r="AQ765" s="53"/>
      <c r="AR765" s="53"/>
      <c r="AS765" s="53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52"/>
      <c r="BG765" s="52"/>
      <c r="BH765" s="52"/>
      <c r="BI765" s="52"/>
      <c r="BJ765" s="52"/>
      <c r="BK765" s="52"/>
      <c r="BL765" s="52"/>
      <c r="BM765" s="54"/>
    </row>
    <row r="766">
      <c r="A766" s="42"/>
      <c r="B766" s="52"/>
      <c r="C766" s="52"/>
      <c r="D766" s="52"/>
      <c r="E766" s="52"/>
      <c r="F766" s="81"/>
      <c r="G766" s="57"/>
      <c r="H766" s="48"/>
      <c r="I766" s="77"/>
      <c r="J766" s="62"/>
      <c r="K766" s="52"/>
      <c r="L766" s="52"/>
      <c r="M766" s="76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62"/>
      <c r="AB766" s="52"/>
      <c r="AC766" s="52"/>
      <c r="AD766" s="52"/>
      <c r="AE766" s="52"/>
      <c r="AF766" s="52"/>
      <c r="AG766" s="52"/>
      <c r="AH766" s="48"/>
      <c r="AI766" s="48"/>
      <c r="AJ766" s="48"/>
      <c r="AK766" s="53"/>
      <c r="AL766" s="53"/>
      <c r="AM766" s="53"/>
      <c r="AN766" s="53"/>
      <c r="AO766" s="53"/>
      <c r="AP766" s="53"/>
      <c r="AQ766" s="53"/>
      <c r="AR766" s="53"/>
      <c r="AS766" s="53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52"/>
      <c r="BG766" s="52"/>
      <c r="BH766" s="52"/>
      <c r="BI766" s="52"/>
      <c r="BJ766" s="52"/>
      <c r="BK766" s="52"/>
      <c r="BL766" s="52"/>
      <c r="BM766" s="54"/>
    </row>
    <row r="767">
      <c r="A767" s="42"/>
      <c r="B767" s="52"/>
      <c r="C767" s="52"/>
      <c r="D767" s="52"/>
      <c r="E767" s="52"/>
      <c r="F767" s="81"/>
      <c r="G767" s="57"/>
      <c r="H767" s="48"/>
      <c r="I767" s="77"/>
      <c r="J767" s="62"/>
      <c r="K767" s="52"/>
      <c r="L767" s="52"/>
      <c r="M767" s="76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62"/>
      <c r="AB767" s="52"/>
      <c r="AC767" s="52"/>
      <c r="AD767" s="52"/>
      <c r="AE767" s="52"/>
      <c r="AF767" s="52"/>
      <c r="AG767" s="52"/>
      <c r="AH767" s="48"/>
      <c r="AI767" s="48"/>
      <c r="AJ767" s="48"/>
      <c r="AK767" s="53"/>
      <c r="AL767" s="53"/>
      <c r="AM767" s="53"/>
      <c r="AN767" s="53"/>
      <c r="AO767" s="53"/>
      <c r="AP767" s="53"/>
      <c r="AQ767" s="53"/>
      <c r="AR767" s="53"/>
      <c r="AS767" s="53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52"/>
      <c r="BG767" s="52"/>
      <c r="BH767" s="52"/>
      <c r="BI767" s="52"/>
      <c r="BJ767" s="52"/>
      <c r="BK767" s="52"/>
      <c r="BL767" s="52"/>
      <c r="BM767" s="54"/>
    </row>
    <row r="768">
      <c r="A768" s="42"/>
      <c r="B768" s="52"/>
      <c r="C768" s="52"/>
      <c r="D768" s="52"/>
      <c r="E768" s="52"/>
      <c r="F768" s="81"/>
      <c r="G768" s="57"/>
      <c r="H768" s="48"/>
      <c r="I768" s="77"/>
      <c r="J768" s="62"/>
      <c r="K768" s="52"/>
      <c r="L768" s="52"/>
      <c r="M768" s="76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62"/>
      <c r="AB768" s="52"/>
      <c r="AC768" s="52"/>
      <c r="AD768" s="52"/>
      <c r="AE768" s="52"/>
      <c r="AF768" s="52"/>
      <c r="AG768" s="52"/>
      <c r="AH768" s="48"/>
      <c r="AI768" s="48"/>
      <c r="AJ768" s="48"/>
      <c r="AK768" s="53"/>
      <c r="AL768" s="53"/>
      <c r="AM768" s="53"/>
      <c r="AN768" s="53"/>
      <c r="AO768" s="53"/>
      <c r="AP768" s="53"/>
      <c r="AQ768" s="53"/>
      <c r="AR768" s="53"/>
      <c r="AS768" s="53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52"/>
      <c r="BG768" s="52"/>
      <c r="BH768" s="52"/>
      <c r="BI768" s="52"/>
      <c r="BJ768" s="52"/>
      <c r="BK768" s="52"/>
      <c r="BL768" s="52"/>
      <c r="BM768" s="54"/>
    </row>
    <row r="769">
      <c r="A769" s="42"/>
      <c r="B769" s="52"/>
      <c r="C769" s="52"/>
      <c r="D769" s="52"/>
      <c r="E769" s="52"/>
      <c r="F769" s="81"/>
      <c r="G769" s="57"/>
      <c r="H769" s="48"/>
      <c r="I769" s="77"/>
      <c r="J769" s="62"/>
      <c r="K769" s="52"/>
      <c r="L769" s="52"/>
      <c r="M769" s="76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62"/>
      <c r="AB769" s="52"/>
      <c r="AC769" s="52"/>
      <c r="AD769" s="52"/>
      <c r="AE769" s="52"/>
      <c r="AF769" s="52"/>
      <c r="AG769" s="52"/>
      <c r="AH769" s="48"/>
      <c r="AI769" s="48"/>
      <c r="AJ769" s="48"/>
      <c r="AK769" s="53"/>
      <c r="AL769" s="53"/>
      <c r="AM769" s="53"/>
      <c r="AN769" s="53"/>
      <c r="AO769" s="53"/>
      <c r="AP769" s="53"/>
      <c r="AQ769" s="53"/>
      <c r="AR769" s="53"/>
      <c r="AS769" s="53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52"/>
      <c r="BG769" s="52"/>
      <c r="BH769" s="52"/>
      <c r="BI769" s="52"/>
      <c r="BJ769" s="52"/>
      <c r="BK769" s="52"/>
      <c r="BL769" s="52"/>
      <c r="BM769" s="54"/>
    </row>
    <row r="770">
      <c r="A770" s="42"/>
      <c r="B770" s="52"/>
      <c r="C770" s="52"/>
      <c r="D770" s="52"/>
      <c r="E770" s="52"/>
      <c r="F770" s="81"/>
      <c r="G770" s="57"/>
      <c r="H770" s="48"/>
      <c r="I770" s="77"/>
      <c r="J770" s="62"/>
      <c r="K770" s="52"/>
      <c r="L770" s="52"/>
      <c r="M770" s="76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62"/>
      <c r="AB770" s="52"/>
      <c r="AC770" s="52"/>
      <c r="AD770" s="52"/>
      <c r="AE770" s="52"/>
      <c r="AF770" s="52"/>
      <c r="AG770" s="52"/>
      <c r="AH770" s="48"/>
      <c r="AI770" s="48"/>
      <c r="AJ770" s="48"/>
      <c r="AK770" s="53"/>
      <c r="AL770" s="53"/>
      <c r="AM770" s="53"/>
      <c r="AN770" s="53"/>
      <c r="AO770" s="53"/>
      <c r="AP770" s="53"/>
      <c r="AQ770" s="53"/>
      <c r="AR770" s="53"/>
      <c r="AS770" s="53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52"/>
      <c r="BG770" s="52"/>
      <c r="BH770" s="52"/>
      <c r="BI770" s="52"/>
      <c r="BJ770" s="52"/>
      <c r="BK770" s="52"/>
      <c r="BL770" s="52"/>
      <c r="BM770" s="54"/>
    </row>
    <row r="771">
      <c r="A771" s="42"/>
      <c r="B771" s="52"/>
      <c r="C771" s="52"/>
      <c r="D771" s="52"/>
      <c r="E771" s="52"/>
      <c r="F771" s="81"/>
      <c r="G771" s="57"/>
      <c r="H771" s="48"/>
      <c r="I771" s="77"/>
      <c r="J771" s="62"/>
      <c r="K771" s="52"/>
      <c r="L771" s="52"/>
      <c r="M771" s="76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62"/>
      <c r="AB771" s="52"/>
      <c r="AC771" s="52"/>
      <c r="AD771" s="52"/>
      <c r="AE771" s="52"/>
      <c r="AF771" s="52"/>
      <c r="AG771" s="52"/>
      <c r="AH771" s="48"/>
      <c r="AI771" s="48"/>
      <c r="AJ771" s="48"/>
      <c r="AK771" s="53"/>
      <c r="AL771" s="53"/>
      <c r="AM771" s="53"/>
      <c r="AN771" s="53"/>
      <c r="AO771" s="53"/>
      <c r="AP771" s="53"/>
      <c r="AQ771" s="53"/>
      <c r="AR771" s="53"/>
      <c r="AS771" s="53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52"/>
      <c r="BG771" s="52"/>
      <c r="BH771" s="52"/>
      <c r="BI771" s="52"/>
      <c r="BJ771" s="52"/>
      <c r="BK771" s="52"/>
      <c r="BL771" s="52"/>
      <c r="BM771" s="54"/>
    </row>
    <row r="772">
      <c r="A772" s="42"/>
      <c r="B772" s="52"/>
      <c r="C772" s="52"/>
      <c r="D772" s="52"/>
      <c r="E772" s="52"/>
      <c r="F772" s="81"/>
      <c r="G772" s="57"/>
      <c r="H772" s="48"/>
      <c r="I772" s="77"/>
      <c r="J772" s="62"/>
      <c r="K772" s="52"/>
      <c r="L772" s="52"/>
      <c r="M772" s="76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62"/>
      <c r="AB772" s="52"/>
      <c r="AC772" s="52"/>
      <c r="AD772" s="52"/>
      <c r="AE772" s="52"/>
      <c r="AF772" s="52"/>
      <c r="AG772" s="52"/>
      <c r="AH772" s="48"/>
      <c r="AI772" s="48"/>
      <c r="AJ772" s="48"/>
      <c r="AK772" s="53"/>
      <c r="AL772" s="53"/>
      <c r="AM772" s="53"/>
      <c r="AN772" s="53"/>
      <c r="AO772" s="53"/>
      <c r="AP772" s="53"/>
      <c r="AQ772" s="53"/>
      <c r="AR772" s="53"/>
      <c r="AS772" s="53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52"/>
      <c r="BG772" s="52"/>
      <c r="BH772" s="52"/>
      <c r="BI772" s="52"/>
      <c r="BJ772" s="52"/>
      <c r="BK772" s="52"/>
      <c r="BL772" s="52"/>
      <c r="BM772" s="54"/>
    </row>
    <row r="773">
      <c r="A773" s="42"/>
      <c r="B773" s="52"/>
      <c r="C773" s="52"/>
      <c r="D773" s="52"/>
      <c r="E773" s="52"/>
      <c r="F773" s="81"/>
      <c r="G773" s="57"/>
      <c r="H773" s="48"/>
      <c r="I773" s="77"/>
      <c r="J773" s="62"/>
      <c r="K773" s="52"/>
      <c r="L773" s="52"/>
      <c r="M773" s="76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62"/>
      <c r="AB773" s="52"/>
      <c r="AC773" s="52"/>
      <c r="AD773" s="52"/>
      <c r="AE773" s="52"/>
      <c r="AF773" s="52"/>
      <c r="AG773" s="52"/>
      <c r="AH773" s="48"/>
      <c r="AI773" s="48"/>
      <c r="AJ773" s="48"/>
      <c r="AK773" s="53"/>
      <c r="AL773" s="53"/>
      <c r="AM773" s="53"/>
      <c r="AN773" s="53"/>
      <c r="AO773" s="53"/>
      <c r="AP773" s="53"/>
      <c r="AQ773" s="53"/>
      <c r="AR773" s="53"/>
      <c r="AS773" s="53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52"/>
      <c r="BG773" s="52"/>
      <c r="BH773" s="52"/>
      <c r="BI773" s="52"/>
      <c r="BJ773" s="52"/>
      <c r="BK773" s="52"/>
      <c r="BL773" s="52"/>
      <c r="BM773" s="54"/>
    </row>
    <row r="774">
      <c r="A774" s="42"/>
      <c r="B774" s="52"/>
      <c r="C774" s="52"/>
      <c r="D774" s="52"/>
      <c r="E774" s="52"/>
      <c r="F774" s="81"/>
      <c r="G774" s="57"/>
      <c r="H774" s="48"/>
      <c r="I774" s="77"/>
      <c r="J774" s="62"/>
      <c r="K774" s="52"/>
      <c r="L774" s="52"/>
      <c r="M774" s="76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62"/>
      <c r="AB774" s="52"/>
      <c r="AC774" s="52"/>
      <c r="AD774" s="52"/>
      <c r="AE774" s="52"/>
      <c r="AF774" s="52"/>
      <c r="AG774" s="52"/>
      <c r="AH774" s="48"/>
      <c r="AI774" s="48"/>
      <c r="AJ774" s="48"/>
      <c r="AK774" s="53"/>
      <c r="AL774" s="53"/>
      <c r="AM774" s="53"/>
      <c r="AN774" s="53"/>
      <c r="AO774" s="53"/>
      <c r="AP774" s="53"/>
      <c r="AQ774" s="53"/>
      <c r="AR774" s="53"/>
      <c r="AS774" s="53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52"/>
      <c r="BG774" s="52"/>
      <c r="BH774" s="52"/>
      <c r="BI774" s="52"/>
      <c r="BJ774" s="52"/>
      <c r="BK774" s="52"/>
      <c r="BL774" s="52"/>
      <c r="BM774" s="54"/>
    </row>
    <row r="775">
      <c r="A775" s="42"/>
      <c r="B775" s="52"/>
      <c r="C775" s="52"/>
      <c r="D775" s="52"/>
      <c r="E775" s="52"/>
      <c r="F775" s="81"/>
      <c r="G775" s="57"/>
      <c r="H775" s="48"/>
      <c r="I775" s="77"/>
      <c r="J775" s="62"/>
      <c r="K775" s="52"/>
      <c r="L775" s="52"/>
      <c r="M775" s="76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62"/>
      <c r="AB775" s="52"/>
      <c r="AC775" s="52"/>
      <c r="AD775" s="52"/>
      <c r="AE775" s="52"/>
      <c r="AF775" s="52"/>
      <c r="AG775" s="52"/>
      <c r="AH775" s="48"/>
      <c r="AI775" s="48"/>
      <c r="AJ775" s="48"/>
      <c r="AK775" s="53"/>
      <c r="AL775" s="53"/>
      <c r="AM775" s="53"/>
      <c r="AN775" s="53"/>
      <c r="AO775" s="53"/>
      <c r="AP775" s="53"/>
      <c r="AQ775" s="53"/>
      <c r="AR775" s="53"/>
      <c r="AS775" s="53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52"/>
      <c r="BG775" s="52"/>
      <c r="BH775" s="52"/>
      <c r="BI775" s="52"/>
      <c r="BJ775" s="52"/>
      <c r="BK775" s="52"/>
      <c r="BL775" s="52"/>
      <c r="BM775" s="54"/>
    </row>
    <row r="776">
      <c r="A776" s="42"/>
      <c r="B776" s="52"/>
      <c r="C776" s="52"/>
      <c r="D776" s="52"/>
      <c r="E776" s="52"/>
      <c r="F776" s="81"/>
      <c r="G776" s="57"/>
      <c r="H776" s="48"/>
      <c r="I776" s="77"/>
      <c r="J776" s="62"/>
      <c r="K776" s="52"/>
      <c r="L776" s="52"/>
      <c r="M776" s="76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62"/>
      <c r="AB776" s="52"/>
      <c r="AC776" s="52"/>
      <c r="AD776" s="52"/>
      <c r="AE776" s="52"/>
      <c r="AF776" s="52"/>
      <c r="AG776" s="52"/>
      <c r="AH776" s="48"/>
      <c r="AI776" s="48"/>
      <c r="AJ776" s="48"/>
      <c r="AK776" s="53"/>
      <c r="AL776" s="53"/>
      <c r="AM776" s="53"/>
      <c r="AN776" s="53"/>
      <c r="AO776" s="53"/>
      <c r="AP776" s="53"/>
      <c r="AQ776" s="53"/>
      <c r="AR776" s="53"/>
      <c r="AS776" s="53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52"/>
      <c r="BG776" s="52"/>
      <c r="BH776" s="52"/>
      <c r="BI776" s="52"/>
      <c r="BJ776" s="52"/>
      <c r="BK776" s="52"/>
      <c r="BL776" s="52"/>
      <c r="BM776" s="54"/>
    </row>
    <row r="777">
      <c r="A777" s="42"/>
      <c r="B777" s="52"/>
      <c r="C777" s="52"/>
      <c r="D777" s="52"/>
      <c r="E777" s="52"/>
      <c r="F777" s="81"/>
      <c r="G777" s="57"/>
      <c r="H777" s="48"/>
      <c r="I777" s="77"/>
      <c r="J777" s="62"/>
      <c r="K777" s="52"/>
      <c r="L777" s="52"/>
      <c r="M777" s="76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62"/>
      <c r="AB777" s="52"/>
      <c r="AC777" s="52"/>
      <c r="AD777" s="52"/>
      <c r="AE777" s="52"/>
      <c r="AF777" s="52"/>
      <c r="AG777" s="52"/>
      <c r="AH777" s="48"/>
      <c r="AI777" s="48"/>
      <c r="AJ777" s="48"/>
      <c r="AK777" s="53"/>
      <c r="AL777" s="53"/>
      <c r="AM777" s="53"/>
      <c r="AN777" s="53"/>
      <c r="AO777" s="53"/>
      <c r="AP777" s="53"/>
      <c r="AQ777" s="53"/>
      <c r="AR777" s="53"/>
      <c r="AS777" s="53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52"/>
      <c r="BG777" s="52"/>
      <c r="BH777" s="52"/>
      <c r="BI777" s="52"/>
      <c r="BJ777" s="52"/>
      <c r="BK777" s="52"/>
      <c r="BL777" s="52"/>
      <c r="BM777" s="54"/>
    </row>
    <row r="778">
      <c r="A778" s="42"/>
      <c r="B778" s="52"/>
      <c r="C778" s="52"/>
      <c r="D778" s="52"/>
      <c r="E778" s="52"/>
      <c r="F778" s="81"/>
      <c r="G778" s="57"/>
      <c r="H778" s="48"/>
      <c r="I778" s="77"/>
      <c r="J778" s="62"/>
      <c r="K778" s="52"/>
      <c r="L778" s="52"/>
      <c r="M778" s="76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62"/>
      <c r="AB778" s="52"/>
      <c r="AC778" s="52"/>
      <c r="AD778" s="52"/>
      <c r="AE778" s="52"/>
      <c r="AF778" s="52"/>
      <c r="AG778" s="52"/>
      <c r="AH778" s="48"/>
      <c r="AI778" s="48"/>
      <c r="AJ778" s="48"/>
      <c r="AK778" s="53"/>
      <c r="AL778" s="53"/>
      <c r="AM778" s="53"/>
      <c r="AN778" s="53"/>
      <c r="AO778" s="53"/>
      <c r="AP778" s="53"/>
      <c r="AQ778" s="53"/>
      <c r="AR778" s="53"/>
      <c r="AS778" s="53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52"/>
      <c r="BG778" s="52"/>
      <c r="BH778" s="52"/>
      <c r="BI778" s="52"/>
      <c r="BJ778" s="52"/>
      <c r="BK778" s="52"/>
      <c r="BL778" s="52"/>
      <c r="BM778" s="54"/>
    </row>
    <row r="779">
      <c r="A779" s="42"/>
      <c r="B779" s="52"/>
      <c r="C779" s="52"/>
      <c r="D779" s="52"/>
      <c r="E779" s="52"/>
      <c r="F779" s="81"/>
      <c r="G779" s="57"/>
      <c r="H779" s="48"/>
      <c r="I779" s="77"/>
      <c r="J779" s="62"/>
      <c r="K779" s="52"/>
      <c r="L779" s="52"/>
      <c r="M779" s="76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62"/>
      <c r="AB779" s="52"/>
      <c r="AC779" s="52"/>
      <c r="AD779" s="52"/>
      <c r="AE779" s="52"/>
      <c r="AF779" s="52"/>
      <c r="AG779" s="52"/>
      <c r="AH779" s="48"/>
      <c r="AI779" s="48"/>
      <c r="AJ779" s="48"/>
      <c r="AK779" s="53"/>
      <c r="AL779" s="53"/>
      <c r="AM779" s="53"/>
      <c r="AN779" s="53"/>
      <c r="AO779" s="53"/>
      <c r="AP779" s="53"/>
      <c r="AQ779" s="53"/>
      <c r="AR779" s="53"/>
      <c r="AS779" s="53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52"/>
      <c r="BG779" s="52"/>
      <c r="BH779" s="52"/>
      <c r="BI779" s="52"/>
      <c r="BJ779" s="52"/>
      <c r="BK779" s="52"/>
      <c r="BL779" s="52"/>
      <c r="BM779" s="54"/>
    </row>
    <row r="780">
      <c r="A780" s="42"/>
      <c r="B780" s="52"/>
      <c r="C780" s="52"/>
      <c r="D780" s="52"/>
      <c r="E780" s="52"/>
      <c r="F780" s="81"/>
      <c r="G780" s="57"/>
      <c r="H780" s="48"/>
      <c r="I780" s="77"/>
      <c r="J780" s="62"/>
      <c r="K780" s="52"/>
      <c r="L780" s="52"/>
      <c r="M780" s="76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62"/>
      <c r="AB780" s="52"/>
      <c r="AC780" s="52"/>
      <c r="AD780" s="52"/>
      <c r="AE780" s="52"/>
      <c r="AF780" s="52"/>
      <c r="AG780" s="52"/>
      <c r="AH780" s="48"/>
      <c r="AI780" s="48"/>
      <c r="AJ780" s="48"/>
      <c r="AK780" s="53"/>
      <c r="AL780" s="53"/>
      <c r="AM780" s="53"/>
      <c r="AN780" s="53"/>
      <c r="AO780" s="53"/>
      <c r="AP780" s="53"/>
      <c r="AQ780" s="53"/>
      <c r="AR780" s="53"/>
      <c r="AS780" s="53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52"/>
      <c r="BG780" s="52"/>
      <c r="BH780" s="52"/>
      <c r="BI780" s="52"/>
      <c r="BJ780" s="52"/>
      <c r="BK780" s="52"/>
      <c r="BL780" s="52"/>
      <c r="BM780" s="54"/>
    </row>
    <row r="781">
      <c r="A781" s="42"/>
      <c r="B781" s="52"/>
      <c r="C781" s="52"/>
      <c r="D781" s="52"/>
      <c r="E781" s="52"/>
      <c r="F781" s="81"/>
      <c r="G781" s="57"/>
      <c r="H781" s="48"/>
      <c r="I781" s="77"/>
      <c r="J781" s="62"/>
      <c r="K781" s="52"/>
      <c r="L781" s="52"/>
      <c r="M781" s="76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62"/>
      <c r="AB781" s="52"/>
      <c r="AC781" s="52"/>
      <c r="AD781" s="52"/>
      <c r="AE781" s="52"/>
      <c r="AF781" s="52"/>
      <c r="AG781" s="52"/>
      <c r="AH781" s="48"/>
      <c r="AI781" s="48"/>
      <c r="AJ781" s="48"/>
      <c r="AK781" s="53"/>
      <c r="AL781" s="53"/>
      <c r="AM781" s="53"/>
      <c r="AN781" s="53"/>
      <c r="AO781" s="53"/>
      <c r="AP781" s="53"/>
      <c r="AQ781" s="53"/>
      <c r="AR781" s="53"/>
      <c r="AS781" s="53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52"/>
      <c r="BG781" s="52"/>
      <c r="BH781" s="52"/>
      <c r="BI781" s="52"/>
      <c r="BJ781" s="52"/>
      <c r="BK781" s="52"/>
      <c r="BL781" s="52"/>
      <c r="BM781" s="54"/>
    </row>
    <row r="782">
      <c r="A782" s="42"/>
      <c r="B782" s="52"/>
      <c r="C782" s="52"/>
      <c r="D782" s="52"/>
      <c r="E782" s="52"/>
      <c r="F782" s="81"/>
      <c r="G782" s="57"/>
      <c r="H782" s="48"/>
      <c r="I782" s="77"/>
      <c r="J782" s="62"/>
      <c r="K782" s="52"/>
      <c r="L782" s="52"/>
      <c r="M782" s="76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62"/>
      <c r="AB782" s="52"/>
      <c r="AC782" s="52"/>
      <c r="AD782" s="52"/>
      <c r="AE782" s="52"/>
      <c r="AF782" s="52"/>
      <c r="AG782" s="52"/>
      <c r="AH782" s="48"/>
      <c r="AI782" s="48"/>
      <c r="AJ782" s="48"/>
      <c r="AK782" s="53"/>
      <c r="AL782" s="53"/>
      <c r="AM782" s="53"/>
      <c r="AN782" s="53"/>
      <c r="AO782" s="53"/>
      <c r="AP782" s="53"/>
      <c r="AQ782" s="53"/>
      <c r="AR782" s="53"/>
      <c r="AS782" s="53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52"/>
      <c r="BG782" s="52"/>
      <c r="BH782" s="52"/>
      <c r="BI782" s="52"/>
      <c r="BJ782" s="52"/>
      <c r="BK782" s="52"/>
      <c r="BL782" s="52"/>
      <c r="BM782" s="54"/>
    </row>
    <row r="783">
      <c r="A783" s="42"/>
      <c r="B783" s="52"/>
      <c r="C783" s="52"/>
      <c r="D783" s="52"/>
      <c r="E783" s="52"/>
      <c r="F783" s="81"/>
      <c r="G783" s="57"/>
      <c r="H783" s="48"/>
      <c r="I783" s="77"/>
      <c r="J783" s="62"/>
      <c r="K783" s="52"/>
      <c r="L783" s="52"/>
      <c r="M783" s="76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62"/>
      <c r="AB783" s="52"/>
      <c r="AC783" s="52"/>
      <c r="AD783" s="52"/>
      <c r="AE783" s="52"/>
      <c r="AF783" s="52"/>
      <c r="AG783" s="52"/>
      <c r="AH783" s="48"/>
      <c r="AI783" s="48"/>
      <c r="AJ783" s="48"/>
      <c r="AK783" s="53"/>
      <c r="AL783" s="53"/>
      <c r="AM783" s="53"/>
      <c r="AN783" s="53"/>
      <c r="AO783" s="53"/>
      <c r="AP783" s="53"/>
      <c r="AQ783" s="53"/>
      <c r="AR783" s="53"/>
      <c r="AS783" s="53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52"/>
      <c r="BG783" s="52"/>
      <c r="BH783" s="52"/>
      <c r="BI783" s="52"/>
      <c r="BJ783" s="52"/>
      <c r="BK783" s="52"/>
      <c r="BL783" s="52"/>
      <c r="BM783" s="54"/>
    </row>
    <row r="784">
      <c r="A784" s="42"/>
      <c r="B784" s="52"/>
      <c r="C784" s="52"/>
      <c r="D784" s="52"/>
      <c r="E784" s="52"/>
      <c r="F784" s="81"/>
      <c r="G784" s="57"/>
      <c r="H784" s="48"/>
      <c r="I784" s="77"/>
      <c r="J784" s="62"/>
      <c r="K784" s="52"/>
      <c r="L784" s="52"/>
      <c r="M784" s="76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62"/>
      <c r="AB784" s="52"/>
      <c r="AC784" s="52"/>
      <c r="AD784" s="52"/>
      <c r="AE784" s="52"/>
      <c r="AF784" s="52"/>
      <c r="AG784" s="52"/>
      <c r="AH784" s="48"/>
      <c r="AI784" s="48"/>
      <c r="AJ784" s="48"/>
      <c r="AK784" s="53"/>
      <c r="AL784" s="53"/>
      <c r="AM784" s="53"/>
      <c r="AN784" s="53"/>
      <c r="AO784" s="53"/>
      <c r="AP784" s="53"/>
      <c r="AQ784" s="53"/>
      <c r="AR784" s="53"/>
      <c r="AS784" s="53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52"/>
      <c r="BG784" s="52"/>
      <c r="BH784" s="52"/>
      <c r="BI784" s="52"/>
      <c r="BJ784" s="52"/>
      <c r="BK784" s="52"/>
      <c r="BL784" s="52"/>
      <c r="BM784" s="54"/>
    </row>
    <row r="785">
      <c r="A785" s="42"/>
      <c r="B785" s="52"/>
      <c r="C785" s="52"/>
      <c r="D785" s="52"/>
      <c r="E785" s="52"/>
      <c r="F785" s="81"/>
      <c r="G785" s="57"/>
      <c r="H785" s="48"/>
      <c r="I785" s="77"/>
      <c r="J785" s="62"/>
      <c r="K785" s="52"/>
      <c r="L785" s="52"/>
      <c r="M785" s="76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62"/>
      <c r="AB785" s="52"/>
      <c r="AC785" s="52"/>
      <c r="AD785" s="52"/>
      <c r="AE785" s="52"/>
      <c r="AF785" s="52"/>
      <c r="AG785" s="52"/>
      <c r="AH785" s="48"/>
      <c r="AI785" s="48"/>
      <c r="AJ785" s="48"/>
      <c r="AK785" s="53"/>
      <c r="AL785" s="53"/>
      <c r="AM785" s="53"/>
      <c r="AN785" s="53"/>
      <c r="AO785" s="53"/>
      <c r="AP785" s="53"/>
      <c r="AQ785" s="53"/>
      <c r="AR785" s="53"/>
      <c r="AS785" s="53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52"/>
      <c r="BG785" s="52"/>
      <c r="BH785" s="52"/>
      <c r="BI785" s="52"/>
      <c r="BJ785" s="52"/>
      <c r="BK785" s="52"/>
      <c r="BL785" s="52"/>
      <c r="BM785" s="54"/>
    </row>
    <row r="786">
      <c r="A786" s="42"/>
      <c r="B786" s="52"/>
      <c r="C786" s="52"/>
      <c r="D786" s="52"/>
      <c r="E786" s="52"/>
      <c r="F786" s="81"/>
      <c r="G786" s="57"/>
      <c r="H786" s="48"/>
      <c r="I786" s="77"/>
      <c r="J786" s="62"/>
      <c r="K786" s="52"/>
      <c r="L786" s="52"/>
      <c r="M786" s="76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62"/>
      <c r="AB786" s="52"/>
      <c r="AC786" s="52"/>
      <c r="AD786" s="52"/>
      <c r="AE786" s="52"/>
      <c r="AF786" s="52"/>
      <c r="AG786" s="52"/>
      <c r="AH786" s="48"/>
      <c r="AI786" s="48"/>
      <c r="AJ786" s="48"/>
      <c r="AK786" s="53"/>
      <c r="AL786" s="53"/>
      <c r="AM786" s="53"/>
      <c r="AN786" s="53"/>
      <c r="AO786" s="53"/>
      <c r="AP786" s="53"/>
      <c r="AQ786" s="53"/>
      <c r="AR786" s="53"/>
      <c r="AS786" s="53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52"/>
      <c r="BG786" s="52"/>
      <c r="BH786" s="52"/>
      <c r="BI786" s="52"/>
      <c r="BJ786" s="52"/>
      <c r="BK786" s="52"/>
      <c r="BL786" s="52"/>
      <c r="BM786" s="54"/>
    </row>
    <row r="787">
      <c r="A787" s="42"/>
      <c r="B787" s="52"/>
      <c r="C787" s="52"/>
      <c r="D787" s="52"/>
      <c r="E787" s="52"/>
      <c r="F787" s="81"/>
      <c r="G787" s="57"/>
      <c r="H787" s="48"/>
      <c r="I787" s="77"/>
      <c r="J787" s="62"/>
      <c r="K787" s="52"/>
      <c r="L787" s="52"/>
      <c r="M787" s="76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62"/>
      <c r="AB787" s="52"/>
      <c r="AC787" s="52"/>
      <c r="AD787" s="52"/>
      <c r="AE787" s="52"/>
      <c r="AF787" s="52"/>
      <c r="AG787" s="52"/>
      <c r="AH787" s="48"/>
      <c r="AI787" s="48"/>
      <c r="AJ787" s="48"/>
      <c r="AK787" s="53"/>
      <c r="AL787" s="53"/>
      <c r="AM787" s="53"/>
      <c r="AN787" s="53"/>
      <c r="AO787" s="53"/>
      <c r="AP787" s="53"/>
      <c r="AQ787" s="53"/>
      <c r="AR787" s="53"/>
      <c r="AS787" s="53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52"/>
      <c r="BG787" s="52"/>
      <c r="BH787" s="52"/>
      <c r="BI787" s="52"/>
      <c r="BJ787" s="52"/>
      <c r="BK787" s="52"/>
      <c r="BL787" s="52"/>
      <c r="BM787" s="54"/>
    </row>
    <row r="788">
      <c r="A788" s="42"/>
      <c r="B788" s="52"/>
      <c r="C788" s="52"/>
      <c r="D788" s="52"/>
      <c r="E788" s="52"/>
      <c r="F788" s="81"/>
      <c r="G788" s="57"/>
      <c r="H788" s="48"/>
      <c r="I788" s="77"/>
      <c r="J788" s="62"/>
      <c r="K788" s="52"/>
      <c r="L788" s="52"/>
      <c r="M788" s="76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62"/>
      <c r="AB788" s="52"/>
      <c r="AC788" s="52"/>
      <c r="AD788" s="52"/>
      <c r="AE788" s="52"/>
      <c r="AF788" s="52"/>
      <c r="AG788" s="52"/>
      <c r="AH788" s="48"/>
      <c r="AI788" s="48"/>
      <c r="AJ788" s="48"/>
      <c r="AK788" s="53"/>
      <c r="AL788" s="53"/>
      <c r="AM788" s="53"/>
      <c r="AN788" s="53"/>
      <c r="AO788" s="53"/>
      <c r="AP788" s="53"/>
      <c r="AQ788" s="53"/>
      <c r="AR788" s="53"/>
      <c r="AS788" s="53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52"/>
      <c r="BG788" s="52"/>
      <c r="BH788" s="52"/>
      <c r="BI788" s="52"/>
      <c r="BJ788" s="52"/>
      <c r="BK788" s="52"/>
      <c r="BL788" s="52"/>
      <c r="BM788" s="54"/>
    </row>
    <row r="789">
      <c r="A789" s="42"/>
      <c r="B789" s="52"/>
      <c r="C789" s="52"/>
      <c r="D789" s="52"/>
      <c r="E789" s="52"/>
      <c r="F789" s="81"/>
      <c r="G789" s="57"/>
      <c r="H789" s="48"/>
      <c r="I789" s="77"/>
      <c r="J789" s="62"/>
      <c r="K789" s="52"/>
      <c r="L789" s="52"/>
      <c r="M789" s="76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62"/>
      <c r="AB789" s="52"/>
      <c r="AC789" s="52"/>
      <c r="AD789" s="52"/>
      <c r="AE789" s="52"/>
      <c r="AF789" s="52"/>
      <c r="AG789" s="52"/>
      <c r="AH789" s="48"/>
      <c r="AI789" s="48"/>
      <c r="AJ789" s="48"/>
      <c r="AK789" s="53"/>
      <c r="AL789" s="53"/>
      <c r="AM789" s="53"/>
      <c r="AN789" s="53"/>
      <c r="AO789" s="53"/>
      <c r="AP789" s="53"/>
      <c r="AQ789" s="53"/>
      <c r="AR789" s="53"/>
      <c r="AS789" s="53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52"/>
      <c r="BG789" s="52"/>
      <c r="BH789" s="52"/>
      <c r="BI789" s="52"/>
      <c r="BJ789" s="52"/>
      <c r="BK789" s="52"/>
      <c r="BL789" s="52"/>
      <c r="BM789" s="54"/>
    </row>
    <row r="790">
      <c r="A790" s="42"/>
      <c r="B790" s="52"/>
      <c r="C790" s="52"/>
      <c r="D790" s="52"/>
      <c r="E790" s="52"/>
      <c r="F790" s="81"/>
      <c r="G790" s="57"/>
      <c r="H790" s="48"/>
      <c r="I790" s="77"/>
      <c r="J790" s="62"/>
      <c r="K790" s="52"/>
      <c r="L790" s="52"/>
      <c r="M790" s="76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62"/>
      <c r="AB790" s="52"/>
      <c r="AC790" s="52"/>
      <c r="AD790" s="52"/>
      <c r="AE790" s="52"/>
      <c r="AF790" s="52"/>
      <c r="AG790" s="52"/>
      <c r="AH790" s="48"/>
      <c r="AI790" s="48"/>
      <c r="AJ790" s="48"/>
      <c r="AK790" s="53"/>
      <c r="AL790" s="53"/>
      <c r="AM790" s="53"/>
      <c r="AN790" s="53"/>
      <c r="AO790" s="53"/>
      <c r="AP790" s="53"/>
      <c r="AQ790" s="53"/>
      <c r="AR790" s="53"/>
      <c r="AS790" s="53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52"/>
      <c r="BG790" s="52"/>
      <c r="BH790" s="52"/>
      <c r="BI790" s="52"/>
      <c r="BJ790" s="52"/>
      <c r="BK790" s="52"/>
      <c r="BL790" s="52"/>
      <c r="BM790" s="54"/>
    </row>
    <row r="791">
      <c r="A791" s="42"/>
      <c r="B791" s="52"/>
      <c r="C791" s="52"/>
      <c r="D791" s="52"/>
      <c r="E791" s="52"/>
      <c r="F791" s="81"/>
      <c r="G791" s="57"/>
      <c r="H791" s="48"/>
      <c r="I791" s="77"/>
      <c r="J791" s="62"/>
      <c r="K791" s="52"/>
      <c r="L791" s="52"/>
      <c r="M791" s="76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62"/>
      <c r="AB791" s="52"/>
      <c r="AC791" s="52"/>
      <c r="AD791" s="52"/>
      <c r="AE791" s="52"/>
      <c r="AF791" s="52"/>
      <c r="AG791" s="52"/>
      <c r="AH791" s="48"/>
      <c r="AI791" s="48"/>
      <c r="AJ791" s="48"/>
      <c r="AK791" s="53"/>
      <c r="AL791" s="53"/>
      <c r="AM791" s="53"/>
      <c r="AN791" s="53"/>
      <c r="AO791" s="53"/>
      <c r="AP791" s="53"/>
      <c r="AQ791" s="53"/>
      <c r="AR791" s="53"/>
      <c r="AS791" s="53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52"/>
      <c r="BG791" s="52"/>
      <c r="BH791" s="52"/>
      <c r="BI791" s="52"/>
      <c r="BJ791" s="52"/>
      <c r="BK791" s="52"/>
      <c r="BL791" s="52"/>
      <c r="BM791" s="54"/>
    </row>
    <row r="792">
      <c r="A792" s="42"/>
      <c r="B792" s="52"/>
      <c r="C792" s="52"/>
      <c r="D792" s="52"/>
      <c r="E792" s="52"/>
      <c r="F792" s="81"/>
      <c r="G792" s="57"/>
      <c r="H792" s="48"/>
      <c r="I792" s="77"/>
      <c r="J792" s="62"/>
      <c r="K792" s="52"/>
      <c r="L792" s="52"/>
      <c r="M792" s="76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62"/>
      <c r="AB792" s="52"/>
      <c r="AC792" s="52"/>
      <c r="AD792" s="52"/>
      <c r="AE792" s="52"/>
      <c r="AF792" s="52"/>
      <c r="AG792" s="52"/>
      <c r="AH792" s="48"/>
      <c r="AI792" s="48"/>
      <c r="AJ792" s="48"/>
      <c r="AK792" s="53"/>
      <c r="AL792" s="53"/>
      <c r="AM792" s="53"/>
      <c r="AN792" s="53"/>
      <c r="AO792" s="53"/>
      <c r="AP792" s="53"/>
      <c r="AQ792" s="53"/>
      <c r="AR792" s="53"/>
      <c r="AS792" s="53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52"/>
      <c r="BG792" s="52"/>
      <c r="BH792" s="52"/>
      <c r="BI792" s="52"/>
      <c r="BJ792" s="52"/>
      <c r="BK792" s="52"/>
      <c r="BL792" s="52"/>
      <c r="BM792" s="54"/>
    </row>
    <row r="793">
      <c r="A793" s="42"/>
      <c r="B793" s="52"/>
      <c r="C793" s="52"/>
      <c r="D793" s="52"/>
      <c r="E793" s="52"/>
      <c r="F793" s="81"/>
      <c r="G793" s="57"/>
      <c r="H793" s="48"/>
      <c r="I793" s="77"/>
      <c r="J793" s="62"/>
      <c r="K793" s="52"/>
      <c r="L793" s="52"/>
      <c r="M793" s="76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62"/>
      <c r="AB793" s="52"/>
      <c r="AC793" s="52"/>
      <c r="AD793" s="52"/>
      <c r="AE793" s="52"/>
      <c r="AF793" s="52"/>
      <c r="AG793" s="52"/>
      <c r="AH793" s="48"/>
      <c r="AI793" s="48"/>
      <c r="AJ793" s="48"/>
      <c r="AK793" s="53"/>
      <c r="AL793" s="53"/>
      <c r="AM793" s="53"/>
      <c r="AN793" s="53"/>
      <c r="AO793" s="53"/>
      <c r="AP793" s="53"/>
      <c r="AQ793" s="53"/>
      <c r="AR793" s="53"/>
      <c r="AS793" s="53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52"/>
      <c r="BG793" s="52"/>
      <c r="BH793" s="52"/>
      <c r="BI793" s="52"/>
      <c r="BJ793" s="52"/>
      <c r="BK793" s="52"/>
      <c r="BL793" s="52"/>
      <c r="BM793" s="54"/>
    </row>
    <row r="794">
      <c r="A794" s="42"/>
      <c r="B794" s="52"/>
      <c r="C794" s="52"/>
      <c r="D794" s="52"/>
      <c r="E794" s="52"/>
      <c r="F794" s="81"/>
      <c r="G794" s="57"/>
      <c r="H794" s="48"/>
      <c r="I794" s="77"/>
      <c r="J794" s="62"/>
      <c r="K794" s="52"/>
      <c r="L794" s="52"/>
      <c r="M794" s="76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62"/>
      <c r="AB794" s="52"/>
      <c r="AC794" s="52"/>
      <c r="AD794" s="52"/>
      <c r="AE794" s="52"/>
      <c r="AF794" s="52"/>
      <c r="AG794" s="52"/>
      <c r="AH794" s="48"/>
      <c r="AI794" s="48"/>
      <c r="AJ794" s="48"/>
      <c r="AK794" s="53"/>
      <c r="AL794" s="53"/>
      <c r="AM794" s="53"/>
      <c r="AN794" s="53"/>
      <c r="AO794" s="53"/>
      <c r="AP794" s="53"/>
      <c r="AQ794" s="53"/>
      <c r="AR794" s="53"/>
      <c r="AS794" s="53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52"/>
      <c r="BG794" s="52"/>
      <c r="BH794" s="52"/>
      <c r="BI794" s="52"/>
      <c r="BJ794" s="52"/>
      <c r="BK794" s="52"/>
      <c r="BL794" s="52"/>
      <c r="BM794" s="54"/>
    </row>
    <row r="795">
      <c r="A795" s="42"/>
      <c r="B795" s="52"/>
      <c r="C795" s="52"/>
      <c r="D795" s="52"/>
      <c r="E795" s="52"/>
      <c r="F795" s="81"/>
      <c r="G795" s="57"/>
      <c r="H795" s="48"/>
      <c r="I795" s="77"/>
      <c r="J795" s="62"/>
      <c r="K795" s="52"/>
      <c r="L795" s="52"/>
      <c r="M795" s="76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62"/>
      <c r="AB795" s="52"/>
      <c r="AC795" s="52"/>
      <c r="AD795" s="52"/>
      <c r="AE795" s="52"/>
      <c r="AF795" s="52"/>
      <c r="AG795" s="52"/>
      <c r="AH795" s="48"/>
      <c r="AI795" s="48"/>
      <c r="AJ795" s="48"/>
      <c r="AK795" s="53"/>
      <c r="AL795" s="53"/>
      <c r="AM795" s="53"/>
      <c r="AN795" s="53"/>
      <c r="AO795" s="53"/>
      <c r="AP795" s="53"/>
      <c r="AQ795" s="53"/>
      <c r="AR795" s="53"/>
      <c r="AS795" s="53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52"/>
      <c r="BG795" s="52"/>
      <c r="BH795" s="52"/>
      <c r="BI795" s="52"/>
      <c r="BJ795" s="52"/>
      <c r="BK795" s="52"/>
      <c r="BL795" s="52"/>
      <c r="BM795" s="54"/>
    </row>
    <row r="796">
      <c r="A796" s="42"/>
      <c r="B796" s="52"/>
      <c r="C796" s="52"/>
      <c r="D796" s="52"/>
      <c r="E796" s="52"/>
      <c r="F796" s="81"/>
      <c r="G796" s="57"/>
      <c r="H796" s="48"/>
      <c r="I796" s="77"/>
      <c r="J796" s="62"/>
      <c r="K796" s="52"/>
      <c r="L796" s="52"/>
      <c r="M796" s="76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62"/>
      <c r="AB796" s="52"/>
      <c r="AC796" s="52"/>
      <c r="AD796" s="52"/>
      <c r="AE796" s="52"/>
      <c r="AF796" s="52"/>
      <c r="AG796" s="52"/>
      <c r="AH796" s="48"/>
      <c r="AI796" s="48"/>
      <c r="AJ796" s="48"/>
      <c r="AK796" s="53"/>
      <c r="AL796" s="53"/>
      <c r="AM796" s="53"/>
      <c r="AN796" s="53"/>
      <c r="AO796" s="53"/>
      <c r="AP796" s="53"/>
      <c r="AQ796" s="53"/>
      <c r="AR796" s="53"/>
      <c r="AS796" s="53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52"/>
      <c r="BG796" s="52"/>
      <c r="BH796" s="52"/>
      <c r="BI796" s="52"/>
      <c r="BJ796" s="52"/>
      <c r="BK796" s="52"/>
      <c r="BL796" s="52"/>
      <c r="BM796" s="54"/>
    </row>
    <row r="797">
      <c r="A797" s="42"/>
      <c r="B797" s="52"/>
      <c r="C797" s="52"/>
      <c r="D797" s="52"/>
      <c r="E797" s="52"/>
      <c r="F797" s="81"/>
      <c r="G797" s="57"/>
      <c r="H797" s="48"/>
      <c r="I797" s="77"/>
      <c r="J797" s="62"/>
      <c r="K797" s="52"/>
      <c r="L797" s="52"/>
      <c r="M797" s="76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62"/>
      <c r="AB797" s="52"/>
      <c r="AC797" s="52"/>
      <c r="AD797" s="52"/>
      <c r="AE797" s="52"/>
      <c r="AF797" s="52"/>
      <c r="AG797" s="52"/>
      <c r="AH797" s="48"/>
      <c r="AI797" s="48"/>
      <c r="AJ797" s="48"/>
      <c r="AK797" s="53"/>
      <c r="AL797" s="53"/>
      <c r="AM797" s="53"/>
      <c r="AN797" s="53"/>
      <c r="AO797" s="53"/>
      <c r="AP797" s="53"/>
      <c r="AQ797" s="53"/>
      <c r="AR797" s="53"/>
      <c r="AS797" s="53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52"/>
      <c r="BG797" s="52"/>
      <c r="BH797" s="52"/>
      <c r="BI797" s="52"/>
      <c r="BJ797" s="52"/>
      <c r="BK797" s="52"/>
      <c r="BL797" s="52"/>
      <c r="BM797" s="54"/>
    </row>
    <row r="798">
      <c r="A798" s="42"/>
      <c r="B798" s="52"/>
      <c r="C798" s="52"/>
      <c r="D798" s="52"/>
      <c r="E798" s="52"/>
      <c r="F798" s="81"/>
      <c r="G798" s="57"/>
      <c r="H798" s="48"/>
      <c r="I798" s="77"/>
      <c r="J798" s="62"/>
      <c r="K798" s="52"/>
      <c r="L798" s="52"/>
      <c r="M798" s="76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62"/>
      <c r="AB798" s="52"/>
      <c r="AC798" s="52"/>
      <c r="AD798" s="52"/>
      <c r="AE798" s="52"/>
      <c r="AF798" s="52"/>
      <c r="AG798" s="52"/>
      <c r="AH798" s="48"/>
      <c r="AI798" s="48"/>
      <c r="AJ798" s="48"/>
      <c r="AK798" s="53"/>
      <c r="AL798" s="53"/>
      <c r="AM798" s="53"/>
      <c r="AN798" s="53"/>
      <c r="AO798" s="53"/>
      <c r="AP798" s="53"/>
      <c r="AQ798" s="53"/>
      <c r="AR798" s="53"/>
      <c r="AS798" s="53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52"/>
      <c r="BG798" s="52"/>
      <c r="BH798" s="52"/>
      <c r="BI798" s="52"/>
      <c r="BJ798" s="52"/>
      <c r="BK798" s="52"/>
      <c r="BL798" s="52"/>
      <c r="BM798" s="54"/>
    </row>
    <row r="799">
      <c r="A799" s="42"/>
      <c r="B799" s="52"/>
      <c r="C799" s="52"/>
      <c r="D799" s="52"/>
      <c r="E799" s="52"/>
      <c r="F799" s="81"/>
      <c r="G799" s="57"/>
      <c r="H799" s="48"/>
      <c r="I799" s="77"/>
      <c r="J799" s="62"/>
      <c r="K799" s="52"/>
      <c r="L799" s="52"/>
      <c r="M799" s="76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62"/>
      <c r="AB799" s="52"/>
      <c r="AC799" s="52"/>
      <c r="AD799" s="52"/>
      <c r="AE799" s="52"/>
      <c r="AF799" s="52"/>
      <c r="AG799" s="52"/>
      <c r="AH799" s="48"/>
      <c r="AI799" s="48"/>
      <c r="AJ799" s="48"/>
      <c r="AK799" s="53"/>
      <c r="AL799" s="53"/>
      <c r="AM799" s="53"/>
      <c r="AN799" s="53"/>
      <c r="AO799" s="53"/>
      <c r="AP799" s="53"/>
      <c r="AQ799" s="53"/>
      <c r="AR799" s="53"/>
      <c r="AS799" s="53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52"/>
      <c r="BG799" s="52"/>
      <c r="BH799" s="52"/>
      <c r="BI799" s="52"/>
      <c r="BJ799" s="52"/>
      <c r="BK799" s="52"/>
      <c r="BL799" s="52"/>
      <c r="BM799" s="54"/>
    </row>
    <row r="800">
      <c r="A800" s="42"/>
      <c r="B800" s="52"/>
      <c r="C800" s="52"/>
      <c r="D800" s="52"/>
      <c r="E800" s="52"/>
      <c r="F800" s="81"/>
      <c r="G800" s="57"/>
      <c r="H800" s="48"/>
      <c r="I800" s="77"/>
      <c r="J800" s="62"/>
      <c r="K800" s="52"/>
      <c r="L800" s="52"/>
      <c r="M800" s="76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62"/>
      <c r="AB800" s="52"/>
      <c r="AC800" s="52"/>
      <c r="AD800" s="52"/>
      <c r="AE800" s="52"/>
      <c r="AF800" s="52"/>
      <c r="AG800" s="52"/>
      <c r="AH800" s="48"/>
      <c r="AI800" s="48"/>
      <c r="AJ800" s="48"/>
      <c r="AK800" s="53"/>
      <c r="AL800" s="53"/>
      <c r="AM800" s="53"/>
      <c r="AN800" s="53"/>
      <c r="AO800" s="53"/>
      <c r="AP800" s="53"/>
      <c r="AQ800" s="53"/>
      <c r="AR800" s="53"/>
      <c r="AS800" s="53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52"/>
      <c r="BG800" s="52"/>
      <c r="BH800" s="52"/>
      <c r="BI800" s="52"/>
      <c r="BJ800" s="52"/>
      <c r="BK800" s="52"/>
      <c r="BL800" s="52"/>
      <c r="BM800" s="54"/>
    </row>
    <row r="801">
      <c r="A801" s="42"/>
      <c r="B801" s="52"/>
      <c r="C801" s="52"/>
      <c r="D801" s="52"/>
      <c r="E801" s="52"/>
      <c r="F801" s="81"/>
      <c r="G801" s="57"/>
      <c r="H801" s="48"/>
      <c r="I801" s="77"/>
      <c r="J801" s="62"/>
      <c r="K801" s="52"/>
      <c r="L801" s="52"/>
      <c r="M801" s="76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62"/>
      <c r="AB801" s="52"/>
      <c r="AC801" s="52"/>
      <c r="AD801" s="52"/>
      <c r="AE801" s="52"/>
      <c r="AF801" s="52"/>
      <c r="AG801" s="52"/>
      <c r="AH801" s="48"/>
      <c r="AI801" s="48"/>
      <c r="AJ801" s="48"/>
      <c r="AK801" s="53"/>
      <c r="AL801" s="53"/>
      <c r="AM801" s="53"/>
      <c r="AN801" s="53"/>
      <c r="AO801" s="53"/>
      <c r="AP801" s="53"/>
      <c r="AQ801" s="53"/>
      <c r="AR801" s="53"/>
      <c r="AS801" s="53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52"/>
      <c r="BG801" s="52"/>
      <c r="BH801" s="52"/>
      <c r="BI801" s="52"/>
      <c r="BJ801" s="52"/>
      <c r="BK801" s="52"/>
      <c r="BL801" s="52"/>
      <c r="BM801" s="54"/>
    </row>
    <row r="802">
      <c r="A802" s="42"/>
      <c r="B802" s="52"/>
      <c r="C802" s="52"/>
      <c r="D802" s="52"/>
      <c r="E802" s="52"/>
      <c r="F802" s="81"/>
      <c r="G802" s="57"/>
      <c r="H802" s="48"/>
      <c r="I802" s="77"/>
      <c r="J802" s="62"/>
      <c r="K802" s="52"/>
      <c r="L802" s="52"/>
      <c r="M802" s="76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62"/>
      <c r="AB802" s="52"/>
      <c r="AC802" s="52"/>
      <c r="AD802" s="52"/>
      <c r="AE802" s="52"/>
      <c r="AF802" s="52"/>
      <c r="AG802" s="52"/>
      <c r="AH802" s="48"/>
      <c r="AI802" s="48"/>
      <c r="AJ802" s="48"/>
      <c r="AK802" s="53"/>
      <c r="AL802" s="53"/>
      <c r="AM802" s="53"/>
      <c r="AN802" s="53"/>
      <c r="AO802" s="53"/>
      <c r="AP802" s="53"/>
      <c r="AQ802" s="53"/>
      <c r="AR802" s="53"/>
      <c r="AS802" s="53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52"/>
      <c r="BG802" s="52"/>
      <c r="BH802" s="52"/>
      <c r="BI802" s="52"/>
      <c r="BJ802" s="52"/>
      <c r="BK802" s="52"/>
      <c r="BL802" s="52"/>
      <c r="BM802" s="54"/>
    </row>
    <row r="803">
      <c r="A803" s="42"/>
      <c r="B803" s="52"/>
      <c r="C803" s="52"/>
      <c r="D803" s="52"/>
      <c r="E803" s="52"/>
      <c r="F803" s="81"/>
      <c r="G803" s="57"/>
      <c r="H803" s="48"/>
      <c r="I803" s="77"/>
      <c r="J803" s="62"/>
      <c r="K803" s="52"/>
      <c r="L803" s="52"/>
      <c r="M803" s="76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62"/>
      <c r="AB803" s="52"/>
      <c r="AC803" s="52"/>
      <c r="AD803" s="52"/>
      <c r="AE803" s="52"/>
      <c r="AF803" s="52"/>
      <c r="AG803" s="52"/>
      <c r="AH803" s="48"/>
      <c r="AI803" s="48"/>
      <c r="AJ803" s="48"/>
      <c r="AK803" s="53"/>
      <c r="AL803" s="53"/>
      <c r="AM803" s="53"/>
      <c r="AN803" s="53"/>
      <c r="AO803" s="53"/>
      <c r="AP803" s="53"/>
      <c r="AQ803" s="53"/>
      <c r="AR803" s="53"/>
      <c r="AS803" s="53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52"/>
      <c r="BG803" s="52"/>
      <c r="BH803" s="52"/>
      <c r="BI803" s="52"/>
      <c r="BJ803" s="52"/>
      <c r="BK803" s="52"/>
      <c r="BL803" s="52"/>
      <c r="BM803" s="54"/>
    </row>
    <row r="804">
      <c r="A804" s="42"/>
      <c r="B804" s="52"/>
      <c r="C804" s="52"/>
      <c r="D804" s="52"/>
      <c r="E804" s="52"/>
      <c r="F804" s="81"/>
      <c r="G804" s="57"/>
      <c r="H804" s="48"/>
      <c r="I804" s="77"/>
      <c r="J804" s="62"/>
      <c r="K804" s="52"/>
      <c r="L804" s="52"/>
      <c r="M804" s="76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62"/>
      <c r="AB804" s="52"/>
      <c r="AC804" s="52"/>
      <c r="AD804" s="52"/>
      <c r="AE804" s="52"/>
      <c r="AF804" s="52"/>
      <c r="AG804" s="52"/>
      <c r="AH804" s="48"/>
      <c r="AI804" s="48"/>
      <c r="AJ804" s="48"/>
      <c r="AK804" s="53"/>
      <c r="AL804" s="53"/>
      <c r="AM804" s="53"/>
      <c r="AN804" s="53"/>
      <c r="AO804" s="53"/>
      <c r="AP804" s="53"/>
      <c r="AQ804" s="53"/>
      <c r="AR804" s="53"/>
      <c r="AS804" s="53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52"/>
      <c r="BG804" s="52"/>
      <c r="BH804" s="52"/>
      <c r="BI804" s="52"/>
      <c r="BJ804" s="52"/>
      <c r="BK804" s="52"/>
      <c r="BL804" s="52"/>
      <c r="BM804" s="54"/>
    </row>
    <row r="805">
      <c r="A805" s="42"/>
      <c r="B805" s="52"/>
      <c r="C805" s="52"/>
      <c r="D805" s="52"/>
      <c r="E805" s="52"/>
      <c r="F805" s="81"/>
      <c r="G805" s="57"/>
      <c r="H805" s="48"/>
      <c r="I805" s="77"/>
      <c r="J805" s="62"/>
      <c r="K805" s="52"/>
      <c r="L805" s="52"/>
      <c r="M805" s="76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62"/>
      <c r="AB805" s="52"/>
      <c r="AC805" s="52"/>
      <c r="AD805" s="52"/>
      <c r="AE805" s="52"/>
      <c r="AF805" s="52"/>
      <c r="AG805" s="52"/>
      <c r="AH805" s="48"/>
      <c r="AI805" s="48"/>
      <c r="AJ805" s="48"/>
      <c r="AK805" s="53"/>
      <c r="AL805" s="53"/>
      <c r="AM805" s="53"/>
      <c r="AN805" s="53"/>
      <c r="AO805" s="53"/>
      <c r="AP805" s="53"/>
      <c r="AQ805" s="53"/>
      <c r="AR805" s="53"/>
      <c r="AS805" s="53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52"/>
      <c r="BG805" s="52"/>
      <c r="BH805" s="52"/>
      <c r="BI805" s="52"/>
      <c r="BJ805" s="52"/>
      <c r="BK805" s="52"/>
      <c r="BL805" s="52"/>
      <c r="BM805" s="54"/>
    </row>
    <row r="806">
      <c r="A806" s="42"/>
      <c r="B806" s="52"/>
      <c r="C806" s="52"/>
      <c r="D806" s="52"/>
      <c r="E806" s="52"/>
      <c r="F806" s="81"/>
      <c r="G806" s="57"/>
      <c r="H806" s="48"/>
      <c r="I806" s="77"/>
      <c r="J806" s="62"/>
      <c r="K806" s="52"/>
      <c r="L806" s="52"/>
      <c r="M806" s="76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62"/>
      <c r="AB806" s="52"/>
      <c r="AC806" s="52"/>
      <c r="AD806" s="52"/>
      <c r="AE806" s="52"/>
      <c r="AF806" s="52"/>
      <c r="AG806" s="52"/>
      <c r="AH806" s="48"/>
      <c r="AI806" s="48"/>
      <c r="AJ806" s="48"/>
      <c r="AK806" s="53"/>
      <c r="AL806" s="53"/>
      <c r="AM806" s="53"/>
      <c r="AN806" s="53"/>
      <c r="AO806" s="53"/>
      <c r="AP806" s="53"/>
      <c r="AQ806" s="53"/>
      <c r="AR806" s="53"/>
      <c r="AS806" s="53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52"/>
      <c r="BG806" s="52"/>
      <c r="BH806" s="52"/>
      <c r="BI806" s="52"/>
      <c r="BJ806" s="52"/>
      <c r="BK806" s="52"/>
      <c r="BL806" s="52"/>
      <c r="BM806" s="54"/>
    </row>
    <row r="807">
      <c r="A807" s="42"/>
      <c r="B807" s="52"/>
      <c r="C807" s="52"/>
      <c r="D807" s="52"/>
      <c r="E807" s="52"/>
      <c r="F807" s="81"/>
      <c r="G807" s="57"/>
      <c r="H807" s="48"/>
      <c r="I807" s="77"/>
      <c r="J807" s="62"/>
      <c r="K807" s="52"/>
      <c r="L807" s="52"/>
      <c r="M807" s="76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62"/>
      <c r="AB807" s="52"/>
      <c r="AC807" s="52"/>
      <c r="AD807" s="52"/>
      <c r="AE807" s="52"/>
      <c r="AF807" s="52"/>
      <c r="AG807" s="52"/>
      <c r="AH807" s="48"/>
      <c r="AI807" s="48"/>
      <c r="AJ807" s="48"/>
      <c r="AK807" s="53"/>
      <c r="AL807" s="53"/>
      <c r="AM807" s="53"/>
      <c r="AN807" s="53"/>
      <c r="AO807" s="53"/>
      <c r="AP807" s="53"/>
      <c r="AQ807" s="53"/>
      <c r="AR807" s="53"/>
      <c r="AS807" s="53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52"/>
      <c r="BG807" s="52"/>
      <c r="BH807" s="52"/>
      <c r="BI807" s="52"/>
      <c r="BJ807" s="52"/>
      <c r="BK807" s="52"/>
      <c r="BL807" s="52"/>
      <c r="BM807" s="54"/>
    </row>
    <row r="808">
      <c r="A808" s="42"/>
      <c r="B808" s="52"/>
      <c r="C808" s="52"/>
      <c r="D808" s="52"/>
      <c r="E808" s="52"/>
      <c r="F808" s="81"/>
      <c r="G808" s="57"/>
      <c r="H808" s="48"/>
      <c r="I808" s="77"/>
      <c r="J808" s="62"/>
      <c r="K808" s="52"/>
      <c r="L808" s="52"/>
      <c r="M808" s="76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62"/>
      <c r="AB808" s="52"/>
      <c r="AC808" s="52"/>
      <c r="AD808" s="52"/>
      <c r="AE808" s="52"/>
      <c r="AF808" s="52"/>
      <c r="AG808" s="52"/>
      <c r="AH808" s="48"/>
      <c r="AI808" s="48"/>
      <c r="AJ808" s="48"/>
      <c r="AK808" s="53"/>
      <c r="AL808" s="53"/>
      <c r="AM808" s="53"/>
      <c r="AN808" s="53"/>
      <c r="AO808" s="53"/>
      <c r="AP808" s="53"/>
      <c r="AQ808" s="53"/>
      <c r="AR808" s="53"/>
      <c r="AS808" s="53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52"/>
      <c r="BG808" s="52"/>
      <c r="BH808" s="52"/>
      <c r="BI808" s="52"/>
      <c r="BJ808" s="52"/>
      <c r="BK808" s="52"/>
      <c r="BL808" s="52"/>
      <c r="BM808" s="54"/>
    </row>
    <row r="809">
      <c r="A809" s="42"/>
      <c r="B809" s="52"/>
      <c r="C809" s="52"/>
      <c r="D809" s="52"/>
      <c r="E809" s="52"/>
      <c r="F809" s="81"/>
      <c r="G809" s="57"/>
      <c r="H809" s="48"/>
      <c r="I809" s="77"/>
      <c r="J809" s="62"/>
      <c r="K809" s="52"/>
      <c r="L809" s="52"/>
      <c r="M809" s="76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62"/>
      <c r="AB809" s="52"/>
      <c r="AC809" s="52"/>
      <c r="AD809" s="52"/>
      <c r="AE809" s="52"/>
      <c r="AF809" s="52"/>
      <c r="AG809" s="52"/>
      <c r="AH809" s="48"/>
      <c r="AI809" s="48"/>
      <c r="AJ809" s="48"/>
      <c r="AK809" s="53"/>
      <c r="AL809" s="53"/>
      <c r="AM809" s="53"/>
      <c r="AN809" s="53"/>
      <c r="AO809" s="53"/>
      <c r="AP809" s="53"/>
      <c r="AQ809" s="53"/>
      <c r="AR809" s="53"/>
      <c r="AS809" s="53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52"/>
      <c r="BG809" s="52"/>
      <c r="BH809" s="52"/>
      <c r="BI809" s="52"/>
      <c r="BJ809" s="52"/>
      <c r="BK809" s="52"/>
      <c r="BL809" s="52"/>
      <c r="BM809" s="54"/>
    </row>
    <row r="810">
      <c r="A810" s="42"/>
      <c r="B810" s="52"/>
      <c r="C810" s="52"/>
      <c r="D810" s="52"/>
      <c r="E810" s="52"/>
      <c r="F810" s="81"/>
      <c r="G810" s="57"/>
      <c r="H810" s="48"/>
      <c r="I810" s="77"/>
      <c r="J810" s="62"/>
      <c r="K810" s="52"/>
      <c r="L810" s="52"/>
      <c r="M810" s="76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62"/>
      <c r="AB810" s="52"/>
      <c r="AC810" s="52"/>
      <c r="AD810" s="52"/>
      <c r="AE810" s="52"/>
      <c r="AF810" s="52"/>
      <c r="AG810" s="52"/>
      <c r="AH810" s="48"/>
      <c r="AI810" s="48"/>
      <c r="AJ810" s="48"/>
      <c r="AK810" s="53"/>
      <c r="AL810" s="53"/>
      <c r="AM810" s="53"/>
      <c r="AN810" s="53"/>
      <c r="AO810" s="53"/>
      <c r="AP810" s="53"/>
      <c r="AQ810" s="53"/>
      <c r="AR810" s="53"/>
      <c r="AS810" s="53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52"/>
      <c r="BG810" s="52"/>
      <c r="BH810" s="52"/>
      <c r="BI810" s="52"/>
      <c r="BJ810" s="52"/>
      <c r="BK810" s="52"/>
      <c r="BL810" s="52"/>
      <c r="BM810" s="54"/>
    </row>
    <row r="811">
      <c r="A811" s="42"/>
      <c r="B811" s="52"/>
      <c r="C811" s="52"/>
      <c r="D811" s="52"/>
      <c r="E811" s="52"/>
      <c r="F811" s="81"/>
      <c r="G811" s="57"/>
      <c r="H811" s="48"/>
      <c r="I811" s="77"/>
      <c r="J811" s="62"/>
      <c r="K811" s="52"/>
      <c r="L811" s="52"/>
      <c r="M811" s="76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62"/>
      <c r="AB811" s="52"/>
      <c r="AC811" s="52"/>
      <c r="AD811" s="52"/>
      <c r="AE811" s="52"/>
      <c r="AF811" s="52"/>
      <c r="AG811" s="52"/>
      <c r="AH811" s="48"/>
      <c r="AI811" s="48"/>
      <c r="AJ811" s="48"/>
      <c r="AK811" s="53"/>
      <c r="AL811" s="53"/>
      <c r="AM811" s="53"/>
      <c r="AN811" s="53"/>
      <c r="AO811" s="53"/>
      <c r="AP811" s="53"/>
      <c r="AQ811" s="53"/>
      <c r="AR811" s="53"/>
      <c r="AS811" s="53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52"/>
      <c r="BG811" s="52"/>
      <c r="BH811" s="52"/>
      <c r="BI811" s="52"/>
      <c r="BJ811" s="52"/>
      <c r="BK811" s="52"/>
      <c r="BL811" s="52"/>
      <c r="BM811" s="54"/>
    </row>
    <row r="812">
      <c r="A812" s="42"/>
      <c r="B812" s="52"/>
      <c r="C812" s="52"/>
      <c r="D812" s="52"/>
      <c r="E812" s="52"/>
      <c r="F812" s="81"/>
      <c r="G812" s="57"/>
      <c r="H812" s="48"/>
      <c r="I812" s="77"/>
      <c r="J812" s="62"/>
      <c r="K812" s="52"/>
      <c r="L812" s="52"/>
      <c r="M812" s="76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62"/>
      <c r="AB812" s="52"/>
      <c r="AC812" s="52"/>
      <c r="AD812" s="52"/>
      <c r="AE812" s="52"/>
      <c r="AF812" s="52"/>
      <c r="AG812" s="52"/>
      <c r="AH812" s="48"/>
      <c r="AI812" s="48"/>
      <c r="AJ812" s="48"/>
      <c r="AK812" s="53"/>
      <c r="AL812" s="53"/>
      <c r="AM812" s="53"/>
      <c r="AN812" s="53"/>
      <c r="AO812" s="53"/>
      <c r="AP812" s="53"/>
      <c r="AQ812" s="53"/>
      <c r="AR812" s="53"/>
      <c r="AS812" s="53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52"/>
      <c r="BG812" s="52"/>
      <c r="BH812" s="52"/>
      <c r="BI812" s="52"/>
      <c r="BJ812" s="52"/>
      <c r="BK812" s="52"/>
      <c r="BL812" s="52"/>
      <c r="BM812" s="54"/>
    </row>
    <row r="813">
      <c r="A813" s="42"/>
      <c r="B813" s="52"/>
      <c r="C813" s="52"/>
      <c r="D813" s="52"/>
      <c r="E813" s="52"/>
      <c r="F813" s="81"/>
      <c r="G813" s="57"/>
      <c r="H813" s="48"/>
      <c r="I813" s="77"/>
      <c r="J813" s="62"/>
      <c r="K813" s="52"/>
      <c r="L813" s="52"/>
      <c r="M813" s="76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62"/>
      <c r="AB813" s="52"/>
      <c r="AC813" s="52"/>
      <c r="AD813" s="52"/>
      <c r="AE813" s="52"/>
      <c r="AF813" s="52"/>
      <c r="AG813" s="52"/>
      <c r="AH813" s="48"/>
      <c r="AI813" s="48"/>
      <c r="AJ813" s="48"/>
      <c r="AK813" s="53"/>
      <c r="AL813" s="53"/>
      <c r="AM813" s="53"/>
      <c r="AN813" s="53"/>
      <c r="AO813" s="53"/>
      <c r="AP813" s="53"/>
      <c r="AQ813" s="53"/>
      <c r="AR813" s="53"/>
      <c r="AS813" s="53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52"/>
      <c r="BG813" s="52"/>
      <c r="BH813" s="52"/>
      <c r="BI813" s="52"/>
      <c r="BJ813" s="52"/>
      <c r="BK813" s="52"/>
      <c r="BL813" s="52"/>
      <c r="BM813" s="54"/>
    </row>
    <row r="814">
      <c r="A814" s="42"/>
      <c r="B814" s="52"/>
      <c r="C814" s="52"/>
      <c r="D814" s="52"/>
      <c r="E814" s="52"/>
      <c r="F814" s="81"/>
      <c r="G814" s="57"/>
      <c r="H814" s="48"/>
      <c r="I814" s="77"/>
      <c r="J814" s="62"/>
      <c r="K814" s="52"/>
      <c r="L814" s="52"/>
      <c r="M814" s="76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62"/>
      <c r="AB814" s="52"/>
      <c r="AC814" s="52"/>
      <c r="AD814" s="52"/>
      <c r="AE814" s="52"/>
      <c r="AF814" s="52"/>
      <c r="AG814" s="52"/>
      <c r="AH814" s="48"/>
      <c r="AI814" s="48"/>
      <c r="AJ814" s="48"/>
      <c r="AK814" s="53"/>
      <c r="AL814" s="53"/>
      <c r="AM814" s="53"/>
      <c r="AN814" s="53"/>
      <c r="AO814" s="53"/>
      <c r="AP814" s="53"/>
      <c r="AQ814" s="53"/>
      <c r="AR814" s="53"/>
      <c r="AS814" s="53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52"/>
      <c r="BG814" s="52"/>
      <c r="BH814" s="52"/>
      <c r="BI814" s="52"/>
      <c r="BJ814" s="52"/>
      <c r="BK814" s="52"/>
      <c r="BL814" s="52"/>
      <c r="BM814" s="54"/>
    </row>
    <row r="815">
      <c r="A815" s="42"/>
      <c r="B815" s="52"/>
      <c r="C815" s="52"/>
      <c r="D815" s="52"/>
      <c r="E815" s="52"/>
      <c r="F815" s="81"/>
      <c r="G815" s="57"/>
      <c r="H815" s="48"/>
      <c r="I815" s="77"/>
      <c r="J815" s="62"/>
      <c r="K815" s="52"/>
      <c r="L815" s="52"/>
      <c r="M815" s="76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62"/>
      <c r="AB815" s="52"/>
      <c r="AC815" s="52"/>
      <c r="AD815" s="52"/>
      <c r="AE815" s="52"/>
      <c r="AF815" s="52"/>
      <c r="AG815" s="52"/>
      <c r="AH815" s="48"/>
      <c r="AI815" s="48"/>
      <c r="AJ815" s="48"/>
      <c r="AK815" s="53"/>
      <c r="AL815" s="53"/>
      <c r="AM815" s="53"/>
      <c r="AN815" s="53"/>
      <c r="AO815" s="53"/>
      <c r="AP815" s="53"/>
      <c r="AQ815" s="53"/>
      <c r="AR815" s="53"/>
      <c r="AS815" s="53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52"/>
      <c r="BG815" s="52"/>
      <c r="BH815" s="52"/>
      <c r="BI815" s="52"/>
      <c r="BJ815" s="52"/>
      <c r="BK815" s="52"/>
      <c r="BL815" s="52"/>
      <c r="BM815" s="54"/>
    </row>
    <row r="816">
      <c r="A816" s="42"/>
      <c r="B816" s="52"/>
      <c r="C816" s="52"/>
      <c r="D816" s="52"/>
      <c r="E816" s="52"/>
      <c r="F816" s="81"/>
      <c r="G816" s="57"/>
      <c r="H816" s="48"/>
      <c r="I816" s="77"/>
      <c r="J816" s="62"/>
      <c r="K816" s="52"/>
      <c r="L816" s="52"/>
      <c r="M816" s="76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62"/>
      <c r="AB816" s="52"/>
      <c r="AC816" s="52"/>
      <c r="AD816" s="52"/>
      <c r="AE816" s="52"/>
      <c r="AF816" s="52"/>
      <c r="AG816" s="52"/>
      <c r="AH816" s="48"/>
      <c r="AI816" s="48"/>
      <c r="AJ816" s="48"/>
      <c r="AK816" s="53"/>
      <c r="AL816" s="53"/>
      <c r="AM816" s="53"/>
      <c r="AN816" s="53"/>
      <c r="AO816" s="53"/>
      <c r="AP816" s="53"/>
      <c r="AQ816" s="53"/>
      <c r="AR816" s="53"/>
      <c r="AS816" s="53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52"/>
      <c r="BG816" s="52"/>
      <c r="BH816" s="52"/>
      <c r="BI816" s="52"/>
      <c r="BJ816" s="52"/>
      <c r="BK816" s="52"/>
      <c r="BL816" s="52"/>
      <c r="BM816" s="54"/>
    </row>
    <row r="817">
      <c r="A817" s="42"/>
      <c r="B817" s="52"/>
      <c r="C817" s="52"/>
      <c r="D817" s="52"/>
      <c r="E817" s="52"/>
      <c r="F817" s="81"/>
      <c r="G817" s="57"/>
      <c r="H817" s="48"/>
      <c r="I817" s="77"/>
      <c r="J817" s="62"/>
      <c r="K817" s="52"/>
      <c r="L817" s="52"/>
      <c r="M817" s="76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62"/>
      <c r="AB817" s="52"/>
      <c r="AC817" s="52"/>
      <c r="AD817" s="52"/>
      <c r="AE817" s="52"/>
      <c r="AF817" s="52"/>
      <c r="AG817" s="52"/>
      <c r="AH817" s="48"/>
      <c r="AI817" s="48"/>
      <c r="AJ817" s="48"/>
      <c r="AK817" s="53"/>
      <c r="AL817" s="53"/>
      <c r="AM817" s="53"/>
      <c r="AN817" s="53"/>
      <c r="AO817" s="53"/>
      <c r="AP817" s="53"/>
      <c r="AQ817" s="53"/>
      <c r="AR817" s="53"/>
      <c r="AS817" s="53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52"/>
      <c r="BG817" s="52"/>
      <c r="BH817" s="52"/>
      <c r="BI817" s="52"/>
      <c r="BJ817" s="52"/>
      <c r="BK817" s="52"/>
      <c r="BL817" s="52"/>
      <c r="BM817" s="54"/>
    </row>
    <row r="818">
      <c r="A818" s="42"/>
      <c r="B818" s="52"/>
      <c r="C818" s="52"/>
      <c r="D818" s="52"/>
      <c r="E818" s="52"/>
      <c r="F818" s="81"/>
      <c r="G818" s="57"/>
      <c r="H818" s="48"/>
      <c r="I818" s="77"/>
      <c r="J818" s="62"/>
      <c r="K818" s="52"/>
      <c r="L818" s="52"/>
      <c r="M818" s="76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62"/>
      <c r="AB818" s="52"/>
      <c r="AC818" s="52"/>
      <c r="AD818" s="52"/>
      <c r="AE818" s="52"/>
      <c r="AF818" s="52"/>
      <c r="AG818" s="52"/>
      <c r="AH818" s="48"/>
      <c r="AI818" s="48"/>
      <c r="AJ818" s="48"/>
      <c r="AK818" s="53"/>
      <c r="AL818" s="53"/>
      <c r="AM818" s="53"/>
      <c r="AN818" s="53"/>
      <c r="AO818" s="53"/>
      <c r="AP818" s="53"/>
      <c r="AQ818" s="53"/>
      <c r="AR818" s="53"/>
      <c r="AS818" s="53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52"/>
      <c r="BG818" s="52"/>
      <c r="BH818" s="52"/>
      <c r="BI818" s="52"/>
      <c r="BJ818" s="52"/>
      <c r="BK818" s="52"/>
      <c r="BL818" s="52"/>
      <c r="BM818" s="54"/>
    </row>
    <row r="819">
      <c r="A819" s="42"/>
      <c r="B819" s="52"/>
      <c r="C819" s="52"/>
      <c r="D819" s="52"/>
      <c r="E819" s="52"/>
      <c r="F819" s="81"/>
      <c r="G819" s="57"/>
      <c r="H819" s="48"/>
      <c r="I819" s="77"/>
      <c r="J819" s="62"/>
      <c r="K819" s="52"/>
      <c r="L819" s="52"/>
      <c r="M819" s="76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62"/>
      <c r="AB819" s="52"/>
      <c r="AC819" s="52"/>
      <c r="AD819" s="52"/>
      <c r="AE819" s="52"/>
      <c r="AF819" s="52"/>
      <c r="AG819" s="52"/>
      <c r="AH819" s="48"/>
      <c r="AI819" s="48"/>
      <c r="AJ819" s="48"/>
      <c r="AK819" s="53"/>
      <c r="AL819" s="53"/>
      <c r="AM819" s="53"/>
      <c r="AN819" s="53"/>
      <c r="AO819" s="53"/>
      <c r="AP819" s="53"/>
      <c r="AQ819" s="53"/>
      <c r="AR819" s="53"/>
      <c r="AS819" s="53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52"/>
      <c r="BG819" s="52"/>
      <c r="BH819" s="52"/>
      <c r="BI819" s="52"/>
      <c r="BJ819" s="52"/>
      <c r="BK819" s="52"/>
      <c r="BL819" s="52"/>
      <c r="BM819" s="54"/>
    </row>
    <row r="820">
      <c r="A820" s="42"/>
      <c r="B820" s="52"/>
      <c r="C820" s="52"/>
      <c r="D820" s="52"/>
      <c r="E820" s="52"/>
      <c r="F820" s="81"/>
      <c r="G820" s="57"/>
      <c r="H820" s="48"/>
      <c r="I820" s="77"/>
      <c r="J820" s="62"/>
      <c r="K820" s="52"/>
      <c r="L820" s="52"/>
      <c r="M820" s="76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62"/>
      <c r="AB820" s="52"/>
      <c r="AC820" s="52"/>
      <c r="AD820" s="52"/>
      <c r="AE820" s="52"/>
      <c r="AF820" s="52"/>
      <c r="AG820" s="52"/>
      <c r="AH820" s="48"/>
      <c r="AI820" s="48"/>
      <c r="AJ820" s="48"/>
      <c r="AK820" s="53"/>
      <c r="AL820" s="53"/>
      <c r="AM820" s="53"/>
      <c r="AN820" s="53"/>
      <c r="AO820" s="53"/>
      <c r="AP820" s="53"/>
      <c r="AQ820" s="53"/>
      <c r="AR820" s="53"/>
      <c r="AS820" s="53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52"/>
      <c r="BG820" s="52"/>
      <c r="BH820" s="52"/>
      <c r="BI820" s="52"/>
      <c r="BJ820" s="52"/>
      <c r="BK820" s="52"/>
      <c r="BL820" s="52"/>
      <c r="BM820" s="54"/>
    </row>
    <row r="821">
      <c r="A821" s="42"/>
      <c r="B821" s="52"/>
      <c r="C821" s="52"/>
      <c r="D821" s="52"/>
      <c r="E821" s="52"/>
      <c r="F821" s="81"/>
      <c r="G821" s="57"/>
      <c r="H821" s="48"/>
      <c r="I821" s="77"/>
      <c r="J821" s="62"/>
      <c r="K821" s="52"/>
      <c r="L821" s="52"/>
      <c r="M821" s="76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62"/>
      <c r="AB821" s="52"/>
      <c r="AC821" s="52"/>
      <c r="AD821" s="52"/>
      <c r="AE821" s="52"/>
      <c r="AF821" s="52"/>
      <c r="AG821" s="52"/>
      <c r="AH821" s="48"/>
      <c r="AI821" s="48"/>
      <c r="AJ821" s="48"/>
      <c r="AK821" s="53"/>
      <c r="AL821" s="53"/>
      <c r="AM821" s="53"/>
      <c r="AN821" s="53"/>
      <c r="AO821" s="53"/>
      <c r="AP821" s="53"/>
      <c r="AQ821" s="53"/>
      <c r="AR821" s="53"/>
      <c r="AS821" s="53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52"/>
      <c r="BG821" s="52"/>
      <c r="BH821" s="52"/>
      <c r="BI821" s="52"/>
      <c r="BJ821" s="52"/>
      <c r="BK821" s="52"/>
      <c r="BL821" s="52"/>
      <c r="BM821" s="54"/>
    </row>
    <row r="822">
      <c r="A822" s="42"/>
      <c r="B822" s="52"/>
      <c r="C822" s="52"/>
      <c r="D822" s="52"/>
      <c r="E822" s="52"/>
      <c r="F822" s="81"/>
      <c r="G822" s="57"/>
      <c r="H822" s="48"/>
      <c r="I822" s="77"/>
      <c r="J822" s="62"/>
      <c r="K822" s="52"/>
      <c r="L822" s="52"/>
      <c r="M822" s="76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62"/>
      <c r="AB822" s="52"/>
      <c r="AC822" s="52"/>
      <c r="AD822" s="52"/>
      <c r="AE822" s="52"/>
      <c r="AF822" s="52"/>
      <c r="AG822" s="52"/>
      <c r="AH822" s="48"/>
      <c r="AI822" s="48"/>
      <c r="AJ822" s="48"/>
      <c r="AK822" s="53"/>
      <c r="AL822" s="53"/>
      <c r="AM822" s="53"/>
      <c r="AN822" s="53"/>
      <c r="AO822" s="53"/>
      <c r="AP822" s="53"/>
      <c r="AQ822" s="53"/>
      <c r="AR822" s="53"/>
      <c r="AS822" s="53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52"/>
      <c r="BG822" s="52"/>
      <c r="BH822" s="52"/>
      <c r="BI822" s="52"/>
      <c r="BJ822" s="52"/>
      <c r="BK822" s="52"/>
      <c r="BL822" s="52"/>
      <c r="BM822" s="54"/>
    </row>
    <row r="823">
      <c r="A823" s="42"/>
      <c r="B823" s="52"/>
      <c r="C823" s="52"/>
      <c r="D823" s="52"/>
      <c r="E823" s="52"/>
      <c r="F823" s="81"/>
      <c r="G823" s="57"/>
      <c r="H823" s="48"/>
      <c r="I823" s="77"/>
      <c r="J823" s="62"/>
      <c r="K823" s="52"/>
      <c r="L823" s="52"/>
      <c r="M823" s="76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62"/>
      <c r="AB823" s="52"/>
      <c r="AC823" s="52"/>
      <c r="AD823" s="52"/>
      <c r="AE823" s="52"/>
      <c r="AF823" s="52"/>
      <c r="AG823" s="52"/>
      <c r="AH823" s="48"/>
      <c r="AI823" s="48"/>
      <c r="AJ823" s="48"/>
      <c r="AK823" s="53"/>
      <c r="AL823" s="53"/>
      <c r="AM823" s="53"/>
      <c r="AN823" s="53"/>
      <c r="AO823" s="53"/>
      <c r="AP823" s="53"/>
      <c r="AQ823" s="53"/>
      <c r="AR823" s="53"/>
      <c r="AS823" s="53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52"/>
      <c r="BG823" s="52"/>
      <c r="BH823" s="52"/>
      <c r="BI823" s="52"/>
      <c r="BJ823" s="52"/>
      <c r="BK823" s="52"/>
      <c r="BL823" s="52"/>
      <c r="BM823" s="54"/>
    </row>
    <row r="824">
      <c r="A824" s="42"/>
      <c r="B824" s="52"/>
      <c r="C824" s="52"/>
      <c r="D824" s="52"/>
      <c r="E824" s="52"/>
      <c r="F824" s="81"/>
      <c r="G824" s="57"/>
      <c r="H824" s="48"/>
      <c r="I824" s="77"/>
      <c r="J824" s="62"/>
      <c r="K824" s="52"/>
      <c r="L824" s="52"/>
      <c r="M824" s="76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62"/>
      <c r="AB824" s="52"/>
      <c r="AC824" s="52"/>
      <c r="AD824" s="52"/>
      <c r="AE824" s="52"/>
      <c r="AF824" s="52"/>
      <c r="AG824" s="52"/>
      <c r="AH824" s="48"/>
      <c r="AI824" s="48"/>
      <c r="AJ824" s="48"/>
      <c r="AK824" s="53"/>
      <c r="AL824" s="53"/>
      <c r="AM824" s="53"/>
      <c r="AN824" s="53"/>
      <c r="AO824" s="53"/>
      <c r="AP824" s="53"/>
      <c r="AQ824" s="53"/>
      <c r="AR824" s="53"/>
      <c r="AS824" s="53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52"/>
      <c r="BG824" s="52"/>
      <c r="BH824" s="52"/>
      <c r="BI824" s="52"/>
      <c r="BJ824" s="52"/>
      <c r="BK824" s="52"/>
      <c r="BL824" s="52"/>
      <c r="BM824" s="54"/>
    </row>
    <row r="825">
      <c r="A825" s="42"/>
      <c r="B825" s="52"/>
      <c r="C825" s="52"/>
      <c r="D825" s="52"/>
      <c r="E825" s="52"/>
      <c r="F825" s="81"/>
      <c r="G825" s="57"/>
      <c r="H825" s="48"/>
      <c r="I825" s="77"/>
      <c r="J825" s="62"/>
      <c r="K825" s="52"/>
      <c r="L825" s="52"/>
      <c r="M825" s="76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62"/>
      <c r="AB825" s="52"/>
      <c r="AC825" s="52"/>
      <c r="AD825" s="52"/>
      <c r="AE825" s="52"/>
      <c r="AF825" s="52"/>
      <c r="AG825" s="52"/>
      <c r="AH825" s="48"/>
      <c r="AI825" s="48"/>
      <c r="AJ825" s="48"/>
      <c r="AK825" s="53"/>
      <c r="AL825" s="53"/>
      <c r="AM825" s="53"/>
      <c r="AN825" s="53"/>
      <c r="AO825" s="53"/>
      <c r="AP825" s="53"/>
      <c r="AQ825" s="53"/>
      <c r="AR825" s="53"/>
      <c r="AS825" s="53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52"/>
      <c r="BG825" s="52"/>
      <c r="BH825" s="52"/>
      <c r="BI825" s="52"/>
      <c r="BJ825" s="52"/>
      <c r="BK825" s="52"/>
      <c r="BL825" s="52"/>
      <c r="BM825" s="54"/>
    </row>
    <row r="826">
      <c r="A826" s="42"/>
      <c r="B826" s="52"/>
      <c r="C826" s="52"/>
      <c r="D826" s="52"/>
      <c r="E826" s="52"/>
      <c r="F826" s="81"/>
      <c r="G826" s="57"/>
      <c r="H826" s="48"/>
      <c r="I826" s="77"/>
      <c r="J826" s="62"/>
      <c r="K826" s="52"/>
      <c r="L826" s="52"/>
      <c r="M826" s="76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62"/>
      <c r="AB826" s="52"/>
      <c r="AC826" s="52"/>
      <c r="AD826" s="52"/>
      <c r="AE826" s="52"/>
      <c r="AF826" s="52"/>
      <c r="AG826" s="52"/>
      <c r="AH826" s="48"/>
      <c r="AI826" s="48"/>
      <c r="AJ826" s="48"/>
      <c r="AK826" s="53"/>
      <c r="AL826" s="53"/>
      <c r="AM826" s="53"/>
      <c r="AN826" s="53"/>
      <c r="AO826" s="53"/>
      <c r="AP826" s="53"/>
      <c r="AQ826" s="53"/>
      <c r="AR826" s="53"/>
      <c r="AS826" s="53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52"/>
      <c r="BG826" s="52"/>
      <c r="BH826" s="52"/>
      <c r="BI826" s="52"/>
      <c r="BJ826" s="52"/>
      <c r="BK826" s="52"/>
      <c r="BL826" s="52"/>
      <c r="BM826" s="54"/>
    </row>
    <row r="827">
      <c r="A827" s="42"/>
      <c r="B827" s="52"/>
      <c r="C827" s="52"/>
      <c r="D827" s="52"/>
      <c r="E827" s="52"/>
      <c r="F827" s="81"/>
      <c r="G827" s="57"/>
      <c r="H827" s="48"/>
      <c r="I827" s="77"/>
      <c r="J827" s="62"/>
      <c r="K827" s="52"/>
      <c r="L827" s="52"/>
      <c r="M827" s="76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62"/>
      <c r="AB827" s="52"/>
      <c r="AC827" s="52"/>
      <c r="AD827" s="52"/>
      <c r="AE827" s="52"/>
      <c r="AF827" s="52"/>
      <c r="AG827" s="52"/>
      <c r="AH827" s="48"/>
      <c r="AI827" s="48"/>
      <c r="AJ827" s="48"/>
      <c r="AK827" s="53"/>
      <c r="AL827" s="53"/>
      <c r="AM827" s="53"/>
      <c r="AN827" s="53"/>
      <c r="AO827" s="53"/>
      <c r="AP827" s="53"/>
      <c r="AQ827" s="53"/>
      <c r="AR827" s="53"/>
      <c r="AS827" s="53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52"/>
      <c r="BG827" s="52"/>
      <c r="BH827" s="52"/>
      <c r="BI827" s="52"/>
      <c r="BJ827" s="52"/>
      <c r="BK827" s="52"/>
      <c r="BL827" s="52"/>
      <c r="BM827" s="54"/>
    </row>
    <row r="828">
      <c r="A828" s="42"/>
      <c r="B828" s="52"/>
      <c r="C828" s="52"/>
      <c r="D828" s="52"/>
      <c r="E828" s="52"/>
      <c r="F828" s="81"/>
      <c r="G828" s="57"/>
      <c r="H828" s="48"/>
      <c r="I828" s="77"/>
      <c r="J828" s="62"/>
      <c r="K828" s="52"/>
      <c r="L828" s="52"/>
      <c r="M828" s="76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62"/>
      <c r="AB828" s="52"/>
      <c r="AC828" s="52"/>
      <c r="AD828" s="52"/>
      <c r="AE828" s="52"/>
      <c r="AF828" s="52"/>
      <c r="AG828" s="52"/>
      <c r="AH828" s="48"/>
      <c r="AI828" s="48"/>
      <c r="AJ828" s="48"/>
      <c r="AK828" s="53"/>
      <c r="AL828" s="53"/>
      <c r="AM828" s="53"/>
      <c r="AN828" s="53"/>
      <c r="AO828" s="53"/>
      <c r="AP828" s="53"/>
      <c r="AQ828" s="53"/>
      <c r="AR828" s="53"/>
      <c r="AS828" s="53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52"/>
      <c r="BG828" s="52"/>
      <c r="BH828" s="52"/>
      <c r="BI828" s="52"/>
      <c r="BJ828" s="52"/>
      <c r="BK828" s="52"/>
      <c r="BL828" s="52"/>
      <c r="BM828" s="54"/>
    </row>
    <row r="829">
      <c r="A829" s="42"/>
      <c r="B829" s="52"/>
      <c r="C829" s="52"/>
      <c r="D829" s="52"/>
      <c r="E829" s="52"/>
      <c r="F829" s="81"/>
      <c r="G829" s="57"/>
      <c r="H829" s="48"/>
      <c r="I829" s="77"/>
      <c r="J829" s="62"/>
      <c r="K829" s="52"/>
      <c r="L829" s="52"/>
      <c r="M829" s="76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62"/>
      <c r="AB829" s="52"/>
      <c r="AC829" s="52"/>
      <c r="AD829" s="52"/>
      <c r="AE829" s="52"/>
      <c r="AF829" s="52"/>
      <c r="AG829" s="52"/>
      <c r="AH829" s="48"/>
      <c r="AI829" s="48"/>
      <c r="AJ829" s="48"/>
      <c r="AK829" s="53"/>
      <c r="AL829" s="53"/>
      <c r="AM829" s="53"/>
      <c r="AN829" s="53"/>
      <c r="AO829" s="53"/>
      <c r="AP829" s="53"/>
      <c r="AQ829" s="53"/>
      <c r="AR829" s="53"/>
      <c r="AS829" s="53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52"/>
      <c r="BG829" s="52"/>
      <c r="BH829" s="52"/>
      <c r="BI829" s="52"/>
      <c r="BJ829" s="52"/>
      <c r="BK829" s="52"/>
      <c r="BL829" s="52"/>
      <c r="BM829" s="54"/>
    </row>
    <row r="830">
      <c r="A830" s="42"/>
      <c r="B830" s="52"/>
      <c r="C830" s="52"/>
      <c r="D830" s="52"/>
      <c r="E830" s="52"/>
      <c r="F830" s="81"/>
      <c r="G830" s="57"/>
      <c r="H830" s="48"/>
      <c r="I830" s="77"/>
      <c r="J830" s="62"/>
      <c r="K830" s="52"/>
      <c r="L830" s="52"/>
      <c r="M830" s="76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62"/>
      <c r="AB830" s="52"/>
      <c r="AC830" s="52"/>
      <c r="AD830" s="52"/>
      <c r="AE830" s="52"/>
      <c r="AF830" s="52"/>
      <c r="AG830" s="52"/>
      <c r="AH830" s="48"/>
      <c r="AI830" s="48"/>
      <c r="AJ830" s="48"/>
      <c r="AK830" s="53"/>
      <c r="AL830" s="53"/>
      <c r="AM830" s="53"/>
      <c r="AN830" s="53"/>
      <c r="AO830" s="53"/>
      <c r="AP830" s="53"/>
      <c r="AQ830" s="53"/>
      <c r="AR830" s="53"/>
      <c r="AS830" s="53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52"/>
      <c r="BG830" s="52"/>
      <c r="BH830" s="52"/>
      <c r="BI830" s="52"/>
      <c r="BJ830" s="52"/>
      <c r="BK830" s="52"/>
      <c r="BL830" s="52"/>
      <c r="BM830" s="54"/>
    </row>
    <row r="831">
      <c r="A831" s="42"/>
      <c r="B831" s="52"/>
      <c r="C831" s="52"/>
      <c r="D831" s="52"/>
      <c r="E831" s="52"/>
      <c r="F831" s="81"/>
      <c r="G831" s="57"/>
      <c r="H831" s="48"/>
      <c r="I831" s="77"/>
      <c r="J831" s="62"/>
      <c r="K831" s="52"/>
      <c r="L831" s="52"/>
      <c r="M831" s="76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62"/>
      <c r="AB831" s="52"/>
      <c r="AC831" s="52"/>
      <c r="AD831" s="52"/>
      <c r="AE831" s="52"/>
      <c r="AF831" s="52"/>
      <c r="AG831" s="52"/>
      <c r="AH831" s="48"/>
      <c r="AI831" s="48"/>
      <c r="AJ831" s="48"/>
      <c r="AK831" s="53"/>
      <c r="AL831" s="53"/>
      <c r="AM831" s="53"/>
      <c r="AN831" s="53"/>
      <c r="AO831" s="53"/>
      <c r="AP831" s="53"/>
      <c r="AQ831" s="53"/>
      <c r="AR831" s="53"/>
      <c r="AS831" s="53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52"/>
      <c r="BG831" s="52"/>
      <c r="BH831" s="52"/>
      <c r="BI831" s="52"/>
      <c r="BJ831" s="52"/>
      <c r="BK831" s="52"/>
      <c r="BL831" s="52"/>
      <c r="BM831" s="54"/>
    </row>
    <row r="832">
      <c r="A832" s="42"/>
      <c r="B832" s="52"/>
      <c r="C832" s="52"/>
      <c r="D832" s="52"/>
      <c r="E832" s="52"/>
      <c r="F832" s="81"/>
      <c r="G832" s="57"/>
      <c r="H832" s="48"/>
      <c r="I832" s="77"/>
      <c r="J832" s="62"/>
      <c r="K832" s="52"/>
      <c r="L832" s="52"/>
      <c r="M832" s="76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62"/>
      <c r="AB832" s="52"/>
      <c r="AC832" s="52"/>
      <c r="AD832" s="52"/>
      <c r="AE832" s="52"/>
      <c r="AF832" s="52"/>
      <c r="AG832" s="52"/>
      <c r="AH832" s="48"/>
      <c r="AI832" s="48"/>
      <c r="AJ832" s="48"/>
      <c r="AK832" s="53"/>
      <c r="AL832" s="53"/>
      <c r="AM832" s="53"/>
      <c r="AN832" s="53"/>
      <c r="AO832" s="53"/>
      <c r="AP832" s="53"/>
      <c r="AQ832" s="53"/>
      <c r="AR832" s="53"/>
      <c r="AS832" s="53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52"/>
      <c r="BG832" s="52"/>
      <c r="BH832" s="52"/>
      <c r="BI832" s="52"/>
      <c r="BJ832" s="52"/>
      <c r="BK832" s="52"/>
      <c r="BL832" s="52"/>
      <c r="BM832" s="54"/>
    </row>
    <row r="833">
      <c r="A833" s="42"/>
      <c r="B833" s="52"/>
      <c r="C833" s="52"/>
      <c r="D833" s="52"/>
      <c r="E833" s="52"/>
      <c r="F833" s="81"/>
      <c r="G833" s="57"/>
      <c r="H833" s="48"/>
      <c r="I833" s="77"/>
      <c r="J833" s="62"/>
      <c r="K833" s="52"/>
      <c r="L833" s="52"/>
      <c r="M833" s="76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62"/>
      <c r="AB833" s="52"/>
      <c r="AC833" s="52"/>
      <c r="AD833" s="52"/>
      <c r="AE833" s="52"/>
      <c r="AF833" s="52"/>
      <c r="AG833" s="52"/>
      <c r="AH833" s="48"/>
      <c r="AI833" s="48"/>
      <c r="AJ833" s="48"/>
      <c r="AK833" s="53"/>
      <c r="AL833" s="53"/>
      <c r="AM833" s="53"/>
      <c r="AN833" s="53"/>
      <c r="AO833" s="53"/>
      <c r="AP833" s="53"/>
      <c r="AQ833" s="53"/>
      <c r="AR833" s="53"/>
      <c r="AS833" s="53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52"/>
      <c r="BG833" s="52"/>
      <c r="BH833" s="52"/>
      <c r="BI833" s="52"/>
      <c r="BJ833" s="52"/>
      <c r="BK833" s="52"/>
      <c r="BL833" s="52"/>
      <c r="BM833" s="54"/>
    </row>
    <row r="834">
      <c r="A834" s="42"/>
      <c r="B834" s="52"/>
      <c r="C834" s="52"/>
      <c r="D834" s="52"/>
      <c r="E834" s="52"/>
      <c r="F834" s="81"/>
      <c r="G834" s="57"/>
      <c r="H834" s="48"/>
      <c r="I834" s="77"/>
      <c r="J834" s="62"/>
      <c r="K834" s="52"/>
      <c r="L834" s="52"/>
      <c r="M834" s="76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62"/>
      <c r="AB834" s="52"/>
      <c r="AC834" s="52"/>
      <c r="AD834" s="52"/>
      <c r="AE834" s="52"/>
      <c r="AF834" s="52"/>
      <c r="AG834" s="52"/>
      <c r="AH834" s="48"/>
      <c r="AI834" s="48"/>
      <c r="AJ834" s="48"/>
      <c r="AK834" s="53"/>
      <c r="AL834" s="53"/>
      <c r="AM834" s="53"/>
      <c r="AN834" s="53"/>
      <c r="AO834" s="53"/>
      <c r="AP834" s="53"/>
      <c r="AQ834" s="53"/>
      <c r="AR834" s="53"/>
      <c r="AS834" s="53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52"/>
      <c r="BG834" s="52"/>
      <c r="BH834" s="52"/>
      <c r="BI834" s="52"/>
      <c r="BJ834" s="52"/>
      <c r="BK834" s="52"/>
      <c r="BL834" s="52"/>
      <c r="BM834" s="54"/>
    </row>
    <row r="835">
      <c r="A835" s="42"/>
      <c r="B835" s="52"/>
      <c r="C835" s="52"/>
      <c r="D835" s="52"/>
      <c r="E835" s="52"/>
      <c r="F835" s="81"/>
      <c r="G835" s="57"/>
      <c r="H835" s="48"/>
      <c r="I835" s="77"/>
      <c r="J835" s="62"/>
      <c r="K835" s="52"/>
      <c r="L835" s="52"/>
      <c r="M835" s="76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62"/>
      <c r="AB835" s="52"/>
      <c r="AC835" s="52"/>
      <c r="AD835" s="52"/>
      <c r="AE835" s="52"/>
      <c r="AF835" s="52"/>
      <c r="AG835" s="52"/>
      <c r="AH835" s="48"/>
      <c r="AI835" s="48"/>
      <c r="AJ835" s="48"/>
      <c r="AK835" s="53"/>
      <c r="AL835" s="53"/>
      <c r="AM835" s="53"/>
      <c r="AN835" s="53"/>
      <c r="AO835" s="53"/>
      <c r="AP835" s="53"/>
      <c r="AQ835" s="53"/>
      <c r="AR835" s="53"/>
      <c r="AS835" s="53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52"/>
      <c r="BG835" s="52"/>
      <c r="BH835" s="52"/>
      <c r="BI835" s="52"/>
      <c r="BJ835" s="52"/>
      <c r="BK835" s="52"/>
      <c r="BL835" s="52"/>
      <c r="BM835" s="54"/>
    </row>
    <row r="836">
      <c r="A836" s="42"/>
      <c r="B836" s="52"/>
      <c r="C836" s="52"/>
      <c r="D836" s="52"/>
      <c r="E836" s="52"/>
      <c r="F836" s="81"/>
      <c r="G836" s="57"/>
      <c r="H836" s="48"/>
      <c r="I836" s="77"/>
      <c r="J836" s="62"/>
      <c r="K836" s="52"/>
      <c r="L836" s="52"/>
      <c r="M836" s="76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62"/>
      <c r="AB836" s="52"/>
      <c r="AC836" s="52"/>
      <c r="AD836" s="52"/>
      <c r="AE836" s="52"/>
      <c r="AF836" s="52"/>
      <c r="AG836" s="52"/>
      <c r="AH836" s="48"/>
      <c r="AI836" s="48"/>
      <c r="AJ836" s="48"/>
      <c r="AK836" s="53"/>
      <c r="AL836" s="53"/>
      <c r="AM836" s="53"/>
      <c r="AN836" s="53"/>
      <c r="AO836" s="53"/>
      <c r="AP836" s="53"/>
      <c r="AQ836" s="53"/>
      <c r="AR836" s="53"/>
      <c r="AS836" s="53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52"/>
      <c r="BG836" s="52"/>
      <c r="BH836" s="52"/>
      <c r="BI836" s="52"/>
      <c r="BJ836" s="52"/>
      <c r="BK836" s="52"/>
      <c r="BL836" s="52"/>
      <c r="BM836" s="54"/>
    </row>
    <row r="837">
      <c r="A837" s="42"/>
      <c r="B837" s="52"/>
      <c r="C837" s="52"/>
      <c r="D837" s="52"/>
      <c r="E837" s="52"/>
      <c r="F837" s="81"/>
      <c r="G837" s="57"/>
      <c r="H837" s="48"/>
      <c r="I837" s="77"/>
      <c r="J837" s="62"/>
      <c r="K837" s="52"/>
      <c r="L837" s="52"/>
      <c r="M837" s="76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62"/>
      <c r="AB837" s="52"/>
      <c r="AC837" s="52"/>
      <c r="AD837" s="52"/>
      <c r="AE837" s="52"/>
      <c r="AF837" s="52"/>
      <c r="AG837" s="52"/>
      <c r="AH837" s="48"/>
      <c r="AI837" s="48"/>
      <c r="AJ837" s="48"/>
      <c r="AK837" s="53"/>
      <c r="AL837" s="53"/>
      <c r="AM837" s="53"/>
      <c r="AN837" s="53"/>
      <c r="AO837" s="53"/>
      <c r="AP837" s="53"/>
      <c r="AQ837" s="53"/>
      <c r="AR837" s="53"/>
      <c r="AS837" s="53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52"/>
      <c r="BG837" s="52"/>
      <c r="BH837" s="52"/>
      <c r="BI837" s="52"/>
      <c r="BJ837" s="52"/>
      <c r="BK837" s="52"/>
      <c r="BL837" s="52"/>
      <c r="BM837" s="54"/>
    </row>
    <row r="838">
      <c r="A838" s="42"/>
      <c r="B838" s="52"/>
      <c r="C838" s="52"/>
      <c r="D838" s="52"/>
      <c r="E838" s="52"/>
      <c r="F838" s="81"/>
      <c r="G838" s="57"/>
      <c r="H838" s="48"/>
      <c r="I838" s="77"/>
      <c r="J838" s="62"/>
      <c r="K838" s="52"/>
      <c r="L838" s="52"/>
      <c r="M838" s="76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62"/>
      <c r="AB838" s="52"/>
      <c r="AC838" s="52"/>
      <c r="AD838" s="52"/>
      <c r="AE838" s="52"/>
      <c r="AF838" s="52"/>
      <c r="AG838" s="52"/>
      <c r="AH838" s="48"/>
      <c r="AI838" s="48"/>
      <c r="AJ838" s="48"/>
      <c r="AK838" s="53"/>
      <c r="AL838" s="53"/>
      <c r="AM838" s="53"/>
      <c r="AN838" s="53"/>
      <c r="AO838" s="53"/>
      <c r="AP838" s="53"/>
      <c r="AQ838" s="53"/>
      <c r="AR838" s="53"/>
      <c r="AS838" s="53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52"/>
      <c r="BG838" s="52"/>
      <c r="BH838" s="52"/>
      <c r="BI838" s="52"/>
      <c r="BJ838" s="52"/>
      <c r="BK838" s="52"/>
      <c r="BL838" s="52"/>
      <c r="BM838" s="54"/>
    </row>
    <row r="839">
      <c r="A839" s="42"/>
      <c r="B839" s="52"/>
      <c r="C839" s="52"/>
      <c r="D839" s="52"/>
      <c r="E839" s="52"/>
      <c r="F839" s="81"/>
      <c r="G839" s="57"/>
      <c r="H839" s="48"/>
      <c r="I839" s="77"/>
      <c r="J839" s="62"/>
      <c r="K839" s="52"/>
      <c r="L839" s="52"/>
      <c r="M839" s="76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62"/>
      <c r="AB839" s="52"/>
      <c r="AC839" s="52"/>
      <c r="AD839" s="52"/>
      <c r="AE839" s="52"/>
      <c r="AF839" s="52"/>
      <c r="AG839" s="52"/>
      <c r="AH839" s="48"/>
      <c r="AI839" s="48"/>
      <c r="AJ839" s="48"/>
      <c r="AK839" s="53"/>
      <c r="AL839" s="53"/>
      <c r="AM839" s="53"/>
      <c r="AN839" s="53"/>
      <c r="AO839" s="53"/>
      <c r="AP839" s="53"/>
      <c r="AQ839" s="53"/>
      <c r="AR839" s="53"/>
      <c r="AS839" s="53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52"/>
      <c r="BG839" s="52"/>
      <c r="BH839" s="52"/>
      <c r="BI839" s="52"/>
      <c r="BJ839" s="52"/>
      <c r="BK839" s="52"/>
      <c r="BL839" s="52"/>
      <c r="BM839" s="54"/>
    </row>
    <row r="840">
      <c r="A840" s="42"/>
      <c r="B840" s="52"/>
      <c r="C840" s="52"/>
      <c r="D840" s="52"/>
      <c r="E840" s="52"/>
      <c r="F840" s="81"/>
      <c r="G840" s="57"/>
      <c r="H840" s="48"/>
      <c r="I840" s="77"/>
      <c r="J840" s="62"/>
      <c r="K840" s="52"/>
      <c r="L840" s="52"/>
      <c r="M840" s="76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62"/>
      <c r="AB840" s="52"/>
      <c r="AC840" s="52"/>
      <c r="AD840" s="52"/>
      <c r="AE840" s="52"/>
      <c r="AF840" s="52"/>
      <c r="AG840" s="52"/>
      <c r="AH840" s="48"/>
      <c r="AI840" s="48"/>
      <c r="AJ840" s="48"/>
      <c r="AK840" s="53"/>
      <c r="AL840" s="53"/>
      <c r="AM840" s="53"/>
      <c r="AN840" s="53"/>
      <c r="AO840" s="53"/>
      <c r="AP840" s="53"/>
      <c r="AQ840" s="53"/>
      <c r="AR840" s="53"/>
      <c r="AS840" s="53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52"/>
      <c r="BG840" s="52"/>
      <c r="BH840" s="52"/>
      <c r="BI840" s="52"/>
      <c r="BJ840" s="52"/>
      <c r="BK840" s="52"/>
      <c r="BL840" s="52"/>
      <c r="BM840" s="54"/>
    </row>
    <row r="841">
      <c r="A841" s="42"/>
      <c r="B841" s="52"/>
      <c r="C841" s="52"/>
      <c r="D841" s="52"/>
      <c r="E841" s="52"/>
      <c r="F841" s="81"/>
      <c r="G841" s="57"/>
      <c r="H841" s="48"/>
      <c r="I841" s="77"/>
      <c r="J841" s="62"/>
      <c r="K841" s="52"/>
      <c r="L841" s="52"/>
      <c r="M841" s="76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62"/>
      <c r="AB841" s="52"/>
      <c r="AC841" s="52"/>
      <c r="AD841" s="52"/>
      <c r="AE841" s="52"/>
      <c r="AF841" s="52"/>
      <c r="AG841" s="52"/>
      <c r="AH841" s="48"/>
      <c r="AI841" s="48"/>
      <c r="AJ841" s="48"/>
      <c r="AK841" s="53"/>
      <c r="AL841" s="53"/>
      <c r="AM841" s="53"/>
      <c r="AN841" s="53"/>
      <c r="AO841" s="53"/>
      <c r="AP841" s="53"/>
      <c r="AQ841" s="53"/>
      <c r="AR841" s="53"/>
      <c r="AS841" s="53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52"/>
      <c r="BG841" s="52"/>
      <c r="BH841" s="52"/>
      <c r="BI841" s="52"/>
      <c r="BJ841" s="52"/>
      <c r="BK841" s="52"/>
      <c r="BL841" s="52"/>
      <c r="BM841" s="54"/>
    </row>
    <row r="842">
      <c r="A842" s="42"/>
      <c r="B842" s="52"/>
      <c r="C842" s="52"/>
      <c r="D842" s="52"/>
      <c r="E842" s="52"/>
      <c r="F842" s="81"/>
      <c r="G842" s="57"/>
      <c r="H842" s="48"/>
      <c r="I842" s="77"/>
      <c r="J842" s="62"/>
      <c r="K842" s="52"/>
      <c r="L842" s="52"/>
      <c r="M842" s="76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62"/>
      <c r="AB842" s="52"/>
      <c r="AC842" s="52"/>
      <c r="AD842" s="52"/>
      <c r="AE842" s="52"/>
      <c r="AF842" s="52"/>
      <c r="AG842" s="52"/>
      <c r="AH842" s="48"/>
      <c r="AI842" s="48"/>
      <c r="AJ842" s="48"/>
      <c r="AK842" s="53"/>
      <c r="AL842" s="53"/>
      <c r="AM842" s="53"/>
      <c r="AN842" s="53"/>
      <c r="AO842" s="53"/>
      <c r="AP842" s="53"/>
      <c r="AQ842" s="53"/>
      <c r="AR842" s="53"/>
      <c r="AS842" s="53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52"/>
      <c r="BG842" s="52"/>
      <c r="BH842" s="52"/>
      <c r="BI842" s="52"/>
      <c r="BJ842" s="52"/>
      <c r="BK842" s="52"/>
      <c r="BL842" s="52"/>
      <c r="BM842" s="54"/>
    </row>
    <row r="843">
      <c r="A843" s="42"/>
      <c r="B843" s="52"/>
      <c r="C843" s="52"/>
      <c r="D843" s="52"/>
      <c r="E843" s="52"/>
      <c r="F843" s="81"/>
      <c r="G843" s="57"/>
      <c r="H843" s="48"/>
      <c r="I843" s="77"/>
      <c r="J843" s="62"/>
      <c r="K843" s="52"/>
      <c r="L843" s="52"/>
      <c r="M843" s="76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62"/>
      <c r="AB843" s="52"/>
      <c r="AC843" s="52"/>
      <c r="AD843" s="52"/>
      <c r="AE843" s="52"/>
      <c r="AF843" s="52"/>
      <c r="AG843" s="52"/>
      <c r="AH843" s="48"/>
      <c r="AI843" s="48"/>
      <c r="AJ843" s="48"/>
      <c r="AK843" s="53"/>
      <c r="AL843" s="53"/>
      <c r="AM843" s="53"/>
      <c r="AN843" s="53"/>
      <c r="AO843" s="53"/>
      <c r="AP843" s="53"/>
      <c r="AQ843" s="53"/>
      <c r="AR843" s="53"/>
      <c r="AS843" s="53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52"/>
      <c r="BG843" s="52"/>
      <c r="BH843" s="52"/>
      <c r="BI843" s="52"/>
      <c r="BJ843" s="52"/>
      <c r="BK843" s="52"/>
      <c r="BL843" s="52"/>
      <c r="BM843" s="54"/>
    </row>
    <row r="844">
      <c r="A844" s="42"/>
      <c r="B844" s="52"/>
      <c r="C844" s="52"/>
      <c r="D844" s="52"/>
      <c r="E844" s="52"/>
      <c r="F844" s="81"/>
      <c r="G844" s="57"/>
      <c r="H844" s="48"/>
      <c r="I844" s="77"/>
      <c r="J844" s="62"/>
      <c r="K844" s="52"/>
      <c r="L844" s="52"/>
      <c r="M844" s="76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62"/>
      <c r="AB844" s="52"/>
      <c r="AC844" s="52"/>
      <c r="AD844" s="52"/>
      <c r="AE844" s="52"/>
      <c r="AF844" s="52"/>
      <c r="AG844" s="52"/>
      <c r="AH844" s="48"/>
      <c r="AI844" s="48"/>
      <c r="AJ844" s="48"/>
      <c r="AK844" s="53"/>
      <c r="AL844" s="53"/>
      <c r="AM844" s="53"/>
      <c r="AN844" s="53"/>
      <c r="AO844" s="53"/>
      <c r="AP844" s="53"/>
      <c r="AQ844" s="53"/>
      <c r="AR844" s="53"/>
      <c r="AS844" s="53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52"/>
      <c r="BG844" s="52"/>
      <c r="BH844" s="52"/>
      <c r="BI844" s="52"/>
      <c r="BJ844" s="52"/>
      <c r="BK844" s="52"/>
      <c r="BL844" s="52"/>
      <c r="BM844" s="54"/>
    </row>
    <row r="845">
      <c r="A845" s="42"/>
      <c r="B845" s="52"/>
      <c r="C845" s="52"/>
      <c r="D845" s="52"/>
      <c r="E845" s="52"/>
      <c r="F845" s="81"/>
      <c r="G845" s="57"/>
      <c r="H845" s="48"/>
      <c r="I845" s="77"/>
      <c r="J845" s="62"/>
      <c r="K845" s="52"/>
      <c r="L845" s="52"/>
      <c r="M845" s="76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62"/>
      <c r="AB845" s="52"/>
      <c r="AC845" s="52"/>
      <c r="AD845" s="52"/>
      <c r="AE845" s="52"/>
      <c r="AF845" s="52"/>
      <c r="AG845" s="52"/>
      <c r="AH845" s="48"/>
      <c r="AI845" s="48"/>
      <c r="AJ845" s="48"/>
      <c r="AK845" s="53"/>
      <c r="AL845" s="53"/>
      <c r="AM845" s="53"/>
      <c r="AN845" s="53"/>
      <c r="AO845" s="53"/>
      <c r="AP845" s="53"/>
      <c r="AQ845" s="53"/>
      <c r="AR845" s="53"/>
      <c r="AS845" s="53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52"/>
      <c r="BG845" s="52"/>
      <c r="BH845" s="52"/>
      <c r="BI845" s="52"/>
      <c r="BJ845" s="52"/>
      <c r="BK845" s="52"/>
      <c r="BL845" s="52"/>
      <c r="BM845" s="54"/>
    </row>
    <row r="846">
      <c r="A846" s="42"/>
      <c r="B846" s="52"/>
      <c r="C846" s="52"/>
      <c r="D846" s="52"/>
      <c r="E846" s="52"/>
      <c r="F846" s="81"/>
      <c r="G846" s="57"/>
      <c r="H846" s="48"/>
      <c r="I846" s="77"/>
      <c r="J846" s="62"/>
      <c r="K846" s="52"/>
      <c r="L846" s="52"/>
      <c r="M846" s="76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62"/>
      <c r="AB846" s="52"/>
      <c r="AC846" s="52"/>
      <c r="AD846" s="52"/>
      <c r="AE846" s="52"/>
      <c r="AF846" s="52"/>
      <c r="AG846" s="52"/>
      <c r="AH846" s="48"/>
      <c r="AI846" s="48"/>
      <c r="AJ846" s="48"/>
      <c r="AK846" s="53"/>
      <c r="AL846" s="53"/>
      <c r="AM846" s="53"/>
      <c r="AN846" s="53"/>
      <c r="AO846" s="53"/>
      <c r="AP846" s="53"/>
      <c r="AQ846" s="53"/>
      <c r="AR846" s="53"/>
      <c r="AS846" s="53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52"/>
      <c r="BG846" s="52"/>
      <c r="BH846" s="52"/>
      <c r="BI846" s="52"/>
      <c r="BJ846" s="52"/>
      <c r="BK846" s="52"/>
      <c r="BL846" s="52"/>
      <c r="BM846" s="54"/>
    </row>
    <row r="847">
      <c r="A847" s="42"/>
      <c r="B847" s="52"/>
      <c r="C847" s="52"/>
      <c r="D847" s="52"/>
      <c r="E847" s="52"/>
      <c r="F847" s="81"/>
      <c r="G847" s="57"/>
      <c r="H847" s="48"/>
      <c r="I847" s="77"/>
      <c r="J847" s="62"/>
      <c r="K847" s="52"/>
      <c r="L847" s="52"/>
      <c r="M847" s="76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62"/>
      <c r="AB847" s="52"/>
      <c r="AC847" s="52"/>
      <c r="AD847" s="52"/>
      <c r="AE847" s="52"/>
      <c r="AF847" s="52"/>
      <c r="AG847" s="52"/>
      <c r="AH847" s="48"/>
      <c r="AI847" s="48"/>
      <c r="AJ847" s="48"/>
      <c r="AK847" s="53"/>
      <c r="AL847" s="53"/>
      <c r="AM847" s="53"/>
      <c r="AN847" s="53"/>
      <c r="AO847" s="53"/>
      <c r="AP847" s="53"/>
      <c r="AQ847" s="53"/>
      <c r="AR847" s="53"/>
      <c r="AS847" s="53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52"/>
      <c r="BG847" s="52"/>
      <c r="BH847" s="52"/>
      <c r="BI847" s="52"/>
      <c r="BJ847" s="52"/>
      <c r="BK847" s="52"/>
      <c r="BL847" s="52"/>
      <c r="BM847" s="54"/>
    </row>
    <row r="848">
      <c r="A848" s="42"/>
      <c r="B848" s="52"/>
      <c r="C848" s="52"/>
      <c r="D848" s="52"/>
      <c r="E848" s="52"/>
      <c r="F848" s="81"/>
      <c r="G848" s="57"/>
      <c r="H848" s="48"/>
      <c r="I848" s="77"/>
      <c r="J848" s="62"/>
      <c r="K848" s="52"/>
      <c r="L848" s="52"/>
      <c r="M848" s="76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62"/>
      <c r="AB848" s="52"/>
      <c r="AC848" s="52"/>
      <c r="AD848" s="52"/>
      <c r="AE848" s="52"/>
      <c r="AF848" s="52"/>
      <c r="AG848" s="52"/>
      <c r="AH848" s="48"/>
      <c r="AI848" s="48"/>
      <c r="AJ848" s="48"/>
      <c r="AK848" s="53"/>
      <c r="AL848" s="53"/>
      <c r="AM848" s="53"/>
      <c r="AN848" s="53"/>
      <c r="AO848" s="53"/>
      <c r="AP848" s="53"/>
      <c r="AQ848" s="53"/>
      <c r="AR848" s="53"/>
      <c r="AS848" s="53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52"/>
      <c r="BG848" s="52"/>
      <c r="BH848" s="52"/>
      <c r="BI848" s="52"/>
      <c r="BJ848" s="52"/>
      <c r="BK848" s="52"/>
      <c r="BL848" s="52"/>
      <c r="BM848" s="54"/>
    </row>
    <row r="849">
      <c r="A849" s="42"/>
      <c r="B849" s="52"/>
      <c r="C849" s="52"/>
      <c r="D849" s="52"/>
      <c r="E849" s="52"/>
      <c r="F849" s="81"/>
      <c r="G849" s="57"/>
      <c r="H849" s="48"/>
      <c r="I849" s="77"/>
      <c r="J849" s="62"/>
      <c r="K849" s="52"/>
      <c r="L849" s="52"/>
      <c r="M849" s="76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62"/>
      <c r="AB849" s="52"/>
      <c r="AC849" s="52"/>
      <c r="AD849" s="52"/>
      <c r="AE849" s="52"/>
      <c r="AF849" s="52"/>
      <c r="AG849" s="52"/>
      <c r="AH849" s="48"/>
      <c r="AI849" s="48"/>
      <c r="AJ849" s="48"/>
      <c r="AK849" s="53"/>
      <c r="AL849" s="53"/>
      <c r="AM849" s="53"/>
      <c r="AN849" s="53"/>
      <c r="AO849" s="53"/>
      <c r="AP849" s="53"/>
      <c r="AQ849" s="53"/>
      <c r="AR849" s="53"/>
      <c r="AS849" s="53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52"/>
      <c r="BG849" s="52"/>
      <c r="BH849" s="52"/>
      <c r="BI849" s="52"/>
      <c r="BJ849" s="52"/>
      <c r="BK849" s="52"/>
      <c r="BL849" s="52"/>
      <c r="BM849" s="54"/>
    </row>
    <row r="850">
      <c r="A850" s="42"/>
      <c r="B850" s="52"/>
      <c r="C850" s="52"/>
      <c r="D850" s="52"/>
      <c r="E850" s="52"/>
      <c r="F850" s="81"/>
      <c r="G850" s="57"/>
      <c r="H850" s="48"/>
      <c r="I850" s="77"/>
      <c r="J850" s="62"/>
      <c r="K850" s="52"/>
      <c r="L850" s="52"/>
      <c r="M850" s="76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62"/>
      <c r="AB850" s="52"/>
      <c r="AC850" s="52"/>
      <c r="AD850" s="52"/>
      <c r="AE850" s="52"/>
      <c r="AF850" s="52"/>
      <c r="AG850" s="52"/>
      <c r="AH850" s="48"/>
      <c r="AI850" s="48"/>
      <c r="AJ850" s="48"/>
      <c r="AK850" s="53"/>
      <c r="AL850" s="53"/>
      <c r="AM850" s="53"/>
      <c r="AN850" s="53"/>
      <c r="AO850" s="53"/>
      <c r="AP850" s="53"/>
      <c r="AQ850" s="53"/>
      <c r="AR850" s="53"/>
      <c r="AS850" s="53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52"/>
      <c r="BG850" s="52"/>
      <c r="BH850" s="52"/>
      <c r="BI850" s="52"/>
      <c r="BJ850" s="52"/>
      <c r="BK850" s="52"/>
      <c r="BL850" s="52"/>
      <c r="BM850" s="54"/>
    </row>
    <row r="851">
      <c r="A851" s="42"/>
      <c r="B851" s="52"/>
      <c r="C851" s="52"/>
      <c r="D851" s="52"/>
      <c r="E851" s="52"/>
      <c r="F851" s="81"/>
      <c r="G851" s="57"/>
      <c r="H851" s="48"/>
      <c r="I851" s="77"/>
      <c r="J851" s="62"/>
      <c r="K851" s="52"/>
      <c r="L851" s="52"/>
      <c r="M851" s="76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62"/>
      <c r="AB851" s="52"/>
      <c r="AC851" s="52"/>
      <c r="AD851" s="52"/>
      <c r="AE851" s="52"/>
      <c r="AF851" s="52"/>
      <c r="AG851" s="52"/>
      <c r="AH851" s="48"/>
      <c r="AI851" s="48"/>
      <c r="AJ851" s="48"/>
      <c r="AK851" s="53"/>
      <c r="AL851" s="53"/>
      <c r="AM851" s="53"/>
      <c r="AN851" s="53"/>
      <c r="AO851" s="53"/>
      <c r="AP851" s="53"/>
      <c r="AQ851" s="53"/>
      <c r="AR851" s="53"/>
      <c r="AS851" s="53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52"/>
      <c r="BG851" s="52"/>
      <c r="BH851" s="52"/>
      <c r="BI851" s="52"/>
      <c r="BJ851" s="52"/>
      <c r="BK851" s="52"/>
      <c r="BL851" s="52"/>
      <c r="BM851" s="54"/>
    </row>
    <row r="852">
      <c r="A852" s="42"/>
      <c r="B852" s="52"/>
      <c r="C852" s="52"/>
      <c r="D852" s="52"/>
      <c r="E852" s="52"/>
      <c r="F852" s="81"/>
      <c r="G852" s="57"/>
      <c r="H852" s="48"/>
      <c r="I852" s="77"/>
      <c r="J852" s="62"/>
      <c r="K852" s="52"/>
      <c r="L852" s="52"/>
      <c r="M852" s="76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62"/>
      <c r="AB852" s="52"/>
      <c r="AC852" s="52"/>
      <c r="AD852" s="52"/>
      <c r="AE852" s="52"/>
      <c r="AF852" s="52"/>
      <c r="AG852" s="52"/>
      <c r="AH852" s="48"/>
      <c r="AI852" s="48"/>
      <c r="AJ852" s="48"/>
      <c r="AK852" s="53"/>
      <c r="AL852" s="53"/>
      <c r="AM852" s="53"/>
      <c r="AN852" s="53"/>
      <c r="AO852" s="53"/>
      <c r="AP852" s="53"/>
      <c r="AQ852" s="53"/>
      <c r="AR852" s="53"/>
      <c r="AS852" s="53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52"/>
      <c r="BG852" s="52"/>
      <c r="BH852" s="52"/>
      <c r="BI852" s="52"/>
      <c r="BJ852" s="52"/>
      <c r="BK852" s="52"/>
      <c r="BL852" s="52"/>
      <c r="BM852" s="54"/>
    </row>
    <row r="853">
      <c r="A853" s="42"/>
      <c r="B853" s="52"/>
      <c r="C853" s="52"/>
      <c r="D853" s="52"/>
      <c r="E853" s="52"/>
      <c r="F853" s="81"/>
      <c r="G853" s="57"/>
      <c r="H853" s="48"/>
      <c r="I853" s="77"/>
      <c r="J853" s="62"/>
      <c r="K853" s="52"/>
      <c r="L853" s="52"/>
      <c r="M853" s="76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62"/>
      <c r="AB853" s="52"/>
      <c r="AC853" s="52"/>
      <c r="AD853" s="52"/>
      <c r="AE853" s="52"/>
      <c r="AF853" s="52"/>
      <c r="AG853" s="52"/>
      <c r="AH853" s="48"/>
      <c r="AI853" s="48"/>
      <c r="AJ853" s="48"/>
      <c r="AK853" s="53"/>
      <c r="AL853" s="53"/>
      <c r="AM853" s="53"/>
      <c r="AN853" s="53"/>
      <c r="AO853" s="53"/>
      <c r="AP853" s="53"/>
      <c r="AQ853" s="53"/>
      <c r="AR853" s="53"/>
      <c r="AS853" s="53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52"/>
      <c r="BG853" s="52"/>
      <c r="BH853" s="52"/>
      <c r="BI853" s="52"/>
      <c r="BJ853" s="52"/>
      <c r="BK853" s="52"/>
      <c r="BL853" s="52"/>
      <c r="BM853" s="54"/>
    </row>
    <row r="854">
      <c r="A854" s="42"/>
      <c r="B854" s="52"/>
      <c r="C854" s="52"/>
      <c r="D854" s="52"/>
      <c r="E854" s="52"/>
      <c r="F854" s="81"/>
      <c r="G854" s="57"/>
      <c r="H854" s="48"/>
      <c r="I854" s="77"/>
      <c r="J854" s="62"/>
      <c r="K854" s="52"/>
      <c r="L854" s="52"/>
      <c r="M854" s="76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62"/>
      <c r="AB854" s="52"/>
      <c r="AC854" s="52"/>
      <c r="AD854" s="52"/>
      <c r="AE854" s="52"/>
      <c r="AF854" s="52"/>
      <c r="AG854" s="52"/>
      <c r="AH854" s="48"/>
      <c r="AI854" s="48"/>
      <c r="AJ854" s="48"/>
      <c r="AK854" s="53"/>
      <c r="AL854" s="53"/>
      <c r="AM854" s="53"/>
      <c r="AN854" s="53"/>
      <c r="AO854" s="53"/>
      <c r="AP854" s="53"/>
      <c r="AQ854" s="53"/>
      <c r="AR854" s="53"/>
      <c r="AS854" s="53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52"/>
      <c r="BG854" s="52"/>
      <c r="BH854" s="52"/>
      <c r="BI854" s="52"/>
      <c r="BJ854" s="52"/>
      <c r="BK854" s="52"/>
      <c r="BL854" s="52"/>
      <c r="BM854" s="54"/>
    </row>
    <row r="855">
      <c r="A855" s="42"/>
      <c r="B855" s="52"/>
      <c r="C855" s="52"/>
      <c r="D855" s="52"/>
      <c r="E855" s="52"/>
      <c r="F855" s="81"/>
      <c r="G855" s="57"/>
      <c r="H855" s="48"/>
      <c r="I855" s="77"/>
      <c r="J855" s="62"/>
      <c r="K855" s="52"/>
      <c r="L855" s="52"/>
      <c r="M855" s="76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62"/>
      <c r="AB855" s="52"/>
      <c r="AC855" s="52"/>
      <c r="AD855" s="52"/>
      <c r="AE855" s="52"/>
      <c r="AF855" s="52"/>
      <c r="AG855" s="52"/>
      <c r="AH855" s="48"/>
      <c r="AI855" s="48"/>
      <c r="AJ855" s="48"/>
      <c r="AK855" s="53"/>
      <c r="AL855" s="53"/>
      <c r="AM855" s="53"/>
      <c r="AN855" s="53"/>
      <c r="AO855" s="53"/>
      <c r="AP855" s="53"/>
      <c r="AQ855" s="53"/>
      <c r="AR855" s="53"/>
      <c r="AS855" s="53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52"/>
      <c r="BG855" s="52"/>
      <c r="BH855" s="52"/>
      <c r="BI855" s="52"/>
      <c r="BJ855" s="52"/>
      <c r="BK855" s="52"/>
      <c r="BL855" s="52"/>
      <c r="BM855" s="54"/>
    </row>
    <row r="856">
      <c r="A856" s="42"/>
      <c r="B856" s="52"/>
      <c r="C856" s="52"/>
      <c r="D856" s="52"/>
      <c r="E856" s="52"/>
      <c r="F856" s="81"/>
      <c r="G856" s="57"/>
      <c r="H856" s="48"/>
      <c r="I856" s="77"/>
      <c r="J856" s="62"/>
      <c r="K856" s="52"/>
      <c r="L856" s="52"/>
      <c r="M856" s="76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62"/>
      <c r="AB856" s="52"/>
      <c r="AC856" s="52"/>
      <c r="AD856" s="52"/>
      <c r="AE856" s="52"/>
      <c r="AF856" s="52"/>
      <c r="AG856" s="52"/>
      <c r="AH856" s="48"/>
      <c r="AI856" s="48"/>
      <c r="AJ856" s="48"/>
      <c r="AK856" s="53"/>
      <c r="AL856" s="53"/>
      <c r="AM856" s="53"/>
      <c r="AN856" s="53"/>
      <c r="AO856" s="53"/>
      <c r="AP856" s="53"/>
      <c r="AQ856" s="53"/>
      <c r="AR856" s="53"/>
      <c r="AS856" s="53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52"/>
      <c r="BG856" s="52"/>
      <c r="BH856" s="52"/>
      <c r="BI856" s="52"/>
      <c r="BJ856" s="52"/>
      <c r="BK856" s="52"/>
      <c r="BL856" s="52"/>
      <c r="BM856" s="54"/>
    </row>
    <row r="857">
      <c r="A857" s="42"/>
      <c r="B857" s="52"/>
      <c r="C857" s="52"/>
      <c r="D857" s="52"/>
      <c r="E857" s="52"/>
      <c r="F857" s="81"/>
      <c r="G857" s="57"/>
      <c r="H857" s="48"/>
      <c r="I857" s="77"/>
      <c r="J857" s="62"/>
      <c r="K857" s="52"/>
      <c r="L857" s="52"/>
      <c r="M857" s="76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62"/>
      <c r="AB857" s="52"/>
      <c r="AC857" s="52"/>
      <c r="AD857" s="52"/>
      <c r="AE857" s="52"/>
      <c r="AF857" s="52"/>
      <c r="AG857" s="52"/>
      <c r="AH857" s="48"/>
      <c r="AI857" s="48"/>
      <c r="AJ857" s="48"/>
      <c r="AK857" s="53"/>
      <c r="AL857" s="53"/>
      <c r="AM857" s="53"/>
      <c r="AN857" s="53"/>
      <c r="AO857" s="53"/>
      <c r="AP857" s="53"/>
      <c r="AQ857" s="53"/>
      <c r="AR857" s="53"/>
      <c r="AS857" s="53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52"/>
      <c r="BG857" s="52"/>
      <c r="BH857" s="52"/>
      <c r="BI857" s="52"/>
      <c r="BJ857" s="52"/>
      <c r="BK857" s="52"/>
      <c r="BL857" s="52"/>
      <c r="BM857" s="54"/>
    </row>
    <row r="858">
      <c r="A858" s="42"/>
      <c r="B858" s="52"/>
      <c r="C858" s="52"/>
      <c r="D858" s="52"/>
      <c r="E858" s="52"/>
      <c r="F858" s="81"/>
      <c r="G858" s="57"/>
      <c r="H858" s="48"/>
      <c r="I858" s="77"/>
      <c r="J858" s="62"/>
      <c r="K858" s="52"/>
      <c r="L858" s="52"/>
      <c r="M858" s="76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62"/>
      <c r="AB858" s="52"/>
      <c r="AC858" s="52"/>
      <c r="AD858" s="52"/>
      <c r="AE858" s="52"/>
      <c r="AF858" s="52"/>
      <c r="AG858" s="52"/>
      <c r="AH858" s="48"/>
      <c r="AI858" s="48"/>
      <c r="AJ858" s="48"/>
      <c r="AK858" s="53"/>
      <c r="AL858" s="53"/>
      <c r="AM858" s="53"/>
      <c r="AN858" s="53"/>
      <c r="AO858" s="53"/>
      <c r="AP858" s="53"/>
      <c r="AQ858" s="53"/>
      <c r="AR858" s="53"/>
      <c r="AS858" s="53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52"/>
      <c r="BG858" s="52"/>
      <c r="BH858" s="52"/>
      <c r="BI858" s="52"/>
      <c r="BJ858" s="52"/>
      <c r="BK858" s="52"/>
      <c r="BL858" s="52"/>
      <c r="BM858" s="54"/>
    </row>
    <row r="859">
      <c r="A859" s="42"/>
      <c r="B859" s="52"/>
      <c r="C859" s="52"/>
      <c r="D859" s="52"/>
      <c r="E859" s="52"/>
      <c r="F859" s="81"/>
      <c r="G859" s="57"/>
      <c r="H859" s="48"/>
      <c r="I859" s="77"/>
      <c r="J859" s="62"/>
      <c r="K859" s="52"/>
      <c r="L859" s="52"/>
      <c r="M859" s="76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62"/>
      <c r="AB859" s="52"/>
      <c r="AC859" s="52"/>
      <c r="AD859" s="52"/>
      <c r="AE859" s="52"/>
      <c r="AF859" s="52"/>
      <c r="AG859" s="52"/>
      <c r="AH859" s="48"/>
      <c r="AI859" s="48"/>
      <c r="AJ859" s="48"/>
      <c r="AK859" s="53"/>
      <c r="AL859" s="53"/>
      <c r="AM859" s="53"/>
      <c r="AN859" s="53"/>
      <c r="AO859" s="53"/>
      <c r="AP859" s="53"/>
      <c r="AQ859" s="53"/>
      <c r="AR859" s="53"/>
      <c r="AS859" s="53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52"/>
      <c r="BG859" s="52"/>
      <c r="BH859" s="52"/>
      <c r="BI859" s="52"/>
      <c r="BJ859" s="52"/>
      <c r="BK859" s="52"/>
      <c r="BL859" s="52"/>
      <c r="BM859" s="54"/>
    </row>
    <row r="860">
      <c r="A860" s="42"/>
      <c r="B860" s="52"/>
      <c r="C860" s="52"/>
      <c r="D860" s="52"/>
      <c r="E860" s="52"/>
      <c r="F860" s="81"/>
      <c r="G860" s="57"/>
      <c r="H860" s="48"/>
      <c r="I860" s="77"/>
      <c r="J860" s="62"/>
      <c r="K860" s="52"/>
      <c r="L860" s="52"/>
      <c r="M860" s="76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62"/>
      <c r="AB860" s="52"/>
      <c r="AC860" s="52"/>
      <c r="AD860" s="52"/>
      <c r="AE860" s="52"/>
      <c r="AF860" s="52"/>
      <c r="AG860" s="52"/>
      <c r="AH860" s="48"/>
      <c r="AI860" s="48"/>
      <c r="AJ860" s="48"/>
      <c r="AK860" s="53"/>
      <c r="AL860" s="53"/>
      <c r="AM860" s="53"/>
      <c r="AN860" s="53"/>
      <c r="AO860" s="53"/>
      <c r="AP860" s="53"/>
      <c r="AQ860" s="53"/>
      <c r="AR860" s="53"/>
      <c r="AS860" s="53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52"/>
      <c r="BG860" s="52"/>
      <c r="BH860" s="52"/>
      <c r="BI860" s="52"/>
      <c r="BJ860" s="52"/>
      <c r="BK860" s="52"/>
      <c r="BL860" s="52"/>
      <c r="BM860" s="54"/>
    </row>
    <row r="861">
      <c r="A861" s="42"/>
      <c r="B861" s="52"/>
      <c r="C861" s="52"/>
      <c r="D861" s="52"/>
      <c r="E861" s="52"/>
      <c r="F861" s="81"/>
      <c r="G861" s="57"/>
      <c r="H861" s="48"/>
      <c r="I861" s="77"/>
      <c r="J861" s="62"/>
      <c r="K861" s="52"/>
      <c r="L861" s="52"/>
      <c r="M861" s="76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62"/>
      <c r="AB861" s="52"/>
      <c r="AC861" s="52"/>
      <c r="AD861" s="52"/>
      <c r="AE861" s="52"/>
      <c r="AF861" s="52"/>
      <c r="AG861" s="52"/>
      <c r="AH861" s="48"/>
      <c r="AI861" s="48"/>
      <c r="AJ861" s="48"/>
      <c r="AK861" s="53"/>
      <c r="AL861" s="53"/>
      <c r="AM861" s="53"/>
      <c r="AN861" s="53"/>
      <c r="AO861" s="53"/>
      <c r="AP861" s="53"/>
      <c r="AQ861" s="53"/>
      <c r="AR861" s="53"/>
      <c r="AS861" s="53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52"/>
      <c r="BG861" s="52"/>
      <c r="BH861" s="52"/>
      <c r="BI861" s="52"/>
      <c r="BJ861" s="52"/>
      <c r="BK861" s="52"/>
      <c r="BL861" s="52"/>
      <c r="BM861" s="54"/>
    </row>
    <row r="862">
      <c r="A862" s="42"/>
      <c r="B862" s="52"/>
      <c r="C862" s="52"/>
      <c r="D862" s="52"/>
      <c r="E862" s="52"/>
      <c r="F862" s="81"/>
      <c r="G862" s="57"/>
      <c r="H862" s="48"/>
      <c r="I862" s="77"/>
      <c r="J862" s="62"/>
      <c r="K862" s="52"/>
      <c r="L862" s="52"/>
      <c r="M862" s="76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62"/>
      <c r="AB862" s="52"/>
      <c r="AC862" s="52"/>
      <c r="AD862" s="52"/>
      <c r="AE862" s="52"/>
      <c r="AF862" s="52"/>
      <c r="AG862" s="52"/>
      <c r="AH862" s="48"/>
      <c r="AI862" s="48"/>
      <c r="AJ862" s="48"/>
      <c r="AK862" s="53"/>
      <c r="AL862" s="53"/>
      <c r="AM862" s="53"/>
      <c r="AN862" s="53"/>
      <c r="AO862" s="53"/>
      <c r="AP862" s="53"/>
      <c r="AQ862" s="53"/>
      <c r="AR862" s="53"/>
      <c r="AS862" s="53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52"/>
      <c r="BG862" s="52"/>
      <c r="BH862" s="52"/>
      <c r="BI862" s="52"/>
      <c r="BJ862" s="52"/>
      <c r="BK862" s="52"/>
      <c r="BL862" s="52"/>
      <c r="BM862" s="54"/>
    </row>
    <row r="863">
      <c r="A863" s="42"/>
      <c r="B863" s="52"/>
      <c r="C863" s="52"/>
      <c r="D863" s="52"/>
      <c r="E863" s="52"/>
      <c r="F863" s="81"/>
      <c r="G863" s="57"/>
      <c r="H863" s="48"/>
      <c r="I863" s="77"/>
      <c r="J863" s="62"/>
      <c r="K863" s="52"/>
      <c r="L863" s="52"/>
      <c r="M863" s="76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62"/>
      <c r="AB863" s="52"/>
      <c r="AC863" s="52"/>
      <c r="AD863" s="52"/>
      <c r="AE863" s="52"/>
      <c r="AF863" s="52"/>
      <c r="AG863" s="52"/>
      <c r="AH863" s="48"/>
      <c r="AI863" s="48"/>
      <c r="AJ863" s="48"/>
      <c r="AK863" s="53"/>
      <c r="AL863" s="53"/>
      <c r="AM863" s="53"/>
      <c r="AN863" s="53"/>
      <c r="AO863" s="53"/>
      <c r="AP863" s="53"/>
      <c r="AQ863" s="53"/>
      <c r="AR863" s="53"/>
      <c r="AS863" s="53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52"/>
      <c r="BG863" s="52"/>
      <c r="BH863" s="52"/>
      <c r="BI863" s="52"/>
      <c r="BJ863" s="52"/>
      <c r="BK863" s="52"/>
      <c r="BL863" s="52"/>
      <c r="BM863" s="54"/>
    </row>
    <row r="864">
      <c r="A864" s="42"/>
      <c r="B864" s="52"/>
      <c r="C864" s="52"/>
      <c r="D864" s="52"/>
      <c r="E864" s="52"/>
      <c r="F864" s="81"/>
      <c r="G864" s="57"/>
      <c r="H864" s="48"/>
      <c r="I864" s="77"/>
      <c r="J864" s="62"/>
      <c r="K864" s="52"/>
      <c r="L864" s="52"/>
      <c r="M864" s="76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62"/>
      <c r="AB864" s="52"/>
      <c r="AC864" s="52"/>
      <c r="AD864" s="52"/>
      <c r="AE864" s="52"/>
      <c r="AF864" s="52"/>
      <c r="AG864" s="52"/>
      <c r="AH864" s="48"/>
      <c r="AI864" s="48"/>
      <c r="AJ864" s="48"/>
      <c r="AK864" s="53"/>
      <c r="AL864" s="53"/>
      <c r="AM864" s="53"/>
      <c r="AN864" s="53"/>
      <c r="AO864" s="53"/>
      <c r="AP864" s="53"/>
      <c r="AQ864" s="53"/>
      <c r="AR864" s="53"/>
      <c r="AS864" s="53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52"/>
      <c r="BG864" s="52"/>
      <c r="BH864" s="52"/>
      <c r="BI864" s="52"/>
      <c r="BJ864" s="52"/>
      <c r="BK864" s="52"/>
      <c r="BL864" s="52"/>
      <c r="BM864" s="54"/>
    </row>
    <row r="865">
      <c r="A865" s="42"/>
      <c r="B865" s="52"/>
      <c r="C865" s="52"/>
      <c r="D865" s="52"/>
      <c r="E865" s="52"/>
      <c r="F865" s="81"/>
      <c r="G865" s="57"/>
      <c r="H865" s="48"/>
      <c r="I865" s="77"/>
      <c r="J865" s="62"/>
      <c r="K865" s="52"/>
      <c r="L865" s="52"/>
      <c r="M865" s="76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62"/>
      <c r="AB865" s="52"/>
      <c r="AC865" s="52"/>
      <c r="AD865" s="52"/>
      <c r="AE865" s="52"/>
      <c r="AF865" s="52"/>
      <c r="AG865" s="52"/>
      <c r="AH865" s="48"/>
      <c r="AI865" s="48"/>
      <c r="AJ865" s="48"/>
      <c r="AK865" s="53"/>
      <c r="AL865" s="53"/>
      <c r="AM865" s="53"/>
      <c r="AN865" s="53"/>
      <c r="AO865" s="53"/>
      <c r="AP865" s="53"/>
      <c r="AQ865" s="53"/>
      <c r="AR865" s="53"/>
      <c r="AS865" s="53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52"/>
      <c r="BG865" s="52"/>
      <c r="BH865" s="52"/>
      <c r="BI865" s="52"/>
      <c r="BJ865" s="52"/>
      <c r="BK865" s="52"/>
      <c r="BL865" s="52"/>
      <c r="BM865" s="54"/>
    </row>
    <row r="866">
      <c r="A866" s="42"/>
      <c r="B866" s="52"/>
      <c r="C866" s="52"/>
      <c r="D866" s="52"/>
      <c r="E866" s="52"/>
      <c r="F866" s="81"/>
      <c r="G866" s="57"/>
      <c r="H866" s="48"/>
      <c r="I866" s="77"/>
      <c r="J866" s="62"/>
      <c r="K866" s="52"/>
      <c r="L866" s="52"/>
      <c r="M866" s="76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62"/>
      <c r="AB866" s="52"/>
      <c r="AC866" s="52"/>
      <c r="AD866" s="52"/>
      <c r="AE866" s="52"/>
      <c r="AF866" s="52"/>
      <c r="AG866" s="52"/>
      <c r="AH866" s="48"/>
      <c r="AI866" s="48"/>
      <c r="AJ866" s="48"/>
      <c r="AK866" s="53"/>
      <c r="AL866" s="53"/>
      <c r="AM866" s="53"/>
      <c r="AN866" s="53"/>
      <c r="AO866" s="53"/>
      <c r="AP866" s="53"/>
      <c r="AQ866" s="53"/>
      <c r="AR866" s="53"/>
      <c r="AS866" s="53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52"/>
      <c r="BG866" s="52"/>
      <c r="BH866" s="52"/>
      <c r="BI866" s="52"/>
      <c r="BJ866" s="52"/>
      <c r="BK866" s="52"/>
      <c r="BL866" s="52"/>
      <c r="BM866" s="54"/>
    </row>
    <row r="867">
      <c r="A867" s="42"/>
      <c r="B867" s="52"/>
      <c r="C867" s="52"/>
      <c r="D867" s="52"/>
      <c r="E867" s="52"/>
      <c r="F867" s="81"/>
      <c r="G867" s="57"/>
      <c r="H867" s="48"/>
      <c r="I867" s="77"/>
      <c r="J867" s="62"/>
      <c r="K867" s="52"/>
      <c r="L867" s="52"/>
      <c r="M867" s="76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62"/>
      <c r="AB867" s="52"/>
      <c r="AC867" s="52"/>
      <c r="AD867" s="52"/>
      <c r="AE867" s="52"/>
      <c r="AF867" s="52"/>
      <c r="AG867" s="52"/>
      <c r="AH867" s="48"/>
      <c r="AI867" s="48"/>
      <c r="AJ867" s="48"/>
      <c r="AK867" s="53"/>
      <c r="AL867" s="53"/>
      <c r="AM867" s="53"/>
      <c r="AN867" s="53"/>
      <c r="AO867" s="53"/>
      <c r="AP867" s="53"/>
      <c r="AQ867" s="53"/>
      <c r="AR867" s="53"/>
      <c r="AS867" s="53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52"/>
      <c r="BG867" s="52"/>
      <c r="BH867" s="52"/>
      <c r="BI867" s="52"/>
      <c r="BJ867" s="52"/>
      <c r="BK867" s="52"/>
      <c r="BL867" s="52"/>
      <c r="BM867" s="54"/>
    </row>
    <row r="868">
      <c r="A868" s="42"/>
      <c r="B868" s="52"/>
      <c r="C868" s="52"/>
      <c r="D868" s="52"/>
      <c r="E868" s="52"/>
      <c r="F868" s="81"/>
      <c r="G868" s="57"/>
      <c r="H868" s="48"/>
      <c r="I868" s="77"/>
      <c r="J868" s="62"/>
      <c r="K868" s="52"/>
      <c r="L868" s="52"/>
      <c r="M868" s="76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62"/>
      <c r="AB868" s="52"/>
      <c r="AC868" s="52"/>
      <c r="AD868" s="52"/>
      <c r="AE868" s="52"/>
      <c r="AF868" s="52"/>
      <c r="AG868" s="52"/>
      <c r="AH868" s="48"/>
      <c r="AI868" s="48"/>
      <c r="AJ868" s="48"/>
      <c r="AK868" s="53"/>
      <c r="AL868" s="53"/>
      <c r="AM868" s="53"/>
      <c r="AN868" s="53"/>
      <c r="AO868" s="53"/>
      <c r="AP868" s="53"/>
      <c r="AQ868" s="53"/>
      <c r="AR868" s="53"/>
      <c r="AS868" s="53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52"/>
      <c r="BG868" s="52"/>
      <c r="BH868" s="52"/>
      <c r="BI868" s="52"/>
      <c r="BJ868" s="52"/>
      <c r="BK868" s="52"/>
      <c r="BL868" s="52"/>
      <c r="BM868" s="54"/>
    </row>
    <row r="869">
      <c r="A869" s="42"/>
      <c r="B869" s="52"/>
      <c r="C869" s="52"/>
      <c r="D869" s="52"/>
      <c r="E869" s="52"/>
      <c r="F869" s="81"/>
      <c r="G869" s="57"/>
      <c r="H869" s="48"/>
      <c r="I869" s="77"/>
      <c r="J869" s="62"/>
      <c r="K869" s="52"/>
      <c r="L869" s="52"/>
      <c r="M869" s="76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62"/>
      <c r="AB869" s="52"/>
      <c r="AC869" s="52"/>
      <c r="AD869" s="52"/>
      <c r="AE869" s="52"/>
      <c r="AF869" s="52"/>
      <c r="AG869" s="52"/>
      <c r="AH869" s="48"/>
      <c r="AI869" s="48"/>
      <c r="AJ869" s="48"/>
      <c r="AK869" s="53"/>
      <c r="AL869" s="53"/>
      <c r="AM869" s="53"/>
      <c r="AN869" s="53"/>
      <c r="AO869" s="53"/>
      <c r="AP869" s="53"/>
      <c r="AQ869" s="53"/>
      <c r="AR869" s="53"/>
      <c r="AS869" s="53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52"/>
      <c r="BG869" s="52"/>
      <c r="BH869" s="52"/>
      <c r="BI869" s="52"/>
      <c r="BJ869" s="52"/>
      <c r="BK869" s="52"/>
      <c r="BL869" s="52"/>
      <c r="BM869" s="54"/>
    </row>
    <row r="870">
      <c r="A870" s="42"/>
      <c r="B870" s="52"/>
      <c r="C870" s="52"/>
      <c r="D870" s="52"/>
      <c r="E870" s="52"/>
      <c r="F870" s="81"/>
      <c r="G870" s="57"/>
      <c r="H870" s="48"/>
      <c r="I870" s="77"/>
      <c r="J870" s="62"/>
      <c r="K870" s="52"/>
      <c r="L870" s="52"/>
      <c r="M870" s="76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62"/>
      <c r="AB870" s="52"/>
      <c r="AC870" s="52"/>
      <c r="AD870" s="52"/>
      <c r="AE870" s="52"/>
      <c r="AF870" s="52"/>
      <c r="AG870" s="52"/>
      <c r="AH870" s="48"/>
      <c r="AI870" s="48"/>
      <c r="AJ870" s="48"/>
      <c r="AK870" s="53"/>
      <c r="AL870" s="53"/>
      <c r="AM870" s="53"/>
      <c r="AN870" s="53"/>
      <c r="AO870" s="53"/>
      <c r="AP870" s="53"/>
      <c r="AQ870" s="53"/>
      <c r="AR870" s="53"/>
      <c r="AS870" s="53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52"/>
      <c r="BG870" s="52"/>
      <c r="BH870" s="52"/>
      <c r="BI870" s="52"/>
      <c r="BJ870" s="52"/>
      <c r="BK870" s="52"/>
      <c r="BL870" s="52"/>
      <c r="BM870" s="54"/>
    </row>
    <row r="871">
      <c r="A871" s="42"/>
      <c r="B871" s="52"/>
      <c r="C871" s="52"/>
      <c r="D871" s="52"/>
      <c r="E871" s="52"/>
      <c r="F871" s="81"/>
      <c r="G871" s="57"/>
      <c r="H871" s="48"/>
      <c r="I871" s="77"/>
      <c r="J871" s="62"/>
      <c r="K871" s="52"/>
      <c r="L871" s="52"/>
      <c r="M871" s="76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62"/>
      <c r="AB871" s="52"/>
      <c r="AC871" s="52"/>
      <c r="AD871" s="52"/>
      <c r="AE871" s="52"/>
      <c r="AF871" s="52"/>
      <c r="AG871" s="52"/>
      <c r="AH871" s="48"/>
      <c r="AI871" s="48"/>
      <c r="AJ871" s="48"/>
      <c r="AK871" s="53"/>
      <c r="AL871" s="53"/>
      <c r="AM871" s="53"/>
      <c r="AN871" s="53"/>
      <c r="AO871" s="53"/>
      <c r="AP871" s="53"/>
      <c r="AQ871" s="53"/>
      <c r="AR871" s="53"/>
      <c r="AS871" s="53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52"/>
      <c r="BG871" s="52"/>
      <c r="BH871" s="52"/>
      <c r="BI871" s="52"/>
      <c r="BJ871" s="52"/>
      <c r="BK871" s="52"/>
      <c r="BL871" s="52"/>
      <c r="BM871" s="54"/>
    </row>
    <row r="872">
      <c r="A872" s="42"/>
      <c r="B872" s="52"/>
      <c r="C872" s="52"/>
      <c r="D872" s="52"/>
      <c r="E872" s="52"/>
      <c r="F872" s="81"/>
      <c r="G872" s="57"/>
      <c r="H872" s="48"/>
      <c r="I872" s="77"/>
      <c r="J872" s="62"/>
      <c r="K872" s="52"/>
      <c r="L872" s="52"/>
      <c r="M872" s="76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62"/>
      <c r="AB872" s="52"/>
      <c r="AC872" s="52"/>
      <c r="AD872" s="52"/>
      <c r="AE872" s="52"/>
      <c r="AF872" s="52"/>
      <c r="AG872" s="52"/>
      <c r="AH872" s="48"/>
      <c r="AI872" s="48"/>
      <c r="AJ872" s="48"/>
      <c r="AK872" s="53"/>
      <c r="AL872" s="53"/>
      <c r="AM872" s="53"/>
      <c r="AN872" s="53"/>
      <c r="AO872" s="53"/>
      <c r="AP872" s="53"/>
      <c r="AQ872" s="53"/>
      <c r="AR872" s="53"/>
      <c r="AS872" s="53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52"/>
      <c r="BG872" s="52"/>
      <c r="BH872" s="52"/>
      <c r="BI872" s="52"/>
      <c r="BJ872" s="52"/>
      <c r="BK872" s="52"/>
      <c r="BL872" s="52"/>
      <c r="BM872" s="54"/>
    </row>
    <row r="873">
      <c r="A873" s="42"/>
      <c r="B873" s="52"/>
      <c r="C873" s="52"/>
      <c r="D873" s="52"/>
      <c r="E873" s="52"/>
      <c r="F873" s="81"/>
      <c r="G873" s="57"/>
      <c r="H873" s="48"/>
      <c r="I873" s="77"/>
      <c r="J873" s="62"/>
      <c r="K873" s="52"/>
      <c r="L873" s="52"/>
      <c r="M873" s="76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62"/>
      <c r="AB873" s="52"/>
      <c r="AC873" s="52"/>
      <c r="AD873" s="52"/>
      <c r="AE873" s="52"/>
      <c r="AF873" s="52"/>
      <c r="AG873" s="52"/>
      <c r="AH873" s="48"/>
      <c r="AI873" s="48"/>
      <c r="AJ873" s="48"/>
      <c r="AK873" s="53"/>
      <c r="AL873" s="53"/>
      <c r="AM873" s="53"/>
      <c r="AN873" s="53"/>
      <c r="AO873" s="53"/>
      <c r="AP873" s="53"/>
      <c r="AQ873" s="53"/>
      <c r="AR873" s="53"/>
      <c r="AS873" s="53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52"/>
      <c r="BG873" s="52"/>
      <c r="BH873" s="52"/>
      <c r="BI873" s="52"/>
      <c r="BJ873" s="52"/>
      <c r="BK873" s="52"/>
      <c r="BL873" s="52"/>
      <c r="BM873" s="54"/>
    </row>
    <row r="874">
      <c r="A874" s="42"/>
      <c r="B874" s="52"/>
      <c r="C874" s="52"/>
      <c r="D874" s="52"/>
      <c r="E874" s="52"/>
      <c r="F874" s="81"/>
      <c r="G874" s="57"/>
      <c r="H874" s="48"/>
      <c r="I874" s="77"/>
      <c r="J874" s="62"/>
      <c r="K874" s="52"/>
      <c r="L874" s="52"/>
      <c r="M874" s="76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62"/>
      <c r="AB874" s="52"/>
      <c r="AC874" s="52"/>
      <c r="AD874" s="52"/>
      <c r="AE874" s="52"/>
      <c r="AF874" s="52"/>
      <c r="AG874" s="52"/>
      <c r="AH874" s="48"/>
      <c r="AI874" s="48"/>
      <c r="AJ874" s="48"/>
      <c r="AK874" s="53"/>
      <c r="AL874" s="53"/>
      <c r="AM874" s="53"/>
      <c r="AN874" s="53"/>
      <c r="AO874" s="53"/>
      <c r="AP874" s="53"/>
      <c r="AQ874" s="53"/>
      <c r="AR874" s="53"/>
      <c r="AS874" s="53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52"/>
      <c r="BG874" s="52"/>
      <c r="BH874" s="52"/>
      <c r="BI874" s="52"/>
      <c r="BJ874" s="52"/>
      <c r="BK874" s="52"/>
      <c r="BL874" s="52"/>
      <c r="BM874" s="54"/>
    </row>
    <row r="875">
      <c r="A875" s="42"/>
      <c r="B875" s="52"/>
      <c r="C875" s="52"/>
      <c r="D875" s="52"/>
      <c r="E875" s="52"/>
      <c r="F875" s="81"/>
      <c r="G875" s="57"/>
      <c r="H875" s="48"/>
      <c r="I875" s="77"/>
      <c r="J875" s="62"/>
      <c r="K875" s="52"/>
      <c r="L875" s="52"/>
      <c r="M875" s="76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62"/>
      <c r="AB875" s="52"/>
      <c r="AC875" s="52"/>
      <c r="AD875" s="52"/>
      <c r="AE875" s="52"/>
      <c r="AF875" s="52"/>
      <c r="AG875" s="52"/>
      <c r="AH875" s="48"/>
      <c r="AI875" s="48"/>
      <c r="AJ875" s="48"/>
      <c r="AK875" s="53"/>
      <c r="AL875" s="53"/>
      <c r="AM875" s="53"/>
      <c r="AN875" s="53"/>
      <c r="AO875" s="53"/>
      <c r="AP875" s="53"/>
      <c r="AQ875" s="53"/>
      <c r="AR875" s="53"/>
      <c r="AS875" s="53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52"/>
      <c r="BG875" s="52"/>
      <c r="BH875" s="52"/>
      <c r="BI875" s="52"/>
      <c r="BJ875" s="52"/>
      <c r="BK875" s="52"/>
      <c r="BL875" s="52"/>
      <c r="BM875" s="54"/>
    </row>
    <row r="876">
      <c r="A876" s="42"/>
      <c r="B876" s="52"/>
      <c r="C876" s="52"/>
      <c r="D876" s="52"/>
      <c r="E876" s="52"/>
      <c r="F876" s="81"/>
      <c r="G876" s="57"/>
      <c r="H876" s="48"/>
      <c r="I876" s="77"/>
      <c r="J876" s="62"/>
      <c r="K876" s="52"/>
      <c r="L876" s="52"/>
      <c r="M876" s="76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62"/>
      <c r="AB876" s="52"/>
      <c r="AC876" s="52"/>
      <c r="AD876" s="52"/>
      <c r="AE876" s="52"/>
      <c r="AF876" s="52"/>
      <c r="AG876" s="52"/>
      <c r="AH876" s="48"/>
      <c r="AI876" s="48"/>
      <c r="AJ876" s="48"/>
      <c r="AK876" s="53"/>
      <c r="AL876" s="53"/>
      <c r="AM876" s="53"/>
      <c r="AN876" s="53"/>
      <c r="AO876" s="53"/>
      <c r="AP876" s="53"/>
      <c r="AQ876" s="53"/>
      <c r="AR876" s="53"/>
      <c r="AS876" s="53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52"/>
      <c r="BG876" s="52"/>
      <c r="BH876" s="52"/>
      <c r="BI876" s="52"/>
      <c r="BJ876" s="52"/>
      <c r="BK876" s="52"/>
      <c r="BL876" s="52"/>
      <c r="BM876" s="54"/>
    </row>
    <row r="877">
      <c r="A877" s="42"/>
      <c r="B877" s="52"/>
      <c r="C877" s="52"/>
      <c r="D877" s="52"/>
      <c r="E877" s="52"/>
      <c r="F877" s="81"/>
      <c r="G877" s="57"/>
      <c r="H877" s="48"/>
      <c r="I877" s="77"/>
      <c r="J877" s="62"/>
      <c r="K877" s="52"/>
      <c r="L877" s="52"/>
      <c r="M877" s="76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62"/>
      <c r="AB877" s="52"/>
      <c r="AC877" s="52"/>
      <c r="AD877" s="52"/>
      <c r="AE877" s="52"/>
      <c r="AF877" s="52"/>
      <c r="AG877" s="52"/>
      <c r="AH877" s="48"/>
      <c r="AI877" s="48"/>
      <c r="AJ877" s="48"/>
      <c r="AK877" s="53"/>
      <c r="AL877" s="53"/>
      <c r="AM877" s="53"/>
      <c r="AN877" s="53"/>
      <c r="AO877" s="53"/>
      <c r="AP877" s="53"/>
      <c r="AQ877" s="53"/>
      <c r="AR877" s="53"/>
      <c r="AS877" s="53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52"/>
      <c r="BG877" s="52"/>
      <c r="BH877" s="52"/>
      <c r="BI877" s="52"/>
      <c r="BJ877" s="52"/>
      <c r="BK877" s="52"/>
      <c r="BL877" s="52"/>
      <c r="BM877" s="54"/>
    </row>
    <row r="878">
      <c r="A878" s="42"/>
      <c r="B878" s="52"/>
      <c r="C878" s="52"/>
      <c r="D878" s="52"/>
      <c r="E878" s="52"/>
      <c r="F878" s="81"/>
      <c r="G878" s="57"/>
      <c r="H878" s="48"/>
      <c r="I878" s="77"/>
      <c r="J878" s="62"/>
      <c r="K878" s="52"/>
      <c r="L878" s="52"/>
      <c r="M878" s="76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62"/>
      <c r="AB878" s="52"/>
      <c r="AC878" s="52"/>
      <c r="AD878" s="52"/>
      <c r="AE878" s="52"/>
      <c r="AF878" s="52"/>
      <c r="AG878" s="52"/>
      <c r="AH878" s="48"/>
      <c r="AI878" s="48"/>
      <c r="AJ878" s="48"/>
      <c r="AK878" s="53"/>
      <c r="AL878" s="53"/>
      <c r="AM878" s="53"/>
      <c r="AN878" s="53"/>
      <c r="AO878" s="53"/>
      <c r="AP878" s="53"/>
      <c r="AQ878" s="53"/>
      <c r="AR878" s="53"/>
      <c r="AS878" s="53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52"/>
      <c r="BG878" s="52"/>
      <c r="BH878" s="52"/>
      <c r="BI878" s="52"/>
      <c r="BJ878" s="52"/>
      <c r="BK878" s="52"/>
      <c r="BL878" s="52"/>
      <c r="BM878" s="54"/>
    </row>
    <row r="879">
      <c r="A879" s="42"/>
      <c r="B879" s="52"/>
      <c r="C879" s="52"/>
      <c r="D879" s="52"/>
      <c r="E879" s="52"/>
      <c r="F879" s="81"/>
      <c r="G879" s="57"/>
      <c r="H879" s="48"/>
      <c r="I879" s="77"/>
      <c r="J879" s="62"/>
      <c r="K879" s="52"/>
      <c r="L879" s="52"/>
      <c r="M879" s="76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62"/>
      <c r="AB879" s="52"/>
      <c r="AC879" s="52"/>
      <c r="AD879" s="52"/>
      <c r="AE879" s="52"/>
      <c r="AF879" s="52"/>
      <c r="AG879" s="52"/>
      <c r="AH879" s="48"/>
      <c r="AI879" s="48"/>
      <c r="AJ879" s="48"/>
      <c r="AK879" s="53"/>
      <c r="AL879" s="53"/>
      <c r="AM879" s="53"/>
      <c r="AN879" s="53"/>
      <c r="AO879" s="53"/>
      <c r="AP879" s="53"/>
      <c r="AQ879" s="53"/>
      <c r="AR879" s="53"/>
      <c r="AS879" s="53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52"/>
      <c r="BG879" s="52"/>
      <c r="BH879" s="52"/>
      <c r="BI879" s="52"/>
      <c r="BJ879" s="52"/>
      <c r="BK879" s="52"/>
      <c r="BL879" s="52"/>
      <c r="BM879" s="54"/>
    </row>
    <row r="880">
      <c r="A880" s="42"/>
      <c r="B880" s="52"/>
      <c r="C880" s="52"/>
      <c r="D880" s="52"/>
      <c r="E880" s="52"/>
      <c r="F880" s="81"/>
      <c r="G880" s="57"/>
      <c r="H880" s="48"/>
      <c r="I880" s="77"/>
      <c r="J880" s="62"/>
      <c r="K880" s="52"/>
      <c r="L880" s="52"/>
      <c r="M880" s="76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62"/>
      <c r="AB880" s="52"/>
      <c r="AC880" s="52"/>
      <c r="AD880" s="52"/>
      <c r="AE880" s="52"/>
      <c r="AF880" s="52"/>
      <c r="AG880" s="52"/>
      <c r="AH880" s="48"/>
      <c r="AI880" s="48"/>
      <c r="AJ880" s="48"/>
      <c r="AK880" s="53"/>
      <c r="AL880" s="53"/>
      <c r="AM880" s="53"/>
      <c r="AN880" s="53"/>
      <c r="AO880" s="53"/>
      <c r="AP880" s="53"/>
      <c r="AQ880" s="53"/>
      <c r="AR880" s="53"/>
      <c r="AS880" s="53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52"/>
      <c r="BG880" s="52"/>
      <c r="BH880" s="52"/>
      <c r="BI880" s="52"/>
      <c r="BJ880" s="52"/>
      <c r="BK880" s="52"/>
      <c r="BL880" s="52"/>
      <c r="BM880" s="54"/>
    </row>
    <row r="881">
      <c r="A881" s="42"/>
      <c r="B881" s="52"/>
      <c r="C881" s="52"/>
      <c r="D881" s="52"/>
      <c r="E881" s="52"/>
      <c r="F881" s="81"/>
      <c r="G881" s="57"/>
      <c r="H881" s="48"/>
      <c r="I881" s="77"/>
      <c r="J881" s="62"/>
      <c r="K881" s="52"/>
      <c r="L881" s="52"/>
      <c r="M881" s="76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62"/>
      <c r="AB881" s="52"/>
      <c r="AC881" s="52"/>
      <c r="AD881" s="52"/>
      <c r="AE881" s="52"/>
      <c r="AF881" s="52"/>
      <c r="AG881" s="52"/>
      <c r="AH881" s="48"/>
      <c r="AI881" s="48"/>
      <c r="AJ881" s="48"/>
      <c r="AK881" s="53"/>
      <c r="AL881" s="53"/>
      <c r="AM881" s="53"/>
      <c r="AN881" s="53"/>
      <c r="AO881" s="53"/>
      <c r="AP881" s="53"/>
      <c r="AQ881" s="53"/>
      <c r="AR881" s="53"/>
      <c r="AS881" s="53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52"/>
      <c r="BG881" s="52"/>
      <c r="BH881" s="52"/>
      <c r="BI881" s="52"/>
      <c r="BJ881" s="52"/>
      <c r="BK881" s="52"/>
      <c r="BL881" s="52"/>
      <c r="BM881" s="54"/>
    </row>
    <row r="882">
      <c r="A882" s="42"/>
      <c r="B882" s="52"/>
      <c r="C882" s="52"/>
      <c r="D882" s="52"/>
      <c r="E882" s="52"/>
      <c r="F882" s="81"/>
      <c r="G882" s="57"/>
      <c r="H882" s="48"/>
      <c r="I882" s="77"/>
      <c r="J882" s="62"/>
      <c r="K882" s="52"/>
      <c r="L882" s="52"/>
      <c r="M882" s="76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62"/>
      <c r="AB882" s="52"/>
      <c r="AC882" s="52"/>
      <c r="AD882" s="52"/>
      <c r="AE882" s="52"/>
      <c r="AF882" s="52"/>
      <c r="AG882" s="52"/>
      <c r="AH882" s="48"/>
      <c r="AI882" s="48"/>
      <c r="AJ882" s="48"/>
      <c r="AK882" s="53"/>
      <c r="AL882" s="53"/>
      <c r="AM882" s="53"/>
      <c r="AN882" s="53"/>
      <c r="AO882" s="53"/>
      <c r="AP882" s="53"/>
      <c r="AQ882" s="53"/>
      <c r="AR882" s="53"/>
      <c r="AS882" s="53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52"/>
      <c r="BG882" s="52"/>
      <c r="BH882" s="52"/>
      <c r="BI882" s="52"/>
      <c r="BJ882" s="52"/>
      <c r="BK882" s="52"/>
      <c r="BL882" s="52"/>
      <c r="BM882" s="54"/>
    </row>
    <row r="883">
      <c r="A883" s="42"/>
      <c r="B883" s="52"/>
      <c r="C883" s="52"/>
      <c r="D883" s="52"/>
      <c r="E883" s="52"/>
      <c r="F883" s="81"/>
      <c r="G883" s="57"/>
      <c r="H883" s="48"/>
      <c r="I883" s="77"/>
      <c r="J883" s="62"/>
      <c r="K883" s="52"/>
      <c r="L883" s="52"/>
      <c r="M883" s="76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62"/>
      <c r="AB883" s="52"/>
      <c r="AC883" s="52"/>
      <c r="AD883" s="52"/>
      <c r="AE883" s="52"/>
      <c r="AF883" s="52"/>
      <c r="AG883" s="52"/>
      <c r="AH883" s="48"/>
      <c r="AI883" s="48"/>
      <c r="AJ883" s="48"/>
      <c r="AK883" s="53"/>
      <c r="AL883" s="53"/>
      <c r="AM883" s="53"/>
      <c r="AN883" s="53"/>
      <c r="AO883" s="53"/>
      <c r="AP883" s="53"/>
      <c r="AQ883" s="53"/>
      <c r="AR883" s="53"/>
      <c r="AS883" s="53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52"/>
      <c r="BG883" s="52"/>
      <c r="BH883" s="52"/>
      <c r="BI883" s="52"/>
      <c r="BJ883" s="52"/>
      <c r="BK883" s="52"/>
      <c r="BL883" s="52"/>
      <c r="BM883" s="54"/>
    </row>
    <row r="884">
      <c r="A884" s="42"/>
      <c r="B884" s="52"/>
      <c r="C884" s="52"/>
      <c r="D884" s="52"/>
      <c r="E884" s="52"/>
      <c r="F884" s="81"/>
      <c r="G884" s="57"/>
      <c r="H884" s="48"/>
      <c r="I884" s="77"/>
      <c r="J884" s="62"/>
      <c r="K884" s="52"/>
      <c r="L884" s="52"/>
      <c r="M884" s="76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62"/>
      <c r="AB884" s="52"/>
      <c r="AC884" s="52"/>
      <c r="AD884" s="52"/>
      <c r="AE884" s="52"/>
      <c r="AF884" s="52"/>
      <c r="AG884" s="52"/>
      <c r="AH884" s="48"/>
      <c r="AI884" s="48"/>
      <c r="AJ884" s="48"/>
      <c r="AK884" s="53"/>
      <c r="AL884" s="53"/>
      <c r="AM884" s="53"/>
      <c r="AN884" s="53"/>
      <c r="AO884" s="53"/>
      <c r="AP884" s="53"/>
      <c r="AQ884" s="53"/>
      <c r="AR884" s="53"/>
      <c r="AS884" s="53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52"/>
      <c r="BG884" s="52"/>
      <c r="BH884" s="52"/>
      <c r="BI884" s="52"/>
      <c r="BJ884" s="52"/>
      <c r="BK884" s="52"/>
      <c r="BL884" s="52"/>
      <c r="BM884" s="54"/>
    </row>
    <row r="885">
      <c r="A885" s="42"/>
      <c r="B885" s="52"/>
      <c r="C885" s="52"/>
      <c r="D885" s="52"/>
      <c r="E885" s="52"/>
      <c r="F885" s="81"/>
      <c r="G885" s="57"/>
      <c r="H885" s="48"/>
      <c r="I885" s="77"/>
      <c r="J885" s="62"/>
      <c r="K885" s="52"/>
      <c r="L885" s="52"/>
      <c r="M885" s="76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62"/>
      <c r="AB885" s="52"/>
      <c r="AC885" s="52"/>
      <c r="AD885" s="52"/>
      <c r="AE885" s="52"/>
      <c r="AF885" s="52"/>
      <c r="AG885" s="52"/>
      <c r="AH885" s="48"/>
      <c r="AI885" s="48"/>
      <c r="AJ885" s="48"/>
      <c r="AK885" s="53"/>
      <c r="AL885" s="53"/>
      <c r="AM885" s="53"/>
      <c r="AN885" s="53"/>
      <c r="AO885" s="53"/>
      <c r="AP885" s="53"/>
      <c r="AQ885" s="53"/>
      <c r="AR885" s="53"/>
      <c r="AS885" s="53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52"/>
      <c r="BG885" s="52"/>
      <c r="BH885" s="52"/>
      <c r="BI885" s="52"/>
      <c r="BJ885" s="52"/>
      <c r="BK885" s="52"/>
      <c r="BL885" s="52"/>
      <c r="BM885" s="54"/>
    </row>
    <row r="886">
      <c r="A886" s="42"/>
      <c r="B886" s="52"/>
      <c r="C886" s="52"/>
      <c r="D886" s="52"/>
      <c r="E886" s="52"/>
      <c r="F886" s="81"/>
      <c r="G886" s="57"/>
      <c r="H886" s="48"/>
      <c r="I886" s="77"/>
      <c r="J886" s="62"/>
      <c r="K886" s="52"/>
      <c r="L886" s="52"/>
      <c r="M886" s="76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62"/>
      <c r="AB886" s="52"/>
      <c r="AC886" s="52"/>
      <c r="AD886" s="52"/>
      <c r="AE886" s="52"/>
      <c r="AF886" s="52"/>
      <c r="AG886" s="52"/>
      <c r="AH886" s="48"/>
      <c r="AI886" s="48"/>
      <c r="AJ886" s="48"/>
      <c r="AK886" s="53"/>
      <c r="AL886" s="53"/>
      <c r="AM886" s="53"/>
      <c r="AN886" s="53"/>
      <c r="AO886" s="53"/>
      <c r="AP886" s="53"/>
      <c r="AQ886" s="53"/>
      <c r="AR886" s="53"/>
      <c r="AS886" s="53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52"/>
      <c r="BG886" s="52"/>
      <c r="BH886" s="52"/>
      <c r="BI886" s="52"/>
      <c r="BJ886" s="52"/>
      <c r="BK886" s="52"/>
      <c r="BL886" s="52"/>
      <c r="BM886" s="54"/>
    </row>
    <row r="887">
      <c r="A887" s="42"/>
      <c r="B887" s="52"/>
      <c r="C887" s="52"/>
      <c r="D887" s="52"/>
      <c r="E887" s="52"/>
      <c r="F887" s="81"/>
      <c r="G887" s="57"/>
      <c r="H887" s="48"/>
      <c r="I887" s="77"/>
      <c r="J887" s="62"/>
      <c r="K887" s="52"/>
      <c r="L887" s="52"/>
      <c r="M887" s="76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62"/>
      <c r="AB887" s="52"/>
      <c r="AC887" s="52"/>
      <c r="AD887" s="52"/>
      <c r="AE887" s="52"/>
      <c r="AF887" s="52"/>
      <c r="AG887" s="52"/>
      <c r="AH887" s="48"/>
      <c r="AI887" s="48"/>
      <c r="AJ887" s="48"/>
      <c r="AK887" s="53"/>
      <c r="AL887" s="53"/>
      <c r="AM887" s="53"/>
      <c r="AN887" s="53"/>
      <c r="AO887" s="53"/>
      <c r="AP887" s="53"/>
      <c r="AQ887" s="53"/>
      <c r="AR887" s="53"/>
      <c r="AS887" s="53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52"/>
      <c r="BG887" s="52"/>
      <c r="BH887" s="52"/>
      <c r="BI887" s="52"/>
      <c r="BJ887" s="52"/>
      <c r="BK887" s="52"/>
      <c r="BL887" s="52"/>
      <c r="BM887" s="54"/>
    </row>
    <row r="888">
      <c r="A888" s="42"/>
      <c r="B888" s="52"/>
      <c r="C888" s="52"/>
      <c r="D888" s="52"/>
      <c r="E888" s="52"/>
      <c r="F888" s="81"/>
      <c r="G888" s="57"/>
      <c r="H888" s="48"/>
      <c r="I888" s="77"/>
      <c r="J888" s="62"/>
      <c r="K888" s="52"/>
      <c r="L888" s="52"/>
      <c r="M888" s="76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62"/>
      <c r="AB888" s="52"/>
      <c r="AC888" s="52"/>
      <c r="AD888" s="52"/>
      <c r="AE888" s="52"/>
      <c r="AF888" s="52"/>
      <c r="AG888" s="52"/>
      <c r="AH888" s="48"/>
      <c r="AI888" s="48"/>
      <c r="AJ888" s="48"/>
      <c r="AK888" s="53"/>
      <c r="AL888" s="53"/>
      <c r="AM888" s="53"/>
      <c r="AN888" s="53"/>
      <c r="AO888" s="53"/>
      <c r="AP888" s="53"/>
      <c r="AQ888" s="53"/>
      <c r="AR888" s="53"/>
      <c r="AS888" s="53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52"/>
      <c r="BG888" s="52"/>
      <c r="BH888" s="52"/>
      <c r="BI888" s="52"/>
      <c r="BJ888" s="52"/>
      <c r="BK888" s="52"/>
      <c r="BL888" s="52"/>
      <c r="BM888" s="54"/>
    </row>
    <row r="889">
      <c r="A889" s="42"/>
      <c r="B889" s="52"/>
      <c r="C889" s="52"/>
      <c r="D889" s="52"/>
      <c r="E889" s="52"/>
      <c r="F889" s="81"/>
      <c r="G889" s="57"/>
      <c r="H889" s="48"/>
      <c r="I889" s="77"/>
      <c r="J889" s="62"/>
      <c r="K889" s="52"/>
      <c r="L889" s="52"/>
      <c r="M889" s="76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62"/>
      <c r="AB889" s="52"/>
      <c r="AC889" s="52"/>
      <c r="AD889" s="52"/>
      <c r="AE889" s="52"/>
      <c r="AF889" s="52"/>
      <c r="AG889" s="52"/>
      <c r="AH889" s="48"/>
      <c r="AI889" s="48"/>
      <c r="AJ889" s="48"/>
      <c r="AK889" s="53"/>
      <c r="AL889" s="53"/>
      <c r="AM889" s="53"/>
      <c r="AN889" s="53"/>
      <c r="AO889" s="53"/>
      <c r="AP889" s="53"/>
      <c r="AQ889" s="53"/>
      <c r="AR889" s="53"/>
      <c r="AS889" s="53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52"/>
      <c r="BG889" s="52"/>
      <c r="BH889" s="52"/>
      <c r="BI889" s="52"/>
      <c r="BJ889" s="52"/>
      <c r="BK889" s="52"/>
      <c r="BL889" s="52"/>
      <c r="BM889" s="54"/>
    </row>
    <row r="890">
      <c r="A890" s="42"/>
      <c r="B890" s="52"/>
      <c r="C890" s="52"/>
      <c r="D890" s="52"/>
      <c r="E890" s="52"/>
      <c r="F890" s="81"/>
      <c r="G890" s="57"/>
      <c r="H890" s="48"/>
      <c r="I890" s="77"/>
      <c r="J890" s="62"/>
      <c r="K890" s="52"/>
      <c r="L890" s="52"/>
      <c r="M890" s="76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62"/>
      <c r="AB890" s="52"/>
      <c r="AC890" s="52"/>
      <c r="AD890" s="52"/>
      <c r="AE890" s="52"/>
      <c r="AF890" s="52"/>
      <c r="AG890" s="52"/>
      <c r="AH890" s="48"/>
      <c r="AI890" s="48"/>
      <c r="AJ890" s="48"/>
      <c r="AK890" s="53"/>
      <c r="AL890" s="53"/>
      <c r="AM890" s="53"/>
      <c r="AN890" s="53"/>
      <c r="AO890" s="53"/>
      <c r="AP890" s="53"/>
      <c r="AQ890" s="53"/>
      <c r="AR890" s="53"/>
      <c r="AS890" s="53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52"/>
      <c r="BG890" s="52"/>
      <c r="BH890" s="52"/>
      <c r="BI890" s="52"/>
      <c r="BJ890" s="52"/>
      <c r="BK890" s="52"/>
      <c r="BL890" s="52"/>
      <c r="BM890" s="54"/>
    </row>
    <row r="891">
      <c r="A891" s="42"/>
      <c r="B891" s="52"/>
      <c r="C891" s="52"/>
      <c r="D891" s="52"/>
      <c r="E891" s="52"/>
      <c r="F891" s="81"/>
      <c r="G891" s="57"/>
      <c r="H891" s="48"/>
      <c r="I891" s="77"/>
      <c r="J891" s="62"/>
      <c r="K891" s="52"/>
      <c r="L891" s="52"/>
      <c r="M891" s="76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62"/>
      <c r="AB891" s="52"/>
      <c r="AC891" s="52"/>
      <c r="AD891" s="52"/>
      <c r="AE891" s="52"/>
      <c r="AF891" s="52"/>
      <c r="AG891" s="52"/>
      <c r="AH891" s="48"/>
      <c r="AI891" s="48"/>
      <c r="AJ891" s="48"/>
      <c r="AK891" s="53"/>
      <c r="AL891" s="53"/>
      <c r="AM891" s="53"/>
      <c r="AN891" s="53"/>
      <c r="AO891" s="53"/>
      <c r="AP891" s="53"/>
      <c r="AQ891" s="53"/>
      <c r="AR891" s="53"/>
      <c r="AS891" s="53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52"/>
      <c r="BG891" s="52"/>
      <c r="BH891" s="52"/>
      <c r="BI891" s="52"/>
      <c r="BJ891" s="52"/>
      <c r="BK891" s="52"/>
      <c r="BL891" s="52"/>
      <c r="BM891" s="54"/>
    </row>
    <row r="892">
      <c r="A892" s="42"/>
      <c r="B892" s="52"/>
      <c r="C892" s="52"/>
      <c r="D892" s="52"/>
      <c r="E892" s="52"/>
      <c r="F892" s="81"/>
      <c r="G892" s="57"/>
      <c r="H892" s="48"/>
      <c r="I892" s="77"/>
      <c r="J892" s="62"/>
      <c r="K892" s="52"/>
      <c r="L892" s="52"/>
      <c r="M892" s="76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62"/>
      <c r="AB892" s="52"/>
      <c r="AC892" s="52"/>
      <c r="AD892" s="52"/>
      <c r="AE892" s="52"/>
      <c r="AF892" s="52"/>
      <c r="AG892" s="52"/>
      <c r="AH892" s="48"/>
      <c r="AI892" s="48"/>
      <c r="AJ892" s="48"/>
      <c r="AK892" s="53"/>
      <c r="AL892" s="53"/>
      <c r="AM892" s="53"/>
      <c r="AN892" s="53"/>
      <c r="AO892" s="53"/>
      <c r="AP892" s="53"/>
      <c r="AQ892" s="53"/>
      <c r="AR892" s="53"/>
      <c r="AS892" s="53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52"/>
      <c r="BG892" s="52"/>
      <c r="BH892" s="52"/>
      <c r="BI892" s="52"/>
      <c r="BJ892" s="52"/>
      <c r="BK892" s="52"/>
      <c r="BL892" s="52"/>
      <c r="BM892" s="54"/>
    </row>
    <row r="893">
      <c r="A893" s="42"/>
      <c r="B893" s="52"/>
      <c r="C893" s="52"/>
      <c r="D893" s="52"/>
      <c r="E893" s="52"/>
      <c r="F893" s="81"/>
      <c r="G893" s="57"/>
      <c r="H893" s="48"/>
      <c r="I893" s="77"/>
      <c r="J893" s="62"/>
      <c r="K893" s="52"/>
      <c r="L893" s="52"/>
      <c r="M893" s="76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62"/>
      <c r="AB893" s="52"/>
      <c r="AC893" s="52"/>
      <c r="AD893" s="52"/>
      <c r="AE893" s="52"/>
      <c r="AF893" s="52"/>
      <c r="AG893" s="52"/>
      <c r="AH893" s="48"/>
      <c r="AI893" s="48"/>
      <c r="AJ893" s="48"/>
      <c r="AK893" s="53"/>
      <c r="AL893" s="53"/>
      <c r="AM893" s="53"/>
      <c r="AN893" s="53"/>
      <c r="AO893" s="53"/>
      <c r="AP893" s="53"/>
      <c r="AQ893" s="53"/>
      <c r="AR893" s="53"/>
      <c r="AS893" s="53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52"/>
      <c r="BG893" s="52"/>
      <c r="BH893" s="52"/>
      <c r="BI893" s="52"/>
      <c r="BJ893" s="52"/>
      <c r="BK893" s="52"/>
      <c r="BL893" s="52"/>
      <c r="BM893" s="54"/>
    </row>
    <row r="894">
      <c r="A894" s="42"/>
      <c r="B894" s="52"/>
      <c r="C894" s="52"/>
      <c r="D894" s="52"/>
      <c r="E894" s="52"/>
      <c r="F894" s="81"/>
      <c r="G894" s="57"/>
      <c r="H894" s="48"/>
      <c r="I894" s="77"/>
      <c r="J894" s="62"/>
      <c r="K894" s="52"/>
      <c r="L894" s="52"/>
      <c r="M894" s="76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62"/>
      <c r="AB894" s="52"/>
      <c r="AC894" s="52"/>
      <c r="AD894" s="52"/>
      <c r="AE894" s="52"/>
      <c r="AF894" s="52"/>
      <c r="AG894" s="52"/>
      <c r="AH894" s="48"/>
      <c r="AI894" s="48"/>
      <c r="AJ894" s="48"/>
      <c r="AK894" s="53"/>
      <c r="AL894" s="53"/>
      <c r="AM894" s="53"/>
      <c r="AN894" s="53"/>
      <c r="AO894" s="53"/>
      <c r="AP894" s="53"/>
      <c r="AQ894" s="53"/>
      <c r="AR894" s="53"/>
      <c r="AS894" s="53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52"/>
      <c r="BG894" s="52"/>
      <c r="BH894" s="52"/>
      <c r="BI894" s="52"/>
      <c r="BJ894" s="52"/>
      <c r="BK894" s="52"/>
      <c r="BL894" s="52"/>
      <c r="BM894" s="54"/>
    </row>
    <row r="895">
      <c r="A895" s="42"/>
      <c r="B895" s="52"/>
      <c r="C895" s="52"/>
      <c r="D895" s="52"/>
      <c r="E895" s="52"/>
      <c r="F895" s="81"/>
      <c r="G895" s="57"/>
      <c r="H895" s="48"/>
      <c r="I895" s="77"/>
      <c r="J895" s="62"/>
      <c r="K895" s="52"/>
      <c r="L895" s="52"/>
      <c r="M895" s="76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62"/>
      <c r="AB895" s="52"/>
      <c r="AC895" s="52"/>
      <c r="AD895" s="52"/>
      <c r="AE895" s="52"/>
      <c r="AF895" s="52"/>
      <c r="AG895" s="52"/>
      <c r="AH895" s="48"/>
      <c r="AI895" s="48"/>
      <c r="AJ895" s="48"/>
      <c r="AK895" s="53"/>
      <c r="AL895" s="53"/>
      <c r="AM895" s="53"/>
      <c r="AN895" s="53"/>
      <c r="AO895" s="53"/>
      <c r="AP895" s="53"/>
      <c r="AQ895" s="53"/>
      <c r="AR895" s="53"/>
      <c r="AS895" s="53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52"/>
      <c r="BG895" s="52"/>
      <c r="BH895" s="52"/>
      <c r="BI895" s="52"/>
      <c r="BJ895" s="52"/>
      <c r="BK895" s="52"/>
      <c r="BL895" s="52"/>
      <c r="BM895" s="54"/>
    </row>
    <row r="896">
      <c r="A896" s="42"/>
      <c r="B896" s="52"/>
      <c r="C896" s="52"/>
      <c r="D896" s="52"/>
      <c r="E896" s="52"/>
      <c r="F896" s="81"/>
      <c r="G896" s="57"/>
      <c r="H896" s="48"/>
      <c r="I896" s="77"/>
      <c r="J896" s="62"/>
      <c r="K896" s="52"/>
      <c r="L896" s="52"/>
      <c r="M896" s="76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62"/>
      <c r="AB896" s="52"/>
      <c r="AC896" s="52"/>
      <c r="AD896" s="52"/>
      <c r="AE896" s="52"/>
      <c r="AF896" s="52"/>
      <c r="AG896" s="52"/>
      <c r="AH896" s="48"/>
      <c r="AI896" s="48"/>
      <c r="AJ896" s="48"/>
      <c r="AK896" s="53"/>
      <c r="AL896" s="53"/>
      <c r="AM896" s="53"/>
      <c r="AN896" s="53"/>
      <c r="AO896" s="53"/>
      <c r="AP896" s="53"/>
      <c r="AQ896" s="53"/>
      <c r="AR896" s="53"/>
      <c r="AS896" s="53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52"/>
      <c r="BG896" s="52"/>
      <c r="BH896" s="52"/>
      <c r="BI896" s="52"/>
      <c r="BJ896" s="52"/>
      <c r="BK896" s="52"/>
      <c r="BL896" s="52"/>
      <c r="BM896" s="54"/>
    </row>
    <row r="897">
      <c r="A897" s="42"/>
      <c r="B897" s="52"/>
      <c r="C897" s="52"/>
      <c r="D897" s="52"/>
      <c r="E897" s="52"/>
      <c r="F897" s="81"/>
      <c r="G897" s="57"/>
      <c r="H897" s="48"/>
      <c r="I897" s="77"/>
      <c r="J897" s="62"/>
      <c r="K897" s="52"/>
      <c r="L897" s="52"/>
      <c r="M897" s="76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62"/>
      <c r="AB897" s="52"/>
      <c r="AC897" s="52"/>
      <c r="AD897" s="52"/>
      <c r="AE897" s="52"/>
      <c r="AF897" s="52"/>
      <c r="AG897" s="52"/>
      <c r="AH897" s="48"/>
      <c r="AI897" s="48"/>
      <c r="AJ897" s="48"/>
      <c r="AK897" s="53"/>
      <c r="AL897" s="53"/>
      <c r="AM897" s="53"/>
      <c r="AN897" s="53"/>
      <c r="AO897" s="53"/>
      <c r="AP897" s="53"/>
      <c r="AQ897" s="53"/>
      <c r="AR897" s="53"/>
      <c r="AS897" s="53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52"/>
      <c r="BG897" s="52"/>
      <c r="BH897" s="52"/>
      <c r="BI897" s="52"/>
      <c r="BJ897" s="52"/>
      <c r="BK897" s="52"/>
      <c r="BL897" s="52"/>
      <c r="BM897" s="54"/>
    </row>
    <row r="898">
      <c r="A898" s="42"/>
      <c r="B898" s="52"/>
      <c r="C898" s="52"/>
      <c r="D898" s="52"/>
      <c r="E898" s="52"/>
      <c r="F898" s="81"/>
      <c r="G898" s="57"/>
      <c r="H898" s="48"/>
      <c r="I898" s="77"/>
      <c r="J898" s="62"/>
      <c r="K898" s="52"/>
      <c r="L898" s="52"/>
      <c r="M898" s="76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62"/>
      <c r="AB898" s="52"/>
      <c r="AC898" s="52"/>
      <c r="AD898" s="52"/>
      <c r="AE898" s="52"/>
      <c r="AF898" s="52"/>
      <c r="AG898" s="52"/>
      <c r="AH898" s="48"/>
      <c r="AI898" s="48"/>
      <c r="AJ898" s="48"/>
      <c r="AK898" s="53"/>
      <c r="AL898" s="53"/>
      <c r="AM898" s="53"/>
      <c r="AN898" s="53"/>
      <c r="AO898" s="53"/>
      <c r="AP898" s="53"/>
      <c r="AQ898" s="53"/>
      <c r="AR898" s="53"/>
      <c r="AS898" s="53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52"/>
      <c r="BG898" s="52"/>
      <c r="BH898" s="52"/>
      <c r="BI898" s="52"/>
      <c r="BJ898" s="52"/>
      <c r="BK898" s="52"/>
      <c r="BL898" s="52"/>
      <c r="BM898" s="54"/>
    </row>
    <row r="899">
      <c r="A899" s="42"/>
      <c r="B899" s="52"/>
      <c r="C899" s="52"/>
      <c r="D899" s="52"/>
      <c r="E899" s="52"/>
      <c r="F899" s="81"/>
      <c r="G899" s="57"/>
      <c r="H899" s="48"/>
      <c r="I899" s="77"/>
      <c r="J899" s="62"/>
      <c r="K899" s="52"/>
      <c r="L899" s="52"/>
      <c r="M899" s="76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62"/>
      <c r="AB899" s="52"/>
      <c r="AC899" s="52"/>
      <c r="AD899" s="52"/>
      <c r="AE899" s="52"/>
      <c r="AF899" s="52"/>
      <c r="AG899" s="52"/>
      <c r="AH899" s="48"/>
      <c r="AI899" s="48"/>
      <c r="AJ899" s="48"/>
      <c r="AK899" s="53"/>
      <c r="AL899" s="53"/>
      <c r="AM899" s="53"/>
      <c r="AN899" s="53"/>
      <c r="AO899" s="53"/>
      <c r="AP899" s="53"/>
      <c r="AQ899" s="53"/>
      <c r="AR899" s="53"/>
      <c r="AS899" s="53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52"/>
      <c r="BG899" s="52"/>
      <c r="BH899" s="52"/>
      <c r="BI899" s="52"/>
      <c r="BJ899" s="52"/>
      <c r="BK899" s="52"/>
      <c r="BL899" s="52"/>
      <c r="BM899" s="54"/>
    </row>
    <row r="900">
      <c r="A900" s="42"/>
      <c r="B900" s="52"/>
      <c r="C900" s="52"/>
      <c r="D900" s="52"/>
      <c r="E900" s="52"/>
      <c r="F900" s="81"/>
      <c r="G900" s="57"/>
      <c r="H900" s="48"/>
      <c r="I900" s="77"/>
      <c r="J900" s="62"/>
      <c r="K900" s="52"/>
      <c r="L900" s="52"/>
      <c r="M900" s="76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62"/>
      <c r="AB900" s="52"/>
      <c r="AC900" s="52"/>
      <c r="AD900" s="52"/>
      <c r="AE900" s="52"/>
      <c r="AF900" s="52"/>
      <c r="AG900" s="52"/>
      <c r="AH900" s="48"/>
      <c r="AI900" s="48"/>
      <c r="AJ900" s="48"/>
      <c r="AK900" s="53"/>
      <c r="AL900" s="53"/>
      <c r="AM900" s="53"/>
      <c r="AN900" s="53"/>
      <c r="AO900" s="53"/>
      <c r="AP900" s="53"/>
      <c r="AQ900" s="53"/>
      <c r="AR900" s="53"/>
      <c r="AS900" s="53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52"/>
      <c r="BG900" s="52"/>
      <c r="BH900" s="52"/>
      <c r="BI900" s="52"/>
      <c r="BJ900" s="52"/>
      <c r="BK900" s="52"/>
      <c r="BL900" s="52"/>
      <c r="BM900" s="54"/>
    </row>
    <row r="901">
      <c r="A901" s="42"/>
      <c r="B901" s="52"/>
      <c r="C901" s="52"/>
      <c r="D901" s="52"/>
      <c r="E901" s="52"/>
      <c r="F901" s="81"/>
      <c r="G901" s="57"/>
      <c r="H901" s="48"/>
      <c r="I901" s="77"/>
      <c r="J901" s="62"/>
      <c r="K901" s="52"/>
      <c r="L901" s="52"/>
      <c r="M901" s="76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62"/>
      <c r="AB901" s="52"/>
      <c r="AC901" s="52"/>
      <c r="AD901" s="52"/>
      <c r="AE901" s="52"/>
      <c r="AF901" s="52"/>
      <c r="AG901" s="52"/>
      <c r="AH901" s="48"/>
      <c r="AI901" s="48"/>
      <c r="AJ901" s="48"/>
      <c r="AK901" s="53"/>
      <c r="AL901" s="53"/>
      <c r="AM901" s="53"/>
      <c r="AN901" s="53"/>
      <c r="AO901" s="53"/>
      <c r="AP901" s="53"/>
      <c r="AQ901" s="53"/>
      <c r="AR901" s="53"/>
      <c r="AS901" s="53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52"/>
      <c r="BG901" s="52"/>
      <c r="BH901" s="52"/>
      <c r="BI901" s="52"/>
      <c r="BJ901" s="52"/>
      <c r="BK901" s="52"/>
      <c r="BL901" s="52"/>
      <c r="BM901" s="54"/>
    </row>
    <row r="902">
      <c r="A902" s="42"/>
      <c r="B902" s="52"/>
      <c r="C902" s="52"/>
      <c r="D902" s="52"/>
      <c r="E902" s="52"/>
      <c r="F902" s="81"/>
      <c r="G902" s="57"/>
      <c r="H902" s="48"/>
      <c r="I902" s="77"/>
      <c r="J902" s="62"/>
      <c r="K902" s="52"/>
      <c r="L902" s="52"/>
      <c r="M902" s="76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62"/>
      <c r="AB902" s="52"/>
      <c r="AC902" s="52"/>
      <c r="AD902" s="52"/>
      <c r="AE902" s="52"/>
      <c r="AF902" s="52"/>
      <c r="AG902" s="52"/>
      <c r="AH902" s="48"/>
      <c r="AI902" s="48"/>
      <c r="AJ902" s="48"/>
      <c r="AK902" s="53"/>
      <c r="AL902" s="53"/>
      <c r="AM902" s="53"/>
      <c r="AN902" s="53"/>
      <c r="AO902" s="53"/>
      <c r="AP902" s="53"/>
      <c r="AQ902" s="53"/>
      <c r="AR902" s="53"/>
      <c r="AS902" s="53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52"/>
      <c r="BG902" s="52"/>
      <c r="BH902" s="52"/>
      <c r="BI902" s="52"/>
      <c r="BJ902" s="52"/>
      <c r="BK902" s="52"/>
      <c r="BL902" s="52"/>
      <c r="BM902" s="54"/>
    </row>
    <row r="903">
      <c r="A903" s="42"/>
      <c r="B903" s="52"/>
      <c r="C903" s="52"/>
      <c r="D903" s="52"/>
      <c r="E903" s="52"/>
      <c r="F903" s="81"/>
      <c r="G903" s="57"/>
      <c r="H903" s="48"/>
      <c r="I903" s="77"/>
      <c r="J903" s="62"/>
      <c r="K903" s="52"/>
      <c r="L903" s="52"/>
      <c r="M903" s="76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62"/>
      <c r="AB903" s="52"/>
      <c r="AC903" s="52"/>
      <c r="AD903" s="52"/>
      <c r="AE903" s="52"/>
      <c r="AF903" s="52"/>
      <c r="AG903" s="52"/>
      <c r="AH903" s="48"/>
      <c r="AI903" s="48"/>
      <c r="AJ903" s="48"/>
      <c r="AK903" s="53"/>
      <c r="AL903" s="53"/>
      <c r="AM903" s="53"/>
      <c r="AN903" s="53"/>
      <c r="AO903" s="53"/>
      <c r="AP903" s="53"/>
      <c r="AQ903" s="53"/>
      <c r="AR903" s="53"/>
      <c r="AS903" s="53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52"/>
      <c r="BG903" s="52"/>
      <c r="BH903" s="52"/>
      <c r="BI903" s="52"/>
      <c r="BJ903" s="52"/>
      <c r="BK903" s="52"/>
      <c r="BL903" s="52"/>
      <c r="BM903" s="54"/>
    </row>
    <row r="904">
      <c r="A904" s="42"/>
      <c r="B904" s="52"/>
      <c r="C904" s="52"/>
      <c r="D904" s="52"/>
      <c r="E904" s="52"/>
      <c r="F904" s="81"/>
      <c r="G904" s="57"/>
      <c r="H904" s="48"/>
      <c r="I904" s="77"/>
      <c r="J904" s="62"/>
      <c r="K904" s="52"/>
      <c r="L904" s="52"/>
      <c r="M904" s="76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62"/>
      <c r="AB904" s="52"/>
      <c r="AC904" s="52"/>
      <c r="AD904" s="52"/>
      <c r="AE904" s="52"/>
      <c r="AF904" s="52"/>
      <c r="AG904" s="52"/>
      <c r="AH904" s="48"/>
      <c r="AI904" s="48"/>
      <c r="AJ904" s="48"/>
      <c r="AK904" s="53"/>
      <c r="AL904" s="53"/>
      <c r="AM904" s="53"/>
      <c r="AN904" s="53"/>
      <c r="AO904" s="53"/>
      <c r="AP904" s="53"/>
      <c r="AQ904" s="53"/>
      <c r="AR904" s="53"/>
      <c r="AS904" s="53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52"/>
      <c r="BG904" s="52"/>
      <c r="BH904" s="52"/>
      <c r="BI904" s="52"/>
      <c r="BJ904" s="52"/>
      <c r="BK904" s="52"/>
      <c r="BL904" s="52"/>
      <c r="BM904" s="54"/>
    </row>
    <row r="905">
      <c r="A905" s="42"/>
      <c r="B905" s="52"/>
      <c r="C905" s="52"/>
      <c r="D905" s="52"/>
      <c r="E905" s="52"/>
      <c r="F905" s="81"/>
      <c r="G905" s="57"/>
      <c r="H905" s="48"/>
      <c r="I905" s="77"/>
      <c r="J905" s="62"/>
      <c r="K905" s="52"/>
      <c r="L905" s="52"/>
      <c r="M905" s="76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62"/>
      <c r="AB905" s="52"/>
      <c r="AC905" s="52"/>
      <c r="AD905" s="52"/>
      <c r="AE905" s="52"/>
      <c r="AF905" s="52"/>
      <c r="AG905" s="52"/>
      <c r="AH905" s="48"/>
      <c r="AI905" s="48"/>
      <c r="AJ905" s="48"/>
      <c r="AK905" s="53"/>
      <c r="AL905" s="53"/>
      <c r="AM905" s="53"/>
      <c r="AN905" s="53"/>
      <c r="AO905" s="53"/>
      <c r="AP905" s="53"/>
      <c r="AQ905" s="53"/>
      <c r="AR905" s="53"/>
      <c r="AS905" s="53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52"/>
      <c r="BG905" s="52"/>
      <c r="BH905" s="52"/>
      <c r="BI905" s="52"/>
      <c r="BJ905" s="52"/>
      <c r="BK905" s="52"/>
      <c r="BL905" s="52"/>
      <c r="BM905" s="54"/>
    </row>
    <row r="906">
      <c r="A906" s="42"/>
      <c r="B906" s="52"/>
      <c r="C906" s="52"/>
      <c r="D906" s="52"/>
      <c r="E906" s="52"/>
      <c r="F906" s="81"/>
      <c r="G906" s="57"/>
      <c r="H906" s="48"/>
      <c r="I906" s="77"/>
      <c r="J906" s="62"/>
      <c r="K906" s="52"/>
      <c r="L906" s="52"/>
      <c r="M906" s="76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62"/>
      <c r="AB906" s="52"/>
      <c r="AC906" s="52"/>
      <c r="AD906" s="52"/>
      <c r="AE906" s="52"/>
      <c r="AF906" s="52"/>
      <c r="AG906" s="52"/>
      <c r="AH906" s="48"/>
      <c r="AI906" s="48"/>
      <c r="AJ906" s="48"/>
      <c r="AK906" s="53"/>
      <c r="AL906" s="53"/>
      <c r="AM906" s="53"/>
      <c r="AN906" s="53"/>
      <c r="AO906" s="53"/>
      <c r="AP906" s="53"/>
      <c r="AQ906" s="53"/>
      <c r="AR906" s="53"/>
      <c r="AS906" s="53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52"/>
      <c r="BG906" s="52"/>
      <c r="BH906" s="52"/>
      <c r="BI906" s="52"/>
      <c r="BJ906" s="52"/>
      <c r="BK906" s="52"/>
      <c r="BL906" s="52"/>
      <c r="BM906" s="54"/>
    </row>
    <row r="907">
      <c r="A907" s="42"/>
      <c r="B907" s="52"/>
      <c r="C907" s="52"/>
      <c r="D907" s="52"/>
      <c r="E907" s="52"/>
      <c r="F907" s="81"/>
      <c r="G907" s="57"/>
      <c r="H907" s="48"/>
      <c r="I907" s="77"/>
      <c r="J907" s="62"/>
      <c r="K907" s="52"/>
      <c r="L907" s="52"/>
      <c r="M907" s="76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62"/>
      <c r="AB907" s="52"/>
      <c r="AC907" s="52"/>
      <c r="AD907" s="52"/>
      <c r="AE907" s="52"/>
      <c r="AF907" s="52"/>
      <c r="AG907" s="52"/>
      <c r="AH907" s="48"/>
      <c r="AI907" s="48"/>
      <c r="AJ907" s="48"/>
      <c r="AK907" s="53"/>
      <c r="AL907" s="53"/>
      <c r="AM907" s="53"/>
      <c r="AN907" s="53"/>
      <c r="AO907" s="53"/>
      <c r="AP907" s="53"/>
      <c r="AQ907" s="53"/>
      <c r="AR907" s="53"/>
      <c r="AS907" s="53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52"/>
      <c r="BG907" s="52"/>
      <c r="BH907" s="52"/>
      <c r="BI907" s="52"/>
      <c r="BJ907" s="52"/>
      <c r="BK907" s="52"/>
      <c r="BL907" s="52"/>
      <c r="BM907" s="54"/>
    </row>
    <row r="908">
      <c r="A908" s="42"/>
      <c r="B908" s="52"/>
      <c r="C908" s="52"/>
      <c r="D908" s="52"/>
      <c r="E908" s="52"/>
      <c r="F908" s="81"/>
      <c r="G908" s="57"/>
      <c r="H908" s="48"/>
      <c r="I908" s="77"/>
      <c r="J908" s="62"/>
      <c r="K908" s="52"/>
      <c r="L908" s="52"/>
      <c r="M908" s="76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62"/>
      <c r="AB908" s="52"/>
      <c r="AC908" s="52"/>
      <c r="AD908" s="52"/>
      <c r="AE908" s="52"/>
      <c r="AF908" s="52"/>
      <c r="AG908" s="52"/>
      <c r="AH908" s="48"/>
      <c r="AI908" s="48"/>
      <c r="AJ908" s="48"/>
      <c r="AK908" s="53"/>
      <c r="AL908" s="53"/>
      <c r="AM908" s="53"/>
      <c r="AN908" s="53"/>
      <c r="AO908" s="53"/>
      <c r="AP908" s="53"/>
      <c r="AQ908" s="53"/>
      <c r="AR908" s="53"/>
      <c r="AS908" s="53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52"/>
      <c r="BG908" s="52"/>
      <c r="BH908" s="52"/>
      <c r="BI908" s="52"/>
      <c r="BJ908" s="52"/>
      <c r="BK908" s="52"/>
      <c r="BL908" s="52"/>
      <c r="BM908" s="54"/>
    </row>
    <row r="909">
      <c r="A909" s="42"/>
      <c r="B909" s="52"/>
      <c r="C909" s="52"/>
      <c r="D909" s="52"/>
      <c r="E909" s="52"/>
      <c r="F909" s="81"/>
      <c r="G909" s="57"/>
      <c r="H909" s="48"/>
      <c r="I909" s="77"/>
      <c r="J909" s="62"/>
      <c r="K909" s="52"/>
      <c r="L909" s="52"/>
      <c r="M909" s="76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62"/>
      <c r="AB909" s="52"/>
      <c r="AC909" s="52"/>
      <c r="AD909" s="52"/>
      <c r="AE909" s="52"/>
      <c r="AF909" s="52"/>
      <c r="AG909" s="52"/>
      <c r="AH909" s="48"/>
      <c r="AI909" s="48"/>
      <c r="AJ909" s="48"/>
      <c r="AK909" s="53"/>
      <c r="AL909" s="53"/>
      <c r="AM909" s="53"/>
      <c r="AN909" s="53"/>
      <c r="AO909" s="53"/>
      <c r="AP909" s="53"/>
      <c r="AQ909" s="53"/>
      <c r="AR909" s="53"/>
      <c r="AS909" s="53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52"/>
      <c r="BG909" s="52"/>
      <c r="BH909" s="52"/>
      <c r="BI909" s="52"/>
      <c r="BJ909" s="52"/>
      <c r="BK909" s="52"/>
      <c r="BL909" s="52"/>
      <c r="BM909" s="54"/>
    </row>
    <row r="910">
      <c r="A910" s="42"/>
      <c r="B910" s="52"/>
      <c r="C910" s="52"/>
      <c r="D910" s="52"/>
      <c r="E910" s="52"/>
      <c r="F910" s="81"/>
      <c r="G910" s="57"/>
      <c r="H910" s="48"/>
      <c r="I910" s="77"/>
      <c r="J910" s="62"/>
      <c r="K910" s="52"/>
      <c r="L910" s="52"/>
      <c r="M910" s="76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62"/>
      <c r="AB910" s="52"/>
      <c r="AC910" s="52"/>
      <c r="AD910" s="52"/>
      <c r="AE910" s="52"/>
      <c r="AF910" s="52"/>
      <c r="AG910" s="52"/>
      <c r="AH910" s="48"/>
      <c r="AI910" s="48"/>
      <c r="AJ910" s="48"/>
      <c r="AK910" s="53"/>
      <c r="AL910" s="53"/>
      <c r="AM910" s="53"/>
      <c r="AN910" s="53"/>
      <c r="AO910" s="53"/>
      <c r="AP910" s="53"/>
      <c r="AQ910" s="53"/>
      <c r="AR910" s="53"/>
      <c r="AS910" s="53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52"/>
      <c r="BG910" s="52"/>
      <c r="BH910" s="52"/>
      <c r="BI910" s="52"/>
      <c r="BJ910" s="52"/>
      <c r="BK910" s="52"/>
      <c r="BL910" s="52"/>
      <c r="BM910" s="54"/>
    </row>
    <row r="911">
      <c r="A911" s="42"/>
      <c r="B911" s="52"/>
      <c r="C911" s="52"/>
      <c r="D911" s="52"/>
      <c r="E911" s="52"/>
      <c r="F911" s="81"/>
      <c r="G911" s="57"/>
      <c r="H911" s="48"/>
      <c r="I911" s="77"/>
      <c r="J911" s="62"/>
      <c r="K911" s="52"/>
      <c r="L911" s="52"/>
      <c r="M911" s="76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62"/>
      <c r="AB911" s="52"/>
      <c r="AC911" s="52"/>
      <c r="AD911" s="52"/>
      <c r="AE911" s="52"/>
      <c r="AF911" s="52"/>
      <c r="AG911" s="52"/>
      <c r="AH911" s="48"/>
      <c r="AI911" s="48"/>
      <c r="AJ911" s="48"/>
      <c r="AK911" s="53"/>
      <c r="AL911" s="53"/>
      <c r="AM911" s="53"/>
      <c r="AN911" s="53"/>
      <c r="AO911" s="53"/>
      <c r="AP911" s="53"/>
      <c r="AQ911" s="53"/>
      <c r="AR911" s="53"/>
      <c r="AS911" s="53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52"/>
      <c r="BG911" s="52"/>
      <c r="BH911" s="52"/>
      <c r="BI911" s="52"/>
      <c r="BJ911" s="52"/>
      <c r="BK911" s="52"/>
      <c r="BL911" s="52"/>
      <c r="BM911" s="54"/>
    </row>
    <row r="912">
      <c r="A912" s="42"/>
      <c r="B912" s="52"/>
      <c r="C912" s="52"/>
      <c r="D912" s="52"/>
      <c r="E912" s="52"/>
      <c r="F912" s="81"/>
      <c r="G912" s="57"/>
      <c r="H912" s="48"/>
      <c r="I912" s="77"/>
      <c r="J912" s="62"/>
      <c r="K912" s="52"/>
      <c r="L912" s="52"/>
      <c r="M912" s="76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62"/>
      <c r="AB912" s="52"/>
      <c r="AC912" s="52"/>
      <c r="AD912" s="52"/>
      <c r="AE912" s="52"/>
      <c r="AF912" s="52"/>
      <c r="AG912" s="52"/>
      <c r="AH912" s="48"/>
      <c r="AI912" s="48"/>
      <c r="AJ912" s="48"/>
      <c r="AK912" s="53"/>
      <c r="AL912" s="53"/>
      <c r="AM912" s="53"/>
      <c r="AN912" s="53"/>
      <c r="AO912" s="53"/>
      <c r="AP912" s="53"/>
      <c r="AQ912" s="53"/>
      <c r="AR912" s="53"/>
      <c r="AS912" s="53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52"/>
      <c r="BG912" s="52"/>
      <c r="BH912" s="52"/>
      <c r="BI912" s="52"/>
      <c r="BJ912" s="52"/>
      <c r="BK912" s="52"/>
      <c r="BL912" s="52"/>
      <c r="BM912" s="54"/>
    </row>
    <row r="913">
      <c r="A913" s="42"/>
      <c r="B913" s="52"/>
      <c r="C913" s="52"/>
      <c r="D913" s="52"/>
      <c r="E913" s="52"/>
      <c r="F913" s="81"/>
      <c r="G913" s="57"/>
      <c r="H913" s="48"/>
      <c r="I913" s="77"/>
      <c r="J913" s="62"/>
      <c r="K913" s="52"/>
      <c r="L913" s="52"/>
      <c r="M913" s="76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62"/>
      <c r="AB913" s="52"/>
      <c r="AC913" s="52"/>
      <c r="AD913" s="52"/>
      <c r="AE913" s="52"/>
      <c r="AF913" s="52"/>
      <c r="AG913" s="52"/>
      <c r="AH913" s="48"/>
      <c r="AI913" s="48"/>
      <c r="AJ913" s="48"/>
      <c r="AK913" s="53"/>
      <c r="AL913" s="53"/>
      <c r="AM913" s="53"/>
      <c r="AN913" s="53"/>
      <c r="AO913" s="53"/>
      <c r="AP913" s="53"/>
      <c r="AQ913" s="53"/>
      <c r="AR913" s="53"/>
      <c r="AS913" s="53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52"/>
      <c r="BG913" s="52"/>
      <c r="BH913" s="52"/>
      <c r="BI913" s="52"/>
      <c r="BJ913" s="52"/>
      <c r="BK913" s="52"/>
      <c r="BL913" s="52"/>
      <c r="BM913" s="54"/>
    </row>
    <row r="914">
      <c r="A914" s="42"/>
      <c r="B914" s="52"/>
      <c r="C914" s="52"/>
      <c r="D914" s="52"/>
      <c r="E914" s="52"/>
      <c r="F914" s="81"/>
      <c r="G914" s="57"/>
      <c r="H914" s="48"/>
      <c r="I914" s="77"/>
      <c r="J914" s="62"/>
      <c r="K914" s="52"/>
      <c r="L914" s="52"/>
      <c r="M914" s="76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62"/>
      <c r="AB914" s="52"/>
      <c r="AC914" s="52"/>
      <c r="AD914" s="52"/>
      <c r="AE914" s="52"/>
      <c r="AF914" s="52"/>
      <c r="AG914" s="52"/>
      <c r="AH914" s="48"/>
      <c r="AI914" s="48"/>
      <c r="AJ914" s="48"/>
      <c r="AK914" s="53"/>
      <c r="AL914" s="53"/>
      <c r="AM914" s="53"/>
      <c r="AN914" s="53"/>
      <c r="AO914" s="53"/>
      <c r="AP914" s="53"/>
      <c r="AQ914" s="53"/>
      <c r="AR914" s="53"/>
      <c r="AS914" s="53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52"/>
      <c r="BG914" s="52"/>
      <c r="BH914" s="52"/>
      <c r="BI914" s="52"/>
      <c r="BJ914" s="52"/>
      <c r="BK914" s="52"/>
      <c r="BL914" s="52"/>
      <c r="BM914" s="54"/>
    </row>
    <row r="915">
      <c r="A915" s="42"/>
      <c r="B915" s="52"/>
      <c r="C915" s="52"/>
      <c r="D915" s="52"/>
      <c r="E915" s="52"/>
      <c r="F915" s="81"/>
      <c r="G915" s="57"/>
      <c r="H915" s="48"/>
      <c r="I915" s="77"/>
      <c r="J915" s="62"/>
      <c r="K915" s="52"/>
      <c r="L915" s="52"/>
      <c r="M915" s="76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62"/>
      <c r="AB915" s="52"/>
      <c r="AC915" s="52"/>
      <c r="AD915" s="52"/>
      <c r="AE915" s="52"/>
      <c r="AF915" s="52"/>
      <c r="AG915" s="52"/>
      <c r="AH915" s="48"/>
      <c r="AI915" s="48"/>
      <c r="AJ915" s="48"/>
      <c r="AK915" s="53"/>
      <c r="AL915" s="53"/>
      <c r="AM915" s="53"/>
      <c r="AN915" s="53"/>
      <c r="AO915" s="53"/>
      <c r="AP915" s="53"/>
      <c r="AQ915" s="53"/>
      <c r="AR915" s="53"/>
      <c r="AS915" s="53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52"/>
      <c r="BG915" s="52"/>
      <c r="BH915" s="52"/>
      <c r="BI915" s="52"/>
      <c r="BJ915" s="52"/>
      <c r="BK915" s="52"/>
      <c r="BL915" s="52"/>
      <c r="BM915" s="54"/>
    </row>
    <row r="916">
      <c r="A916" s="42"/>
      <c r="B916" s="52"/>
      <c r="C916" s="52"/>
      <c r="D916" s="52"/>
      <c r="E916" s="52"/>
      <c r="F916" s="81"/>
      <c r="G916" s="57"/>
      <c r="H916" s="48"/>
      <c r="I916" s="77"/>
      <c r="J916" s="62"/>
      <c r="K916" s="52"/>
      <c r="L916" s="52"/>
      <c r="M916" s="76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62"/>
      <c r="AB916" s="52"/>
      <c r="AC916" s="52"/>
      <c r="AD916" s="52"/>
      <c r="AE916" s="52"/>
      <c r="AF916" s="52"/>
      <c r="AG916" s="52"/>
      <c r="AH916" s="48"/>
      <c r="AI916" s="48"/>
      <c r="AJ916" s="48"/>
      <c r="AK916" s="53"/>
      <c r="AL916" s="53"/>
      <c r="AM916" s="53"/>
      <c r="AN916" s="53"/>
      <c r="AO916" s="53"/>
      <c r="AP916" s="53"/>
      <c r="AQ916" s="53"/>
      <c r="AR916" s="53"/>
      <c r="AS916" s="53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52"/>
      <c r="BG916" s="52"/>
      <c r="BH916" s="52"/>
      <c r="BI916" s="52"/>
      <c r="BJ916" s="52"/>
      <c r="BK916" s="52"/>
      <c r="BL916" s="52"/>
      <c r="BM916" s="54"/>
    </row>
    <row r="917">
      <c r="A917" s="42"/>
      <c r="B917" s="52"/>
      <c r="C917" s="52"/>
      <c r="D917" s="52"/>
      <c r="E917" s="52"/>
      <c r="F917" s="81"/>
      <c r="G917" s="57"/>
      <c r="H917" s="48"/>
      <c r="I917" s="77"/>
      <c r="J917" s="62"/>
      <c r="K917" s="52"/>
      <c r="L917" s="52"/>
      <c r="M917" s="76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62"/>
      <c r="AB917" s="52"/>
      <c r="AC917" s="52"/>
      <c r="AD917" s="52"/>
      <c r="AE917" s="52"/>
      <c r="AF917" s="52"/>
      <c r="AG917" s="52"/>
      <c r="AH917" s="48"/>
      <c r="AI917" s="48"/>
      <c r="AJ917" s="48"/>
      <c r="AK917" s="53"/>
      <c r="AL917" s="53"/>
      <c r="AM917" s="53"/>
      <c r="AN917" s="53"/>
      <c r="AO917" s="53"/>
      <c r="AP917" s="53"/>
      <c r="AQ917" s="53"/>
      <c r="AR917" s="53"/>
      <c r="AS917" s="53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52"/>
      <c r="BG917" s="52"/>
      <c r="BH917" s="52"/>
      <c r="BI917" s="52"/>
      <c r="BJ917" s="52"/>
      <c r="BK917" s="52"/>
      <c r="BL917" s="52"/>
      <c r="BM917" s="54"/>
    </row>
    <row r="918">
      <c r="A918" s="42"/>
      <c r="B918" s="52"/>
      <c r="C918" s="52"/>
      <c r="D918" s="52"/>
      <c r="E918" s="52"/>
      <c r="F918" s="81"/>
      <c r="G918" s="57"/>
      <c r="H918" s="48"/>
      <c r="I918" s="77"/>
      <c r="J918" s="62"/>
      <c r="K918" s="52"/>
      <c r="L918" s="52"/>
      <c r="M918" s="76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62"/>
      <c r="AB918" s="52"/>
      <c r="AC918" s="52"/>
      <c r="AD918" s="52"/>
      <c r="AE918" s="52"/>
      <c r="AF918" s="52"/>
      <c r="AG918" s="52"/>
      <c r="AH918" s="48"/>
      <c r="AI918" s="48"/>
      <c r="AJ918" s="48"/>
      <c r="AK918" s="53"/>
      <c r="AL918" s="53"/>
      <c r="AM918" s="53"/>
      <c r="AN918" s="53"/>
      <c r="AO918" s="53"/>
      <c r="AP918" s="53"/>
      <c r="AQ918" s="53"/>
      <c r="AR918" s="53"/>
      <c r="AS918" s="53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52"/>
      <c r="BG918" s="52"/>
      <c r="BH918" s="52"/>
      <c r="BI918" s="52"/>
      <c r="BJ918" s="52"/>
      <c r="BK918" s="52"/>
      <c r="BL918" s="52"/>
      <c r="BM918" s="54"/>
    </row>
    <row r="919">
      <c r="A919" s="42"/>
      <c r="B919" s="52"/>
      <c r="C919" s="52"/>
      <c r="D919" s="52"/>
      <c r="E919" s="52"/>
      <c r="F919" s="81"/>
      <c r="G919" s="57"/>
      <c r="H919" s="48"/>
      <c r="I919" s="77"/>
      <c r="J919" s="62"/>
      <c r="K919" s="52"/>
      <c r="L919" s="52"/>
      <c r="M919" s="76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62"/>
      <c r="AB919" s="52"/>
      <c r="AC919" s="52"/>
      <c r="AD919" s="52"/>
      <c r="AE919" s="52"/>
      <c r="AF919" s="52"/>
      <c r="AG919" s="52"/>
      <c r="AH919" s="48"/>
      <c r="AI919" s="48"/>
      <c r="AJ919" s="48"/>
      <c r="AK919" s="53"/>
      <c r="AL919" s="53"/>
      <c r="AM919" s="53"/>
      <c r="AN919" s="53"/>
      <c r="AO919" s="53"/>
      <c r="AP919" s="53"/>
      <c r="AQ919" s="53"/>
      <c r="AR919" s="53"/>
      <c r="AS919" s="53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52"/>
      <c r="BG919" s="52"/>
      <c r="BH919" s="52"/>
      <c r="BI919" s="52"/>
      <c r="BJ919" s="52"/>
      <c r="BK919" s="52"/>
      <c r="BL919" s="52"/>
      <c r="BM919" s="54"/>
    </row>
    <row r="920">
      <c r="A920" s="42"/>
      <c r="B920" s="52"/>
      <c r="C920" s="52"/>
      <c r="D920" s="52"/>
      <c r="E920" s="52"/>
      <c r="F920" s="81"/>
      <c r="G920" s="57"/>
      <c r="H920" s="48"/>
      <c r="I920" s="77"/>
      <c r="J920" s="62"/>
      <c r="K920" s="52"/>
      <c r="L920" s="52"/>
      <c r="M920" s="76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62"/>
      <c r="AB920" s="52"/>
      <c r="AC920" s="52"/>
      <c r="AD920" s="52"/>
      <c r="AE920" s="52"/>
      <c r="AF920" s="52"/>
      <c r="AG920" s="52"/>
      <c r="AH920" s="48"/>
      <c r="AI920" s="48"/>
      <c r="AJ920" s="48"/>
      <c r="AK920" s="53"/>
      <c r="AL920" s="53"/>
      <c r="AM920" s="53"/>
      <c r="AN920" s="53"/>
      <c r="AO920" s="53"/>
      <c r="AP920" s="53"/>
      <c r="AQ920" s="53"/>
      <c r="AR920" s="53"/>
      <c r="AS920" s="53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52"/>
      <c r="BG920" s="52"/>
      <c r="BH920" s="52"/>
      <c r="BI920" s="52"/>
      <c r="BJ920" s="52"/>
      <c r="BK920" s="52"/>
      <c r="BL920" s="52"/>
      <c r="BM920" s="54"/>
    </row>
    <row r="921">
      <c r="A921" s="42"/>
      <c r="B921" s="52"/>
      <c r="C921" s="52"/>
      <c r="D921" s="52"/>
      <c r="E921" s="52"/>
      <c r="F921" s="81"/>
      <c r="G921" s="57"/>
      <c r="H921" s="48"/>
      <c r="I921" s="77"/>
      <c r="J921" s="62"/>
      <c r="K921" s="52"/>
      <c r="L921" s="52"/>
      <c r="M921" s="76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62"/>
      <c r="AB921" s="52"/>
      <c r="AC921" s="52"/>
      <c r="AD921" s="52"/>
      <c r="AE921" s="52"/>
      <c r="AF921" s="52"/>
      <c r="AG921" s="52"/>
      <c r="AH921" s="48"/>
      <c r="AI921" s="48"/>
      <c r="AJ921" s="48"/>
      <c r="AK921" s="53"/>
      <c r="AL921" s="53"/>
      <c r="AM921" s="53"/>
      <c r="AN921" s="53"/>
      <c r="AO921" s="53"/>
      <c r="AP921" s="53"/>
      <c r="AQ921" s="53"/>
      <c r="AR921" s="53"/>
      <c r="AS921" s="53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52"/>
      <c r="BG921" s="52"/>
      <c r="BH921" s="52"/>
      <c r="BI921" s="52"/>
      <c r="BJ921" s="52"/>
      <c r="BK921" s="52"/>
      <c r="BL921" s="52"/>
      <c r="BM921" s="54"/>
    </row>
    <row r="922">
      <c r="A922" s="42"/>
      <c r="B922" s="52"/>
      <c r="C922" s="52"/>
      <c r="D922" s="52"/>
      <c r="E922" s="52"/>
      <c r="F922" s="81"/>
      <c r="G922" s="57"/>
      <c r="H922" s="48"/>
      <c r="I922" s="77"/>
      <c r="J922" s="62"/>
      <c r="K922" s="52"/>
      <c r="L922" s="52"/>
      <c r="M922" s="76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62"/>
      <c r="AB922" s="52"/>
      <c r="AC922" s="52"/>
      <c r="AD922" s="52"/>
      <c r="AE922" s="52"/>
      <c r="AF922" s="52"/>
      <c r="AG922" s="52"/>
      <c r="AH922" s="48"/>
      <c r="AI922" s="48"/>
      <c r="AJ922" s="48"/>
      <c r="AK922" s="53"/>
      <c r="AL922" s="53"/>
      <c r="AM922" s="53"/>
      <c r="AN922" s="53"/>
      <c r="AO922" s="53"/>
      <c r="AP922" s="53"/>
      <c r="AQ922" s="53"/>
      <c r="AR922" s="53"/>
      <c r="AS922" s="53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52"/>
      <c r="BG922" s="52"/>
      <c r="BH922" s="52"/>
      <c r="BI922" s="52"/>
      <c r="BJ922" s="52"/>
      <c r="BK922" s="52"/>
      <c r="BL922" s="52"/>
      <c r="BM922" s="54"/>
    </row>
    <row r="923">
      <c r="A923" s="42"/>
      <c r="B923" s="52"/>
      <c r="C923" s="52"/>
      <c r="D923" s="52"/>
      <c r="E923" s="52"/>
      <c r="F923" s="81"/>
      <c r="G923" s="57"/>
      <c r="H923" s="48"/>
      <c r="I923" s="77"/>
      <c r="J923" s="62"/>
      <c r="K923" s="52"/>
      <c r="L923" s="52"/>
      <c r="M923" s="76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62"/>
      <c r="AB923" s="52"/>
      <c r="AC923" s="52"/>
      <c r="AD923" s="52"/>
      <c r="AE923" s="52"/>
      <c r="AF923" s="52"/>
      <c r="AG923" s="52"/>
      <c r="AH923" s="48"/>
      <c r="AI923" s="48"/>
      <c r="AJ923" s="48"/>
      <c r="AK923" s="53"/>
      <c r="AL923" s="53"/>
      <c r="AM923" s="53"/>
      <c r="AN923" s="53"/>
      <c r="AO923" s="53"/>
      <c r="AP923" s="53"/>
      <c r="AQ923" s="53"/>
      <c r="AR923" s="53"/>
      <c r="AS923" s="53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52"/>
      <c r="BG923" s="52"/>
      <c r="BH923" s="52"/>
      <c r="BI923" s="52"/>
      <c r="BJ923" s="52"/>
      <c r="BK923" s="52"/>
      <c r="BL923" s="52"/>
      <c r="BM923" s="54"/>
    </row>
    <row r="924">
      <c r="A924" s="42"/>
      <c r="B924" s="52"/>
      <c r="C924" s="52"/>
      <c r="D924" s="52"/>
      <c r="E924" s="52"/>
      <c r="F924" s="81"/>
      <c r="G924" s="57"/>
      <c r="H924" s="48"/>
      <c r="I924" s="77"/>
      <c r="J924" s="62"/>
      <c r="K924" s="52"/>
      <c r="L924" s="52"/>
      <c r="M924" s="76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62"/>
      <c r="AB924" s="52"/>
      <c r="AC924" s="52"/>
      <c r="AD924" s="52"/>
      <c r="AE924" s="52"/>
      <c r="AF924" s="52"/>
      <c r="AG924" s="52"/>
      <c r="AH924" s="48"/>
      <c r="AI924" s="48"/>
      <c r="AJ924" s="48"/>
      <c r="AK924" s="53"/>
      <c r="AL924" s="53"/>
      <c r="AM924" s="53"/>
      <c r="AN924" s="53"/>
      <c r="AO924" s="53"/>
      <c r="AP924" s="53"/>
      <c r="AQ924" s="53"/>
      <c r="AR924" s="53"/>
      <c r="AS924" s="53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52"/>
      <c r="BG924" s="52"/>
      <c r="BH924" s="52"/>
      <c r="BI924" s="52"/>
      <c r="BJ924" s="52"/>
      <c r="BK924" s="52"/>
      <c r="BL924" s="52"/>
      <c r="BM924" s="54"/>
    </row>
    <row r="925">
      <c r="A925" s="42"/>
      <c r="B925" s="52"/>
      <c r="C925" s="52"/>
      <c r="D925" s="52"/>
      <c r="E925" s="52"/>
      <c r="F925" s="81"/>
      <c r="G925" s="57"/>
      <c r="H925" s="48"/>
      <c r="I925" s="77"/>
      <c r="J925" s="62"/>
      <c r="K925" s="52"/>
      <c r="L925" s="52"/>
      <c r="M925" s="76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62"/>
      <c r="AB925" s="52"/>
      <c r="AC925" s="52"/>
      <c r="AD925" s="52"/>
      <c r="AE925" s="52"/>
      <c r="AF925" s="52"/>
      <c r="AG925" s="52"/>
      <c r="AH925" s="48"/>
      <c r="AI925" s="48"/>
      <c r="AJ925" s="48"/>
      <c r="AK925" s="53"/>
      <c r="AL925" s="53"/>
      <c r="AM925" s="53"/>
      <c r="AN925" s="53"/>
      <c r="AO925" s="53"/>
      <c r="AP925" s="53"/>
      <c r="AQ925" s="53"/>
      <c r="AR925" s="53"/>
      <c r="AS925" s="53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52"/>
      <c r="BG925" s="52"/>
      <c r="BH925" s="52"/>
      <c r="BI925" s="52"/>
      <c r="BJ925" s="52"/>
      <c r="BK925" s="52"/>
      <c r="BL925" s="52"/>
      <c r="BM925" s="54"/>
    </row>
    <row r="926">
      <c r="A926" s="42"/>
      <c r="B926" s="52"/>
      <c r="C926" s="52"/>
      <c r="D926" s="52"/>
      <c r="E926" s="52"/>
      <c r="F926" s="81"/>
      <c r="G926" s="57"/>
      <c r="H926" s="48"/>
      <c r="I926" s="77"/>
      <c r="J926" s="62"/>
      <c r="K926" s="52"/>
      <c r="L926" s="52"/>
      <c r="M926" s="76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62"/>
      <c r="AB926" s="52"/>
      <c r="AC926" s="52"/>
      <c r="AD926" s="52"/>
      <c r="AE926" s="52"/>
      <c r="AF926" s="52"/>
      <c r="AG926" s="52"/>
      <c r="AH926" s="48"/>
      <c r="AI926" s="48"/>
      <c r="AJ926" s="48"/>
      <c r="AK926" s="53"/>
      <c r="AL926" s="53"/>
      <c r="AM926" s="53"/>
      <c r="AN926" s="53"/>
      <c r="AO926" s="53"/>
      <c r="AP926" s="53"/>
      <c r="AQ926" s="53"/>
      <c r="AR926" s="53"/>
      <c r="AS926" s="53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52"/>
      <c r="BG926" s="52"/>
      <c r="BH926" s="52"/>
      <c r="BI926" s="52"/>
      <c r="BJ926" s="52"/>
      <c r="BK926" s="52"/>
      <c r="BL926" s="52"/>
      <c r="BM926" s="54"/>
    </row>
    <row r="927">
      <c r="A927" s="42"/>
      <c r="B927" s="52"/>
      <c r="C927" s="52"/>
      <c r="D927" s="52"/>
      <c r="E927" s="52"/>
      <c r="F927" s="81"/>
      <c r="G927" s="57"/>
      <c r="H927" s="48"/>
      <c r="I927" s="77"/>
      <c r="J927" s="62"/>
      <c r="K927" s="52"/>
      <c r="L927" s="52"/>
      <c r="M927" s="76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62"/>
      <c r="AB927" s="52"/>
      <c r="AC927" s="52"/>
      <c r="AD927" s="52"/>
      <c r="AE927" s="52"/>
      <c r="AF927" s="52"/>
      <c r="AG927" s="52"/>
      <c r="AH927" s="48"/>
      <c r="AI927" s="48"/>
      <c r="AJ927" s="48"/>
      <c r="AK927" s="53"/>
      <c r="AL927" s="53"/>
      <c r="AM927" s="53"/>
      <c r="AN927" s="53"/>
      <c r="AO927" s="53"/>
      <c r="AP927" s="53"/>
      <c r="AQ927" s="53"/>
      <c r="AR927" s="53"/>
      <c r="AS927" s="53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52"/>
      <c r="BG927" s="52"/>
      <c r="BH927" s="52"/>
      <c r="BI927" s="52"/>
      <c r="BJ927" s="52"/>
      <c r="BK927" s="52"/>
      <c r="BL927" s="52"/>
      <c r="BM927" s="54"/>
    </row>
    <row r="928">
      <c r="A928" s="42"/>
      <c r="B928" s="52"/>
      <c r="C928" s="52"/>
      <c r="D928" s="52"/>
      <c r="E928" s="52"/>
      <c r="F928" s="81"/>
      <c r="G928" s="57"/>
      <c r="H928" s="48"/>
      <c r="I928" s="77"/>
      <c r="J928" s="62"/>
      <c r="K928" s="52"/>
      <c r="L928" s="52"/>
      <c r="M928" s="76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62"/>
      <c r="AB928" s="52"/>
      <c r="AC928" s="52"/>
      <c r="AD928" s="52"/>
      <c r="AE928" s="52"/>
      <c r="AF928" s="52"/>
      <c r="AG928" s="52"/>
      <c r="AH928" s="48"/>
      <c r="AI928" s="48"/>
      <c r="AJ928" s="48"/>
      <c r="AK928" s="53"/>
      <c r="AL928" s="53"/>
      <c r="AM928" s="53"/>
      <c r="AN928" s="53"/>
      <c r="AO928" s="53"/>
      <c r="AP928" s="53"/>
      <c r="AQ928" s="53"/>
      <c r="AR928" s="53"/>
      <c r="AS928" s="53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52"/>
      <c r="BG928" s="52"/>
      <c r="BH928" s="52"/>
      <c r="BI928" s="52"/>
      <c r="BJ928" s="52"/>
      <c r="BK928" s="52"/>
      <c r="BL928" s="52"/>
      <c r="BM928" s="54"/>
    </row>
    <row r="929">
      <c r="A929" s="42"/>
      <c r="B929" s="52"/>
      <c r="C929" s="52"/>
      <c r="D929" s="52"/>
      <c r="E929" s="52"/>
      <c r="F929" s="81"/>
      <c r="G929" s="57"/>
      <c r="H929" s="48"/>
      <c r="I929" s="77"/>
      <c r="J929" s="62"/>
      <c r="K929" s="52"/>
      <c r="L929" s="52"/>
      <c r="M929" s="76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62"/>
      <c r="AB929" s="52"/>
      <c r="AC929" s="52"/>
      <c r="AD929" s="52"/>
      <c r="AE929" s="52"/>
      <c r="AF929" s="52"/>
      <c r="AG929" s="52"/>
      <c r="AH929" s="48"/>
      <c r="AI929" s="48"/>
      <c r="AJ929" s="48"/>
      <c r="AK929" s="53"/>
      <c r="AL929" s="53"/>
      <c r="AM929" s="53"/>
      <c r="AN929" s="53"/>
      <c r="AO929" s="53"/>
      <c r="AP929" s="53"/>
      <c r="AQ929" s="53"/>
      <c r="AR929" s="53"/>
      <c r="AS929" s="53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52"/>
      <c r="BG929" s="52"/>
      <c r="BH929" s="52"/>
      <c r="BI929" s="52"/>
      <c r="BJ929" s="52"/>
      <c r="BK929" s="52"/>
      <c r="BL929" s="52"/>
      <c r="BM929" s="54"/>
    </row>
    <row r="930">
      <c r="A930" s="42"/>
      <c r="B930" s="52"/>
      <c r="C930" s="52"/>
      <c r="D930" s="52"/>
      <c r="E930" s="52"/>
      <c r="F930" s="81"/>
      <c r="G930" s="57"/>
      <c r="H930" s="48"/>
      <c r="I930" s="77"/>
      <c r="J930" s="62"/>
      <c r="K930" s="52"/>
      <c r="L930" s="52"/>
      <c r="M930" s="76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62"/>
      <c r="AB930" s="52"/>
      <c r="AC930" s="52"/>
      <c r="AD930" s="52"/>
      <c r="AE930" s="52"/>
      <c r="AF930" s="52"/>
      <c r="AG930" s="52"/>
      <c r="AH930" s="48"/>
      <c r="AI930" s="48"/>
      <c r="AJ930" s="48"/>
      <c r="AK930" s="53"/>
      <c r="AL930" s="53"/>
      <c r="AM930" s="53"/>
      <c r="AN930" s="53"/>
      <c r="AO930" s="53"/>
      <c r="AP930" s="53"/>
      <c r="AQ930" s="53"/>
      <c r="AR930" s="53"/>
      <c r="AS930" s="53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52"/>
      <c r="BG930" s="52"/>
      <c r="BH930" s="52"/>
      <c r="BI930" s="52"/>
      <c r="BJ930" s="52"/>
      <c r="BK930" s="52"/>
      <c r="BL930" s="52"/>
      <c r="BM930" s="54"/>
    </row>
    <row r="931">
      <c r="A931" s="42"/>
      <c r="B931" s="52"/>
      <c r="C931" s="52"/>
      <c r="D931" s="52"/>
      <c r="E931" s="52"/>
      <c r="F931" s="81"/>
      <c r="G931" s="57"/>
      <c r="H931" s="48"/>
      <c r="I931" s="77"/>
      <c r="J931" s="62"/>
      <c r="K931" s="52"/>
      <c r="L931" s="52"/>
      <c r="M931" s="76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62"/>
      <c r="AB931" s="52"/>
      <c r="AC931" s="52"/>
      <c r="AD931" s="52"/>
      <c r="AE931" s="52"/>
      <c r="AF931" s="52"/>
      <c r="AG931" s="52"/>
      <c r="AH931" s="48"/>
      <c r="AI931" s="48"/>
      <c r="AJ931" s="48"/>
      <c r="AK931" s="53"/>
      <c r="AL931" s="53"/>
      <c r="AM931" s="53"/>
      <c r="AN931" s="53"/>
      <c r="AO931" s="53"/>
      <c r="AP931" s="53"/>
      <c r="AQ931" s="53"/>
      <c r="AR931" s="53"/>
      <c r="AS931" s="53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52"/>
      <c r="BG931" s="52"/>
      <c r="BH931" s="52"/>
      <c r="BI931" s="52"/>
      <c r="BJ931" s="52"/>
      <c r="BK931" s="52"/>
      <c r="BL931" s="52"/>
      <c r="BM931" s="54"/>
    </row>
    <row r="932">
      <c r="A932" s="42"/>
      <c r="B932" s="52"/>
      <c r="C932" s="52"/>
      <c r="D932" s="52"/>
      <c r="E932" s="52"/>
      <c r="F932" s="81"/>
      <c r="G932" s="57"/>
      <c r="H932" s="48"/>
      <c r="I932" s="77"/>
      <c r="J932" s="62"/>
      <c r="K932" s="52"/>
      <c r="L932" s="52"/>
      <c r="M932" s="76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62"/>
      <c r="AB932" s="52"/>
      <c r="AC932" s="52"/>
      <c r="AD932" s="52"/>
      <c r="AE932" s="52"/>
      <c r="AF932" s="52"/>
      <c r="AG932" s="52"/>
      <c r="AH932" s="48"/>
      <c r="AI932" s="48"/>
      <c r="AJ932" s="48"/>
      <c r="AK932" s="53"/>
      <c r="AL932" s="53"/>
      <c r="AM932" s="53"/>
      <c r="AN932" s="53"/>
      <c r="AO932" s="53"/>
      <c r="AP932" s="53"/>
      <c r="AQ932" s="53"/>
      <c r="AR932" s="53"/>
      <c r="AS932" s="53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52"/>
      <c r="BG932" s="52"/>
      <c r="BH932" s="52"/>
      <c r="BI932" s="52"/>
      <c r="BJ932" s="52"/>
      <c r="BK932" s="52"/>
      <c r="BL932" s="52"/>
      <c r="BM932" s="54"/>
    </row>
    <row r="933">
      <c r="A933" s="42"/>
      <c r="B933" s="52"/>
      <c r="C933" s="52"/>
      <c r="D933" s="52"/>
      <c r="E933" s="52"/>
      <c r="F933" s="81"/>
      <c r="G933" s="57"/>
      <c r="H933" s="48"/>
      <c r="I933" s="77"/>
      <c r="J933" s="62"/>
      <c r="K933" s="52"/>
      <c r="L933" s="52"/>
      <c r="M933" s="76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62"/>
      <c r="AB933" s="52"/>
      <c r="AC933" s="52"/>
      <c r="AD933" s="52"/>
      <c r="AE933" s="52"/>
      <c r="AF933" s="52"/>
      <c r="AG933" s="52"/>
      <c r="AH933" s="48"/>
      <c r="AI933" s="48"/>
      <c r="AJ933" s="48"/>
      <c r="AK933" s="53"/>
      <c r="AL933" s="53"/>
      <c r="AM933" s="53"/>
      <c r="AN933" s="53"/>
      <c r="AO933" s="53"/>
      <c r="AP933" s="53"/>
      <c r="AQ933" s="53"/>
      <c r="AR933" s="53"/>
      <c r="AS933" s="53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52"/>
      <c r="BG933" s="52"/>
      <c r="BH933" s="52"/>
      <c r="BI933" s="52"/>
      <c r="BJ933" s="52"/>
      <c r="BK933" s="52"/>
      <c r="BL933" s="52"/>
      <c r="BM933" s="54"/>
    </row>
    <row r="934">
      <c r="A934" s="42"/>
      <c r="B934" s="52"/>
      <c r="C934" s="52"/>
      <c r="D934" s="52"/>
      <c r="E934" s="52"/>
      <c r="F934" s="81"/>
      <c r="G934" s="57"/>
      <c r="H934" s="48"/>
      <c r="I934" s="77"/>
      <c r="J934" s="62"/>
      <c r="K934" s="52"/>
      <c r="L934" s="52"/>
      <c r="M934" s="76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62"/>
      <c r="AB934" s="52"/>
      <c r="AC934" s="52"/>
      <c r="AD934" s="52"/>
      <c r="AE934" s="52"/>
      <c r="AF934" s="52"/>
      <c r="AG934" s="52"/>
      <c r="AH934" s="48"/>
      <c r="AI934" s="48"/>
      <c r="AJ934" s="48"/>
      <c r="AK934" s="53"/>
      <c r="AL934" s="53"/>
      <c r="AM934" s="53"/>
      <c r="AN934" s="53"/>
      <c r="AO934" s="53"/>
      <c r="AP934" s="53"/>
      <c r="AQ934" s="53"/>
      <c r="AR934" s="53"/>
      <c r="AS934" s="53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52"/>
      <c r="BG934" s="52"/>
      <c r="BH934" s="52"/>
      <c r="BI934" s="52"/>
      <c r="BJ934" s="52"/>
      <c r="BK934" s="52"/>
      <c r="BL934" s="52"/>
      <c r="BM934" s="54"/>
    </row>
    <row r="935">
      <c r="A935" s="42"/>
      <c r="B935" s="52"/>
      <c r="C935" s="52"/>
      <c r="D935" s="52"/>
      <c r="E935" s="52"/>
      <c r="F935" s="81"/>
      <c r="G935" s="57"/>
      <c r="H935" s="48"/>
      <c r="I935" s="77"/>
      <c r="J935" s="62"/>
      <c r="K935" s="52"/>
      <c r="L935" s="52"/>
      <c r="M935" s="76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62"/>
      <c r="AB935" s="52"/>
      <c r="AC935" s="52"/>
      <c r="AD935" s="52"/>
      <c r="AE935" s="52"/>
      <c r="AF935" s="52"/>
      <c r="AG935" s="52"/>
      <c r="AH935" s="48"/>
      <c r="AI935" s="48"/>
      <c r="AJ935" s="48"/>
      <c r="AK935" s="53"/>
      <c r="AL935" s="53"/>
      <c r="AM935" s="53"/>
      <c r="AN935" s="53"/>
      <c r="AO935" s="53"/>
      <c r="AP935" s="53"/>
      <c r="AQ935" s="53"/>
      <c r="AR935" s="53"/>
      <c r="AS935" s="53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52"/>
      <c r="BG935" s="52"/>
      <c r="BH935" s="52"/>
      <c r="BI935" s="52"/>
      <c r="BJ935" s="52"/>
      <c r="BK935" s="52"/>
      <c r="BL935" s="52"/>
      <c r="BM935" s="54"/>
    </row>
    <row r="936">
      <c r="A936" s="42"/>
      <c r="B936" s="52"/>
      <c r="C936" s="52"/>
      <c r="D936" s="52"/>
      <c r="E936" s="52"/>
      <c r="F936" s="81"/>
      <c r="G936" s="57"/>
      <c r="H936" s="48"/>
      <c r="I936" s="77"/>
      <c r="J936" s="62"/>
      <c r="K936" s="52"/>
      <c r="L936" s="52"/>
      <c r="M936" s="76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62"/>
      <c r="AB936" s="52"/>
      <c r="AC936" s="52"/>
      <c r="AD936" s="52"/>
      <c r="AE936" s="52"/>
      <c r="AF936" s="52"/>
      <c r="AG936" s="52"/>
      <c r="AH936" s="48"/>
      <c r="AI936" s="48"/>
      <c r="AJ936" s="48"/>
      <c r="AK936" s="53"/>
      <c r="AL936" s="53"/>
      <c r="AM936" s="53"/>
      <c r="AN936" s="53"/>
      <c r="AO936" s="53"/>
      <c r="AP936" s="53"/>
      <c r="AQ936" s="53"/>
      <c r="AR936" s="53"/>
      <c r="AS936" s="53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52"/>
      <c r="BG936" s="52"/>
      <c r="BH936" s="52"/>
      <c r="BI936" s="52"/>
      <c r="BJ936" s="52"/>
      <c r="BK936" s="52"/>
      <c r="BL936" s="52"/>
      <c r="BM936" s="54"/>
    </row>
    <row r="937">
      <c r="A937" s="42"/>
      <c r="B937" s="52"/>
      <c r="C937" s="52"/>
      <c r="D937" s="52"/>
      <c r="E937" s="52"/>
      <c r="F937" s="81"/>
      <c r="G937" s="57"/>
      <c r="H937" s="48"/>
      <c r="I937" s="77"/>
      <c r="J937" s="62"/>
      <c r="K937" s="52"/>
      <c r="L937" s="52"/>
      <c r="M937" s="76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62"/>
      <c r="AB937" s="52"/>
      <c r="AC937" s="52"/>
      <c r="AD937" s="52"/>
      <c r="AE937" s="52"/>
      <c r="AF937" s="52"/>
      <c r="AG937" s="52"/>
      <c r="AH937" s="48"/>
      <c r="AI937" s="48"/>
      <c r="AJ937" s="48"/>
      <c r="AK937" s="53"/>
      <c r="AL937" s="53"/>
      <c r="AM937" s="53"/>
      <c r="AN937" s="53"/>
      <c r="AO937" s="53"/>
      <c r="AP937" s="53"/>
      <c r="AQ937" s="53"/>
      <c r="AR937" s="53"/>
      <c r="AS937" s="53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52"/>
      <c r="BG937" s="52"/>
      <c r="BH937" s="52"/>
      <c r="BI937" s="52"/>
      <c r="BJ937" s="52"/>
      <c r="BK937" s="52"/>
      <c r="BL937" s="52"/>
      <c r="BM937" s="54"/>
    </row>
    <row r="938">
      <c r="A938" s="42"/>
      <c r="B938" s="52"/>
      <c r="C938" s="52"/>
      <c r="D938" s="52"/>
      <c r="E938" s="52"/>
      <c r="F938" s="81"/>
      <c r="G938" s="57"/>
      <c r="H938" s="48"/>
      <c r="I938" s="77"/>
      <c r="J938" s="62"/>
      <c r="K938" s="52"/>
      <c r="L938" s="52"/>
      <c r="M938" s="76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62"/>
      <c r="AB938" s="52"/>
      <c r="AC938" s="52"/>
      <c r="AD938" s="52"/>
      <c r="AE938" s="52"/>
      <c r="AF938" s="52"/>
      <c r="AG938" s="52"/>
      <c r="AH938" s="48"/>
      <c r="AI938" s="48"/>
      <c r="AJ938" s="48"/>
      <c r="AK938" s="53"/>
      <c r="AL938" s="53"/>
      <c r="AM938" s="53"/>
      <c r="AN938" s="53"/>
      <c r="AO938" s="53"/>
      <c r="AP938" s="53"/>
      <c r="AQ938" s="53"/>
      <c r="AR938" s="53"/>
      <c r="AS938" s="53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52"/>
      <c r="BG938" s="52"/>
      <c r="BH938" s="52"/>
      <c r="BI938" s="52"/>
      <c r="BJ938" s="52"/>
      <c r="BK938" s="52"/>
      <c r="BL938" s="52"/>
      <c r="BM938" s="54"/>
    </row>
    <row r="939">
      <c r="A939" s="42"/>
      <c r="B939" s="52"/>
      <c r="C939" s="52"/>
      <c r="D939" s="52"/>
      <c r="E939" s="52"/>
      <c r="F939" s="81"/>
      <c r="G939" s="57"/>
      <c r="H939" s="48"/>
      <c r="I939" s="77"/>
      <c r="J939" s="62"/>
      <c r="K939" s="52"/>
      <c r="L939" s="52"/>
      <c r="M939" s="76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62"/>
      <c r="AB939" s="52"/>
      <c r="AC939" s="52"/>
      <c r="AD939" s="52"/>
      <c r="AE939" s="52"/>
      <c r="AF939" s="52"/>
      <c r="AG939" s="52"/>
      <c r="AH939" s="48"/>
      <c r="AI939" s="48"/>
      <c r="AJ939" s="48"/>
      <c r="AK939" s="53"/>
      <c r="AL939" s="53"/>
      <c r="AM939" s="53"/>
      <c r="AN939" s="53"/>
      <c r="AO939" s="53"/>
      <c r="AP939" s="53"/>
      <c r="AQ939" s="53"/>
      <c r="AR939" s="53"/>
      <c r="AS939" s="53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52"/>
      <c r="BG939" s="52"/>
      <c r="BH939" s="52"/>
      <c r="BI939" s="52"/>
      <c r="BJ939" s="52"/>
      <c r="BK939" s="52"/>
      <c r="BL939" s="52"/>
      <c r="BM939" s="54"/>
    </row>
    <row r="940">
      <c r="A940" s="42"/>
      <c r="B940" s="52"/>
      <c r="C940" s="52"/>
      <c r="D940" s="52"/>
      <c r="E940" s="52"/>
      <c r="F940" s="81"/>
      <c r="G940" s="57"/>
      <c r="H940" s="48"/>
      <c r="I940" s="77"/>
      <c r="J940" s="62"/>
      <c r="K940" s="52"/>
      <c r="L940" s="52"/>
      <c r="M940" s="76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62"/>
      <c r="AB940" s="52"/>
      <c r="AC940" s="52"/>
      <c r="AD940" s="52"/>
      <c r="AE940" s="52"/>
      <c r="AF940" s="52"/>
      <c r="AG940" s="52"/>
      <c r="AH940" s="48"/>
      <c r="AI940" s="48"/>
      <c r="AJ940" s="48"/>
      <c r="AK940" s="53"/>
      <c r="AL940" s="53"/>
      <c r="AM940" s="53"/>
      <c r="AN940" s="53"/>
      <c r="AO940" s="53"/>
      <c r="AP940" s="53"/>
      <c r="AQ940" s="53"/>
      <c r="AR940" s="53"/>
      <c r="AS940" s="53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52"/>
      <c r="BG940" s="52"/>
      <c r="BH940" s="52"/>
      <c r="BI940" s="52"/>
      <c r="BJ940" s="52"/>
      <c r="BK940" s="52"/>
      <c r="BL940" s="52"/>
      <c r="BM940" s="54"/>
    </row>
    <row r="941">
      <c r="A941" s="42"/>
      <c r="B941" s="52"/>
      <c r="C941" s="52"/>
      <c r="D941" s="52"/>
      <c r="E941" s="52"/>
      <c r="F941" s="81"/>
      <c r="G941" s="57"/>
      <c r="H941" s="48"/>
      <c r="I941" s="77"/>
      <c r="J941" s="62"/>
      <c r="K941" s="52"/>
      <c r="L941" s="52"/>
      <c r="M941" s="76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62"/>
      <c r="AB941" s="52"/>
      <c r="AC941" s="52"/>
      <c r="AD941" s="52"/>
      <c r="AE941" s="52"/>
      <c r="AF941" s="52"/>
      <c r="AG941" s="52"/>
      <c r="AH941" s="48"/>
      <c r="AI941" s="48"/>
      <c r="AJ941" s="48"/>
      <c r="AK941" s="53"/>
      <c r="AL941" s="53"/>
      <c r="AM941" s="53"/>
      <c r="AN941" s="53"/>
      <c r="AO941" s="53"/>
      <c r="AP941" s="53"/>
      <c r="AQ941" s="53"/>
      <c r="AR941" s="53"/>
      <c r="AS941" s="53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52"/>
      <c r="BG941" s="52"/>
      <c r="BH941" s="52"/>
      <c r="BI941" s="52"/>
      <c r="BJ941" s="52"/>
      <c r="BK941" s="52"/>
      <c r="BL941" s="52"/>
      <c r="BM941" s="54"/>
    </row>
    <row r="942">
      <c r="A942" s="42"/>
      <c r="B942" s="52"/>
      <c r="C942" s="52"/>
      <c r="D942" s="52"/>
      <c r="E942" s="52"/>
      <c r="F942" s="81"/>
      <c r="G942" s="57"/>
      <c r="H942" s="48"/>
      <c r="I942" s="77"/>
      <c r="J942" s="62"/>
      <c r="K942" s="52"/>
      <c r="L942" s="52"/>
      <c r="M942" s="76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62"/>
      <c r="AB942" s="52"/>
      <c r="AC942" s="52"/>
      <c r="AD942" s="52"/>
      <c r="AE942" s="52"/>
      <c r="AF942" s="52"/>
      <c r="AG942" s="52"/>
      <c r="AH942" s="48"/>
      <c r="AI942" s="48"/>
      <c r="AJ942" s="48"/>
      <c r="AK942" s="53"/>
      <c r="AL942" s="53"/>
      <c r="AM942" s="53"/>
      <c r="AN942" s="53"/>
      <c r="AO942" s="53"/>
      <c r="AP942" s="53"/>
      <c r="AQ942" s="53"/>
      <c r="AR942" s="53"/>
      <c r="AS942" s="53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52"/>
      <c r="BG942" s="52"/>
      <c r="BH942" s="52"/>
      <c r="BI942" s="52"/>
      <c r="BJ942" s="52"/>
      <c r="BK942" s="52"/>
      <c r="BL942" s="52"/>
      <c r="BM942" s="54"/>
    </row>
    <row r="943">
      <c r="A943" s="42"/>
      <c r="B943" s="52"/>
      <c r="C943" s="52"/>
      <c r="D943" s="52"/>
      <c r="E943" s="52"/>
      <c r="F943" s="81"/>
      <c r="G943" s="57"/>
      <c r="H943" s="48"/>
      <c r="I943" s="77"/>
      <c r="J943" s="62"/>
      <c r="K943" s="52"/>
      <c r="L943" s="52"/>
      <c r="M943" s="76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62"/>
      <c r="AB943" s="52"/>
      <c r="AC943" s="52"/>
      <c r="AD943" s="52"/>
      <c r="AE943" s="52"/>
      <c r="AF943" s="52"/>
      <c r="AG943" s="52"/>
      <c r="AH943" s="48"/>
      <c r="AI943" s="48"/>
      <c r="AJ943" s="48"/>
      <c r="AK943" s="53"/>
      <c r="AL943" s="53"/>
      <c r="AM943" s="53"/>
      <c r="AN943" s="53"/>
      <c r="AO943" s="53"/>
      <c r="AP943" s="53"/>
      <c r="AQ943" s="53"/>
      <c r="AR943" s="53"/>
      <c r="AS943" s="53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52"/>
      <c r="BG943" s="52"/>
      <c r="BH943" s="52"/>
      <c r="BI943" s="52"/>
      <c r="BJ943" s="52"/>
      <c r="BK943" s="52"/>
      <c r="BL943" s="52"/>
      <c r="BM943" s="54"/>
    </row>
    <row r="944">
      <c r="A944" s="42"/>
      <c r="B944" s="52"/>
      <c r="C944" s="52"/>
      <c r="D944" s="52"/>
      <c r="E944" s="52"/>
      <c r="F944" s="81"/>
      <c r="G944" s="57"/>
      <c r="H944" s="48"/>
      <c r="I944" s="77"/>
      <c r="J944" s="62"/>
      <c r="K944" s="52"/>
      <c r="L944" s="52"/>
      <c r="M944" s="76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62"/>
      <c r="AB944" s="52"/>
      <c r="AC944" s="52"/>
      <c r="AD944" s="52"/>
      <c r="AE944" s="52"/>
      <c r="AF944" s="52"/>
      <c r="AG944" s="52"/>
      <c r="AH944" s="48"/>
      <c r="AI944" s="48"/>
      <c r="AJ944" s="48"/>
      <c r="AK944" s="53"/>
      <c r="AL944" s="53"/>
      <c r="AM944" s="53"/>
      <c r="AN944" s="53"/>
      <c r="AO944" s="53"/>
      <c r="AP944" s="53"/>
      <c r="AQ944" s="53"/>
      <c r="AR944" s="53"/>
      <c r="AS944" s="53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52"/>
      <c r="BG944" s="52"/>
      <c r="BH944" s="52"/>
      <c r="BI944" s="52"/>
      <c r="BJ944" s="52"/>
      <c r="BK944" s="52"/>
      <c r="BL944" s="52"/>
      <c r="BM944" s="54"/>
    </row>
    <row r="945">
      <c r="A945" s="42"/>
      <c r="B945" s="52"/>
      <c r="C945" s="52"/>
      <c r="D945" s="52"/>
      <c r="E945" s="52"/>
      <c r="F945" s="81"/>
      <c r="G945" s="57"/>
      <c r="H945" s="48"/>
      <c r="I945" s="77"/>
      <c r="J945" s="62"/>
      <c r="K945" s="52"/>
      <c r="L945" s="52"/>
      <c r="M945" s="76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62"/>
      <c r="AB945" s="52"/>
      <c r="AC945" s="52"/>
      <c r="AD945" s="52"/>
      <c r="AE945" s="52"/>
      <c r="AF945" s="52"/>
      <c r="AG945" s="52"/>
      <c r="AH945" s="48"/>
      <c r="AI945" s="48"/>
      <c r="AJ945" s="48"/>
      <c r="AK945" s="53"/>
      <c r="AL945" s="53"/>
      <c r="AM945" s="53"/>
      <c r="AN945" s="53"/>
      <c r="AO945" s="53"/>
      <c r="AP945" s="53"/>
      <c r="AQ945" s="53"/>
      <c r="AR945" s="53"/>
      <c r="AS945" s="53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52"/>
      <c r="BG945" s="52"/>
      <c r="BH945" s="52"/>
      <c r="BI945" s="52"/>
      <c r="BJ945" s="52"/>
      <c r="BK945" s="52"/>
      <c r="BL945" s="52"/>
      <c r="BM945" s="54"/>
    </row>
    <row r="946">
      <c r="A946" s="42"/>
      <c r="B946" s="52"/>
      <c r="C946" s="52"/>
      <c r="D946" s="52"/>
      <c r="E946" s="52"/>
      <c r="F946" s="81"/>
      <c r="G946" s="57"/>
      <c r="H946" s="48"/>
      <c r="I946" s="77"/>
      <c r="J946" s="62"/>
      <c r="K946" s="52"/>
      <c r="L946" s="52"/>
      <c r="M946" s="76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62"/>
      <c r="AB946" s="52"/>
      <c r="AC946" s="52"/>
      <c r="AD946" s="52"/>
      <c r="AE946" s="52"/>
      <c r="AF946" s="52"/>
      <c r="AG946" s="52"/>
      <c r="AH946" s="48"/>
      <c r="AI946" s="48"/>
      <c r="AJ946" s="48"/>
      <c r="AK946" s="53"/>
      <c r="AL946" s="53"/>
      <c r="AM946" s="53"/>
      <c r="AN946" s="53"/>
      <c r="AO946" s="53"/>
      <c r="AP946" s="53"/>
      <c r="AQ946" s="53"/>
      <c r="AR946" s="53"/>
      <c r="AS946" s="53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52"/>
      <c r="BG946" s="52"/>
      <c r="BH946" s="52"/>
      <c r="BI946" s="52"/>
      <c r="BJ946" s="52"/>
      <c r="BK946" s="52"/>
      <c r="BL946" s="52"/>
      <c r="BM946" s="54"/>
    </row>
    <row r="947">
      <c r="A947" s="42"/>
      <c r="B947" s="52"/>
      <c r="C947" s="52"/>
      <c r="D947" s="52"/>
      <c r="E947" s="52"/>
      <c r="F947" s="81"/>
      <c r="G947" s="57"/>
      <c r="H947" s="48"/>
      <c r="I947" s="77"/>
      <c r="J947" s="62"/>
      <c r="K947" s="52"/>
      <c r="L947" s="52"/>
      <c r="M947" s="76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62"/>
      <c r="AB947" s="52"/>
      <c r="AC947" s="52"/>
      <c r="AD947" s="52"/>
      <c r="AE947" s="52"/>
      <c r="AF947" s="52"/>
      <c r="AG947" s="52"/>
      <c r="AH947" s="48"/>
      <c r="AI947" s="48"/>
      <c r="AJ947" s="48"/>
      <c r="AK947" s="53"/>
      <c r="AL947" s="53"/>
      <c r="AM947" s="53"/>
      <c r="AN947" s="53"/>
      <c r="AO947" s="53"/>
      <c r="AP947" s="53"/>
      <c r="AQ947" s="53"/>
      <c r="AR947" s="53"/>
      <c r="AS947" s="53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52"/>
      <c r="BG947" s="52"/>
      <c r="BH947" s="52"/>
      <c r="BI947" s="52"/>
      <c r="BJ947" s="52"/>
      <c r="BK947" s="52"/>
      <c r="BL947" s="52"/>
      <c r="BM947" s="54"/>
    </row>
    <row r="948">
      <c r="A948" s="42"/>
      <c r="B948" s="52"/>
      <c r="C948" s="52"/>
      <c r="D948" s="52"/>
      <c r="E948" s="52"/>
      <c r="F948" s="81"/>
      <c r="G948" s="57"/>
      <c r="H948" s="48"/>
      <c r="I948" s="77"/>
      <c r="J948" s="62"/>
      <c r="K948" s="52"/>
      <c r="L948" s="52"/>
      <c r="M948" s="76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62"/>
      <c r="AB948" s="52"/>
      <c r="AC948" s="52"/>
      <c r="AD948" s="52"/>
      <c r="AE948" s="52"/>
      <c r="AF948" s="52"/>
      <c r="AG948" s="52"/>
      <c r="AH948" s="48"/>
      <c r="AI948" s="48"/>
      <c r="AJ948" s="48"/>
      <c r="AK948" s="53"/>
      <c r="AL948" s="53"/>
      <c r="AM948" s="53"/>
      <c r="AN948" s="53"/>
      <c r="AO948" s="53"/>
      <c r="AP948" s="53"/>
      <c r="AQ948" s="53"/>
      <c r="AR948" s="53"/>
      <c r="AS948" s="53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52"/>
      <c r="BG948" s="52"/>
      <c r="BH948" s="52"/>
      <c r="BI948" s="52"/>
      <c r="BJ948" s="52"/>
      <c r="BK948" s="52"/>
      <c r="BL948" s="52"/>
      <c r="BM948" s="54"/>
    </row>
    <row r="949">
      <c r="A949" s="42"/>
      <c r="B949" s="52"/>
      <c r="C949" s="52"/>
      <c r="D949" s="52"/>
      <c r="E949" s="52"/>
      <c r="F949" s="81"/>
      <c r="G949" s="57"/>
      <c r="H949" s="48"/>
      <c r="I949" s="77"/>
      <c r="J949" s="62"/>
      <c r="K949" s="52"/>
      <c r="L949" s="52"/>
      <c r="M949" s="76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62"/>
      <c r="AB949" s="52"/>
      <c r="AC949" s="52"/>
      <c r="AD949" s="52"/>
      <c r="AE949" s="52"/>
      <c r="AF949" s="52"/>
      <c r="AG949" s="52"/>
      <c r="AH949" s="48"/>
      <c r="AI949" s="48"/>
      <c r="AJ949" s="48"/>
      <c r="AK949" s="53"/>
      <c r="AL949" s="53"/>
      <c r="AM949" s="53"/>
      <c r="AN949" s="53"/>
      <c r="AO949" s="53"/>
      <c r="AP949" s="53"/>
      <c r="AQ949" s="53"/>
      <c r="AR949" s="53"/>
      <c r="AS949" s="53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52"/>
      <c r="BG949" s="52"/>
      <c r="BH949" s="52"/>
      <c r="BI949" s="52"/>
      <c r="BJ949" s="52"/>
      <c r="BK949" s="52"/>
      <c r="BL949" s="52"/>
      <c r="BM949" s="54"/>
    </row>
    <row r="950">
      <c r="A950" s="42"/>
      <c r="B950" s="52"/>
      <c r="C950" s="52"/>
      <c r="D950" s="52"/>
      <c r="E950" s="52"/>
      <c r="F950" s="81"/>
      <c r="G950" s="57"/>
      <c r="H950" s="48"/>
      <c r="I950" s="77"/>
      <c r="J950" s="62"/>
      <c r="K950" s="52"/>
      <c r="L950" s="52"/>
      <c r="M950" s="76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62"/>
      <c r="AB950" s="52"/>
      <c r="AC950" s="52"/>
      <c r="AD950" s="52"/>
      <c r="AE950" s="52"/>
      <c r="AF950" s="52"/>
      <c r="AG950" s="52"/>
      <c r="AH950" s="48"/>
      <c r="AI950" s="48"/>
      <c r="AJ950" s="48"/>
      <c r="AK950" s="53"/>
      <c r="AL950" s="53"/>
      <c r="AM950" s="53"/>
      <c r="AN950" s="53"/>
      <c r="AO950" s="53"/>
      <c r="AP950" s="53"/>
      <c r="AQ950" s="53"/>
      <c r="AR950" s="53"/>
      <c r="AS950" s="53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52"/>
      <c r="BG950" s="52"/>
      <c r="BH950" s="52"/>
      <c r="BI950" s="52"/>
      <c r="BJ950" s="52"/>
      <c r="BK950" s="52"/>
      <c r="BL950" s="52"/>
      <c r="BM950" s="54"/>
    </row>
    <row r="951">
      <c r="A951" s="42"/>
      <c r="B951" s="52"/>
      <c r="C951" s="52"/>
      <c r="D951" s="52"/>
      <c r="E951" s="52"/>
      <c r="F951" s="81"/>
      <c r="G951" s="57"/>
      <c r="H951" s="48"/>
      <c r="I951" s="77"/>
      <c r="J951" s="62"/>
      <c r="K951" s="52"/>
      <c r="L951" s="52"/>
      <c r="M951" s="76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62"/>
      <c r="AB951" s="52"/>
      <c r="AC951" s="52"/>
      <c r="AD951" s="52"/>
      <c r="AE951" s="52"/>
      <c r="AF951" s="52"/>
      <c r="AG951" s="52"/>
      <c r="AH951" s="48"/>
      <c r="AI951" s="48"/>
      <c r="AJ951" s="48"/>
      <c r="AK951" s="53"/>
      <c r="AL951" s="53"/>
      <c r="AM951" s="53"/>
      <c r="AN951" s="53"/>
      <c r="AO951" s="53"/>
      <c r="AP951" s="53"/>
      <c r="AQ951" s="53"/>
      <c r="AR951" s="53"/>
      <c r="AS951" s="53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52"/>
      <c r="BG951" s="52"/>
      <c r="BH951" s="52"/>
      <c r="BI951" s="52"/>
      <c r="BJ951" s="52"/>
      <c r="BK951" s="52"/>
      <c r="BL951" s="52"/>
      <c r="BM951" s="54"/>
    </row>
    <row r="952">
      <c r="A952" s="42"/>
      <c r="B952" s="52"/>
      <c r="C952" s="52"/>
      <c r="D952" s="52"/>
      <c r="E952" s="52"/>
      <c r="F952" s="81"/>
      <c r="G952" s="57"/>
      <c r="H952" s="48"/>
      <c r="I952" s="77"/>
      <c r="J952" s="62"/>
      <c r="K952" s="52"/>
      <c r="L952" s="52"/>
      <c r="M952" s="76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62"/>
      <c r="AB952" s="52"/>
      <c r="AC952" s="52"/>
      <c r="AD952" s="52"/>
      <c r="AE952" s="52"/>
      <c r="AF952" s="52"/>
      <c r="AG952" s="52"/>
      <c r="AH952" s="48"/>
      <c r="AI952" s="48"/>
      <c r="AJ952" s="48"/>
      <c r="AK952" s="53"/>
      <c r="AL952" s="53"/>
      <c r="AM952" s="53"/>
      <c r="AN952" s="53"/>
      <c r="AO952" s="53"/>
      <c r="AP952" s="53"/>
      <c r="AQ952" s="53"/>
      <c r="AR952" s="53"/>
      <c r="AS952" s="53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52"/>
      <c r="BG952" s="52"/>
      <c r="BH952" s="52"/>
      <c r="BI952" s="52"/>
      <c r="BJ952" s="52"/>
      <c r="BK952" s="52"/>
      <c r="BL952" s="52"/>
      <c r="BM952" s="54"/>
    </row>
    <row r="953">
      <c r="A953" s="42"/>
      <c r="B953" s="52"/>
      <c r="C953" s="52"/>
      <c r="D953" s="52"/>
      <c r="E953" s="52"/>
      <c r="F953" s="81"/>
      <c r="G953" s="57"/>
      <c r="H953" s="48"/>
      <c r="I953" s="77"/>
      <c r="J953" s="62"/>
      <c r="K953" s="52"/>
      <c r="L953" s="52"/>
      <c r="M953" s="76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62"/>
      <c r="AB953" s="52"/>
      <c r="AC953" s="52"/>
      <c r="AD953" s="52"/>
      <c r="AE953" s="52"/>
      <c r="AF953" s="52"/>
      <c r="AG953" s="52"/>
      <c r="AH953" s="48"/>
      <c r="AI953" s="48"/>
      <c r="AJ953" s="48"/>
      <c r="AK953" s="53"/>
      <c r="AL953" s="53"/>
      <c r="AM953" s="53"/>
      <c r="AN953" s="53"/>
      <c r="AO953" s="53"/>
      <c r="AP953" s="53"/>
      <c r="AQ953" s="53"/>
      <c r="AR953" s="53"/>
      <c r="AS953" s="53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52"/>
      <c r="BG953" s="52"/>
      <c r="BH953" s="52"/>
      <c r="BI953" s="52"/>
      <c r="BJ953" s="52"/>
      <c r="BK953" s="52"/>
      <c r="BL953" s="52"/>
      <c r="BM953" s="54"/>
    </row>
    <row r="954">
      <c r="A954" s="42"/>
      <c r="B954" s="52"/>
      <c r="C954" s="52"/>
      <c r="D954" s="52"/>
      <c r="E954" s="52"/>
      <c r="F954" s="81"/>
      <c r="G954" s="57"/>
      <c r="H954" s="48"/>
      <c r="I954" s="77"/>
      <c r="J954" s="62"/>
      <c r="K954" s="52"/>
      <c r="L954" s="52"/>
      <c r="M954" s="76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62"/>
      <c r="AB954" s="52"/>
      <c r="AC954" s="52"/>
      <c r="AD954" s="52"/>
      <c r="AE954" s="52"/>
      <c r="AF954" s="52"/>
      <c r="AG954" s="52"/>
      <c r="AH954" s="48"/>
      <c r="AI954" s="48"/>
      <c r="AJ954" s="48"/>
      <c r="AK954" s="53"/>
      <c r="AL954" s="53"/>
      <c r="AM954" s="53"/>
      <c r="AN954" s="53"/>
      <c r="AO954" s="53"/>
      <c r="AP954" s="53"/>
      <c r="AQ954" s="53"/>
      <c r="AR954" s="53"/>
      <c r="AS954" s="53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52"/>
      <c r="BG954" s="52"/>
      <c r="BH954" s="52"/>
      <c r="BI954" s="52"/>
      <c r="BJ954" s="52"/>
      <c r="BK954" s="52"/>
      <c r="BL954" s="52"/>
      <c r="BM954" s="54"/>
    </row>
    <row r="955">
      <c r="A955" s="42"/>
      <c r="B955" s="52"/>
      <c r="C955" s="52"/>
      <c r="D955" s="52"/>
      <c r="E955" s="52"/>
      <c r="F955" s="81"/>
      <c r="G955" s="57"/>
      <c r="H955" s="48"/>
      <c r="I955" s="77"/>
      <c r="J955" s="62"/>
      <c r="K955" s="52"/>
      <c r="L955" s="52"/>
      <c r="M955" s="76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62"/>
      <c r="AB955" s="52"/>
      <c r="AC955" s="52"/>
      <c r="AD955" s="52"/>
      <c r="AE955" s="52"/>
      <c r="AF955" s="52"/>
      <c r="AG955" s="52"/>
      <c r="AH955" s="48"/>
      <c r="AI955" s="48"/>
      <c r="AJ955" s="48"/>
      <c r="AK955" s="53"/>
      <c r="AL955" s="53"/>
      <c r="AM955" s="53"/>
      <c r="AN955" s="53"/>
      <c r="AO955" s="53"/>
      <c r="AP955" s="53"/>
      <c r="AQ955" s="53"/>
      <c r="AR955" s="53"/>
      <c r="AS955" s="53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52"/>
      <c r="BG955" s="52"/>
      <c r="BH955" s="52"/>
      <c r="BI955" s="52"/>
      <c r="BJ955" s="52"/>
      <c r="BK955" s="52"/>
      <c r="BL955" s="52"/>
      <c r="BM955" s="54"/>
    </row>
    <row r="956">
      <c r="A956" s="42"/>
      <c r="B956" s="52"/>
      <c r="C956" s="52"/>
      <c r="D956" s="52"/>
      <c r="E956" s="52"/>
      <c r="F956" s="81"/>
      <c r="G956" s="57"/>
      <c r="H956" s="48"/>
      <c r="I956" s="77"/>
      <c r="J956" s="62"/>
      <c r="K956" s="52"/>
      <c r="L956" s="52"/>
      <c r="M956" s="76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62"/>
      <c r="AB956" s="52"/>
      <c r="AC956" s="52"/>
      <c r="AD956" s="52"/>
      <c r="AE956" s="52"/>
      <c r="AF956" s="52"/>
      <c r="AG956" s="52"/>
      <c r="AH956" s="48"/>
      <c r="AI956" s="48"/>
      <c r="AJ956" s="48"/>
      <c r="AK956" s="53"/>
      <c r="AL956" s="53"/>
      <c r="AM956" s="53"/>
      <c r="AN956" s="53"/>
      <c r="AO956" s="53"/>
      <c r="AP956" s="53"/>
      <c r="AQ956" s="53"/>
      <c r="AR956" s="53"/>
      <c r="AS956" s="53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52"/>
      <c r="BG956" s="52"/>
      <c r="BH956" s="52"/>
      <c r="BI956" s="52"/>
      <c r="BJ956" s="52"/>
      <c r="BK956" s="52"/>
      <c r="BL956" s="52"/>
      <c r="BM956" s="54"/>
    </row>
    <row r="957">
      <c r="A957" s="42"/>
      <c r="B957" s="52"/>
      <c r="C957" s="52"/>
      <c r="D957" s="52"/>
      <c r="E957" s="52"/>
      <c r="F957" s="81"/>
      <c r="G957" s="57"/>
      <c r="H957" s="48"/>
      <c r="I957" s="77"/>
      <c r="J957" s="62"/>
      <c r="K957" s="52"/>
      <c r="L957" s="52"/>
      <c r="M957" s="76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62"/>
      <c r="AB957" s="52"/>
      <c r="AC957" s="52"/>
      <c r="AD957" s="52"/>
      <c r="AE957" s="52"/>
      <c r="AF957" s="52"/>
      <c r="AG957" s="52"/>
      <c r="AH957" s="48"/>
      <c r="AI957" s="48"/>
      <c r="AJ957" s="48"/>
      <c r="AK957" s="53"/>
      <c r="AL957" s="53"/>
      <c r="AM957" s="53"/>
      <c r="AN957" s="53"/>
      <c r="AO957" s="53"/>
      <c r="AP957" s="53"/>
      <c r="AQ957" s="53"/>
      <c r="AR957" s="53"/>
      <c r="AS957" s="53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52"/>
      <c r="BG957" s="52"/>
      <c r="BH957" s="52"/>
      <c r="BI957" s="52"/>
      <c r="BJ957" s="52"/>
      <c r="BK957" s="52"/>
      <c r="BL957" s="52"/>
      <c r="BM957" s="54"/>
    </row>
    <row r="958">
      <c r="A958" s="42"/>
      <c r="B958" s="52"/>
      <c r="C958" s="52"/>
      <c r="D958" s="52"/>
      <c r="E958" s="52"/>
      <c r="F958" s="81"/>
      <c r="G958" s="57"/>
      <c r="H958" s="48"/>
      <c r="I958" s="77"/>
      <c r="J958" s="62"/>
      <c r="K958" s="52"/>
      <c r="L958" s="52"/>
      <c r="M958" s="76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62"/>
      <c r="AB958" s="52"/>
      <c r="AC958" s="52"/>
      <c r="AD958" s="52"/>
      <c r="AE958" s="52"/>
      <c r="AF958" s="52"/>
      <c r="AG958" s="52"/>
      <c r="AH958" s="48"/>
      <c r="AI958" s="48"/>
      <c r="AJ958" s="48"/>
      <c r="AK958" s="53"/>
      <c r="AL958" s="53"/>
      <c r="AM958" s="53"/>
      <c r="AN958" s="53"/>
      <c r="AO958" s="53"/>
      <c r="AP958" s="53"/>
      <c r="AQ958" s="53"/>
      <c r="AR958" s="53"/>
      <c r="AS958" s="53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52"/>
      <c r="BG958" s="52"/>
      <c r="BH958" s="52"/>
      <c r="BI958" s="52"/>
      <c r="BJ958" s="52"/>
      <c r="BK958" s="52"/>
      <c r="BL958" s="52"/>
      <c r="BM958" s="54"/>
    </row>
    <row r="959">
      <c r="A959" s="42"/>
      <c r="B959" s="52"/>
      <c r="C959" s="52"/>
      <c r="D959" s="52"/>
      <c r="E959" s="52"/>
      <c r="F959" s="81"/>
      <c r="G959" s="57"/>
      <c r="H959" s="48"/>
      <c r="I959" s="77"/>
      <c r="J959" s="62"/>
      <c r="K959" s="52"/>
      <c r="L959" s="52"/>
      <c r="M959" s="76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62"/>
      <c r="AB959" s="52"/>
      <c r="AC959" s="52"/>
      <c r="AD959" s="52"/>
      <c r="AE959" s="52"/>
      <c r="AF959" s="52"/>
      <c r="AG959" s="52"/>
      <c r="AH959" s="48"/>
      <c r="AI959" s="48"/>
      <c r="AJ959" s="48"/>
      <c r="AK959" s="53"/>
      <c r="AL959" s="53"/>
      <c r="AM959" s="53"/>
      <c r="AN959" s="53"/>
      <c r="AO959" s="53"/>
      <c r="AP959" s="53"/>
      <c r="AQ959" s="53"/>
      <c r="AR959" s="53"/>
      <c r="AS959" s="53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52"/>
      <c r="BG959" s="52"/>
      <c r="BH959" s="52"/>
      <c r="BI959" s="52"/>
      <c r="BJ959" s="52"/>
      <c r="BK959" s="52"/>
      <c r="BL959" s="52"/>
      <c r="BM959" s="54"/>
    </row>
    <row r="960">
      <c r="A960" s="42"/>
      <c r="B960" s="52"/>
      <c r="C960" s="52"/>
      <c r="D960" s="52"/>
      <c r="E960" s="52"/>
      <c r="F960" s="81"/>
      <c r="G960" s="57"/>
      <c r="H960" s="48"/>
      <c r="I960" s="77"/>
      <c r="J960" s="62"/>
      <c r="K960" s="52"/>
      <c r="L960" s="52"/>
      <c r="M960" s="76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62"/>
      <c r="AB960" s="52"/>
      <c r="AC960" s="52"/>
      <c r="AD960" s="52"/>
      <c r="AE960" s="52"/>
      <c r="AF960" s="52"/>
      <c r="AG960" s="52"/>
      <c r="AH960" s="48"/>
      <c r="AI960" s="48"/>
      <c r="AJ960" s="48"/>
      <c r="AK960" s="53"/>
      <c r="AL960" s="53"/>
      <c r="AM960" s="53"/>
      <c r="AN960" s="53"/>
      <c r="AO960" s="53"/>
      <c r="AP960" s="53"/>
      <c r="AQ960" s="53"/>
      <c r="AR960" s="53"/>
      <c r="AS960" s="53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52"/>
      <c r="BG960" s="52"/>
      <c r="BH960" s="52"/>
      <c r="BI960" s="52"/>
      <c r="BJ960" s="52"/>
      <c r="BK960" s="52"/>
      <c r="BL960" s="52"/>
      <c r="BM960" s="54"/>
    </row>
    <row r="961">
      <c r="A961" s="42"/>
      <c r="B961" s="52"/>
      <c r="C961" s="52"/>
      <c r="D961" s="52"/>
      <c r="E961" s="52"/>
      <c r="F961" s="81"/>
      <c r="G961" s="57"/>
      <c r="H961" s="48"/>
      <c r="I961" s="77"/>
      <c r="J961" s="62"/>
      <c r="K961" s="52"/>
      <c r="L961" s="52"/>
      <c r="M961" s="76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62"/>
      <c r="AB961" s="52"/>
      <c r="AC961" s="52"/>
      <c r="AD961" s="52"/>
      <c r="AE961" s="52"/>
      <c r="AF961" s="52"/>
      <c r="AG961" s="52"/>
      <c r="AH961" s="48"/>
      <c r="AI961" s="48"/>
      <c r="AJ961" s="48"/>
      <c r="AK961" s="53"/>
      <c r="AL961" s="53"/>
      <c r="AM961" s="53"/>
      <c r="AN961" s="53"/>
      <c r="AO961" s="53"/>
      <c r="AP961" s="53"/>
      <c r="AQ961" s="53"/>
      <c r="AR961" s="53"/>
      <c r="AS961" s="53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52"/>
      <c r="BG961" s="52"/>
      <c r="BH961" s="52"/>
      <c r="BI961" s="52"/>
      <c r="BJ961" s="52"/>
      <c r="BK961" s="52"/>
      <c r="BL961" s="52"/>
      <c r="BM961" s="54"/>
    </row>
    <row r="962">
      <c r="A962" s="42"/>
      <c r="B962" s="52"/>
      <c r="C962" s="52"/>
      <c r="D962" s="52"/>
      <c r="E962" s="52"/>
      <c r="F962" s="81"/>
      <c r="G962" s="57"/>
      <c r="H962" s="48"/>
      <c r="I962" s="77"/>
      <c r="J962" s="62"/>
      <c r="K962" s="52"/>
      <c r="L962" s="52"/>
      <c r="M962" s="76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62"/>
      <c r="AB962" s="52"/>
      <c r="AC962" s="52"/>
      <c r="AD962" s="52"/>
      <c r="AE962" s="52"/>
      <c r="AF962" s="52"/>
      <c r="AG962" s="52"/>
      <c r="AH962" s="48"/>
      <c r="AI962" s="48"/>
      <c r="AJ962" s="48"/>
      <c r="AK962" s="53"/>
      <c r="AL962" s="53"/>
      <c r="AM962" s="53"/>
      <c r="AN962" s="53"/>
      <c r="AO962" s="53"/>
      <c r="AP962" s="53"/>
      <c r="AQ962" s="53"/>
      <c r="AR962" s="53"/>
      <c r="AS962" s="53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52"/>
      <c r="BG962" s="52"/>
      <c r="BH962" s="52"/>
      <c r="BI962" s="52"/>
      <c r="BJ962" s="52"/>
      <c r="BK962" s="52"/>
      <c r="BL962" s="52"/>
      <c r="BM962" s="54"/>
    </row>
    <row r="963">
      <c r="A963" s="42"/>
      <c r="B963" s="52"/>
      <c r="C963" s="52"/>
      <c r="D963" s="52"/>
      <c r="E963" s="52"/>
      <c r="F963" s="81"/>
      <c r="G963" s="57"/>
      <c r="H963" s="48"/>
      <c r="I963" s="77"/>
      <c r="J963" s="62"/>
      <c r="K963" s="52"/>
      <c r="L963" s="52"/>
      <c r="M963" s="76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62"/>
      <c r="AB963" s="52"/>
      <c r="AC963" s="52"/>
      <c r="AD963" s="52"/>
      <c r="AE963" s="52"/>
      <c r="AF963" s="52"/>
      <c r="AG963" s="52"/>
      <c r="AH963" s="48"/>
      <c r="AI963" s="48"/>
      <c r="AJ963" s="48"/>
      <c r="AK963" s="53"/>
      <c r="AL963" s="53"/>
      <c r="AM963" s="53"/>
      <c r="AN963" s="53"/>
      <c r="AO963" s="53"/>
      <c r="AP963" s="53"/>
      <c r="AQ963" s="53"/>
      <c r="AR963" s="53"/>
      <c r="AS963" s="53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52"/>
      <c r="BG963" s="52"/>
      <c r="BH963" s="52"/>
      <c r="BI963" s="52"/>
      <c r="BJ963" s="52"/>
      <c r="BK963" s="52"/>
      <c r="BL963" s="52"/>
      <c r="BM963" s="54"/>
    </row>
    <row r="964">
      <c r="A964" s="42"/>
      <c r="B964" s="52"/>
      <c r="C964" s="52"/>
      <c r="D964" s="52"/>
      <c r="E964" s="52"/>
      <c r="F964" s="81"/>
      <c r="G964" s="57"/>
      <c r="H964" s="48"/>
      <c r="I964" s="77"/>
      <c r="J964" s="62"/>
      <c r="K964" s="52"/>
      <c r="L964" s="52"/>
      <c r="M964" s="76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62"/>
      <c r="AB964" s="52"/>
      <c r="AC964" s="52"/>
      <c r="AD964" s="52"/>
      <c r="AE964" s="52"/>
      <c r="AF964" s="52"/>
      <c r="AG964" s="52"/>
      <c r="AH964" s="48"/>
      <c r="AI964" s="48"/>
      <c r="AJ964" s="48"/>
      <c r="AK964" s="53"/>
      <c r="AL964" s="53"/>
      <c r="AM964" s="53"/>
      <c r="AN964" s="53"/>
      <c r="AO964" s="53"/>
      <c r="AP964" s="53"/>
      <c r="AQ964" s="53"/>
      <c r="AR964" s="53"/>
      <c r="AS964" s="53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52"/>
      <c r="BG964" s="52"/>
      <c r="BH964" s="52"/>
      <c r="BI964" s="52"/>
      <c r="BJ964" s="52"/>
      <c r="BK964" s="52"/>
      <c r="BL964" s="52"/>
      <c r="BM964" s="54"/>
    </row>
    <row r="965">
      <c r="A965" s="42"/>
      <c r="B965" s="52"/>
      <c r="C965" s="52"/>
      <c r="D965" s="52"/>
      <c r="E965" s="52"/>
      <c r="F965" s="81"/>
      <c r="G965" s="57"/>
      <c r="H965" s="48"/>
      <c r="I965" s="77"/>
      <c r="J965" s="62"/>
      <c r="K965" s="52"/>
      <c r="L965" s="52"/>
      <c r="M965" s="76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62"/>
      <c r="AB965" s="52"/>
      <c r="AC965" s="52"/>
      <c r="AD965" s="52"/>
      <c r="AE965" s="52"/>
      <c r="AF965" s="52"/>
      <c r="AG965" s="52"/>
      <c r="AH965" s="48"/>
      <c r="AI965" s="48"/>
      <c r="AJ965" s="48"/>
      <c r="AK965" s="53"/>
      <c r="AL965" s="53"/>
      <c r="AM965" s="53"/>
      <c r="AN965" s="53"/>
      <c r="AO965" s="53"/>
      <c r="AP965" s="53"/>
      <c r="AQ965" s="53"/>
      <c r="AR965" s="53"/>
      <c r="AS965" s="53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52"/>
      <c r="BG965" s="52"/>
      <c r="BH965" s="52"/>
      <c r="BI965" s="52"/>
      <c r="BJ965" s="52"/>
      <c r="BK965" s="52"/>
      <c r="BL965" s="52"/>
      <c r="BM965" s="54"/>
    </row>
    <row r="966">
      <c r="A966" s="42"/>
      <c r="B966" s="52"/>
      <c r="C966" s="52"/>
      <c r="D966" s="52"/>
      <c r="E966" s="52"/>
      <c r="F966" s="81"/>
      <c r="G966" s="57"/>
      <c r="H966" s="48"/>
      <c r="I966" s="77"/>
      <c r="J966" s="62"/>
      <c r="K966" s="52"/>
      <c r="L966" s="52"/>
      <c r="M966" s="76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62"/>
      <c r="AB966" s="52"/>
      <c r="AC966" s="52"/>
      <c r="AD966" s="52"/>
      <c r="AE966" s="52"/>
      <c r="AF966" s="52"/>
      <c r="AG966" s="52"/>
      <c r="AH966" s="48"/>
      <c r="AI966" s="48"/>
      <c r="AJ966" s="48"/>
      <c r="AK966" s="53"/>
      <c r="AL966" s="53"/>
      <c r="AM966" s="53"/>
      <c r="AN966" s="53"/>
      <c r="AO966" s="53"/>
      <c r="AP966" s="53"/>
      <c r="AQ966" s="53"/>
      <c r="AR966" s="53"/>
      <c r="AS966" s="53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52"/>
      <c r="BG966" s="52"/>
      <c r="BH966" s="52"/>
      <c r="BI966" s="52"/>
      <c r="BJ966" s="52"/>
      <c r="BK966" s="52"/>
      <c r="BL966" s="52"/>
      <c r="BM966" s="54"/>
    </row>
    <row r="967">
      <c r="A967" s="42"/>
      <c r="B967" s="52"/>
      <c r="C967" s="52"/>
      <c r="D967" s="52"/>
      <c r="E967" s="52"/>
      <c r="F967" s="81"/>
      <c r="G967" s="57"/>
      <c r="H967" s="48"/>
      <c r="I967" s="77"/>
      <c r="J967" s="62"/>
      <c r="K967" s="52"/>
      <c r="L967" s="52"/>
      <c r="M967" s="76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62"/>
      <c r="AB967" s="52"/>
      <c r="AC967" s="52"/>
      <c r="AD967" s="52"/>
      <c r="AE967" s="52"/>
      <c r="AF967" s="52"/>
      <c r="AG967" s="52"/>
      <c r="AH967" s="48"/>
      <c r="AI967" s="48"/>
      <c r="AJ967" s="48"/>
      <c r="AK967" s="53"/>
      <c r="AL967" s="53"/>
      <c r="AM967" s="53"/>
      <c r="AN967" s="53"/>
      <c r="AO967" s="53"/>
      <c r="AP967" s="53"/>
      <c r="AQ967" s="53"/>
      <c r="AR967" s="53"/>
      <c r="AS967" s="53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52"/>
      <c r="BG967" s="52"/>
      <c r="BH967" s="52"/>
      <c r="BI967" s="52"/>
      <c r="BJ967" s="52"/>
      <c r="BK967" s="52"/>
      <c r="BL967" s="52"/>
      <c r="BM967" s="54"/>
    </row>
    <row r="968">
      <c r="A968" s="42"/>
      <c r="B968" s="52"/>
      <c r="C968" s="52"/>
      <c r="D968" s="52"/>
      <c r="E968" s="52"/>
      <c r="F968" s="81"/>
      <c r="G968" s="57"/>
      <c r="H968" s="48"/>
      <c r="I968" s="77"/>
      <c r="J968" s="62"/>
      <c r="K968" s="52"/>
      <c r="L968" s="52"/>
      <c r="M968" s="76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62"/>
      <c r="AB968" s="52"/>
      <c r="AC968" s="52"/>
      <c r="AD968" s="52"/>
      <c r="AE968" s="52"/>
      <c r="AF968" s="52"/>
      <c r="AG968" s="52"/>
      <c r="AH968" s="48"/>
      <c r="AI968" s="48"/>
      <c r="AJ968" s="48"/>
      <c r="AK968" s="53"/>
      <c r="AL968" s="53"/>
      <c r="AM968" s="53"/>
      <c r="AN968" s="53"/>
      <c r="AO968" s="53"/>
      <c r="AP968" s="53"/>
      <c r="AQ968" s="53"/>
      <c r="AR968" s="53"/>
      <c r="AS968" s="53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52"/>
      <c r="BG968" s="52"/>
      <c r="BH968" s="52"/>
      <c r="BI968" s="52"/>
      <c r="BJ968" s="52"/>
      <c r="BK968" s="52"/>
      <c r="BL968" s="52"/>
      <c r="BM968" s="54"/>
    </row>
    <row r="969">
      <c r="A969" s="42"/>
      <c r="B969" s="52"/>
      <c r="C969" s="52"/>
      <c r="D969" s="52"/>
      <c r="E969" s="52"/>
      <c r="F969" s="81"/>
      <c r="G969" s="57"/>
      <c r="H969" s="48"/>
      <c r="I969" s="77"/>
      <c r="J969" s="62"/>
      <c r="K969" s="52"/>
      <c r="L969" s="52"/>
      <c r="M969" s="76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62"/>
      <c r="AB969" s="52"/>
      <c r="AC969" s="52"/>
      <c r="AD969" s="52"/>
      <c r="AE969" s="52"/>
      <c r="AF969" s="52"/>
      <c r="AG969" s="52"/>
      <c r="AH969" s="48"/>
      <c r="AI969" s="48"/>
      <c r="AJ969" s="48"/>
      <c r="AK969" s="53"/>
      <c r="AL969" s="53"/>
      <c r="AM969" s="53"/>
      <c r="AN969" s="53"/>
      <c r="AO969" s="53"/>
      <c r="AP969" s="53"/>
      <c r="AQ969" s="53"/>
      <c r="AR969" s="53"/>
      <c r="AS969" s="53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52"/>
      <c r="BG969" s="52"/>
      <c r="BH969" s="52"/>
      <c r="BI969" s="52"/>
      <c r="BJ969" s="52"/>
      <c r="BK969" s="52"/>
      <c r="BL969" s="52"/>
      <c r="BM969" s="54"/>
    </row>
    <row r="970">
      <c r="A970" s="42"/>
      <c r="B970" s="52"/>
      <c r="C970" s="52"/>
      <c r="D970" s="52"/>
      <c r="E970" s="52"/>
      <c r="F970" s="81"/>
      <c r="G970" s="57"/>
      <c r="H970" s="48"/>
      <c r="I970" s="77"/>
      <c r="J970" s="62"/>
      <c r="K970" s="52"/>
      <c r="L970" s="52"/>
      <c r="M970" s="76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62"/>
      <c r="AB970" s="52"/>
      <c r="AC970" s="52"/>
      <c r="AD970" s="52"/>
      <c r="AE970" s="52"/>
      <c r="AF970" s="52"/>
      <c r="AG970" s="52"/>
      <c r="AH970" s="48"/>
      <c r="AI970" s="48"/>
      <c r="AJ970" s="48"/>
      <c r="AK970" s="53"/>
      <c r="AL970" s="53"/>
      <c r="AM970" s="53"/>
      <c r="AN970" s="53"/>
      <c r="AO970" s="53"/>
      <c r="AP970" s="53"/>
      <c r="AQ970" s="53"/>
      <c r="AR970" s="53"/>
      <c r="AS970" s="53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52"/>
      <c r="BG970" s="52"/>
      <c r="BH970" s="52"/>
      <c r="BI970" s="52"/>
      <c r="BJ970" s="52"/>
      <c r="BK970" s="52"/>
      <c r="BL970" s="52"/>
      <c r="BM970" s="54"/>
    </row>
    <row r="971">
      <c r="A971" s="42"/>
      <c r="B971" s="52"/>
      <c r="C971" s="52"/>
      <c r="D971" s="52"/>
      <c r="E971" s="52"/>
      <c r="F971" s="81"/>
      <c r="G971" s="57"/>
      <c r="H971" s="48"/>
      <c r="I971" s="77"/>
      <c r="J971" s="62"/>
      <c r="K971" s="52"/>
      <c r="L971" s="52"/>
      <c r="M971" s="76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62"/>
      <c r="AB971" s="52"/>
      <c r="AC971" s="52"/>
      <c r="AD971" s="52"/>
      <c r="AE971" s="52"/>
      <c r="AF971" s="52"/>
      <c r="AG971" s="52"/>
      <c r="AH971" s="48"/>
      <c r="AI971" s="48"/>
      <c r="AJ971" s="48"/>
      <c r="AK971" s="53"/>
      <c r="AL971" s="53"/>
      <c r="AM971" s="53"/>
      <c r="AN971" s="53"/>
      <c r="AO971" s="53"/>
      <c r="AP971" s="53"/>
      <c r="AQ971" s="53"/>
      <c r="AR971" s="53"/>
      <c r="AS971" s="53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52"/>
      <c r="BG971" s="52"/>
      <c r="BH971" s="52"/>
      <c r="BI971" s="52"/>
      <c r="BJ971" s="52"/>
      <c r="BK971" s="52"/>
      <c r="BL971" s="52"/>
      <c r="BM971" s="54"/>
    </row>
    <row r="972">
      <c r="A972" s="42"/>
      <c r="B972" s="52"/>
      <c r="C972" s="52"/>
      <c r="D972" s="52"/>
      <c r="E972" s="52"/>
      <c r="F972" s="81"/>
      <c r="G972" s="57"/>
      <c r="H972" s="48"/>
      <c r="I972" s="77"/>
      <c r="J972" s="62"/>
      <c r="K972" s="52"/>
      <c r="L972" s="52"/>
      <c r="M972" s="76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62"/>
      <c r="AB972" s="52"/>
      <c r="AC972" s="52"/>
      <c r="AD972" s="52"/>
      <c r="AE972" s="52"/>
      <c r="AF972" s="52"/>
      <c r="AG972" s="52"/>
      <c r="AH972" s="48"/>
      <c r="AI972" s="48"/>
      <c r="AJ972" s="48"/>
      <c r="AK972" s="53"/>
      <c r="AL972" s="53"/>
      <c r="AM972" s="53"/>
      <c r="AN972" s="53"/>
      <c r="AO972" s="53"/>
      <c r="AP972" s="53"/>
      <c r="AQ972" s="53"/>
      <c r="AR972" s="53"/>
      <c r="AS972" s="53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52"/>
      <c r="BG972" s="52"/>
      <c r="BH972" s="52"/>
      <c r="BI972" s="52"/>
      <c r="BJ972" s="52"/>
      <c r="BK972" s="52"/>
      <c r="BL972" s="52"/>
      <c r="BM972" s="54"/>
    </row>
    <row r="973">
      <c r="A973" s="42"/>
      <c r="B973" s="52"/>
      <c r="C973" s="52"/>
      <c r="D973" s="52"/>
      <c r="E973" s="52"/>
      <c r="F973" s="81"/>
      <c r="G973" s="57"/>
      <c r="H973" s="48"/>
      <c r="I973" s="77"/>
      <c r="J973" s="62"/>
      <c r="K973" s="52"/>
      <c r="L973" s="52"/>
      <c r="M973" s="76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62"/>
      <c r="AB973" s="52"/>
      <c r="AC973" s="52"/>
      <c r="AD973" s="52"/>
      <c r="AE973" s="52"/>
      <c r="AF973" s="52"/>
      <c r="AG973" s="52"/>
      <c r="AH973" s="48"/>
      <c r="AI973" s="48"/>
      <c r="AJ973" s="48"/>
      <c r="AK973" s="53"/>
      <c r="AL973" s="53"/>
      <c r="AM973" s="53"/>
      <c r="AN973" s="53"/>
      <c r="AO973" s="53"/>
      <c r="AP973" s="53"/>
      <c r="AQ973" s="53"/>
      <c r="AR973" s="53"/>
      <c r="AS973" s="53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52"/>
      <c r="BG973" s="52"/>
      <c r="BH973" s="52"/>
      <c r="BI973" s="52"/>
      <c r="BJ973" s="52"/>
      <c r="BK973" s="52"/>
      <c r="BL973" s="52"/>
      <c r="BM973" s="54"/>
    </row>
    <row r="974">
      <c r="A974" s="42"/>
      <c r="B974" s="52"/>
      <c r="C974" s="52"/>
      <c r="D974" s="52"/>
      <c r="E974" s="52"/>
      <c r="F974" s="81"/>
      <c r="G974" s="57"/>
      <c r="H974" s="48"/>
      <c r="I974" s="77"/>
      <c r="J974" s="62"/>
      <c r="K974" s="52"/>
      <c r="L974" s="52"/>
      <c r="M974" s="76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62"/>
      <c r="AB974" s="52"/>
      <c r="AC974" s="52"/>
      <c r="AD974" s="52"/>
      <c r="AE974" s="52"/>
      <c r="AF974" s="52"/>
      <c r="AG974" s="52"/>
      <c r="AH974" s="48"/>
      <c r="AI974" s="48"/>
      <c r="AJ974" s="48"/>
      <c r="AK974" s="53"/>
      <c r="AL974" s="53"/>
      <c r="AM974" s="53"/>
      <c r="AN974" s="53"/>
      <c r="AO974" s="53"/>
      <c r="AP974" s="53"/>
      <c r="AQ974" s="53"/>
      <c r="AR974" s="53"/>
      <c r="AS974" s="53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52"/>
      <c r="BG974" s="52"/>
      <c r="BH974" s="52"/>
      <c r="BI974" s="52"/>
      <c r="BJ974" s="52"/>
      <c r="BK974" s="52"/>
      <c r="BL974" s="52"/>
      <c r="BM974" s="54"/>
    </row>
    <row r="975">
      <c r="A975" s="42"/>
      <c r="B975" s="52"/>
      <c r="C975" s="52"/>
      <c r="D975" s="52"/>
      <c r="E975" s="52"/>
      <c r="F975" s="81"/>
      <c r="G975" s="57"/>
      <c r="H975" s="48"/>
      <c r="I975" s="77"/>
      <c r="J975" s="62"/>
      <c r="K975" s="52"/>
      <c r="L975" s="52"/>
      <c r="M975" s="76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62"/>
      <c r="AB975" s="52"/>
      <c r="AC975" s="52"/>
      <c r="AD975" s="52"/>
      <c r="AE975" s="52"/>
      <c r="AF975" s="52"/>
      <c r="AG975" s="52"/>
      <c r="AH975" s="48"/>
      <c r="AI975" s="48"/>
      <c r="AJ975" s="48"/>
      <c r="AK975" s="53"/>
      <c r="AL975" s="53"/>
      <c r="AM975" s="53"/>
      <c r="AN975" s="53"/>
      <c r="AO975" s="53"/>
      <c r="AP975" s="53"/>
      <c r="AQ975" s="53"/>
      <c r="AR975" s="53"/>
      <c r="AS975" s="53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52"/>
      <c r="BG975" s="52"/>
      <c r="BH975" s="52"/>
      <c r="BI975" s="52"/>
      <c r="BJ975" s="52"/>
      <c r="BK975" s="52"/>
      <c r="BL975" s="52"/>
      <c r="BM975" s="54"/>
    </row>
    <row r="976">
      <c r="A976" s="42"/>
      <c r="B976" s="52"/>
      <c r="C976" s="52"/>
      <c r="D976" s="52"/>
      <c r="E976" s="52"/>
      <c r="F976" s="81"/>
      <c r="G976" s="57"/>
      <c r="H976" s="48"/>
      <c r="I976" s="77"/>
      <c r="J976" s="62"/>
      <c r="K976" s="52"/>
      <c r="L976" s="52"/>
      <c r="M976" s="76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62"/>
      <c r="AB976" s="52"/>
      <c r="AC976" s="52"/>
      <c r="AD976" s="52"/>
      <c r="AE976" s="52"/>
      <c r="AF976" s="52"/>
      <c r="AG976" s="52"/>
      <c r="AH976" s="48"/>
      <c r="AI976" s="48"/>
      <c r="AJ976" s="48"/>
      <c r="AK976" s="53"/>
      <c r="AL976" s="53"/>
      <c r="AM976" s="53"/>
      <c r="AN976" s="53"/>
      <c r="AO976" s="53"/>
      <c r="AP976" s="53"/>
      <c r="AQ976" s="53"/>
      <c r="AR976" s="53"/>
      <c r="AS976" s="53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52"/>
      <c r="BG976" s="52"/>
      <c r="BH976" s="52"/>
      <c r="BI976" s="52"/>
      <c r="BJ976" s="52"/>
      <c r="BK976" s="52"/>
      <c r="BL976" s="52"/>
      <c r="BM976" s="54"/>
    </row>
    <row r="977">
      <c r="A977" s="42"/>
      <c r="B977" s="52"/>
      <c r="C977" s="52"/>
      <c r="D977" s="52"/>
      <c r="E977" s="52"/>
      <c r="F977" s="81"/>
      <c r="G977" s="57"/>
      <c r="H977" s="48"/>
      <c r="I977" s="77"/>
      <c r="J977" s="62"/>
      <c r="K977" s="52"/>
      <c r="L977" s="52"/>
      <c r="M977" s="76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62"/>
      <c r="AB977" s="52"/>
      <c r="AC977" s="52"/>
      <c r="AD977" s="52"/>
      <c r="AE977" s="52"/>
      <c r="AF977" s="52"/>
      <c r="AG977" s="52"/>
      <c r="AH977" s="48"/>
      <c r="AI977" s="48"/>
      <c r="AJ977" s="48"/>
      <c r="AK977" s="53"/>
      <c r="AL977" s="53"/>
      <c r="AM977" s="53"/>
      <c r="AN977" s="53"/>
      <c r="AO977" s="53"/>
      <c r="AP977" s="53"/>
      <c r="AQ977" s="53"/>
      <c r="AR977" s="53"/>
      <c r="AS977" s="53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52"/>
      <c r="BG977" s="52"/>
      <c r="BH977" s="52"/>
      <c r="BI977" s="52"/>
      <c r="BJ977" s="52"/>
      <c r="BK977" s="52"/>
      <c r="BL977" s="52"/>
      <c r="BM977" s="54"/>
    </row>
    <row r="978">
      <c r="A978" s="42"/>
      <c r="B978" s="52"/>
      <c r="C978" s="52"/>
      <c r="D978" s="52"/>
      <c r="E978" s="52"/>
      <c r="F978" s="81"/>
      <c r="G978" s="57"/>
      <c r="H978" s="48"/>
      <c r="I978" s="77"/>
      <c r="J978" s="62"/>
      <c r="K978" s="52"/>
      <c r="L978" s="52"/>
      <c r="M978" s="76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62"/>
      <c r="AB978" s="52"/>
      <c r="AC978" s="52"/>
      <c r="AD978" s="52"/>
      <c r="AE978" s="52"/>
      <c r="AF978" s="52"/>
      <c r="AG978" s="52"/>
      <c r="AH978" s="48"/>
      <c r="AI978" s="48"/>
      <c r="AJ978" s="48"/>
      <c r="AK978" s="53"/>
      <c r="AL978" s="53"/>
      <c r="AM978" s="53"/>
      <c r="AN978" s="53"/>
      <c r="AO978" s="53"/>
      <c r="AP978" s="53"/>
      <c r="AQ978" s="53"/>
      <c r="AR978" s="53"/>
      <c r="AS978" s="53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52"/>
      <c r="BG978" s="52"/>
      <c r="BH978" s="52"/>
      <c r="BI978" s="52"/>
      <c r="BJ978" s="52"/>
      <c r="BK978" s="52"/>
      <c r="BL978" s="52"/>
      <c r="BM978" s="54"/>
    </row>
    <row r="979">
      <c r="A979" s="42"/>
      <c r="B979" s="52"/>
      <c r="C979" s="52"/>
      <c r="D979" s="52"/>
      <c r="E979" s="52"/>
      <c r="F979" s="81"/>
      <c r="G979" s="57"/>
      <c r="H979" s="48"/>
      <c r="I979" s="77"/>
      <c r="J979" s="62"/>
      <c r="K979" s="52"/>
      <c r="L979" s="52"/>
      <c r="M979" s="76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62"/>
      <c r="AB979" s="52"/>
      <c r="AC979" s="52"/>
      <c r="AD979" s="52"/>
      <c r="AE979" s="52"/>
      <c r="AF979" s="52"/>
      <c r="AG979" s="52"/>
      <c r="AH979" s="48"/>
      <c r="AI979" s="48"/>
      <c r="AJ979" s="48"/>
      <c r="AK979" s="53"/>
      <c r="AL979" s="53"/>
      <c r="AM979" s="53"/>
      <c r="AN979" s="53"/>
      <c r="AO979" s="53"/>
      <c r="AP979" s="53"/>
      <c r="AQ979" s="53"/>
      <c r="AR979" s="53"/>
      <c r="AS979" s="53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52"/>
      <c r="BG979" s="52"/>
      <c r="BH979" s="52"/>
      <c r="BI979" s="52"/>
      <c r="BJ979" s="52"/>
      <c r="BK979" s="52"/>
      <c r="BL979" s="52"/>
      <c r="BM979" s="54"/>
    </row>
    <row r="980">
      <c r="A980" s="42"/>
      <c r="B980" s="52"/>
      <c r="C980" s="52"/>
      <c r="D980" s="52"/>
      <c r="E980" s="52"/>
      <c r="F980" s="81"/>
      <c r="G980" s="57"/>
      <c r="H980" s="48"/>
      <c r="I980" s="77"/>
      <c r="J980" s="62"/>
      <c r="K980" s="52"/>
      <c r="L980" s="52"/>
      <c r="M980" s="76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62"/>
      <c r="AB980" s="52"/>
      <c r="AC980" s="52"/>
      <c r="AD980" s="52"/>
      <c r="AE980" s="52"/>
      <c r="AF980" s="52"/>
      <c r="AG980" s="52"/>
      <c r="AH980" s="48"/>
      <c r="AI980" s="48"/>
      <c r="AJ980" s="48"/>
      <c r="AK980" s="53"/>
      <c r="AL980" s="53"/>
      <c r="AM980" s="53"/>
      <c r="AN980" s="53"/>
      <c r="AO980" s="53"/>
      <c r="AP980" s="53"/>
      <c r="AQ980" s="53"/>
      <c r="AR980" s="53"/>
      <c r="AS980" s="53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52"/>
      <c r="BG980" s="52"/>
      <c r="BH980" s="52"/>
      <c r="BI980" s="52"/>
      <c r="BJ980" s="52"/>
      <c r="BK980" s="52"/>
      <c r="BL980" s="52"/>
      <c r="BM980" s="54"/>
    </row>
    <row r="981">
      <c r="A981" s="42"/>
      <c r="B981" s="52"/>
      <c r="C981" s="52"/>
      <c r="D981" s="52"/>
      <c r="E981" s="52"/>
      <c r="F981" s="81"/>
      <c r="G981" s="57"/>
      <c r="H981" s="48"/>
      <c r="I981" s="77"/>
      <c r="J981" s="62"/>
      <c r="K981" s="52"/>
      <c r="L981" s="52"/>
      <c r="M981" s="76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62"/>
      <c r="AB981" s="52"/>
      <c r="AC981" s="52"/>
      <c r="AD981" s="52"/>
      <c r="AE981" s="52"/>
      <c r="AF981" s="52"/>
      <c r="AG981" s="52"/>
      <c r="AH981" s="48"/>
      <c r="AI981" s="48"/>
      <c r="AJ981" s="48"/>
      <c r="AK981" s="53"/>
      <c r="AL981" s="53"/>
      <c r="AM981" s="53"/>
      <c r="AN981" s="53"/>
      <c r="AO981" s="53"/>
      <c r="AP981" s="53"/>
      <c r="AQ981" s="53"/>
      <c r="AR981" s="53"/>
      <c r="AS981" s="53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52"/>
      <c r="BG981" s="52"/>
      <c r="BH981" s="52"/>
      <c r="BI981" s="52"/>
      <c r="BJ981" s="52"/>
      <c r="BK981" s="52"/>
      <c r="BL981" s="52"/>
      <c r="BM981" s="54"/>
    </row>
    <row r="982">
      <c r="A982" s="42"/>
      <c r="B982" s="52"/>
      <c r="C982" s="52"/>
      <c r="D982" s="52"/>
      <c r="E982" s="52"/>
      <c r="F982" s="81"/>
      <c r="G982" s="57"/>
      <c r="H982" s="48"/>
      <c r="I982" s="77"/>
      <c r="J982" s="62"/>
      <c r="K982" s="52"/>
      <c r="L982" s="52"/>
      <c r="M982" s="76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62"/>
      <c r="AB982" s="52"/>
      <c r="AC982" s="52"/>
      <c r="AD982" s="52"/>
      <c r="AE982" s="52"/>
      <c r="AF982" s="52"/>
      <c r="AG982" s="52"/>
      <c r="AH982" s="48"/>
      <c r="AI982" s="48"/>
      <c r="AJ982" s="48"/>
      <c r="AK982" s="53"/>
      <c r="AL982" s="53"/>
      <c r="AM982" s="53"/>
      <c r="AN982" s="53"/>
      <c r="AO982" s="53"/>
      <c r="AP982" s="53"/>
      <c r="AQ982" s="53"/>
      <c r="AR982" s="53"/>
      <c r="AS982" s="53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52"/>
      <c r="BG982" s="52"/>
      <c r="BH982" s="52"/>
      <c r="BI982" s="52"/>
      <c r="BJ982" s="52"/>
      <c r="BK982" s="52"/>
      <c r="BL982" s="52"/>
      <c r="BM982" s="54"/>
    </row>
    <row r="983">
      <c r="A983" s="42"/>
      <c r="B983" s="52"/>
      <c r="C983" s="52"/>
      <c r="D983" s="52"/>
      <c r="E983" s="52"/>
      <c r="F983" s="81"/>
      <c r="G983" s="57"/>
      <c r="H983" s="48"/>
      <c r="I983" s="77"/>
      <c r="J983" s="62"/>
      <c r="K983" s="52"/>
      <c r="L983" s="52"/>
      <c r="M983" s="76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62"/>
      <c r="AB983" s="52"/>
      <c r="AC983" s="52"/>
      <c r="AD983" s="52"/>
      <c r="AE983" s="52"/>
      <c r="AF983" s="52"/>
      <c r="AG983" s="52"/>
      <c r="AH983" s="48"/>
      <c r="AI983" s="48"/>
      <c r="AJ983" s="48"/>
      <c r="AK983" s="53"/>
      <c r="AL983" s="53"/>
      <c r="AM983" s="53"/>
      <c r="AN983" s="53"/>
      <c r="AO983" s="53"/>
      <c r="AP983" s="53"/>
      <c r="AQ983" s="53"/>
      <c r="AR983" s="53"/>
      <c r="AS983" s="53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52"/>
      <c r="BG983" s="52"/>
      <c r="BH983" s="52"/>
      <c r="BI983" s="52"/>
      <c r="BJ983" s="52"/>
      <c r="BK983" s="52"/>
      <c r="BL983" s="52"/>
      <c r="BM983" s="54"/>
    </row>
    <row r="984">
      <c r="A984" s="42"/>
      <c r="B984" s="52"/>
      <c r="C984" s="52"/>
      <c r="D984" s="52"/>
      <c r="E984" s="52"/>
      <c r="F984" s="81"/>
      <c r="G984" s="57"/>
      <c r="H984" s="48"/>
      <c r="I984" s="77"/>
      <c r="J984" s="62"/>
      <c r="K984" s="52"/>
      <c r="L984" s="52"/>
      <c r="M984" s="76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62"/>
      <c r="AB984" s="52"/>
      <c r="AC984" s="52"/>
      <c r="AD984" s="52"/>
      <c r="AE984" s="52"/>
      <c r="AF984" s="52"/>
      <c r="AG984" s="52"/>
      <c r="AH984" s="48"/>
      <c r="AI984" s="48"/>
      <c r="AJ984" s="48"/>
      <c r="AK984" s="53"/>
      <c r="AL984" s="53"/>
      <c r="AM984" s="53"/>
      <c r="AN984" s="53"/>
      <c r="AO984" s="53"/>
      <c r="AP984" s="53"/>
      <c r="AQ984" s="53"/>
      <c r="AR984" s="53"/>
      <c r="AS984" s="53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52"/>
      <c r="BG984" s="52"/>
      <c r="BH984" s="52"/>
      <c r="BI984" s="52"/>
      <c r="BJ984" s="52"/>
      <c r="BK984" s="52"/>
      <c r="BL984" s="52"/>
      <c r="BM984" s="54"/>
    </row>
    <row r="985">
      <c r="A985" s="42"/>
      <c r="B985" s="52"/>
      <c r="C985" s="52"/>
      <c r="D985" s="52"/>
      <c r="E985" s="52"/>
      <c r="F985" s="81"/>
      <c r="G985" s="57"/>
      <c r="H985" s="48"/>
      <c r="I985" s="77"/>
      <c r="J985" s="62"/>
      <c r="K985" s="52"/>
      <c r="L985" s="52"/>
      <c r="M985" s="76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62"/>
      <c r="AB985" s="52"/>
      <c r="AC985" s="52"/>
      <c r="AD985" s="52"/>
      <c r="AE985" s="52"/>
      <c r="AF985" s="52"/>
      <c r="AG985" s="52"/>
      <c r="AH985" s="48"/>
      <c r="AI985" s="48"/>
      <c r="AJ985" s="48"/>
      <c r="AK985" s="53"/>
      <c r="AL985" s="53"/>
      <c r="AM985" s="53"/>
      <c r="AN985" s="53"/>
      <c r="AO985" s="53"/>
      <c r="AP985" s="53"/>
      <c r="AQ985" s="53"/>
      <c r="AR985" s="53"/>
      <c r="AS985" s="53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52"/>
      <c r="BG985" s="52"/>
      <c r="BH985" s="52"/>
      <c r="BI985" s="52"/>
      <c r="BJ985" s="52"/>
      <c r="BK985" s="52"/>
      <c r="BL985" s="52"/>
      <c r="BM985" s="54"/>
    </row>
    <row r="986">
      <c r="A986" s="42"/>
      <c r="B986" s="52"/>
      <c r="C986" s="52"/>
      <c r="D986" s="52"/>
      <c r="E986" s="52"/>
      <c r="F986" s="81"/>
      <c r="G986" s="57"/>
      <c r="H986" s="48"/>
      <c r="I986" s="77"/>
      <c r="J986" s="62"/>
      <c r="K986" s="52"/>
      <c r="L986" s="52"/>
      <c r="M986" s="76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62"/>
      <c r="AB986" s="52"/>
      <c r="AC986" s="52"/>
      <c r="AD986" s="52"/>
      <c r="AE986" s="52"/>
      <c r="AF986" s="52"/>
      <c r="AG986" s="52"/>
      <c r="AH986" s="48"/>
      <c r="AI986" s="48"/>
      <c r="AJ986" s="48"/>
      <c r="AK986" s="53"/>
      <c r="AL986" s="53"/>
      <c r="AM986" s="53"/>
      <c r="AN986" s="53"/>
      <c r="AO986" s="53"/>
      <c r="AP986" s="53"/>
      <c r="AQ986" s="53"/>
      <c r="AR986" s="53"/>
      <c r="AS986" s="53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52"/>
      <c r="BG986" s="52"/>
      <c r="BH986" s="52"/>
      <c r="BI986" s="52"/>
      <c r="BJ986" s="52"/>
      <c r="BK986" s="52"/>
      <c r="BL986" s="52"/>
      <c r="BM986" s="54"/>
    </row>
    <row r="987">
      <c r="A987" s="42"/>
      <c r="B987" s="52"/>
      <c r="C987" s="52"/>
      <c r="D987" s="52"/>
      <c r="E987" s="52"/>
      <c r="F987" s="81"/>
      <c r="G987" s="57"/>
      <c r="H987" s="48"/>
      <c r="I987" s="77"/>
      <c r="J987" s="62"/>
      <c r="K987" s="52"/>
      <c r="L987" s="52"/>
      <c r="M987" s="76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62"/>
      <c r="AB987" s="52"/>
      <c r="AC987" s="52"/>
      <c r="AD987" s="52"/>
      <c r="AE987" s="52"/>
      <c r="AF987" s="52"/>
      <c r="AG987" s="52"/>
      <c r="AH987" s="48"/>
      <c r="AI987" s="48"/>
      <c r="AJ987" s="48"/>
      <c r="AK987" s="53"/>
      <c r="AL987" s="53"/>
      <c r="AM987" s="53"/>
      <c r="AN987" s="53"/>
      <c r="AO987" s="53"/>
      <c r="AP987" s="53"/>
      <c r="AQ987" s="53"/>
      <c r="AR987" s="53"/>
      <c r="AS987" s="53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52"/>
      <c r="BG987" s="52"/>
      <c r="BH987" s="52"/>
      <c r="BI987" s="52"/>
      <c r="BJ987" s="52"/>
      <c r="BK987" s="52"/>
      <c r="BL987" s="52"/>
      <c r="BM987" s="54"/>
    </row>
    <row r="988">
      <c r="A988" s="42"/>
      <c r="B988" s="52"/>
      <c r="C988" s="52"/>
      <c r="D988" s="52"/>
      <c r="E988" s="52"/>
      <c r="F988" s="81"/>
      <c r="G988" s="57"/>
      <c r="H988" s="48"/>
      <c r="I988" s="77"/>
      <c r="J988" s="62"/>
      <c r="K988" s="52"/>
      <c r="L988" s="52"/>
      <c r="M988" s="76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62"/>
      <c r="AB988" s="52"/>
      <c r="AC988" s="52"/>
      <c r="AD988" s="52"/>
      <c r="AE988" s="52"/>
      <c r="AF988" s="52"/>
      <c r="AG988" s="52"/>
      <c r="AH988" s="48"/>
      <c r="AI988" s="48"/>
      <c r="AJ988" s="48"/>
      <c r="AK988" s="53"/>
      <c r="AL988" s="53"/>
      <c r="AM988" s="53"/>
      <c r="AN988" s="53"/>
      <c r="AO988" s="53"/>
      <c r="AP988" s="53"/>
      <c r="AQ988" s="53"/>
      <c r="AR988" s="53"/>
      <c r="AS988" s="53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52"/>
      <c r="BG988" s="52"/>
      <c r="BH988" s="52"/>
      <c r="BI988" s="52"/>
      <c r="BJ988" s="52"/>
      <c r="BK988" s="52"/>
      <c r="BL988" s="52"/>
      <c r="BM988" s="54"/>
    </row>
    <row r="989">
      <c r="A989" s="42"/>
      <c r="B989" s="52"/>
      <c r="C989" s="52"/>
      <c r="D989" s="52"/>
      <c r="E989" s="52"/>
      <c r="F989" s="81"/>
      <c r="G989" s="57"/>
      <c r="H989" s="48"/>
      <c r="I989" s="77"/>
      <c r="J989" s="62"/>
      <c r="K989" s="52"/>
      <c r="L989" s="52"/>
      <c r="M989" s="76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62"/>
      <c r="AB989" s="52"/>
      <c r="AC989" s="52"/>
      <c r="AD989" s="52"/>
      <c r="AE989" s="52"/>
      <c r="AF989" s="52"/>
      <c r="AG989" s="52"/>
      <c r="AH989" s="48"/>
      <c r="AI989" s="48"/>
      <c r="AJ989" s="48"/>
      <c r="AK989" s="53"/>
      <c r="AL989" s="53"/>
      <c r="AM989" s="53"/>
      <c r="AN989" s="53"/>
      <c r="AO989" s="53"/>
      <c r="AP989" s="53"/>
      <c r="AQ989" s="53"/>
      <c r="AR989" s="53"/>
      <c r="AS989" s="53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52"/>
      <c r="BG989" s="52"/>
      <c r="BH989" s="52"/>
      <c r="BI989" s="52"/>
      <c r="BJ989" s="52"/>
      <c r="BK989" s="52"/>
      <c r="BL989" s="52"/>
      <c r="BM989" s="54"/>
    </row>
    <row r="990">
      <c r="A990" s="42"/>
      <c r="B990" s="52"/>
      <c r="C990" s="52"/>
      <c r="D990" s="52"/>
      <c r="E990" s="52"/>
      <c r="F990" s="81"/>
      <c r="G990" s="57"/>
      <c r="H990" s="48"/>
      <c r="I990" s="77"/>
      <c r="J990" s="62"/>
      <c r="K990" s="52"/>
      <c r="L990" s="52"/>
      <c r="M990" s="76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62"/>
      <c r="AB990" s="52"/>
      <c r="AC990" s="52"/>
      <c r="AD990" s="52"/>
      <c r="AE990" s="52"/>
      <c r="AF990" s="52"/>
      <c r="AG990" s="52"/>
      <c r="AH990" s="48"/>
      <c r="AI990" s="48"/>
      <c r="AJ990" s="48"/>
      <c r="AK990" s="53"/>
      <c r="AL990" s="53"/>
      <c r="AM990" s="53"/>
      <c r="AN990" s="53"/>
      <c r="AO990" s="53"/>
      <c r="AP990" s="53"/>
      <c r="AQ990" s="53"/>
      <c r="AR990" s="53"/>
      <c r="AS990" s="53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52"/>
      <c r="BG990" s="52"/>
      <c r="BH990" s="52"/>
      <c r="BI990" s="52"/>
      <c r="BJ990" s="52"/>
      <c r="BK990" s="52"/>
      <c r="BL990" s="52"/>
      <c r="BM990" s="54"/>
    </row>
    <row r="991">
      <c r="A991" s="42"/>
      <c r="B991" s="52"/>
      <c r="C991" s="52"/>
      <c r="D991" s="52"/>
      <c r="E991" s="52"/>
      <c r="F991" s="81"/>
      <c r="G991" s="57"/>
      <c r="H991" s="48"/>
      <c r="I991" s="77"/>
      <c r="J991" s="62"/>
      <c r="K991" s="52"/>
      <c r="L991" s="52"/>
      <c r="M991" s="76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62"/>
      <c r="AB991" s="52"/>
      <c r="AC991" s="52"/>
      <c r="AD991" s="52"/>
      <c r="AE991" s="52"/>
      <c r="AF991" s="52"/>
      <c r="AG991" s="52"/>
      <c r="AH991" s="48"/>
      <c r="AI991" s="48"/>
      <c r="AJ991" s="48"/>
      <c r="AK991" s="53"/>
      <c r="AL991" s="53"/>
      <c r="AM991" s="53"/>
      <c r="AN991" s="53"/>
      <c r="AO991" s="53"/>
      <c r="AP991" s="53"/>
      <c r="AQ991" s="53"/>
      <c r="AR991" s="53"/>
      <c r="AS991" s="53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52"/>
      <c r="BG991" s="52"/>
      <c r="BH991" s="52"/>
      <c r="BI991" s="52"/>
      <c r="BJ991" s="52"/>
      <c r="BK991" s="52"/>
      <c r="BL991" s="52"/>
      <c r="BM991" s="54"/>
    </row>
    <row r="992">
      <c r="A992" s="42"/>
      <c r="B992" s="52"/>
      <c r="C992" s="52"/>
      <c r="D992" s="52"/>
      <c r="E992" s="52"/>
      <c r="F992" s="81"/>
      <c r="G992" s="57"/>
      <c r="H992" s="48"/>
      <c r="I992" s="77"/>
      <c r="J992" s="62"/>
      <c r="K992" s="52"/>
      <c r="L992" s="52"/>
      <c r="M992" s="76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62"/>
      <c r="AB992" s="52"/>
      <c r="AC992" s="52"/>
      <c r="AD992" s="52"/>
      <c r="AE992" s="52"/>
      <c r="AF992" s="52"/>
      <c r="AG992" s="52"/>
      <c r="AH992" s="48"/>
      <c r="AI992" s="48"/>
      <c r="AJ992" s="48"/>
      <c r="AK992" s="53"/>
      <c r="AL992" s="53"/>
      <c r="AM992" s="53"/>
      <c r="AN992" s="53"/>
      <c r="AO992" s="53"/>
      <c r="AP992" s="53"/>
      <c r="AQ992" s="53"/>
      <c r="AR992" s="53"/>
      <c r="AS992" s="53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52"/>
      <c r="BG992" s="52"/>
      <c r="BH992" s="52"/>
      <c r="BI992" s="52"/>
      <c r="BJ992" s="52"/>
      <c r="BK992" s="52"/>
      <c r="BL992" s="52"/>
      <c r="BM992" s="54"/>
    </row>
    <row r="993">
      <c r="A993" s="42"/>
      <c r="B993" s="52"/>
      <c r="C993" s="52"/>
      <c r="D993" s="52"/>
      <c r="E993" s="52"/>
      <c r="F993" s="81"/>
      <c r="G993" s="57"/>
      <c r="H993" s="48"/>
      <c r="I993" s="77"/>
      <c r="J993" s="62"/>
      <c r="K993" s="52"/>
      <c r="L993" s="52"/>
      <c r="M993" s="76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62"/>
      <c r="AB993" s="52"/>
      <c r="AC993" s="52"/>
      <c r="AD993" s="52"/>
      <c r="AE993" s="52"/>
      <c r="AF993" s="52"/>
      <c r="AG993" s="52"/>
      <c r="AH993" s="48"/>
      <c r="AI993" s="48"/>
      <c r="AJ993" s="48"/>
      <c r="AK993" s="53"/>
      <c r="AL993" s="53"/>
      <c r="AM993" s="53"/>
      <c r="AN993" s="53"/>
      <c r="AO993" s="53"/>
      <c r="AP993" s="53"/>
      <c r="AQ993" s="53"/>
      <c r="AR993" s="53"/>
      <c r="AS993" s="53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52"/>
      <c r="BG993" s="52"/>
      <c r="BH993" s="52"/>
      <c r="BI993" s="52"/>
      <c r="BJ993" s="52"/>
      <c r="BK993" s="52"/>
      <c r="BL993" s="52"/>
      <c r="BM993" s="54"/>
    </row>
    <row r="994">
      <c r="A994" s="42"/>
      <c r="B994" s="52"/>
      <c r="C994" s="52"/>
      <c r="D994" s="52"/>
      <c r="E994" s="52"/>
      <c r="F994" s="81"/>
      <c r="G994" s="57"/>
      <c r="H994" s="48"/>
      <c r="I994" s="77"/>
      <c r="J994" s="62"/>
      <c r="K994" s="52"/>
      <c r="L994" s="52"/>
      <c r="M994" s="76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62"/>
      <c r="AB994" s="52"/>
      <c r="AC994" s="52"/>
      <c r="AD994" s="52"/>
      <c r="AE994" s="52"/>
      <c r="AF994" s="52"/>
      <c r="AG994" s="52"/>
      <c r="AH994" s="48"/>
      <c r="AI994" s="48"/>
      <c r="AJ994" s="48"/>
      <c r="AK994" s="53"/>
      <c r="AL994" s="53"/>
      <c r="AM994" s="53"/>
      <c r="AN994" s="53"/>
      <c r="AO994" s="53"/>
      <c r="AP994" s="53"/>
      <c r="AQ994" s="53"/>
      <c r="AR994" s="53"/>
      <c r="AS994" s="53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52"/>
      <c r="BG994" s="52"/>
      <c r="BH994" s="52"/>
      <c r="BI994" s="52"/>
      <c r="BJ994" s="52"/>
      <c r="BK994" s="52"/>
      <c r="BL994" s="52"/>
      <c r="BM994" s="54"/>
    </row>
    <row r="995">
      <c r="A995" s="42"/>
      <c r="B995" s="52"/>
      <c r="C995" s="52"/>
      <c r="D995" s="52"/>
      <c r="E995" s="52"/>
      <c r="F995" s="81"/>
      <c r="G995" s="57"/>
      <c r="H995" s="48"/>
      <c r="I995" s="77"/>
      <c r="J995" s="62"/>
      <c r="K995" s="52"/>
      <c r="L995" s="52"/>
      <c r="M995" s="76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62"/>
      <c r="AB995" s="52"/>
      <c r="AC995" s="52"/>
      <c r="AD995" s="52"/>
      <c r="AE995" s="52"/>
      <c r="AF995" s="52"/>
      <c r="AG995" s="52"/>
      <c r="AH995" s="48"/>
      <c r="AI995" s="48"/>
      <c r="AJ995" s="48"/>
      <c r="AK995" s="53"/>
      <c r="AL995" s="53"/>
      <c r="AM995" s="53"/>
      <c r="AN995" s="53"/>
      <c r="AO995" s="53"/>
      <c r="AP995" s="53"/>
      <c r="AQ995" s="53"/>
      <c r="AR995" s="53"/>
      <c r="AS995" s="53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52"/>
      <c r="BG995" s="52"/>
      <c r="BH995" s="52"/>
      <c r="BI995" s="52"/>
      <c r="BJ995" s="52"/>
      <c r="BK995" s="52"/>
      <c r="BL995" s="52"/>
      <c r="BM995" s="54"/>
    </row>
    <row r="996">
      <c r="A996" s="42"/>
      <c r="B996" s="52"/>
      <c r="C996" s="52"/>
      <c r="D996" s="52"/>
      <c r="E996" s="52"/>
      <c r="F996" s="81"/>
      <c r="G996" s="57"/>
      <c r="H996" s="48"/>
      <c r="I996" s="77"/>
      <c r="J996" s="62"/>
      <c r="K996" s="52"/>
      <c r="L996" s="52"/>
      <c r="M996" s="76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62"/>
      <c r="AB996" s="52"/>
      <c r="AC996" s="52"/>
      <c r="AD996" s="52"/>
      <c r="AE996" s="52"/>
      <c r="AF996" s="52"/>
      <c r="AG996" s="52"/>
      <c r="AH996" s="48"/>
      <c r="AI996" s="48"/>
      <c r="AJ996" s="48"/>
      <c r="AK996" s="53"/>
      <c r="AL996" s="53"/>
      <c r="AM996" s="53"/>
      <c r="AN996" s="53"/>
      <c r="AO996" s="53"/>
      <c r="AP996" s="53"/>
      <c r="AQ996" s="53"/>
      <c r="AR996" s="53"/>
      <c r="AS996" s="53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52"/>
      <c r="BG996" s="52"/>
      <c r="BH996" s="52"/>
      <c r="BI996" s="52"/>
      <c r="BJ996" s="52"/>
      <c r="BK996" s="52"/>
      <c r="BL996" s="52"/>
      <c r="BM996" s="54"/>
    </row>
    <row r="997">
      <c r="A997" s="42"/>
      <c r="B997" s="52"/>
      <c r="C997" s="52"/>
      <c r="D997" s="52"/>
      <c r="E997" s="52"/>
      <c r="F997" s="81"/>
      <c r="G997" s="57"/>
      <c r="H997" s="48"/>
      <c r="I997" s="77"/>
      <c r="J997" s="62"/>
      <c r="K997" s="52"/>
      <c r="L997" s="52"/>
      <c r="M997" s="76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62"/>
      <c r="AB997" s="52"/>
      <c r="AC997" s="52"/>
      <c r="AD997" s="52"/>
      <c r="AE997" s="52"/>
      <c r="AF997" s="52"/>
      <c r="AG997" s="52"/>
      <c r="AH997" s="48"/>
      <c r="AI997" s="48"/>
      <c r="AJ997" s="48"/>
      <c r="AK997" s="53"/>
      <c r="AL997" s="53"/>
      <c r="AM997" s="53"/>
      <c r="AN997" s="53"/>
      <c r="AO997" s="53"/>
      <c r="AP997" s="53"/>
      <c r="AQ997" s="53"/>
      <c r="AR997" s="53"/>
      <c r="AS997" s="53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52"/>
      <c r="BG997" s="52"/>
      <c r="BH997" s="52"/>
      <c r="BI997" s="52"/>
      <c r="BJ997" s="52"/>
      <c r="BK997" s="52"/>
      <c r="BL997" s="52"/>
      <c r="BM997" s="54"/>
    </row>
    <row r="998">
      <c r="A998" s="42"/>
      <c r="B998" s="52"/>
      <c r="C998" s="52"/>
      <c r="D998" s="52"/>
      <c r="E998" s="52"/>
      <c r="F998" s="81"/>
      <c r="G998" s="57"/>
      <c r="H998" s="48"/>
      <c r="I998" s="77"/>
      <c r="J998" s="62"/>
      <c r="K998" s="52"/>
      <c r="L998" s="52"/>
      <c r="M998" s="76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62"/>
      <c r="AB998" s="52"/>
      <c r="AC998" s="52"/>
      <c r="AD998" s="52"/>
      <c r="AE998" s="52"/>
      <c r="AF998" s="52"/>
      <c r="AG998" s="52"/>
      <c r="AH998" s="48"/>
      <c r="AI998" s="48"/>
      <c r="AJ998" s="48"/>
      <c r="AK998" s="53"/>
      <c r="AL998" s="53"/>
      <c r="AM998" s="53"/>
      <c r="AN998" s="53"/>
      <c r="AO998" s="53"/>
      <c r="AP998" s="53"/>
      <c r="AQ998" s="53"/>
      <c r="AR998" s="53"/>
      <c r="AS998" s="53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52"/>
      <c r="BG998" s="52"/>
      <c r="BH998" s="52"/>
      <c r="BI998" s="52"/>
      <c r="BJ998" s="52"/>
      <c r="BK998" s="52"/>
      <c r="BL998" s="52"/>
      <c r="BM998" s="54"/>
    </row>
    <row r="999">
      <c r="A999" s="42"/>
      <c r="B999" s="52"/>
      <c r="C999" s="52"/>
      <c r="D999" s="52"/>
      <c r="E999" s="52"/>
      <c r="F999" s="81"/>
      <c r="G999" s="57"/>
      <c r="H999" s="48"/>
      <c r="I999" s="77"/>
      <c r="J999" s="62"/>
      <c r="K999" s="52"/>
      <c r="L999" s="52"/>
      <c r="M999" s="76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62"/>
      <c r="AB999" s="52"/>
      <c r="AC999" s="52"/>
      <c r="AD999" s="52"/>
      <c r="AE999" s="52"/>
      <c r="AF999" s="52"/>
      <c r="AG999" s="52"/>
      <c r="AH999" s="48"/>
      <c r="AI999" s="48"/>
      <c r="AJ999" s="48"/>
      <c r="AK999" s="53"/>
      <c r="AL999" s="53"/>
      <c r="AM999" s="53"/>
      <c r="AN999" s="53"/>
      <c r="AO999" s="53"/>
      <c r="AP999" s="53"/>
      <c r="AQ999" s="53"/>
      <c r="AR999" s="53"/>
      <c r="AS999" s="53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52"/>
      <c r="BG999" s="52"/>
      <c r="BH999" s="52"/>
      <c r="BI999" s="52"/>
      <c r="BJ999" s="52"/>
      <c r="BK999" s="52"/>
      <c r="BL999" s="52"/>
      <c r="BM999" s="54"/>
    </row>
    <row r="1000">
      <c r="A1000" s="42"/>
      <c r="B1000" s="52"/>
      <c r="C1000" s="52"/>
      <c r="D1000" s="52"/>
      <c r="E1000" s="52"/>
      <c r="F1000" s="81"/>
      <c r="G1000" s="57"/>
      <c r="H1000" s="48"/>
      <c r="I1000" s="77"/>
      <c r="J1000" s="62"/>
      <c r="K1000" s="52"/>
      <c r="L1000" s="52"/>
      <c r="M1000" s="76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62"/>
      <c r="AB1000" s="52"/>
      <c r="AC1000" s="52"/>
      <c r="AD1000" s="52"/>
      <c r="AE1000" s="52"/>
      <c r="AF1000" s="52"/>
      <c r="AG1000" s="52"/>
      <c r="AH1000" s="48"/>
      <c r="AI1000" s="48"/>
      <c r="AJ1000" s="48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52"/>
      <c r="BG1000" s="52"/>
      <c r="BH1000" s="52"/>
      <c r="BI1000" s="52"/>
      <c r="BJ1000" s="52"/>
      <c r="BK1000" s="52"/>
      <c r="BL1000" s="52"/>
      <c r="BM1000" s="54"/>
    </row>
    <row r="1001">
      <c r="A1001" s="42"/>
      <c r="B1001" s="52"/>
      <c r="C1001" s="52"/>
      <c r="D1001" s="52"/>
      <c r="E1001" s="52"/>
      <c r="F1001" s="81"/>
      <c r="G1001" s="57"/>
      <c r="H1001" s="48"/>
      <c r="I1001" s="77"/>
      <c r="J1001" s="62"/>
      <c r="K1001" s="52"/>
      <c r="L1001" s="52"/>
      <c r="M1001" s="76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62"/>
      <c r="AB1001" s="52"/>
      <c r="AC1001" s="52"/>
      <c r="AD1001" s="52"/>
      <c r="AE1001" s="52"/>
      <c r="AF1001" s="52"/>
      <c r="AG1001" s="52"/>
      <c r="AH1001" s="48"/>
      <c r="AI1001" s="48"/>
      <c r="AJ1001" s="48"/>
      <c r="AK1001" s="53"/>
      <c r="AL1001" s="53"/>
      <c r="AM1001" s="53"/>
      <c r="AN1001" s="53"/>
      <c r="AO1001" s="53"/>
      <c r="AP1001" s="53"/>
      <c r="AQ1001" s="53"/>
      <c r="AR1001" s="53"/>
      <c r="AS1001" s="53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52"/>
      <c r="BG1001" s="52"/>
      <c r="BH1001" s="52"/>
      <c r="BI1001" s="52"/>
      <c r="BJ1001" s="52"/>
      <c r="BK1001" s="52"/>
      <c r="BL1001" s="52"/>
      <c r="BM1001" s="54"/>
    </row>
    <row r="1002">
      <c r="A1002" s="42"/>
      <c r="B1002" s="52"/>
      <c r="C1002" s="52"/>
      <c r="D1002" s="52"/>
      <c r="E1002" s="52"/>
      <c r="F1002" s="81"/>
      <c r="G1002" s="57"/>
      <c r="H1002" s="48"/>
      <c r="I1002" s="77"/>
      <c r="J1002" s="62"/>
      <c r="K1002" s="52"/>
      <c r="L1002" s="52"/>
      <c r="M1002" s="76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62"/>
      <c r="AB1002" s="52"/>
      <c r="AC1002" s="52"/>
      <c r="AD1002" s="52"/>
      <c r="AE1002" s="52"/>
      <c r="AF1002" s="52"/>
      <c r="AG1002" s="52"/>
      <c r="AH1002" s="48"/>
      <c r="AI1002" s="48"/>
      <c r="AJ1002" s="48"/>
      <c r="AK1002" s="53"/>
      <c r="AL1002" s="53"/>
      <c r="AM1002" s="53"/>
      <c r="AN1002" s="53"/>
      <c r="AO1002" s="53"/>
      <c r="AP1002" s="53"/>
      <c r="AQ1002" s="53"/>
      <c r="AR1002" s="53"/>
      <c r="AS1002" s="53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52"/>
      <c r="BG1002" s="52"/>
      <c r="BH1002" s="52"/>
      <c r="BI1002" s="52"/>
      <c r="BJ1002" s="52"/>
      <c r="BK1002" s="52"/>
      <c r="BL1002" s="52"/>
      <c r="BM1002" s="54"/>
    </row>
    <row r="1003">
      <c r="A1003" s="42"/>
      <c r="B1003" s="52"/>
      <c r="C1003" s="52"/>
      <c r="D1003" s="52"/>
      <c r="E1003" s="52"/>
      <c r="F1003" s="81"/>
      <c r="G1003" s="57"/>
      <c r="H1003" s="48"/>
      <c r="I1003" s="77"/>
      <c r="J1003" s="62"/>
      <c r="K1003" s="52"/>
      <c r="L1003" s="52"/>
      <c r="M1003" s="76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62"/>
      <c r="AB1003" s="52"/>
      <c r="AC1003" s="52"/>
      <c r="AD1003" s="52"/>
      <c r="AE1003" s="52"/>
      <c r="AF1003" s="52"/>
      <c r="AG1003" s="52"/>
      <c r="AH1003" s="48"/>
      <c r="AI1003" s="48"/>
      <c r="AJ1003" s="48"/>
      <c r="AK1003" s="53"/>
      <c r="AL1003" s="53"/>
      <c r="AM1003" s="53"/>
      <c r="AN1003" s="53"/>
      <c r="AO1003" s="53"/>
      <c r="AP1003" s="53"/>
      <c r="AQ1003" s="53"/>
      <c r="AR1003" s="53"/>
      <c r="AS1003" s="53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52"/>
      <c r="BG1003" s="52"/>
      <c r="BH1003" s="52"/>
      <c r="BI1003" s="52"/>
      <c r="BJ1003" s="52"/>
      <c r="BK1003" s="52"/>
      <c r="BL1003" s="52"/>
      <c r="BM1003" s="54"/>
    </row>
    <row r="1004">
      <c r="A1004" s="42"/>
      <c r="B1004" s="52"/>
      <c r="C1004" s="52"/>
      <c r="D1004" s="52"/>
      <c r="E1004" s="52"/>
      <c r="F1004" s="81"/>
      <c r="G1004" s="57"/>
      <c r="H1004" s="48"/>
      <c r="I1004" s="77"/>
      <c r="J1004" s="62"/>
      <c r="K1004" s="52"/>
      <c r="L1004" s="52"/>
      <c r="M1004" s="76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62"/>
      <c r="AB1004" s="52"/>
      <c r="AC1004" s="52"/>
      <c r="AD1004" s="52"/>
      <c r="AE1004" s="52"/>
      <c r="AF1004" s="52"/>
      <c r="AG1004" s="52"/>
      <c r="AH1004" s="48"/>
      <c r="AI1004" s="48"/>
      <c r="AJ1004" s="48"/>
      <c r="AK1004" s="53"/>
      <c r="AL1004" s="53"/>
      <c r="AM1004" s="53"/>
      <c r="AN1004" s="53"/>
      <c r="AO1004" s="53"/>
      <c r="AP1004" s="53"/>
      <c r="AQ1004" s="53"/>
      <c r="AR1004" s="53"/>
      <c r="AS1004" s="53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52"/>
      <c r="BG1004" s="52"/>
      <c r="BH1004" s="52"/>
      <c r="BI1004" s="52"/>
      <c r="BJ1004" s="52"/>
      <c r="BK1004" s="52"/>
      <c r="BL1004" s="52"/>
      <c r="BM1004" s="54"/>
    </row>
    <row r="1005">
      <c r="A1005" s="42"/>
      <c r="B1005" s="52"/>
      <c r="C1005" s="52"/>
      <c r="D1005" s="52"/>
      <c r="E1005" s="52"/>
      <c r="F1005" s="81"/>
      <c r="G1005" s="57"/>
      <c r="H1005" s="48"/>
      <c r="I1005" s="77"/>
      <c r="J1005" s="62"/>
      <c r="K1005" s="52"/>
      <c r="L1005" s="52"/>
      <c r="M1005" s="76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62"/>
      <c r="AB1005" s="52"/>
      <c r="AC1005" s="52"/>
      <c r="AD1005" s="52"/>
      <c r="AE1005" s="52"/>
      <c r="AF1005" s="52"/>
      <c r="AG1005" s="52"/>
      <c r="AH1005" s="48"/>
      <c r="AI1005" s="48"/>
      <c r="AJ1005" s="48"/>
      <c r="AK1005" s="53"/>
      <c r="AL1005" s="53"/>
      <c r="AM1005" s="53"/>
      <c r="AN1005" s="53"/>
      <c r="AO1005" s="53"/>
      <c r="AP1005" s="53"/>
      <c r="AQ1005" s="53"/>
      <c r="AR1005" s="53"/>
      <c r="AS1005" s="53"/>
      <c r="AT1005" s="48"/>
      <c r="AU1005" s="48"/>
      <c r="AV1005" s="48"/>
      <c r="AW1005" s="48"/>
      <c r="AX1005" s="48"/>
      <c r="AY1005" s="48"/>
      <c r="AZ1005" s="48"/>
      <c r="BA1005" s="48"/>
      <c r="BB1005" s="48"/>
      <c r="BC1005" s="48"/>
      <c r="BD1005" s="48"/>
      <c r="BE1005" s="48"/>
      <c r="BF1005" s="52"/>
      <c r="BG1005" s="52"/>
      <c r="BH1005" s="52"/>
      <c r="BI1005" s="52"/>
      <c r="BJ1005" s="52"/>
      <c r="BK1005" s="52"/>
      <c r="BL1005" s="52"/>
      <c r="BM1005" s="54"/>
    </row>
    <row r="1006">
      <c r="A1006" s="42"/>
      <c r="B1006" s="52"/>
      <c r="C1006" s="52"/>
      <c r="D1006" s="52"/>
      <c r="E1006" s="52"/>
      <c r="F1006" s="81"/>
      <c r="G1006" s="57"/>
      <c r="H1006" s="48"/>
      <c r="I1006" s="77"/>
      <c r="J1006" s="62"/>
      <c r="K1006" s="52"/>
      <c r="L1006" s="52"/>
      <c r="M1006" s="76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62"/>
      <c r="AB1006" s="52"/>
      <c r="AC1006" s="52"/>
      <c r="AD1006" s="52"/>
      <c r="AE1006" s="52"/>
      <c r="AF1006" s="52"/>
      <c r="AG1006" s="52"/>
      <c r="AH1006" s="48"/>
      <c r="AI1006" s="48"/>
      <c r="AJ1006" s="48"/>
      <c r="AK1006" s="53"/>
      <c r="AL1006" s="53"/>
      <c r="AM1006" s="53"/>
      <c r="AN1006" s="53"/>
      <c r="AO1006" s="53"/>
      <c r="AP1006" s="53"/>
      <c r="AQ1006" s="53"/>
      <c r="AR1006" s="53"/>
      <c r="AS1006" s="53"/>
      <c r="AT1006" s="48"/>
      <c r="AU1006" s="48"/>
      <c r="AV1006" s="48"/>
      <c r="AW1006" s="48"/>
      <c r="AX1006" s="48"/>
      <c r="AY1006" s="48"/>
      <c r="AZ1006" s="48"/>
      <c r="BA1006" s="48"/>
      <c r="BB1006" s="48"/>
      <c r="BC1006" s="48"/>
      <c r="BD1006" s="48"/>
      <c r="BE1006" s="48"/>
      <c r="BF1006" s="52"/>
      <c r="BG1006" s="52"/>
      <c r="BH1006" s="52"/>
      <c r="BI1006" s="52"/>
      <c r="BJ1006" s="52"/>
      <c r="BK1006" s="52"/>
      <c r="BL1006" s="52"/>
      <c r="BM1006" s="54"/>
    </row>
    <row r="1007">
      <c r="A1007" s="42"/>
      <c r="B1007" s="52"/>
      <c r="C1007" s="52"/>
      <c r="D1007" s="52"/>
      <c r="E1007" s="52"/>
      <c r="F1007" s="81"/>
      <c r="G1007" s="57"/>
      <c r="H1007" s="48"/>
      <c r="I1007" s="77"/>
      <c r="J1007" s="62"/>
      <c r="K1007" s="52"/>
      <c r="L1007" s="52"/>
      <c r="M1007" s="76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62"/>
      <c r="AB1007" s="52"/>
      <c r="AC1007" s="52"/>
      <c r="AD1007" s="52"/>
      <c r="AE1007" s="52"/>
      <c r="AF1007" s="52"/>
      <c r="AG1007" s="52"/>
      <c r="AH1007" s="48"/>
      <c r="AI1007" s="48"/>
      <c r="AJ1007" s="48"/>
      <c r="AK1007" s="53"/>
      <c r="AL1007" s="53"/>
      <c r="AM1007" s="53"/>
      <c r="AN1007" s="53"/>
      <c r="AO1007" s="53"/>
      <c r="AP1007" s="53"/>
      <c r="AQ1007" s="53"/>
      <c r="AR1007" s="53"/>
      <c r="AS1007" s="53"/>
      <c r="AT1007" s="48"/>
      <c r="AU1007" s="48"/>
      <c r="AV1007" s="48"/>
      <c r="AW1007" s="48"/>
      <c r="AX1007" s="48"/>
      <c r="AY1007" s="48"/>
      <c r="AZ1007" s="48"/>
      <c r="BA1007" s="48"/>
      <c r="BB1007" s="48"/>
      <c r="BC1007" s="48"/>
      <c r="BD1007" s="48"/>
      <c r="BE1007" s="48"/>
      <c r="BF1007" s="52"/>
      <c r="BG1007" s="52"/>
      <c r="BH1007" s="52"/>
      <c r="BI1007" s="52"/>
      <c r="BJ1007" s="52"/>
      <c r="BK1007" s="52"/>
      <c r="BL1007" s="52"/>
      <c r="BM1007" s="54"/>
    </row>
    <row r="1008">
      <c r="A1008" s="42"/>
      <c r="B1008" s="52"/>
      <c r="C1008" s="52"/>
      <c r="D1008" s="52"/>
      <c r="E1008" s="52"/>
      <c r="F1008" s="81"/>
      <c r="G1008" s="57"/>
      <c r="H1008" s="48"/>
      <c r="I1008" s="77"/>
      <c r="J1008" s="62"/>
      <c r="K1008" s="52"/>
      <c r="L1008" s="52"/>
      <c r="M1008" s="76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62"/>
      <c r="AB1008" s="52"/>
      <c r="AC1008" s="52"/>
      <c r="AD1008" s="52"/>
      <c r="AE1008" s="52"/>
      <c r="AF1008" s="52"/>
      <c r="AG1008" s="52"/>
      <c r="AH1008" s="48"/>
      <c r="AI1008" s="48"/>
      <c r="AJ1008" s="48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48"/>
      <c r="AU1008" s="48"/>
      <c r="AV1008" s="48"/>
      <c r="AW1008" s="48"/>
      <c r="AX1008" s="48"/>
      <c r="AY1008" s="48"/>
      <c r="AZ1008" s="48"/>
      <c r="BA1008" s="48"/>
      <c r="BB1008" s="48"/>
      <c r="BC1008" s="48"/>
      <c r="BD1008" s="48"/>
      <c r="BE1008" s="48"/>
      <c r="BF1008" s="52"/>
      <c r="BG1008" s="52"/>
      <c r="BH1008" s="52"/>
      <c r="BI1008" s="52"/>
      <c r="BJ1008" s="52"/>
      <c r="BK1008" s="52"/>
      <c r="BL1008" s="52"/>
      <c r="BM1008" s="54"/>
    </row>
    <row r="1009">
      <c r="A1009" s="42"/>
      <c r="B1009" s="52"/>
      <c r="C1009" s="52"/>
      <c r="D1009" s="52"/>
      <c r="E1009" s="52"/>
      <c r="F1009" s="81"/>
      <c r="G1009" s="57"/>
      <c r="H1009" s="48"/>
      <c r="I1009" s="77"/>
      <c r="J1009" s="62"/>
      <c r="K1009" s="52"/>
      <c r="L1009" s="52"/>
      <c r="M1009" s="76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62"/>
      <c r="AB1009" s="52"/>
      <c r="AC1009" s="52"/>
      <c r="AD1009" s="52"/>
      <c r="AE1009" s="52"/>
      <c r="AF1009" s="52"/>
      <c r="AG1009" s="52"/>
      <c r="AH1009" s="48"/>
      <c r="AI1009" s="48"/>
      <c r="AJ1009" s="48"/>
      <c r="AK1009" s="53"/>
      <c r="AL1009" s="53"/>
      <c r="AM1009" s="53"/>
      <c r="AN1009" s="53"/>
      <c r="AO1009" s="53"/>
      <c r="AP1009" s="53"/>
      <c r="AQ1009" s="53"/>
      <c r="AR1009" s="53"/>
      <c r="AS1009" s="53"/>
      <c r="AT1009" s="48"/>
      <c r="AU1009" s="48"/>
      <c r="AV1009" s="48"/>
      <c r="AW1009" s="48"/>
      <c r="AX1009" s="48"/>
      <c r="AY1009" s="48"/>
      <c r="AZ1009" s="48"/>
      <c r="BA1009" s="48"/>
      <c r="BB1009" s="48"/>
      <c r="BC1009" s="48"/>
      <c r="BD1009" s="48"/>
      <c r="BE1009" s="48"/>
      <c r="BF1009" s="52"/>
      <c r="BG1009" s="52"/>
      <c r="BH1009" s="52"/>
      <c r="BI1009" s="52"/>
      <c r="BJ1009" s="52"/>
      <c r="BK1009" s="52"/>
      <c r="BL1009" s="52"/>
      <c r="BM1009" s="54"/>
    </row>
    <row r="1010">
      <c r="A1010" s="42"/>
      <c r="B1010" s="52"/>
      <c r="C1010" s="52"/>
      <c r="D1010" s="52"/>
      <c r="E1010" s="52"/>
      <c r="F1010" s="81"/>
      <c r="G1010" s="57"/>
      <c r="H1010" s="48"/>
      <c r="I1010" s="77"/>
      <c r="J1010" s="62"/>
      <c r="K1010" s="52"/>
      <c r="L1010" s="52"/>
      <c r="M1010" s="76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62"/>
      <c r="AB1010" s="52"/>
      <c r="AC1010" s="52"/>
      <c r="AD1010" s="52"/>
      <c r="AE1010" s="52"/>
      <c r="AF1010" s="52"/>
      <c r="AG1010" s="52"/>
      <c r="AH1010" s="48"/>
      <c r="AI1010" s="48"/>
      <c r="AJ1010" s="48"/>
      <c r="AK1010" s="53"/>
      <c r="AL1010" s="53"/>
      <c r="AM1010" s="53"/>
      <c r="AN1010" s="53"/>
      <c r="AO1010" s="53"/>
      <c r="AP1010" s="53"/>
      <c r="AQ1010" s="53"/>
      <c r="AR1010" s="53"/>
      <c r="AS1010" s="53"/>
      <c r="AT1010" s="48"/>
      <c r="AU1010" s="48"/>
      <c r="AV1010" s="48"/>
      <c r="AW1010" s="48"/>
      <c r="AX1010" s="48"/>
      <c r="AY1010" s="48"/>
      <c r="AZ1010" s="48"/>
      <c r="BA1010" s="48"/>
      <c r="BB1010" s="48"/>
      <c r="BC1010" s="48"/>
      <c r="BD1010" s="48"/>
      <c r="BE1010" s="48"/>
      <c r="BF1010" s="52"/>
      <c r="BG1010" s="52"/>
      <c r="BH1010" s="52"/>
      <c r="BI1010" s="52"/>
      <c r="BJ1010" s="52"/>
      <c r="BK1010" s="52"/>
      <c r="BL1010" s="52"/>
      <c r="BM1010" s="54"/>
    </row>
    <row r="1011">
      <c r="A1011" s="42"/>
      <c r="B1011" s="52"/>
      <c r="C1011" s="52"/>
      <c r="D1011" s="52"/>
      <c r="E1011" s="52"/>
      <c r="F1011" s="81"/>
      <c r="G1011" s="57"/>
      <c r="H1011" s="48"/>
      <c r="I1011" s="77"/>
      <c r="J1011" s="62"/>
      <c r="K1011" s="52"/>
      <c r="L1011" s="52"/>
      <c r="M1011" s="76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62"/>
      <c r="AB1011" s="52"/>
      <c r="AC1011" s="52"/>
      <c r="AD1011" s="52"/>
      <c r="AE1011" s="52"/>
      <c r="AF1011" s="52"/>
      <c r="AG1011" s="52"/>
      <c r="AH1011" s="48"/>
      <c r="AI1011" s="48"/>
      <c r="AJ1011" s="48"/>
      <c r="AK1011" s="53"/>
      <c r="AL1011" s="53"/>
      <c r="AM1011" s="53"/>
      <c r="AN1011" s="53"/>
      <c r="AO1011" s="53"/>
      <c r="AP1011" s="53"/>
      <c r="AQ1011" s="53"/>
      <c r="AR1011" s="53"/>
      <c r="AS1011" s="53"/>
      <c r="AT1011" s="48"/>
      <c r="AU1011" s="48"/>
      <c r="AV1011" s="48"/>
      <c r="AW1011" s="48"/>
      <c r="AX1011" s="48"/>
      <c r="AY1011" s="48"/>
      <c r="AZ1011" s="48"/>
      <c r="BA1011" s="48"/>
      <c r="BB1011" s="48"/>
      <c r="BC1011" s="48"/>
      <c r="BD1011" s="48"/>
      <c r="BE1011" s="48"/>
      <c r="BF1011" s="52"/>
      <c r="BG1011" s="52"/>
      <c r="BH1011" s="52"/>
      <c r="BI1011" s="52"/>
      <c r="BJ1011" s="52"/>
      <c r="BK1011" s="52"/>
      <c r="BL1011" s="52"/>
      <c r="BM1011" s="54"/>
    </row>
    <row r="1012">
      <c r="A1012" s="42"/>
      <c r="B1012" s="52"/>
      <c r="C1012" s="52"/>
      <c r="D1012" s="52"/>
      <c r="E1012" s="52"/>
      <c r="F1012" s="81"/>
      <c r="G1012" s="57"/>
      <c r="H1012" s="48"/>
      <c r="I1012" s="77"/>
      <c r="J1012" s="62"/>
      <c r="K1012" s="52"/>
      <c r="L1012" s="52"/>
      <c r="M1012" s="76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62"/>
      <c r="AB1012" s="52"/>
      <c r="AC1012" s="52"/>
      <c r="AD1012" s="52"/>
      <c r="AE1012" s="52"/>
      <c r="AF1012" s="52"/>
      <c r="AG1012" s="52"/>
      <c r="AH1012" s="48"/>
      <c r="AI1012" s="48"/>
      <c r="AJ1012" s="48"/>
      <c r="AK1012" s="53"/>
      <c r="AL1012" s="53"/>
      <c r="AM1012" s="53"/>
      <c r="AN1012" s="53"/>
      <c r="AO1012" s="53"/>
      <c r="AP1012" s="53"/>
      <c r="AQ1012" s="53"/>
      <c r="AR1012" s="53"/>
      <c r="AS1012" s="53"/>
      <c r="AT1012" s="48"/>
      <c r="AU1012" s="48"/>
      <c r="AV1012" s="48"/>
      <c r="AW1012" s="48"/>
      <c r="AX1012" s="48"/>
      <c r="AY1012" s="48"/>
      <c r="AZ1012" s="48"/>
      <c r="BA1012" s="48"/>
      <c r="BB1012" s="48"/>
      <c r="BC1012" s="48"/>
      <c r="BD1012" s="48"/>
      <c r="BE1012" s="48"/>
      <c r="BF1012" s="52"/>
      <c r="BG1012" s="52"/>
      <c r="BH1012" s="52"/>
      <c r="BI1012" s="52"/>
      <c r="BJ1012" s="52"/>
      <c r="BK1012" s="52"/>
      <c r="BL1012" s="52"/>
      <c r="BM1012" s="54"/>
    </row>
    <row r="1013">
      <c r="A1013" s="42"/>
      <c r="B1013" s="52"/>
      <c r="C1013" s="52"/>
      <c r="D1013" s="52"/>
      <c r="E1013" s="52"/>
      <c r="F1013" s="81"/>
      <c r="G1013" s="57"/>
      <c r="H1013" s="48"/>
      <c r="I1013" s="77"/>
      <c r="J1013" s="62"/>
      <c r="K1013" s="52"/>
      <c r="L1013" s="52"/>
      <c r="M1013" s="76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62"/>
      <c r="AB1013" s="52"/>
      <c r="AC1013" s="52"/>
      <c r="AD1013" s="52"/>
      <c r="AE1013" s="52"/>
      <c r="AF1013" s="52"/>
      <c r="AG1013" s="52"/>
      <c r="AH1013" s="48"/>
      <c r="AI1013" s="48"/>
      <c r="AJ1013" s="48"/>
      <c r="AK1013" s="53"/>
      <c r="AL1013" s="53"/>
      <c r="AM1013" s="53"/>
      <c r="AN1013" s="53"/>
      <c r="AO1013" s="53"/>
      <c r="AP1013" s="53"/>
      <c r="AQ1013" s="53"/>
      <c r="AR1013" s="53"/>
      <c r="AS1013" s="53"/>
      <c r="AT1013" s="48"/>
      <c r="AU1013" s="48"/>
      <c r="AV1013" s="48"/>
      <c r="AW1013" s="48"/>
      <c r="AX1013" s="48"/>
      <c r="AY1013" s="48"/>
      <c r="AZ1013" s="48"/>
      <c r="BA1013" s="48"/>
      <c r="BB1013" s="48"/>
      <c r="BC1013" s="48"/>
      <c r="BD1013" s="48"/>
      <c r="BE1013" s="48"/>
      <c r="BF1013" s="52"/>
      <c r="BG1013" s="52"/>
      <c r="BH1013" s="52"/>
      <c r="BI1013" s="52"/>
      <c r="BJ1013" s="52"/>
      <c r="BK1013" s="52"/>
      <c r="BL1013" s="52"/>
      <c r="BM1013" s="54"/>
    </row>
    <row r="1014">
      <c r="A1014" s="42"/>
      <c r="B1014" s="52"/>
      <c r="C1014" s="52"/>
      <c r="D1014" s="52"/>
      <c r="E1014" s="52"/>
      <c r="F1014" s="81"/>
      <c r="G1014" s="57"/>
      <c r="H1014" s="48"/>
      <c r="I1014" s="77"/>
      <c r="J1014" s="62"/>
      <c r="K1014" s="52"/>
      <c r="L1014" s="52"/>
      <c r="M1014" s="76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  <c r="AA1014" s="62"/>
      <c r="AB1014" s="52"/>
      <c r="AC1014" s="52"/>
      <c r="AD1014" s="52"/>
      <c r="AE1014" s="52"/>
      <c r="AF1014" s="52"/>
      <c r="AG1014" s="52"/>
      <c r="AH1014" s="48"/>
      <c r="AI1014" s="48"/>
      <c r="AJ1014" s="48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48"/>
      <c r="AU1014" s="48"/>
      <c r="AV1014" s="48"/>
      <c r="AW1014" s="48"/>
      <c r="AX1014" s="48"/>
      <c r="AY1014" s="48"/>
      <c r="AZ1014" s="48"/>
      <c r="BA1014" s="48"/>
      <c r="BB1014" s="48"/>
      <c r="BC1014" s="48"/>
      <c r="BD1014" s="48"/>
      <c r="BE1014" s="48"/>
      <c r="BF1014" s="52"/>
      <c r="BG1014" s="52"/>
      <c r="BH1014" s="52"/>
      <c r="BI1014" s="52"/>
      <c r="BJ1014" s="52"/>
      <c r="BK1014" s="52"/>
      <c r="BL1014" s="52"/>
      <c r="BM1014" s="54"/>
    </row>
    <row r="1015">
      <c r="A1015" s="42"/>
      <c r="B1015" s="52"/>
      <c r="C1015" s="52"/>
      <c r="D1015" s="52"/>
      <c r="E1015" s="52"/>
      <c r="F1015" s="81"/>
      <c r="G1015" s="57"/>
      <c r="H1015" s="48"/>
      <c r="I1015" s="77"/>
      <c r="J1015" s="62"/>
      <c r="K1015" s="52"/>
      <c r="L1015" s="52"/>
      <c r="M1015" s="76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  <c r="AA1015" s="62"/>
      <c r="AB1015" s="52"/>
      <c r="AC1015" s="52"/>
      <c r="AD1015" s="52"/>
      <c r="AE1015" s="52"/>
      <c r="AF1015" s="52"/>
      <c r="AG1015" s="52"/>
      <c r="AH1015" s="48"/>
      <c r="AI1015" s="48"/>
      <c r="AJ1015" s="48"/>
      <c r="AK1015" s="53"/>
      <c r="AL1015" s="53"/>
      <c r="AM1015" s="53"/>
      <c r="AN1015" s="53"/>
      <c r="AO1015" s="53"/>
      <c r="AP1015" s="53"/>
      <c r="AQ1015" s="53"/>
      <c r="AR1015" s="53"/>
      <c r="AS1015" s="53"/>
      <c r="AT1015" s="48"/>
      <c r="AU1015" s="48"/>
      <c r="AV1015" s="48"/>
      <c r="AW1015" s="48"/>
      <c r="AX1015" s="48"/>
      <c r="AY1015" s="48"/>
      <c r="AZ1015" s="48"/>
      <c r="BA1015" s="48"/>
      <c r="BB1015" s="48"/>
      <c r="BC1015" s="48"/>
      <c r="BD1015" s="48"/>
      <c r="BE1015" s="48"/>
      <c r="BF1015" s="52"/>
      <c r="BG1015" s="52"/>
      <c r="BH1015" s="52"/>
      <c r="BI1015" s="52"/>
      <c r="BJ1015" s="52"/>
      <c r="BK1015" s="52"/>
      <c r="BL1015" s="52"/>
      <c r="BM1015" s="54"/>
    </row>
    <row r="1016">
      <c r="A1016" s="42"/>
      <c r="B1016" s="52"/>
      <c r="C1016" s="52"/>
      <c r="D1016" s="52"/>
      <c r="E1016" s="52"/>
      <c r="F1016" s="81"/>
      <c r="G1016" s="57"/>
      <c r="H1016" s="48"/>
      <c r="I1016" s="77"/>
      <c r="J1016" s="62"/>
      <c r="K1016" s="52"/>
      <c r="L1016" s="52"/>
      <c r="M1016" s="76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  <c r="AA1016" s="62"/>
      <c r="AB1016" s="52"/>
      <c r="AC1016" s="52"/>
      <c r="AD1016" s="52"/>
      <c r="AE1016" s="52"/>
      <c r="AF1016" s="52"/>
      <c r="AG1016" s="52"/>
      <c r="AH1016" s="48"/>
      <c r="AI1016" s="48"/>
      <c r="AJ1016" s="48"/>
      <c r="AK1016" s="53"/>
      <c r="AL1016" s="53"/>
      <c r="AM1016" s="53"/>
      <c r="AN1016" s="53"/>
      <c r="AO1016" s="53"/>
      <c r="AP1016" s="53"/>
      <c r="AQ1016" s="53"/>
      <c r="AR1016" s="53"/>
      <c r="AS1016" s="53"/>
      <c r="AT1016" s="48"/>
      <c r="AU1016" s="48"/>
      <c r="AV1016" s="48"/>
      <c r="AW1016" s="48"/>
      <c r="AX1016" s="48"/>
      <c r="AY1016" s="48"/>
      <c r="AZ1016" s="48"/>
      <c r="BA1016" s="48"/>
      <c r="BB1016" s="48"/>
      <c r="BC1016" s="48"/>
      <c r="BD1016" s="48"/>
      <c r="BE1016" s="48"/>
      <c r="BF1016" s="52"/>
      <c r="BG1016" s="52"/>
      <c r="BH1016" s="52"/>
      <c r="BI1016" s="52"/>
      <c r="BJ1016" s="52"/>
      <c r="BK1016" s="52"/>
      <c r="BL1016" s="52"/>
      <c r="BM1016" s="54"/>
    </row>
    <row r="1017">
      <c r="A1017" s="42"/>
      <c r="B1017" s="52"/>
      <c r="C1017" s="52"/>
      <c r="D1017" s="52"/>
      <c r="E1017" s="52"/>
      <c r="F1017" s="81"/>
      <c r="G1017" s="57"/>
      <c r="H1017" s="48"/>
      <c r="I1017" s="77"/>
      <c r="J1017" s="62"/>
      <c r="K1017" s="52"/>
      <c r="L1017" s="52"/>
      <c r="M1017" s="76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  <c r="AA1017" s="62"/>
      <c r="AB1017" s="52"/>
      <c r="AC1017" s="52"/>
      <c r="AD1017" s="52"/>
      <c r="AE1017" s="52"/>
      <c r="AF1017" s="52"/>
      <c r="AG1017" s="52"/>
      <c r="AH1017" s="48"/>
      <c r="AI1017" s="48"/>
      <c r="AJ1017" s="48"/>
      <c r="AK1017" s="53"/>
      <c r="AL1017" s="53"/>
      <c r="AM1017" s="53"/>
      <c r="AN1017" s="53"/>
      <c r="AO1017" s="53"/>
      <c r="AP1017" s="53"/>
      <c r="AQ1017" s="53"/>
      <c r="AR1017" s="53"/>
      <c r="AS1017" s="53"/>
      <c r="AT1017" s="48"/>
      <c r="AU1017" s="48"/>
      <c r="AV1017" s="48"/>
      <c r="AW1017" s="48"/>
      <c r="AX1017" s="48"/>
      <c r="AY1017" s="48"/>
      <c r="AZ1017" s="48"/>
      <c r="BA1017" s="48"/>
      <c r="BB1017" s="48"/>
      <c r="BC1017" s="48"/>
      <c r="BD1017" s="48"/>
      <c r="BE1017" s="48"/>
      <c r="BF1017" s="52"/>
      <c r="BG1017" s="52"/>
      <c r="BH1017" s="52"/>
      <c r="BI1017" s="52"/>
      <c r="BJ1017" s="52"/>
      <c r="BK1017" s="52"/>
      <c r="BL1017" s="52"/>
      <c r="BM1017" s="54"/>
    </row>
    <row r="1018">
      <c r="A1018" s="42"/>
      <c r="B1018" s="52"/>
      <c r="C1018" s="52"/>
      <c r="D1018" s="52"/>
      <c r="E1018" s="52"/>
      <c r="F1018" s="81"/>
      <c r="G1018" s="57"/>
      <c r="H1018" s="48"/>
      <c r="I1018" s="77"/>
      <c r="J1018" s="62"/>
      <c r="K1018" s="52"/>
      <c r="L1018" s="52"/>
      <c r="M1018" s="76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  <c r="AA1018" s="62"/>
      <c r="AB1018" s="52"/>
      <c r="AC1018" s="52"/>
      <c r="AD1018" s="52"/>
      <c r="AE1018" s="52"/>
      <c r="AF1018" s="52"/>
      <c r="AG1018" s="52"/>
      <c r="AH1018" s="48"/>
      <c r="AI1018" s="48"/>
      <c r="AJ1018" s="48"/>
      <c r="AK1018" s="53"/>
      <c r="AL1018" s="53"/>
      <c r="AM1018" s="53"/>
      <c r="AN1018" s="53"/>
      <c r="AO1018" s="53"/>
      <c r="AP1018" s="53"/>
      <c r="AQ1018" s="53"/>
      <c r="AR1018" s="53"/>
      <c r="AS1018" s="53"/>
      <c r="AT1018" s="48"/>
      <c r="AU1018" s="48"/>
      <c r="AV1018" s="48"/>
      <c r="AW1018" s="48"/>
      <c r="AX1018" s="48"/>
      <c r="AY1018" s="48"/>
      <c r="AZ1018" s="48"/>
      <c r="BA1018" s="48"/>
      <c r="BB1018" s="48"/>
      <c r="BC1018" s="48"/>
      <c r="BD1018" s="48"/>
      <c r="BE1018" s="48"/>
      <c r="BF1018" s="52"/>
      <c r="BG1018" s="52"/>
      <c r="BH1018" s="52"/>
      <c r="BI1018" s="52"/>
      <c r="BJ1018" s="52"/>
      <c r="BK1018" s="52"/>
      <c r="BL1018" s="52"/>
      <c r="BM1018" s="54"/>
    </row>
    <row r="1019">
      <c r="A1019" s="42"/>
      <c r="B1019" s="52"/>
      <c r="C1019" s="52"/>
      <c r="D1019" s="52"/>
      <c r="E1019" s="52"/>
      <c r="F1019" s="81"/>
      <c r="G1019" s="57"/>
      <c r="H1019" s="48"/>
      <c r="I1019" s="77"/>
      <c r="J1019" s="62"/>
      <c r="K1019" s="52"/>
      <c r="L1019" s="52"/>
      <c r="M1019" s="76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  <c r="AA1019" s="62"/>
      <c r="AB1019" s="52"/>
      <c r="AC1019" s="52"/>
      <c r="AD1019" s="52"/>
      <c r="AE1019" s="52"/>
      <c r="AF1019" s="52"/>
      <c r="AG1019" s="52"/>
      <c r="AH1019" s="48"/>
      <c r="AI1019" s="48"/>
      <c r="AJ1019" s="48"/>
      <c r="AK1019" s="53"/>
      <c r="AL1019" s="53"/>
      <c r="AM1019" s="53"/>
      <c r="AN1019" s="53"/>
      <c r="AO1019" s="53"/>
      <c r="AP1019" s="53"/>
      <c r="AQ1019" s="53"/>
      <c r="AR1019" s="53"/>
      <c r="AS1019" s="53"/>
      <c r="AT1019" s="48"/>
      <c r="AU1019" s="48"/>
      <c r="AV1019" s="48"/>
      <c r="AW1019" s="48"/>
      <c r="AX1019" s="48"/>
      <c r="AY1019" s="48"/>
      <c r="AZ1019" s="48"/>
      <c r="BA1019" s="48"/>
      <c r="BB1019" s="48"/>
      <c r="BC1019" s="48"/>
      <c r="BD1019" s="48"/>
      <c r="BE1019" s="48"/>
      <c r="BF1019" s="52"/>
      <c r="BG1019" s="52"/>
      <c r="BH1019" s="52"/>
      <c r="BI1019" s="52"/>
      <c r="BJ1019" s="52"/>
      <c r="BK1019" s="52"/>
      <c r="BL1019" s="52"/>
      <c r="BM1019" s="54"/>
    </row>
    <row r="1020">
      <c r="A1020" s="42"/>
      <c r="B1020" s="52"/>
      <c r="C1020" s="52"/>
      <c r="D1020" s="52"/>
      <c r="E1020" s="52"/>
      <c r="F1020" s="81"/>
      <c r="G1020" s="57"/>
      <c r="H1020" s="48"/>
      <c r="I1020" s="77"/>
      <c r="J1020" s="62"/>
      <c r="K1020" s="52"/>
      <c r="L1020" s="52"/>
      <c r="M1020" s="76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  <c r="AA1020" s="62"/>
      <c r="AB1020" s="52"/>
      <c r="AC1020" s="52"/>
      <c r="AD1020" s="52"/>
      <c r="AE1020" s="52"/>
      <c r="AF1020" s="52"/>
      <c r="AG1020" s="52"/>
      <c r="AH1020" s="48"/>
      <c r="AI1020" s="48"/>
      <c r="AJ1020" s="48"/>
      <c r="AK1020" s="53"/>
      <c r="AL1020" s="53"/>
      <c r="AM1020" s="53"/>
      <c r="AN1020" s="53"/>
      <c r="AO1020" s="53"/>
      <c r="AP1020" s="53"/>
      <c r="AQ1020" s="53"/>
      <c r="AR1020" s="53"/>
      <c r="AS1020" s="53"/>
      <c r="AT1020" s="48"/>
      <c r="AU1020" s="48"/>
      <c r="AV1020" s="48"/>
      <c r="AW1020" s="48"/>
      <c r="AX1020" s="48"/>
      <c r="AY1020" s="48"/>
      <c r="AZ1020" s="48"/>
      <c r="BA1020" s="48"/>
      <c r="BB1020" s="48"/>
      <c r="BC1020" s="48"/>
      <c r="BD1020" s="48"/>
      <c r="BE1020" s="48"/>
      <c r="BF1020" s="52"/>
      <c r="BG1020" s="52"/>
      <c r="BH1020" s="52"/>
      <c r="BI1020" s="52"/>
      <c r="BJ1020" s="52"/>
      <c r="BK1020" s="52"/>
      <c r="BL1020" s="52"/>
      <c r="BM1020" s="54"/>
    </row>
    <row r="1021">
      <c r="A1021" s="42"/>
      <c r="B1021" s="52"/>
      <c r="C1021" s="52"/>
      <c r="D1021" s="52"/>
      <c r="E1021" s="52"/>
      <c r="F1021" s="81"/>
      <c r="G1021" s="57"/>
      <c r="H1021" s="48"/>
      <c r="I1021" s="77"/>
      <c r="J1021" s="62"/>
      <c r="K1021" s="52"/>
      <c r="L1021" s="52"/>
      <c r="M1021" s="76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52"/>
      <c r="AA1021" s="62"/>
      <c r="AB1021" s="52"/>
      <c r="AC1021" s="52"/>
      <c r="AD1021" s="52"/>
      <c r="AE1021" s="52"/>
      <c r="AF1021" s="52"/>
      <c r="AG1021" s="52"/>
      <c r="AH1021" s="48"/>
      <c r="AI1021" s="48"/>
      <c r="AJ1021" s="48"/>
      <c r="AK1021" s="53"/>
      <c r="AL1021" s="53"/>
      <c r="AM1021" s="53"/>
      <c r="AN1021" s="53"/>
      <c r="AO1021" s="53"/>
      <c r="AP1021" s="53"/>
      <c r="AQ1021" s="53"/>
      <c r="AR1021" s="53"/>
      <c r="AS1021" s="53"/>
      <c r="AT1021" s="48"/>
      <c r="AU1021" s="48"/>
      <c r="AV1021" s="48"/>
      <c r="AW1021" s="48"/>
      <c r="AX1021" s="48"/>
      <c r="AY1021" s="48"/>
      <c r="AZ1021" s="48"/>
      <c r="BA1021" s="48"/>
      <c r="BB1021" s="48"/>
      <c r="BC1021" s="48"/>
      <c r="BD1021" s="48"/>
      <c r="BE1021" s="48"/>
      <c r="BF1021" s="52"/>
      <c r="BG1021" s="52"/>
      <c r="BH1021" s="52"/>
      <c r="BI1021" s="52"/>
      <c r="BJ1021" s="52"/>
      <c r="BK1021" s="52"/>
      <c r="BL1021" s="52"/>
      <c r="BM1021" s="54"/>
    </row>
    <row r="1022">
      <c r="A1022" s="42"/>
      <c r="B1022" s="52"/>
      <c r="C1022" s="52"/>
      <c r="D1022" s="52"/>
      <c r="E1022" s="52"/>
      <c r="F1022" s="81"/>
      <c r="G1022" s="57"/>
      <c r="H1022" s="48"/>
      <c r="I1022" s="77"/>
      <c r="J1022" s="62"/>
      <c r="K1022" s="52"/>
      <c r="L1022" s="52"/>
      <c r="M1022" s="76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52"/>
      <c r="AA1022" s="62"/>
      <c r="AB1022" s="52"/>
      <c r="AC1022" s="52"/>
      <c r="AD1022" s="52"/>
      <c r="AE1022" s="52"/>
      <c r="AF1022" s="52"/>
      <c r="AG1022" s="52"/>
      <c r="AH1022" s="48"/>
      <c r="AI1022" s="48"/>
      <c r="AJ1022" s="48"/>
      <c r="AK1022" s="53"/>
      <c r="AL1022" s="53"/>
      <c r="AM1022" s="53"/>
      <c r="AN1022" s="53"/>
      <c r="AO1022" s="53"/>
      <c r="AP1022" s="53"/>
      <c r="AQ1022" s="53"/>
      <c r="AR1022" s="53"/>
      <c r="AS1022" s="53"/>
      <c r="AT1022" s="48"/>
      <c r="AU1022" s="48"/>
      <c r="AV1022" s="48"/>
      <c r="AW1022" s="48"/>
      <c r="AX1022" s="48"/>
      <c r="AY1022" s="48"/>
      <c r="AZ1022" s="48"/>
      <c r="BA1022" s="48"/>
      <c r="BB1022" s="48"/>
      <c r="BC1022" s="48"/>
      <c r="BD1022" s="48"/>
      <c r="BE1022" s="48"/>
      <c r="BF1022" s="52"/>
      <c r="BG1022" s="52"/>
      <c r="BH1022" s="52"/>
      <c r="BI1022" s="52"/>
      <c r="BJ1022" s="52"/>
      <c r="BK1022" s="52"/>
      <c r="BL1022" s="52"/>
      <c r="BM1022" s="54"/>
    </row>
    <row r="1023">
      <c r="A1023" s="42"/>
      <c r="B1023" s="52"/>
      <c r="C1023" s="52"/>
      <c r="D1023" s="52"/>
      <c r="E1023" s="52"/>
      <c r="F1023" s="81"/>
      <c r="G1023" s="57"/>
      <c r="H1023" s="48"/>
      <c r="I1023" s="77"/>
      <c r="J1023" s="62"/>
      <c r="K1023" s="52"/>
      <c r="L1023" s="52"/>
      <c r="M1023" s="76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  <c r="AA1023" s="62"/>
      <c r="AB1023" s="52"/>
      <c r="AC1023" s="52"/>
      <c r="AD1023" s="52"/>
      <c r="AE1023" s="52"/>
      <c r="AF1023" s="52"/>
      <c r="AG1023" s="52"/>
      <c r="AH1023" s="48"/>
      <c r="AI1023" s="48"/>
      <c r="AJ1023" s="48"/>
      <c r="AK1023" s="53"/>
      <c r="AL1023" s="53"/>
      <c r="AM1023" s="53"/>
      <c r="AN1023" s="53"/>
      <c r="AO1023" s="53"/>
      <c r="AP1023" s="53"/>
      <c r="AQ1023" s="53"/>
      <c r="AR1023" s="53"/>
      <c r="AS1023" s="53"/>
      <c r="AT1023" s="48"/>
      <c r="AU1023" s="48"/>
      <c r="AV1023" s="48"/>
      <c r="AW1023" s="48"/>
      <c r="AX1023" s="48"/>
      <c r="AY1023" s="48"/>
      <c r="AZ1023" s="48"/>
      <c r="BA1023" s="48"/>
      <c r="BB1023" s="48"/>
      <c r="BC1023" s="48"/>
      <c r="BD1023" s="48"/>
      <c r="BE1023" s="48"/>
      <c r="BF1023" s="52"/>
      <c r="BG1023" s="52"/>
      <c r="BH1023" s="52"/>
      <c r="BI1023" s="52"/>
      <c r="BJ1023" s="52"/>
      <c r="BK1023" s="52"/>
      <c r="BL1023" s="52"/>
      <c r="BM1023" s="54"/>
    </row>
    <row r="1024">
      <c r="A1024" s="42"/>
      <c r="B1024" s="52"/>
      <c r="C1024" s="52"/>
      <c r="D1024" s="52"/>
      <c r="E1024" s="52"/>
      <c r="F1024" s="81"/>
      <c r="G1024" s="57"/>
      <c r="H1024" s="48"/>
      <c r="I1024" s="77"/>
      <c r="J1024" s="62"/>
      <c r="K1024" s="52"/>
      <c r="L1024" s="52"/>
      <c r="M1024" s="76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52"/>
      <c r="AA1024" s="62"/>
      <c r="AB1024" s="52"/>
      <c r="AC1024" s="52"/>
      <c r="AD1024" s="52"/>
      <c r="AE1024" s="52"/>
      <c r="AF1024" s="52"/>
      <c r="AG1024" s="52"/>
      <c r="AH1024" s="48"/>
      <c r="AI1024" s="48"/>
      <c r="AJ1024" s="48"/>
      <c r="AK1024" s="53"/>
      <c r="AL1024" s="53"/>
      <c r="AM1024" s="53"/>
      <c r="AN1024" s="53"/>
      <c r="AO1024" s="53"/>
      <c r="AP1024" s="53"/>
      <c r="AQ1024" s="53"/>
      <c r="AR1024" s="53"/>
      <c r="AS1024" s="53"/>
      <c r="AT1024" s="48"/>
      <c r="AU1024" s="48"/>
      <c r="AV1024" s="48"/>
      <c r="AW1024" s="48"/>
      <c r="AX1024" s="48"/>
      <c r="AY1024" s="48"/>
      <c r="AZ1024" s="48"/>
      <c r="BA1024" s="48"/>
      <c r="BB1024" s="48"/>
      <c r="BC1024" s="48"/>
      <c r="BD1024" s="48"/>
      <c r="BE1024" s="48"/>
      <c r="BF1024" s="52"/>
      <c r="BG1024" s="52"/>
      <c r="BH1024" s="52"/>
      <c r="BI1024" s="52"/>
      <c r="BJ1024" s="52"/>
      <c r="BK1024" s="52"/>
      <c r="BL1024" s="52"/>
      <c r="BM1024" s="54"/>
    </row>
    <row r="1025">
      <c r="A1025" s="42"/>
      <c r="B1025" s="52"/>
      <c r="C1025" s="52"/>
      <c r="D1025" s="52"/>
      <c r="E1025" s="52"/>
      <c r="F1025" s="81"/>
      <c r="G1025" s="57"/>
      <c r="H1025" s="48"/>
      <c r="I1025" s="77"/>
      <c r="J1025" s="62"/>
      <c r="K1025" s="52"/>
      <c r="L1025" s="52"/>
      <c r="M1025" s="76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52"/>
      <c r="AA1025" s="62"/>
      <c r="AB1025" s="52"/>
      <c r="AC1025" s="52"/>
      <c r="AD1025" s="52"/>
      <c r="AE1025" s="52"/>
      <c r="AF1025" s="52"/>
      <c r="AG1025" s="52"/>
      <c r="AH1025" s="48"/>
      <c r="AI1025" s="48"/>
      <c r="AJ1025" s="48"/>
      <c r="AK1025" s="53"/>
      <c r="AL1025" s="53"/>
      <c r="AM1025" s="53"/>
      <c r="AN1025" s="53"/>
      <c r="AO1025" s="53"/>
      <c r="AP1025" s="53"/>
      <c r="AQ1025" s="53"/>
      <c r="AR1025" s="53"/>
      <c r="AS1025" s="53"/>
      <c r="AT1025" s="48"/>
      <c r="AU1025" s="48"/>
      <c r="AV1025" s="48"/>
      <c r="AW1025" s="48"/>
      <c r="AX1025" s="48"/>
      <c r="AY1025" s="48"/>
      <c r="AZ1025" s="48"/>
      <c r="BA1025" s="48"/>
      <c r="BB1025" s="48"/>
      <c r="BC1025" s="48"/>
      <c r="BD1025" s="48"/>
      <c r="BE1025" s="48"/>
      <c r="BF1025" s="52"/>
      <c r="BG1025" s="52"/>
      <c r="BH1025" s="52"/>
      <c r="BI1025" s="52"/>
      <c r="BJ1025" s="52"/>
      <c r="BK1025" s="52"/>
      <c r="BL1025" s="52"/>
      <c r="BM1025" s="54"/>
    </row>
    <row r="1026">
      <c r="A1026" s="42"/>
      <c r="B1026" s="52"/>
      <c r="C1026" s="52"/>
      <c r="D1026" s="52"/>
      <c r="E1026" s="52"/>
      <c r="F1026" s="81"/>
      <c r="G1026" s="57"/>
      <c r="H1026" s="48"/>
      <c r="I1026" s="77"/>
      <c r="J1026" s="62"/>
      <c r="K1026" s="52"/>
      <c r="L1026" s="52"/>
      <c r="M1026" s="76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52"/>
      <c r="AA1026" s="62"/>
      <c r="AB1026" s="52"/>
      <c r="AC1026" s="52"/>
      <c r="AD1026" s="52"/>
      <c r="AE1026" s="52"/>
      <c r="AF1026" s="52"/>
      <c r="AG1026" s="52"/>
      <c r="AH1026" s="48"/>
      <c r="AI1026" s="48"/>
      <c r="AJ1026" s="48"/>
      <c r="AK1026" s="53"/>
      <c r="AL1026" s="53"/>
      <c r="AM1026" s="53"/>
      <c r="AN1026" s="53"/>
      <c r="AO1026" s="53"/>
      <c r="AP1026" s="53"/>
      <c r="AQ1026" s="53"/>
      <c r="AR1026" s="53"/>
      <c r="AS1026" s="53"/>
      <c r="AT1026" s="48"/>
      <c r="AU1026" s="48"/>
      <c r="AV1026" s="48"/>
      <c r="AW1026" s="48"/>
      <c r="AX1026" s="48"/>
      <c r="AY1026" s="48"/>
      <c r="AZ1026" s="48"/>
      <c r="BA1026" s="48"/>
      <c r="BB1026" s="48"/>
      <c r="BC1026" s="48"/>
      <c r="BD1026" s="48"/>
      <c r="BE1026" s="48"/>
      <c r="BF1026" s="52"/>
      <c r="BG1026" s="52"/>
      <c r="BH1026" s="52"/>
      <c r="BI1026" s="52"/>
      <c r="BJ1026" s="52"/>
      <c r="BK1026" s="52"/>
      <c r="BL1026" s="52"/>
      <c r="BM1026" s="54"/>
    </row>
    <row r="1027">
      <c r="A1027" s="42"/>
      <c r="B1027" s="52"/>
      <c r="C1027" s="52"/>
      <c r="D1027" s="52"/>
      <c r="E1027" s="52"/>
      <c r="F1027" s="81"/>
      <c r="G1027" s="57"/>
      <c r="H1027" s="48"/>
      <c r="I1027" s="77"/>
      <c r="J1027" s="62"/>
      <c r="K1027" s="52"/>
      <c r="L1027" s="52"/>
      <c r="M1027" s="76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  <c r="AA1027" s="62"/>
      <c r="AB1027" s="52"/>
      <c r="AC1027" s="52"/>
      <c r="AD1027" s="52"/>
      <c r="AE1027" s="52"/>
      <c r="AF1027" s="52"/>
      <c r="AG1027" s="52"/>
      <c r="AH1027" s="48"/>
      <c r="AI1027" s="48"/>
      <c r="AJ1027" s="48"/>
      <c r="AK1027" s="53"/>
      <c r="AL1027" s="53"/>
      <c r="AM1027" s="53"/>
      <c r="AN1027" s="53"/>
      <c r="AO1027" s="53"/>
      <c r="AP1027" s="53"/>
      <c r="AQ1027" s="53"/>
      <c r="AR1027" s="53"/>
      <c r="AS1027" s="53"/>
      <c r="AT1027" s="48"/>
      <c r="AU1027" s="48"/>
      <c r="AV1027" s="48"/>
      <c r="AW1027" s="48"/>
      <c r="AX1027" s="48"/>
      <c r="AY1027" s="48"/>
      <c r="AZ1027" s="48"/>
      <c r="BA1027" s="48"/>
      <c r="BB1027" s="48"/>
      <c r="BC1027" s="48"/>
      <c r="BD1027" s="48"/>
      <c r="BE1027" s="48"/>
      <c r="BF1027" s="52"/>
      <c r="BG1027" s="52"/>
      <c r="BH1027" s="52"/>
      <c r="BI1027" s="52"/>
      <c r="BJ1027" s="52"/>
      <c r="BK1027" s="52"/>
      <c r="BL1027" s="52"/>
      <c r="BM1027" s="54"/>
    </row>
    <row r="1028">
      <c r="A1028" s="42"/>
      <c r="B1028" s="52"/>
      <c r="C1028" s="52"/>
      <c r="D1028" s="52"/>
      <c r="E1028" s="52"/>
      <c r="F1028" s="81"/>
      <c r="G1028" s="57"/>
      <c r="H1028" s="48"/>
      <c r="I1028" s="77"/>
      <c r="J1028" s="62"/>
      <c r="K1028" s="52"/>
      <c r="L1028" s="52"/>
      <c r="M1028" s="76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52"/>
      <c r="AA1028" s="62"/>
      <c r="AB1028" s="52"/>
      <c r="AC1028" s="52"/>
      <c r="AD1028" s="52"/>
      <c r="AE1028" s="52"/>
      <c r="AF1028" s="52"/>
      <c r="AG1028" s="52"/>
      <c r="AH1028" s="48"/>
      <c r="AI1028" s="48"/>
      <c r="AJ1028" s="48"/>
      <c r="AK1028" s="53"/>
      <c r="AL1028" s="53"/>
      <c r="AM1028" s="53"/>
      <c r="AN1028" s="53"/>
      <c r="AO1028" s="53"/>
      <c r="AP1028" s="53"/>
      <c r="AQ1028" s="53"/>
      <c r="AR1028" s="53"/>
      <c r="AS1028" s="53"/>
      <c r="AT1028" s="48"/>
      <c r="AU1028" s="48"/>
      <c r="AV1028" s="48"/>
      <c r="AW1028" s="48"/>
      <c r="AX1028" s="48"/>
      <c r="AY1028" s="48"/>
      <c r="AZ1028" s="48"/>
      <c r="BA1028" s="48"/>
      <c r="BB1028" s="48"/>
      <c r="BC1028" s="48"/>
      <c r="BD1028" s="48"/>
      <c r="BE1028" s="48"/>
      <c r="BF1028" s="52"/>
      <c r="BG1028" s="52"/>
      <c r="BH1028" s="52"/>
      <c r="BI1028" s="52"/>
      <c r="BJ1028" s="52"/>
      <c r="BK1028" s="52"/>
      <c r="BL1028" s="52"/>
      <c r="BM1028" s="54"/>
    </row>
    <row r="1029">
      <c r="A1029" s="42"/>
      <c r="B1029" s="52"/>
      <c r="C1029" s="52"/>
      <c r="D1029" s="52"/>
      <c r="E1029" s="52"/>
      <c r="F1029" s="81"/>
      <c r="G1029" s="57"/>
      <c r="H1029" s="48"/>
      <c r="I1029" s="77"/>
      <c r="J1029" s="62"/>
      <c r="K1029" s="52"/>
      <c r="L1029" s="52"/>
      <c r="M1029" s="76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52"/>
      <c r="AA1029" s="62"/>
      <c r="AB1029" s="52"/>
      <c r="AC1029" s="52"/>
      <c r="AD1029" s="52"/>
      <c r="AE1029" s="52"/>
      <c r="AF1029" s="52"/>
      <c r="AG1029" s="52"/>
      <c r="AH1029" s="48"/>
      <c r="AI1029" s="48"/>
      <c r="AJ1029" s="48"/>
      <c r="AK1029" s="53"/>
      <c r="AL1029" s="53"/>
      <c r="AM1029" s="53"/>
      <c r="AN1029" s="53"/>
      <c r="AO1029" s="53"/>
      <c r="AP1029" s="53"/>
      <c r="AQ1029" s="53"/>
      <c r="AR1029" s="53"/>
      <c r="AS1029" s="53"/>
      <c r="AT1029" s="48"/>
      <c r="AU1029" s="48"/>
      <c r="AV1029" s="48"/>
      <c r="AW1029" s="48"/>
      <c r="AX1029" s="48"/>
      <c r="AY1029" s="48"/>
      <c r="AZ1029" s="48"/>
      <c r="BA1029" s="48"/>
      <c r="BB1029" s="48"/>
      <c r="BC1029" s="48"/>
      <c r="BD1029" s="48"/>
      <c r="BE1029" s="48"/>
      <c r="BF1029" s="52"/>
      <c r="BG1029" s="52"/>
      <c r="BH1029" s="52"/>
      <c r="BI1029" s="52"/>
      <c r="BJ1029" s="52"/>
      <c r="BK1029" s="52"/>
      <c r="BL1029" s="52"/>
      <c r="BM1029" s="54"/>
    </row>
    <row r="1030">
      <c r="A1030" s="42"/>
      <c r="B1030" s="52"/>
      <c r="C1030" s="52"/>
      <c r="D1030" s="52"/>
      <c r="E1030" s="52"/>
      <c r="F1030" s="81"/>
      <c r="G1030" s="57"/>
      <c r="H1030" s="48"/>
      <c r="I1030" s="77"/>
      <c r="J1030" s="62"/>
      <c r="K1030" s="52"/>
      <c r="L1030" s="52"/>
      <c r="M1030" s="76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52"/>
      <c r="AA1030" s="62"/>
      <c r="AB1030" s="52"/>
      <c r="AC1030" s="52"/>
      <c r="AD1030" s="52"/>
      <c r="AE1030" s="52"/>
      <c r="AF1030" s="52"/>
      <c r="AG1030" s="52"/>
      <c r="AH1030" s="48"/>
      <c r="AI1030" s="48"/>
      <c r="AJ1030" s="48"/>
      <c r="AK1030" s="53"/>
      <c r="AL1030" s="53"/>
      <c r="AM1030" s="53"/>
      <c r="AN1030" s="53"/>
      <c r="AO1030" s="53"/>
      <c r="AP1030" s="53"/>
      <c r="AQ1030" s="53"/>
      <c r="AR1030" s="53"/>
      <c r="AS1030" s="53"/>
      <c r="AT1030" s="48"/>
      <c r="AU1030" s="48"/>
      <c r="AV1030" s="48"/>
      <c r="AW1030" s="48"/>
      <c r="AX1030" s="48"/>
      <c r="AY1030" s="48"/>
      <c r="AZ1030" s="48"/>
      <c r="BA1030" s="48"/>
      <c r="BB1030" s="48"/>
      <c r="BC1030" s="48"/>
      <c r="BD1030" s="48"/>
      <c r="BE1030" s="48"/>
      <c r="BF1030" s="52"/>
      <c r="BG1030" s="52"/>
      <c r="BH1030" s="52"/>
      <c r="BI1030" s="52"/>
      <c r="BJ1030" s="52"/>
      <c r="BK1030" s="52"/>
      <c r="BL1030" s="52"/>
      <c r="BM1030" s="54"/>
    </row>
    <row r="1031">
      <c r="A1031" s="42"/>
      <c r="B1031" s="52"/>
      <c r="C1031" s="52"/>
      <c r="D1031" s="52"/>
      <c r="E1031" s="52"/>
      <c r="F1031" s="81"/>
      <c r="G1031" s="57"/>
      <c r="H1031" s="48"/>
      <c r="I1031" s="77"/>
      <c r="J1031" s="62"/>
      <c r="K1031" s="52"/>
      <c r="L1031" s="52"/>
      <c r="M1031" s="76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  <c r="AA1031" s="62"/>
      <c r="AB1031" s="52"/>
      <c r="AC1031" s="52"/>
      <c r="AD1031" s="52"/>
      <c r="AE1031" s="52"/>
      <c r="AF1031" s="52"/>
      <c r="AG1031" s="52"/>
      <c r="AH1031" s="48"/>
      <c r="AI1031" s="48"/>
      <c r="AJ1031" s="48"/>
      <c r="AK1031" s="53"/>
      <c r="AL1031" s="53"/>
      <c r="AM1031" s="53"/>
      <c r="AN1031" s="53"/>
      <c r="AO1031" s="53"/>
      <c r="AP1031" s="53"/>
      <c r="AQ1031" s="53"/>
      <c r="AR1031" s="53"/>
      <c r="AS1031" s="53"/>
      <c r="AT1031" s="48"/>
      <c r="AU1031" s="48"/>
      <c r="AV1031" s="48"/>
      <c r="AW1031" s="48"/>
      <c r="AX1031" s="48"/>
      <c r="AY1031" s="48"/>
      <c r="AZ1031" s="48"/>
      <c r="BA1031" s="48"/>
      <c r="BB1031" s="48"/>
      <c r="BC1031" s="48"/>
      <c r="BD1031" s="48"/>
      <c r="BE1031" s="48"/>
      <c r="BF1031" s="52"/>
      <c r="BG1031" s="52"/>
      <c r="BH1031" s="52"/>
      <c r="BI1031" s="52"/>
      <c r="BJ1031" s="52"/>
      <c r="BK1031" s="52"/>
      <c r="BL1031" s="52"/>
      <c r="BM1031" s="54"/>
    </row>
    <row r="1032">
      <c r="A1032" s="42"/>
      <c r="B1032" s="52"/>
      <c r="C1032" s="52"/>
      <c r="D1032" s="52"/>
      <c r="E1032" s="52"/>
      <c r="F1032" s="81"/>
      <c r="G1032" s="57"/>
      <c r="H1032" s="48"/>
      <c r="I1032" s="77"/>
      <c r="J1032" s="62"/>
      <c r="K1032" s="52"/>
      <c r="L1032" s="52"/>
      <c r="M1032" s="76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52"/>
      <c r="AA1032" s="62"/>
      <c r="AB1032" s="52"/>
      <c r="AC1032" s="52"/>
      <c r="AD1032" s="52"/>
      <c r="AE1032" s="52"/>
      <c r="AF1032" s="52"/>
      <c r="AG1032" s="52"/>
      <c r="AH1032" s="48"/>
      <c r="AI1032" s="48"/>
      <c r="AJ1032" s="48"/>
      <c r="AK1032" s="53"/>
      <c r="AL1032" s="53"/>
      <c r="AM1032" s="53"/>
      <c r="AN1032" s="53"/>
      <c r="AO1032" s="53"/>
      <c r="AP1032" s="53"/>
      <c r="AQ1032" s="53"/>
      <c r="AR1032" s="53"/>
      <c r="AS1032" s="53"/>
      <c r="AT1032" s="48"/>
      <c r="AU1032" s="48"/>
      <c r="AV1032" s="48"/>
      <c r="AW1032" s="48"/>
      <c r="AX1032" s="48"/>
      <c r="AY1032" s="48"/>
      <c r="AZ1032" s="48"/>
      <c r="BA1032" s="48"/>
      <c r="BB1032" s="48"/>
      <c r="BC1032" s="48"/>
      <c r="BD1032" s="48"/>
      <c r="BE1032" s="48"/>
      <c r="BF1032" s="52"/>
      <c r="BG1032" s="52"/>
      <c r="BH1032" s="52"/>
      <c r="BI1032" s="52"/>
      <c r="BJ1032" s="52"/>
      <c r="BK1032" s="52"/>
      <c r="BL1032" s="52"/>
      <c r="BM1032" s="54"/>
    </row>
    <row r="1033">
      <c r="A1033" s="42"/>
      <c r="B1033" s="52"/>
      <c r="C1033" s="52"/>
      <c r="D1033" s="52"/>
      <c r="E1033" s="52"/>
      <c r="F1033" s="81"/>
      <c r="G1033" s="57"/>
      <c r="H1033" s="48"/>
      <c r="I1033" s="77"/>
      <c r="J1033" s="62"/>
      <c r="K1033" s="52"/>
      <c r="L1033" s="52"/>
      <c r="M1033" s="76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52"/>
      <c r="AA1033" s="62"/>
      <c r="AB1033" s="52"/>
      <c r="AC1033" s="52"/>
      <c r="AD1033" s="52"/>
      <c r="AE1033" s="52"/>
      <c r="AF1033" s="52"/>
      <c r="AG1033" s="52"/>
      <c r="AH1033" s="48"/>
      <c r="AI1033" s="48"/>
      <c r="AJ1033" s="48"/>
      <c r="AK1033" s="53"/>
      <c r="AL1033" s="53"/>
      <c r="AM1033" s="53"/>
      <c r="AN1033" s="53"/>
      <c r="AO1033" s="53"/>
      <c r="AP1033" s="53"/>
      <c r="AQ1033" s="53"/>
      <c r="AR1033" s="53"/>
      <c r="AS1033" s="53"/>
      <c r="AT1033" s="48"/>
      <c r="AU1033" s="48"/>
      <c r="AV1033" s="48"/>
      <c r="AW1033" s="48"/>
      <c r="AX1033" s="48"/>
      <c r="AY1033" s="48"/>
      <c r="AZ1033" s="48"/>
      <c r="BA1033" s="48"/>
      <c r="BB1033" s="48"/>
      <c r="BC1033" s="48"/>
      <c r="BD1033" s="48"/>
      <c r="BE1033" s="48"/>
      <c r="BF1033" s="52"/>
      <c r="BG1033" s="52"/>
      <c r="BH1033" s="52"/>
      <c r="BI1033" s="52"/>
      <c r="BJ1033" s="52"/>
      <c r="BK1033" s="52"/>
      <c r="BL1033" s="52"/>
      <c r="BM1033" s="54"/>
    </row>
    <row r="1034">
      <c r="A1034" s="42"/>
      <c r="B1034" s="52"/>
      <c r="C1034" s="52"/>
      <c r="D1034" s="52"/>
      <c r="E1034" s="52"/>
      <c r="F1034" s="81"/>
      <c r="G1034" s="57"/>
      <c r="H1034" s="48"/>
      <c r="I1034" s="77"/>
      <c r="J1034" s="62"/>
      <c r="K1034" s="52"/>
      <c r="L1034" s="52"/>
      <c r="M1034" s="76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52"/>
      <c r="AA1034" s="62"/>
      <c r="AB1034" s="52"/>
      <c r="AC1034" s="52"/>
      <c r="AD1034" s="52"/>
      <c r="AE1034" s="52"/>
      <c r="AF1034" s="52"/>
      <c r="AG1034" s="52"/>
      <c r="AH1034" s="48"/>
      <c r="AI1034" s="48"/>
      <c r="AJ1034" s="48"/>
      <c r="AK1034" s="53"/>
      <c r="AL1034" s="53"/>
      <c r="AM1034" s="53"/>
      <c r="AN1034" s="53"/>
      <c r="AO1034" s="53"/>
      <c r="AP1034" s="53"/>
      <c r="AQ1034" s="53"/>
      <c r="AR1034" s="53"/>
      <c r="AS1034" s="53"/>
      <c r="AT1034" s="48"/>
      <c r="AU1034" s="48"/>
      <c r="AV1034" s="48"/>
      <c r="AW1034" s="48"/>
      <c r="AX1034" s="48"/>
      <c r="AY1034" s="48"/>
      <c r="AZ1034" s="48"/>
      <c r="BA1034" s="48"/>
      <c r="BB1034" s="48"/>
      <c r="BC1034" s="48"/>
      <c r="BD1034" s="48"/>
      <c r="BE1034" s="48"/>
      <c r="BF1034" s="52"/>
      <c r="BG1034" s="52"/>
      <c r="BH1034" s="52"/>
      <c r="BI1034" s="52"/>
      <c r="BJ1034" s="52"/>
      <c r="BK1034" s="52"/>
      <c r="BL1034" s="52"/>
      <c r="BM1034" s="54"/>
    </row>
    <row r="1035">
      <c r="A1035" s="42"/>
      <c r="B1035" s="52"/>
      <c r="C1035" s="52"/>
      <c r="D1035" s="52"/>
      <c r="E1035" s="52"/>
      <c r="F1035" s="81"/>
      <c r="G1035" s="57"/>
      <c r="H1035" s="48"/>
      <c r="I1035" s="77"/>
      <c r="J1035" s="62"/>
      <c r="K1035" s="52"/>
      <c r="L1035" s="52"/>
      <c r="M1035" s="76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52"/>
      <c r="AA1035" s="62"/>
      <c r="AB1035" s="52"/>
      <c r="AC1035" s="52"/>
      <c r="AD1035" s="52"/>
      <c r="AE1035" s="52"/>
      <c r="AF1035" s="52"/>
      <c r="AG1035" s="52"/>
      <c r="AH1035" s="48"/>
      <c r="AI1035" s="48"/>
      <c r="AJ1035" s="48"/>
      <c r="AK1035" s="53"/>
      <c r="AL1035" s="53"/>
      <c r="AM1035" s="53"/>
      <c r="AN1035" s="53"/>
      <c r="AO1035" s="53"/>
      <c r="AP1035" s="53"/>
      <c r="AQ1035" s="53"/>
      <c r="AR1035" s="53"/>
      <c r="AS1035" s="53"/>
      <c r="AT1035" s="48"/>
      <c r="AU1035" s="48"/>
      <c r="AV1035" s="48"/>
      <c r="AW1035" s="48"/>
      <c r="AX1035" s="48"/>
      <c r="AY1035" s="48"/>
      <c r="AZ1035" s="48"/>
      <c r="BA1035" s="48"/>
      <c r="BB1035" s="48"/>
      <c r="BC1035" s="48"/>
      <c r="BD1035" s="48"/>
      <c r="BE1035" s="48"/>
      <c r="BF1035" s="52"/>
      <c r="BG1035" s="52"/>
      <c r="BH1035" s="52"/>
      <c r="BI1035" s="52"/>
      <c r="BJ1035" s="52"/>
      <c r="BK1035" s="52"/>
      <c r="BL1035" s="52"/>
      <c r="BM1035" s="54"/>
    </row>
    <row r="1036">
      <c r="A1036" s="42"/>
      <c r="B1036" s="52"/>
      <c r="C1036" s="52"/>
      <c r="D1036" s="52"/>
      <c r="E1036" s="52"/>
      <c r="F1036" s="81"/>
      <c r="G1036" s="57"/>
      <c r="H1036" s="48"/>
      <c r="I1036" s="77"/>
      <c r="J1036" s="62"/>
      <c r="K1036" s="52"/>
      <c r="L1036" s="52"/>
      <c r="M1036" s="76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52"/>
      <c r="AA1036" s="62"/>
      <c r="AB1036" s="52"/>
      <c r="AC1036" s="52"/>
      <c r="AD1036" s="52"/>
      <c r="AE1036" s="52"/>
      <c r="AF1036" s="52"/>
      <c r="AG1036" s="52"/>
      <c r="AH1036" s="48"/>
      <c r="AI1036" s="48"/>
      <c r="AJ1036" s="48"/>
      <c r="AK1036" s="53"/>
      <c r="AL1036" s="53"/>
      <c r="AM1036" s="53"/>
      <c r="AN1036" s="53"/>
      <c r="AO1036" s="53"/>
      <c r="AP1036" s="53"/>
      <c r="AQ1036" s="53"/>
      <c r="AR1036" s="53"/>
      <c r="AS1036" s="53"/>
      <c r="AT1036" s="48"/>
      <c r="AU1036" s="48"/>
      <c r="AV1036" s="48"/>
      <c r="AW1036" s="48"/>
      <c r="AX1036" s="48"/>
      <c r="AY1036" s="48"/>
      <c r="AZ1036" s="48"/>
      <c r="BA1036" s="48"/>
      <c r="BB1036" s="48"/>
      <c r="BC1036" s="48"/>
      <c r="BD1036" s="48"/>
      <c r="BE1036" s="48"/>
      <c r="BF1036" s="52"/>
      <c r="BG1036" s="52"/>
      <c r="BH1036" s="52"/>
      <c r="BI1036" s="52"/>
      <c r="BJ1036" s="52"/>
      <c r="BK1036" s="52"/>
      <c r="BL1036" s="52"/>
      <c r="BM1036" s="54"/>
    </row>
    <row r="1037">
      <c r="A1037" s="42"/>
      <c r="B1037" s="52"/>
      <c r="C1037" s="52"/>
      <c r="D1037" s="52"/>
      <c r="E1037" s="52"/>
      <c r="F1037" s="81"/>
      <c r="G1037" s="57"/>
      <c r="H1037" s="48"/>
      <c r="I1037" s="77"/>
      <c r="J1037" s="62"/>
      <c r="K1037" s="52"/>
      <c r="L1037" s="52"/>
      <c r="M1037" s="76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52"/>
      <c r="AA1037" s="62"/>
      <c r="AB1037" s="52"/>
      <c r="AC1037" s="52"/>
      <c r="AD1037" s="52"/>
      <c r="AE1037" s="52"/>
      <c r="AF1037" s="52"/>
      <c r="AG1037" s="52"/>
      <c r="AH1037" s="48"/>
      <c r="AI1037" s="48"/>
      <c r="AJ1037" s="48"/>
      <c r="AK1037" s="53"/>
      <c r="AL1037" s="53"/>
      <c r="AM1037" s="53"/>
      <c r="AN1037" s="53"/>
      <c r="AO1037" s="53"/>
      <c r="AP1037" s="53"/>
      <c r="AQ1037" s="53"/>
      <c r="AR1037" s="53"/>
      <c r="AS1037" s="53"/>
      <c r="AT1037" s="48"/>
      <c r="AU1037" s="48"/>
      <c r="AV1037" s="48"/>
      <c r="AW1037" s="48"/>
      <c r="AX1037" s="48"/>
      <c r="AY1037" s="48"/>
      <c r="AZ1037" s="48"/>
      <c r="BA1037" s="48"/>
      <c r="BB1037" s="48"/>
      <c r="BC1037" s="48"/>
      <c r="BD1037" s="48"/>
      <c r="BE1037" s="48"/>
      <c r="BF1037" s="52"/>
      <c r="BG1037" s="52"/>
      <c r="BH1037" s="52"/>
      <c r="BI1037" s="52"/>
      <c r="BJ1037" s="52"/>
      <c r="BK1037" s="52"/>
      <c r="BL1037" s="52"/>
      <c r="BM1037" s="54"/>
    </row>
    <row r="1038">
      <c r="A1038" s="42"/>
      <c r="B1038" s="52"/>
      <c r="C1038" s="52"/>
      <c r="D1038" s="52"/>
      <c r="E1038" s="52"/>
      <c r="F1038" s="81"/>
      <c r="G1038" s="57"/>
      <c r="H1038" s="48"/>
      <c r="I1038" s="77"/>
      <c r="J1038" s="62"/>
      <c r="K1038" s="52"/>
      <c r="L1038" s="52"/>
      <c r="M1038" s="76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  <c r="AA1038" s="62"/>
      <c r="AB1038" s="52"/>
      <c r="AC1038" s="52"/>
      <c r="AD1038" s="52"/>
      <c r="AE1038" s="52"/>
      <c r="AF1038" s="52"/>
      <c r="AG1038" s="52"/>
      <c r="AH1038" s="48"/>
      <c r="AI1038" s="48"/>
      <c r="AJ1038" s="48"/>
      <c r="AK1038" s="53"/>
      <c r="AL1038" s="53"/>
      <c r="AM1038" s="53"/>
      <c r="AN1038" s="53"/>
      <c r="AO1038" s="53"/>
      <c r="AP1038" s="53"/>
      <c r="AQ1038" s="53"/>
      <c r="AR1038" s="53"/>
      <c r="AS1038" s="53"/>
      <c r="AT1038" s="48"/>
      <c r="AU1038" s="48"/>
      <c r="AV1038" s="48"/>
      <c r="AW1038" s="48"/>
      <c r="AX1038" s="48"/>
      <c r="AY1038" s="48"/>
      <c r="AZ1038" s="48"/>
      <c r="BA1038" s="48"/>
      <c r="BB1038" s="48"/>
      <c r="BC1038" s="48"/>
      <c r="BD1038" s="48"/>
      <c r="BE1038" s="48"/>
      <c r="BF1038" s="52"/>
      <c r="BG1038" s="52"/>
      <c r="BH1038" s="52"/>
      <c r="BI1038" s="52"/>
      <c r="BJ1038" s="52"/>
      <c r="BK1038" s="52"/>
      <c r="BL1038" s="52"/>
      <c r="BM1038" s="54"/>
    </row>
    <row r="1039">
      <c r="A1039" s="42"/>
      <c r="B1039" s="52"/>
      <c r="C1039" s="52"/>
      <c r="D1039" s="52"/>
      <c r="E1039" s="52"/>
      <c r="F1039" s="81"/>
      <c r="G1039" s="57"/>
      <c r="H1039" s="48"/>
      <c r="I1039" s="77"/>
      <c r="J1039" s="62"/>
      <c r="K1039" s="52"/>
      <c r="L1039" s="52"/>
      <c r="M1039" s="76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  <c r="AA1039" s="62"/>
      <c r="AB1039" s="52"/>
      <c r="AC1039" s="52"/>
      <c r="AD1039" s="52"/>
      <c r="AE1039" s="52"/>
      <c r="AF1039" s="52"/>
      <c r="AG1039" s="52"/>
      <c r="AH1039" s="48"/>
      <c r="AI1039" s="48"/>
      <c r="AJ1039" s="48"/>
      <c r="AK1039" s="53"/>
      <c r="AL1039" s="53"/>
      <c r="AM1039" s="53"/>
      <c r="AN1039" s="53"/>
      <c r="AO1039" s="53"/>
      <c r="AP1039" s="53"/>
      <c r="AQ1039" s="53"/>
      <c r="AR1039" s="53"/>
      <c r="AS1039" s="53"/>
      <c r="AT1039" s="48"/>
      <c r="AU1039" s="48"/>
      <c r="AV1039" s="48"/>
      <c r="AW1039" s="48"/>
      <c r="AX1039" s="48"/>
      <c r="AY1039" s="48"/>
      <c r="AZ1039" s="48"/>
      <c r="BA1039" s="48"/>
      <c r="BB1039" s="48"/>
      <c r="BC1039" s="48"/>
      <c r="BD1039" s="48"/>
      <c r="BE1039" s="48"/>
      <c r="BF1039" s="52"/>
      <c r="BG1039" s="52"/>
      <c r="BH1039" s="52"/>
      <c r="BI1039" s="52"/>
      <c r="BJ1039" s="52"/>
      <c r="BK1039" s="52"/>
      <c r="BL1039" s="52"/>
      <c r="BM1039" s="54"/>
    </row>
    <row r="1040">
      <c r="A1040" s="42"/>
      <c r="B1040" s="52"/>
      <c r="C1040" s="52"/>
      <c r="D1040" s="52"/>
      <c r="E1040" s="52"/>
      <c r="F1040" s="81"/>
      <c r="G1040" s="57"/>
      <c r="H1040" s="48"/>
      <c r="I1040" s="77"/>
      <c r="J1040" s="62"/>
      <c r="K1040" s="52"/>
      <c r="L1040" s="52"/>
      <c r="M1040" s="76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52"/>
      <c r="AA1040" s="62"/>
      <c r="AB1040" s="52"/>
      <c r="AC1040" s="52"/>
      <c r="AD1040" s="52"/>
      <c r="AE1040" s="52"/>
      <c r="AF1040" s="52"/>
      <c r="AG1040" s="52"/>
      <c r="AH1040" s="48"/>
      <c r="AI1040" s="48"/>
      <c r="AJ1040" s="48"/>
      <c r="AK1040" s="53"/>
      <c r="AL1040" s="53"/>
      <c r="AM1040" s="53"/>
      <c r="AN1040" s="53"/>
      <c r="AO1040" s="53"/>
      <c r="AP1040" s="53"/>
      <c r="AQ1040" s="53"/>
      <c r="AR1040" s="53"/>
      <c r="AS1040" s="53"/>
      <c r="AT1040" s="48"/>
      <c r="AU1040" s="48"/>
      <c r="AV1040" s="48"/>
      <c r="AW1040" s="48"/>
      <c r="AX1040" s="48"/>
      <c r="AY1040" s="48"/>
      <c r="AZ1040" s="48"/>
      <c r="BA1040" s="48"/>
      <c r="BB1040" s="48"/>
      <c r="BC1040" s="48"/>
      <c r="BD1040" s="48"/>
      <c r="BE1040" s="48"/>
      <c r="BF1040" s="52"/>
      <c r="BG1040" s="52"/>
      <c r="BH1040" s="52"/>
      <c r="BI1040" s="52"/>
      <c r="BJ1040" s="52"/>
      <c r="BK1040" s="52"/>
      <c r="BL1040" s="52"/>
      <c r="BM1040" s="54"/>
    </row>
    <row r="1041">
      <c r="A1041" s="42"/>
      <c r="B1041" s="52"/>
      <c r="C1041" s="52"/>
      <c r="D1041" s="52"/>
      <c r="E1041" s="52"/>
      <c r="F1041" s="81"/>
      <c r="G1041" s="57"/>
      <c r="H1041" s="48"/>
      <c r="I1041" s="77"/>
      <c r="J1041" s="62"/>
      <c r="K1041" s="52"/>
      <c r="L1041" s="52"/>
      <c r="M1041" s="76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  <c r="AA1041" s="62"/>
      <c r="AB1041" s="52"/>
      <c r="AC1041" s="52"/>
      <c r="AD1041" s="52"/>
      <c r="AE1041" s="52"/>
      <c r="AF1041" s="52"/>
      <c r="AG1041" s="52"/>
      <c r="AH1041" s="48"/>
      <c r="AI1041" s="48"/>
      <c r="AJ1041" s="48"/>
      <c r="AK1041" s="53"/>
      <c r="AL1041" s="53"/>
      <c r="AM1041" s="53"/>
      <c r="AN1041" s="53"/>
      <c r="AO1041" s="53"/>
      <c r="AP1041" s="53"/>
      <c r="AQ1041" s="53"/>
      <c r="AR1041" s="53"/>
      <c r="AS1041" s="53"/>
      <c r="AT1041" s="48"/>
      <c r="AU1041" s="48"/>
      <c r="AV1041" s="48"/>
      <c r="AW1041" s="48"/>
      <c r="AX1041" s="48"/>
      <c r="AY1041" s="48"/>
      <c r="AZ1041" s="48"/>
      <c r="BA1041" s="48"/>
      <c r="BB1041" s="48"/>
      <c r="BC1041" s="48"/>
      <c r="BD1041" s="48"/>
      <c r="BE1041" s="48"/>
      <c r="BF1041" s="52"/>
      <c r="BG1041" s="52"/>
      <c r="BH1041" s="52"/>
      <c r="BI1041" s="52"/>
      <c r="BJ1041" s="52"/>
      <c r="BK1041" s="52"/>
      <c r="BL1041" s="52"/>
      <c r="BM1041" s="54"/>
    </row>
    <row r="1042">
      <c r="A1042" s="42"/>
      <c r="B1042" s="52"/>
      <c r="C1042" s="52"/>
      <c r="D1042" s="52"/>
      <c r="E1042" s="52"/>
      <c r="F1042" s="81"/>
      <c r="G1042" s="57"/>
      <c r="H1042" s="48"/>
      <c r="I1042" s="77"/>
      <c r="J1042" s="62"/>
      <c r="K1042" s="52"/>
      <c r="L1042" s="52"/>
      <c r="M1042" s="76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  <c r="AA1042" s="62"/>
      <c r="AB1042" s="52"/>
      <c r="AC1042" s="52"/>
      <c r="AD1042" s="52"/>
      <c r="AE1042" s="52"/>
      <c r="AF1042" s="52"/>
      <c r="AG1042" s="52"/>
      <c r="AH1042" s="48"/>
      <c r="AI1042" s="48"/>
      <c r="AJ1042" s="48"/>
      <c r="AK1042" s="53"/>
      <c r="AL1042" s="53"/>
      <c r="AM1042" s="53"/>
      <c r="AN1042" s="53"/>
      <c r="AO1042" s="53"/>
      <c r="AP1042" s="53"/>
      <c r="AQ1042" s="53"/>
      <c r="AR1042" s="53"/>
      <c r="AS1042" s="53"/>
      <c r="AT1042" s="48"/>
      <c r="AU1042" s="48"/>
      <c r="AV1042" s="48"/>
      <c r="AW1042" s="48"/>
      <c r="AX1042" s="48"/>
      <c r="AY1042" s="48"/>
      <c r="AZ1042" s="48"/>
      <c r="BA1042" s="48"/>
      <c r="BB1042" s="48"/>
      <c r="BC1042" s="48"/>
      <c r="BD1042" s="48"/>
      <c r="BE1042" s="48"/>
      <c r="BF1042" s="52"/>
      <c r="BG1042" s="52"/>
      <c r="BH1042" s="52"/>
      <c r="BI1042" s="52"/>
      <c r="BJ1042" s="52"/>
      <c r="BK1042" s="52"/>
      <c r="BL1042" s="52"/>
      <c r="BM1042" s="54"/>
    </row>
    <row r="1043">
      <c r="A1043" s="42"/>
      <c r="B1043" s="52"/>
      <c r="C1043" s="52"/>
      <c r="D1043" s="52"/>
      <c r="E1043" s="52"/>
      <c r="F1043" s="81"/>
      <c r="G1043" s="57"/>
      <c r="H1043" s="48"/>
      <c r="I1043" s="77"/>
      <c r="J1043" s="62"/>
      <c r="K1043" s="52"/>
      <c r="L1043" s="52"/>
      <c r="M1043" s="76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52"/>
      <c r="AA1043" s="62"/>
      <c r="AB1043" s="52"/>
      <c r="AC1043" s="52"/>
      <c r="AD1043" s="52"/>
      <c r="AE1043" s="52"/>
      <c r="AF1043" s="52"/>
      <c r="AG1043" s="52"/>
      <c r="AH1043" s="48"/>
      <c r="AI1043" s="48"/>
      <c r="AJ1043" s="48"/>
      <c r="AK1043" s="53"/>
      <c r="AL1043" s="53"/>
      <c r="AM1043" s="53"/>
      <c r="AN1043" s="53"/>
      <c r="AO1043" s="53"/>
      <c r="AP1043" s="53"/>
      <c r="AQ1043" s="53"/>
      <c r="AR1043" s="53"/>
      <c r="AS1043" s="53"/>
      <c r="AT1043" s="48"/>
      <c r="AU1043" s="48"/>
      <c r="AV1043" s="48"/>
      <c r="AW1043" s="48"/>
      <c r="AX1043" s="48"/>
      <c r="AY1043" s="48"/>
      <c r="AZ1043" s="48"/>
      <c r="BA1043" s="48"/>
      <c r="BB1043" s="48"/>
      <c r="BC1043" s="48"/>
      <c r="BD1043" s="48"/>
      <c r="BE1043" s="48"/>
      <c r="BF1043" s="52"/>
      <c r="BG1043" s="52"/>
      <c r="BH1043" s="52"/>
      <c r="BI1043" s="52"/>
      <c r="BJ1043" s="52"/>
      <c r="BK1043" s="52"/>
      <c r="BL1043" s="52"/>
      <c r="BM1043" s="54"/>
    </row>
    <row r="1044">
      <c r="A1044" s="42"/>
      <c r="B1044" s="52"/>
      <c r="C1044" s="52"/>
      <c r="D1044" s="52"/>
      <c r="E1044" s="52"/>
      <c r="F1044" s="81"/>
      <c r="G1044" s="57"/>
      <c r="H1044" s="48"/>
      <c r="I1044" s="77"/>
      <c r="J1044" s="62"/>
      <c r="K1044" s="52"/>
      <c r="L1044" s="52"/>
      <c r="M1044" s="76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  <c r="AA1044" s="62"/>
      <c r="AB1044" s="52"/>
      <c r="AC1044" s="52"/>
      <c r="AD1044" s="52"/>
      <c r="AE1044" s="52"/>
      <c r="AF1044" s="52"/>
      <c r="AG1044" s="52"/>
      <c r="AH1044" s="48"/>
      <c r="AI1044" s="48"/>
      <c r="AJ1044" s="48"/>
      <c r="AK1044" s="53"/>
      <c r="AL1044" s="53"/>
      <c r="AM1044" s="53"/>
      <c r="AN1044" s="53"/>
      <c r="AO1044" s="53"/>
      <c r="AP1044" s="53"/>
      <c r="AQ1044" s="53"/>
      <c r="AR1044" s="53"/>
      <c r="AS1044" s="53"/>
      <c r="AT1044" s="48"/>
      <c r="AU1044" s="48"/>
      <c r="AV1044" s="48"/>
      <c r="AW1044" s="48"/>
      <c r="AX1044" s="48"/>
      <c r="AY1044" s="48"/>
      <c r="AZ1044" s="48"/>
      <c r="BA1044" s="48"/>
      <c r="BB1044" s="48"/>
      <c r="BC1044" s="48"/>
      <c r="BD1044" s="48"/>
      <c r="BE1044" s="48"/>
      <c r="BF1044" s="52"/>
      <c r="BG1044" s="52"/>
      <c r="BH1044" s="52"/>
      <c r="BI1044" s="52"/>
      <c r="BJ1044" s="52"/>
      <c r="BK1044" s="52"/>
      <c r="BL1044" s="52"/>
      <c r="BM1044" s="54"/>
    </row>
    <row r="1045">
      <c r="A1045" s="42"/>
      <c r="B1045" s="52"/>
      <c r="C1045" s="52"/>
      <c r="D1045" s="52"/>
      <c r="E1045" s="52"/>
      <c r="F1045" s="81"/>
      <c r="G1045" s="57"/>
      <c r="H1045" s="48"/>
      <c r="I1045" s="77"/>
      <c r="J1045" s="62"/>
      <c r="K1045" s="52"/>
      <c r="L1045" s="52"/>
      <c r="M1045" s="76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52"/>
      <c r="AA1045" s="62"/>
      <c r="AB1045" s="52"/>
      <c r="AC1045" s="52"/>
      <c r="AD1045" s="52"/>
      <c r="AE1045" s="52"/>
      <c r="AF1045" s="52"/>
      <c r="AG1045" s="52"/>
      <c r="AH1045" s="48"/>
      <c r="AI1045" s="48"/>
      <c r="AJ1045" s="48"/>
      <c r="AK1045" s="53"/>
      <c r="AL1045" s="53"/>
      <c r="AM1045" s="53"/>
      <c r="AN1045" s="53"/>
      <c r="AO1045" s="53"/>
      <c r="AP1045" s="53"/>
      <c r="AQ1045" s="53"/>
      <c r="AR1045" s="53"/>
      <c r="AS1045" s="53"/>
      <c r="AT1045" s="48"/>
      <c r="AU1045" s="48"/>
      <c r="AV1045" s="48"/>
      <c r="AW1045" s="48"/>
      <c r="AX1045" s="48"/>
      <c r="AY1045" s="48"/>
      <c r="AZ1045" s="48"/>
      <c r="BA1045" s="48"/>
      <c r="BB1045" s="48"/>
      <c r="BC1045" s="48"/>
      <c r="BD1045" s="48"/>
      <c r="BE1045" s="48"/>
      <c r="BF1045" s="52"/>
      <c r="BG1045" s="52"/>
      <c r="BH1045" s="52"/>
      <c r="BI1045" s="52"/>
      <c r="BJ1045" s="52"/>
      <c r="BK1045" s="52"/>
      <c r="BL1045" s="52"/>
      <c r="BM1045" s="54"/>
    </row>
    <row r="1046">
      <c r="A1046" s="42"/>
      <c r="B1046" s="52"/>
      <c r="C1046" s="52"/>
      <c r="D1046" s="52"/>
      <c r="E1046" s="52"/>
      <c r="F1046" s="81"/>
      <c r="G1046" s="57"/>
      <c r="H1046" s="48"/>
      <c r="I1046" s="77"/>
      <c r="J1046" s="62"/>
      <c r="K1046" s="52"/>
      <c r="L1046" s="52"/>
      <c r="M1046" s="76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  <c r="AA1046" s="62"/>
      <c r="AB1046" s="52"/>
      <c r="AC1046" s="52"/>
      <c r="AD1046" s="52"/>
      <c r="AE1046" s="52"/>
      <c r="AF1046" s="52"/>
      <c r="AG1046" s="52"/>
      <c r="AH1046" s="48"/>
      <c r="AI1046" s="48"/>
      <c r="AJ1046" s="48"/>
      <c r="AK1046" s="53"/>
      <c r="AL1046" s="53"/>
      <c r="AM1046" s="53"/>
      <c r="AN1046" s="53"/>
      <c r="AO1046" s="53"/>
      <c r="AP1046" s="53"/>
      <c r="AQ1046" s="53"/>
      <c r="AR1046" s="53"/>
      <c r="AS1046" s="53"/>
      <c r="AT1046" s="48"/>
      <c r="AU1046" s="48"/>
      <c r="AV1046" s="48"/>
      <c r="AW1046" s="48"/>
      <c r="AX1046" s="48"/>
      <c r="AY1046" s="48"/>
      <c r="AZ1046" s="48"/>
      <c r="BA1046" s="48"/>
      <c r="BB1046" s="48"/>
      <c r="BC1046" s="48"/>
      <c r="BD1046" s="48"/>
      <c r="BE1046" s="48"/>
      <c r="BF1046" s="52"/>
      <c r="BG1046" s="52"/>
      <c r="BH1046" s="52"/>
      <c r="BI1046" s="52"/>
      <c r="BJ1046" s="52"/>
      <c r="BK1046" s="52"/>
      <c r="BL1046" s="52"/>
      <c r="BM1046" s="54"/>
    </row>
    <row r="1047">
      <c r="A1047" s="42"/>
      <c r="B1047" s="52"/>
      <c r="C1047" s="52"/>
      <c r="D1047" s="52"/>
      <c r="E1047" s="52"/>
      <c r="F1047" s="81"/>
      <c r="G1047" s="57"/>
      <c r="H1047" s="48"/>
      <c r="I1047" s="77"/>
      <c r="J1047" s="62"/>
      <c r="K1047" s="52"/>
      <c r="L1047" s="52"/>
      <c r="M1047" s="76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52"/>
      <c r="AA1047" s="62"/>
      <c r="AB1047" s="52"/>
      <c r="AC1047" s="52"/>
      <c r="AD1047" s="52"/>
      <c r="AE1047" s="52"/>
      <c r="AF1047" s="52"/>
      <c r="AG1047" s="52"/>
      <c r="AH1047" s="48"/>
      <c r="AI1047" s="48"/>
      <c r="AJ1047" s="48"/>
      <c r="AK1047" s="53"/>
      <c r="AL1047" s="53"/>
      <c r="AM1047" s="53"/>
      <c r="AN1047" s="53"/>
      <c r="AO1047" s="53"/>
      <c r="AP1047" s="53"/>
      <c r="AQ1047" s="53"/>
      <c r="AR1047" s="53"/>
      <c r="AS1047" s="53"/>
      <c r="AT1047" s="48"/>
      <c r="AU1047" s="48"/>
      <c r="AV1047" s="48"/>
      <c r="AW1047" s="48"/>
      <c r="AX1047" s="48"/>
      <c r="AY1047" s="48"/>
      <c r="AZ1047" s="48"/>
      <c r="BA1047" s="48"/>
      <c r="BB1047" s="48"/>
      <c r="BC1047" s="48"/>
      <c r="BD1047" s="48"/>
      <c r="BE1047" s="48"/>
      <c r="BF1047" s="52"/>
      <c r="BG1047" s="52"/>
      <c r="BH1047" s="52"/>
      <c r="BI1047" s="52"/>
      <c r="BJ1047" s="52"/>
      <c r="BK1047" s="52"/>
      <c r="BL1047" s="52"/>
      <c r="BM1047" s="54"/>
    </row>
    <row r="1048">
      <c r="A1048" s="42"/>
      <c r="B1048" s="52"/>
      <c r="C1048" s="52"/>
      <c r="D1048" s="52"/>
      <c r="E1048" s="52"/>
      <c r="F1048" s="81"/>
      <c r="G1048" s="57"/>
      <c r="H1048" s="48"/>
      <c r="I1048" s="77"/>
      <c r="J1048" s="62"/>
      <c r="K1048" s="52"/>
      <c r="L1048" s="52"/>
      <c r="M1048" s="76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  <c r="AA1048" s="62"/>
      <c r="AB1048" s="52"/>
      <c r="AC1048" s="52"/>
      <c r="AD1048" s="52"/>
      <c r="AE1048" s="52"/>
      <c r="AF1048" s="52"/>
      <c r="AG1048" s="52"/>
      <c r="AH1048" s="48"/>
      <c r="AI1048" s="48"/>
      <c r="AJ1048" s="48"/>
      <c r="AK1048" s="53"/>
      <c r="AL1048" s="53"/>
      <c r="AM1048" s="53"/>
      <c r="AN1048" s="53"/>
      <c r="AO1048" s="53"/>
      <c r="AP1048" s="53"/>
      <c r="AQ1048" s="53"/>
      <c r="AR1048" s="53"/>
      <c r="AS1048" s="53"/>
      <c r="AT1048" s="48"/>
      <c r="AU1048" s="48"/>
      <c r="AV1048" s="48"/>
      <c r="AW1048" s="48"/>
      <c r="AX1048" s="48"/>
      <c r="AY1048" s="48"/>
      <c r="AZ1048" s="48"/>
      <c r="BA1048" s="48"/>
      <c r="BB1048" s="48"/>
      <c r="BC1048" s="48"/>
      <c r="BD1048" s="48"/>
      <c r="BE1048" s="48"/>
      <c r="BF1048" s="52"/>
      <c r="BG1048" s="52"/>
      <c r="BH1048" s="52"/>
      <c r="BI1048" s="52"/>
      <c r="BJ1048" s="52"/>
      <c r="BK1048" s="52"/>
      <c r="BL1048" s="52"/>
      <c r="BM1048" s="54"/>
    </row>
    <row r="1049">
      <c r="A1049" s="42"/>
      <c r="B1049" s="52"/>
      <c r="C1049" s="52"/>
      <c r="D1049" s="52"/>
      <c r="E1049" s="52"/>
      <c r="F1049" s="81"/>
      <c r="G1049" s="57"/>
      <c r="H1049" s="48"/>
      <c r="I1049" s="77"/>
      <c r="J1049" s="62"/>
      <c r="K1049" s="52"/>
      <c r="L1049" s="52"/>
      <c r="M1049" s="76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52"/>
      <c r="AA1049" s="62"/>
      <c r="AB1049" s="52"/>
      <c r="AC1049" s="52"/>
      <c r="AD1049" s="52"/>
      <c r="AE1049" s="52"/>
      <c r="AF1049" s="52"/>
      <c r="AG1049" s="52"/>
      <c r="AH1049" s="48"/>
      <c r="AI1049" s="48"/>
      <c r="AJ1049" s="48"/>
      <c r="AK1049" s="53"/>
      <c r="AL1049" s="53"/>
      <c r="AM1049" s="53"/>
      <c r="AN1049" s="53"/>
      <c r="AO1049" s="53"/>
      <c r="AP1049" s="53"/>
      <c r="AQ1049" s="53"/>
      <c r="AR1049" s="53"/>
      <c r="AS1049" s="53"/>
      <c r="AT1049" s="48"/>
      <c r="AU1049" s="48"/>
      <c r="AV1049" s="48"/>
      <c r="AW1049" s="48"/>
      <c r="AX1049" s="48"/>
      <c r="AY1049" s="48"/>
      <c r="AZ1049" s="48"/>
      <c r="BA1049" s="48"/>
      <c r="BB1049" s="48"/>
      <c r="BC1049" s="48"/>
      <c r="BD1049" s="48"/>
      <c r="BE1049" s="48"/>
      <c r="BF1049" s="52"/>
      <c r="BG1049" s="52"/>
      <c r="BH1049" s="52"/>
      <c r="BI1049" s="52"/>
      <c r="BJ1049" s="52"/>
      <c r="BK1049" s="52"/>
      <c r="BL1049" s="52"/>
      <c r="BM1049" s="54"/>
    </row>
    <row r="1050">
      <c r="A1050" s="42"/>
      <c r="B1050" s="52"/>
      <c r="C1050" s="52"/>
      <c r="D1050" s="52"/>
      <c r="E1050" s="52"/>
      <c r="F1050" s="81"/>
      <c r="G1050" s="57"/>
      <c r="H1050" s="48"/>
      <c r="I1050" s="77"/>
      <c r="J1050" s="62"/>
      <c r="K1050" s="52"/>
      <c r="L1050" s="52"/>
      <c r="M1050" s="76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  <c r="AA1050" s="62"/>
      <c r="AB1050" s="52"/>
      <c r="AC1050" s="52"/>
      <c r="AD1050" s="52"/>
      <c r="AE1050" s="52"/>
      <c r="AF1050" s="52"/>
      <c r="AG1050" s="52"/>
      <c r="AH1050" s="48"/>
      <c r="AI1050" s="48"/>
      <c r="AJ1050" s="48"/>
      <c r="AK1050" s="53"/>
      <c r="AL1050" s="53"/>
      <c r="AM1050" s="53"/>
      <c r="AN1050" s="53"/>
      <c r="AO1050" s="53"/>
      <c r="AP1050" s="53"/>
      <c r="AQ1050" s="53"/>
      <c r="AR1050" s="53"/>
      <c r="AS1050" s="53"/>
      <c r="AT1050" s="48"/>
      <c r="AU1050" s="48"/>
      <c r="AV1050" s="48"/>
      <c r="AW1050" s="48"/>
      <c r="AX1050" s="48"/>
      <c r="AY1050" s="48"/>
      <c r="AZ1050" s="48"/>
      <c r="BA1050" s="48"/>
      <c r="BB1050" s="48"/>
      <c r="BC1050" s="48"/>
      <c r="BD1050" s="48"/>
      <c r="BE1050" s="48"/>
      <c r="BF1050" s="52"/>
      <c r="BG1050" s="52"/>
      <c r="BH1050" s="52"/>
      <c r="BI1050" s="52"/>
      <c r="BJ1050" s="52"/>
      <c r="BK1050" s="52"/>
      <c r="BL1050" s="52"/>
      <c r="BM1050" s="54"/>
    </row>
    <row r="1051">
      <c r="A1051" s="42"/>
      <c r="B1051" s="52"/>
      <c r="C1051" s="52"/>
      <c r="D1051" s="52"/>
      <c r="E1051" s="52"/>
      <c r="F1051" s="81"/>
      <c r="G1051" s="57"/>
      <c r="H1051" s="48"/>
      <c r="I1051" s="77"/>
      <c r="J1051" s="62"/>
      <c r="K1051" s="52"/>
      <c r="L1051" s="52"/>
      <c r="M1051" s="76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  <c r="AA1051" s="62"/>
      <c r="AB1051" s="52"/>
      <c r="AC1051" s="52"/>
      <c r="AD1051" s="52"/>
      <c r="AE1051" s="52"/>
      <c r="AF1051" s="52"/>
      <c r="AG1051" s="52"/>
      <c r="AH1051" s="48"/>
      <c r="AI1051" s="48"/>
      <c r="AJ1051" s="48"/>
      <c r="AK1051" s="53"/>
      <c r="AL1051" s="53"/>
      <c r="AM1051" s="53"/>
      <c r="AN1051" s="53"/>
      <c r="AO1051" s="53"/>
      <c r="AP1051" s="53"/>
      <c r="AQ1051" s="53"/>
      <c r="AR1051" s="53"/>
      <c r="AS1051" s="53"/>
      <c r="AT1051" s="48"/>
      <c r="AU1051" s="48"/>
      <c r="AV1051" s="48"/>
      <c r="AW1051" s="48"/>
      <c r="AX1051" s="48"/>
      <c r="AY1051" s="48"/>
      <c r="AZ1051" s="48"/>
      <c r="BA1051" s="48"/>
      <c r="BB1051" s="48"/>
      <c r="BC1051" s="48"/>
      <c r="BD1051" s="48"/>
      <c r="BE1051" s="48"/>
      <c r="BF1051" s="52"/>
      <c r="BG1051" s="52"/>
      <c r="BH1051" s="52"/>
      <c r="BI1051" s="52"/>
      <c r="BJ1051" s="52"/>
      <c r="BK1051" s="52"/>
      <c r="BL1051" s="52"/>
      <c r="BM1051" s="54"/>
    </row>
    <row r="1052">
      <c r="A1052" s="42"/>
      <c r="B1052" s="52"/>
      <c r="C1052" s="52"/>
      <c r="D1052" s="52"/>
      <c r="E1052" s="52"/>
      <c r="F1052" s="81"/>
      <c r="G1052" s="57"/>
      <c r="H1052" s="48"/>
      <c r="I1052" s="77"/>
      <c r="J1052" s="62"/>
      <c r="K1052" s="52"/>
      <c r="L1052" s="52"/>
      <c r="M1052" s="76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  <c r="AA1052" s="62"/>
      <c r="AB1052" s="52"/>
      <c r="AC1052" s="52"/>
      <c r="AD1052" s="52"/>
      <c r="AE1052" s="52"/>
      <c r="AF1052" s="52"/>
      <c r="AG1052" s="52"/>
      <c r="AH1052" s="48"/>
      <c r="AI1052" s="48"/>
      <c r="AJ1052" s="48"/>
      <c r="AK1052" s="53"/>
      <c r="AL1052" s="53"/>
      <c r="AM1052" s="53"/>
      <c r="AN1052" s="53"/>
      <c r="AO1052" s="53"/>
      <c r="AP1052" s="53"/>
      <c r="AQ1052" s="53"/>
      <c r="AR1052" s="53"/>
      <c r="AS1052" s="53"/>
      <c r="AT1052" s="48"/>
      <c r="AU1052" s="48"/>
      <c r="AV1052" s="48"/>
      <c r="AW1052" s="48"/>
      <c r="AX1052" s="48"/>
      <c r="AY1052" s="48"/>
      <c r="AZ1052" s="48"/>
      <c r="BA1052" s="48"/>
      <c r="BB1052" s="48"/>
      <c r="BC1052" s="48"/>
      <c r="BD1052" s="48"/>
      <c r="BE1052" s="48"/>
      <c r="BF1052" s="52"/>
      <c r="BG1052" s="52"/>
      <c r="BH1052" s="52"/>
      <c r="BI1052" s="52"/>
      <c r="BJ1052" s="52"/>
      <c r="BK1052" s="52"/>
      <c r="BL1052" s="52"/>
      <c r="BM1052" s="54"/>
    </row>
    <row r="1053">
      <c r="A1053" s="42"/>
      <c r="B1053" s="52"/>
      <c r="C1053" s="52"/>
      <c r="D1053" s="52"/>
      <c r="E1053" s="52"/>
      <c r="F1053" s="81"/>
      <c r="G1053" s="57"/>
      <c r="H1053" s="48"/>
      <c r="I1053" s="77"/>
      <c r="J1053" s="62"/>
      <c r="K1053" s="52"/>
      <c r="L1053" s="52"/>
      <c r="M1053" s="76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  <c r="AA1053" s="62"/>
      <c r="AB1053" s="52"/>
      <c r="AC1053" s="52"/>
      <c r="AD1053" s="52"/>
      <c r="AE1053" s="52"/>
      <c r="AF1053" s="52"/>
      <c r="AG1053" s="52"/>
      <c r="AH1053" s="48"/>
      <c r="AI1053" s="48"/>
      <c r="AJ1053" s="48"/>
      <c r="AK1053" s="53"/>
      <c r="AL1053" s="53"/>
      <c r="AM1053" s="53"/>
      <c r="AN1053" s="53"/>
      <c r="AO1053" s="53"/>
      <c r="AP1053" s="53"/>
      <c r="AQ1053" s="53"/>
      <c r="AR1053" s="53"/>
      <c r="AS1053" s="53"/>
      <c r="AT1053" s="48"/>
      <c r="AU1053" s="48"/>
      <c r="AV1053" s="48"/>
      <c r="AW1053" s="48"/>
      <c r="AX1053" s="48"/>
      <c r="AY1053" s="48"/>
      <c r="AZ1053" s="48"/>
      <c r="BA1053" s="48"/>
      <c r="BB1053" s="48"/>
      <c r="BC1053" s="48"/>
      <c r="BD1053" s="48"/>
      <c r="BE1053" s="48"/>
      <c r="BF1053" s="52"/>
      <c r="BG1053" s="52"/>
      <c r="BH1053" s="52"/>
      <c r="BI1053" s="52"/>
      <c r="BJ1053" s="52"/>
      <c r="BK1053" s="52"/>
      <c r="BL1053" s="52"/>
      <c r="BM1053" s="54"/>
    </row>
    <row r="1054">
      <c r="A1054" s="42"/>
      <c r="B1054" s="52"/>
      <c r="C1054" s="52"/>
      <c r="D1054" s="52"/>
      <c r="E1054" s="52"/>
      <c r="F1054" s="81"/>
      <c r="G1054" s="57"/>
      <c r="H1054" s="48"/>
      <c r="I1054" s="77"/>
      <c r="J1054" s="62"/>
      <c r="K1054" s="52"/>
      <c r="L1054" s="52"/>
      <c r="M1054" s="76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  <c r="AA1054" s="62"/>
      <c r="AB1054" s="52"/>
      <c r="AC1054" s="52"/>
      <c r="AD1054" s="52"/>
      <c r="AE1054" s="52"/>
      <c r="AF1054" s="52"/>
      <c r="AG1054" s="52"/>
      <c r="AH1054" s="48"/>
      <c r="AI1054" s="48"/>
      <c r="AJ1054" s="48"/>
      <c r="AK1054" s="53"/>
      <c r="AL1054" s="53"/>
      <c r="AM1054" s="53"/>
      <c r="AN1054" s="53"/>
      <c r="AO1054" s="53"/>
      <c r="AP1054" s="53"/>
      <c r="AQ1054" s="53"/>
      <c r="AR1054" s="53"/>
      <c r="AS1054" s="53"/>
      <c r="AT1054" s="48"/>
      <c r="AU1054" s="48"/>
      <c r="AV1054" s="48"/>
      <c r="AW1054" s="48"/>
      <c r="AX1054" s="48"/>
      <c r="AY1054" s="48"/>
      <c r="AZ1054" s="48"/>
      <c r="BA1054" s="48"/>
      <c r="BB1054" s="48"/>
      <c r="BC1054" s="48"/>
      <c r="BD1054" s="48"/>
      <c r="BE1054" s="48"/>
      <c r="BF1054" s="52"/>
      <c r="BG1054" s="52"/>
      <c r="BH1054" s="52"/>
      <c r="BI1054" s="52"/>
      <c r="BJ1054" s="52"/>
      <c r="BK1054" s="52"/>
      <c r="BL1054" s="52"/>
      <c r="BM1054" s="54"/>
    </row>
    <row r="1055">
      <c r="A1055" s="42"/>
      <c r="B1055" s="52"/>
      <c r="C1055" s="52"/>
      <c r="D1055" s="52"/>
      <c r="E1055" s="52"/>
      <c r="F1055" s="81"/>
      <c r="G1055" s="57"/>
      <c r="H1055" s="48"/>
      <c r="I1055" s="77"/>
      <c r="J1055" s="62"/>
      <c r="K1055" s="52"/>
      <c r="L1055" s="52"/>
      <c r="M1055" s="76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52"/>
      <c r="AA1055" s="62"/>
      <c r="AB1055" s="52"/>
      <c r="AC1055" s="52"/>
      <c r="AD1055" s="52"/>
      <c r="AE1055" s="52"/>
      <c r="AF1055" s="52"/>
      <c r="AG1055" s="52"/>
      <c r="AH1055" s="48"/>
      <c r="AI1055" s="48"/>
      <c r="AJ1055" s="48"/>
      <c r="AK1055" s="53"/>
      <c r="AL1055" s="53"/>
      <c r="AM1055" s="53"/>
      <c r="AN1055" s="53"/>
      <c r="AO1055" s="53"/>
      <c r="AP1055" s="53"/>
      <c r="AQ1055" s="53"/>
      <c r="AR1055" s="53"/>
      <c r="AS1055" s="53"/>
      <c r="AT1055" s="48"/>
      <c r="AU1055" s="48"/>
      <c r="AV1055" s="48"/>
      <c r="AW1055" s="48"/>
      <c r="AX1055" s="48"/>
      <c r="AY1055" s="48"/>
      <c r="AZ1055" s="48"/>
      <c r="BA1055" s="48"/>
      <c r="BB1055" s="48"/>
      <c r="BC1055" s="48"/>
      <c r="BD1055" s="48"/>
      <c r="BE1055" s="48"/>
      <c r="BF1055" s="52"/>
      <c r="BG1055" s="52"/>
      <c r="BH1055" s="52"/>
      <c r="BI1055" s="52"/>
      <c r="BJ1055" s="52"/>
      <c r="BK1055" s="52"/>
      <c r="BL1055" s="52"/>
      <c r="BM1055" s="54"/>
    </row>
    <row r="1056">
      <c r="A1056" s="42"/>
      <c r="B1056" s="52"/>
      <c r="C1056" s="52"/>
      <c r="D1056" s="52"/>
      <c r="E1056" s="52"/>
      <c r="F1056" s="81"/>
      <c r="G1056" s="57"/>
      <c r="H1056" s="48"/>
      <c r="I1056" s="77"/>
      <c r="J1056" s="62"/>
      <c r="K1056" s="52"/>
      <c r="L1056" s="52"/>
      <c r="M1056" s="76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52"/>
      <c r="AA1056" s="62"/>
      <c r="AB1056" s="52"/>
      <c r="AC1056" s="52"/>
      <c r="AD1056" s="52"/>
      <c r="AE1056" s="52"/>
      <c r="AF1056" s="52"/>
      <c r="AG1056" s="52"/>
      <c r="AH1056" s="48"/>
      <c r="AI1056" s="48"/>
      <c r="AJ1056" s="48"/>
      <c r="AK1056" s="53"/>
      <c r="AL1056" s="53"/>
      <c r="AM1056" s="53"/>
      <c r="AN1056" s="53"/>
      <c r="AO1056" s="53"/>
      <c r="AP1056" s="53"/>
      <c r="AQ1056" s="53"/>
      <c r="AR1056" s="53"/>
      <c r="AS1056" s="53"/>
      <c r="AT1056" s="48"/>
      <c r="AU1056" s="48"/>
      <c r="AV1056" s="48"/>
      <c r="AW1056" s="48"/>
      <c r="AX1056" s="48"/>
      <c r="AY1056" s="48"/>
      <c r="AZ1056" s="48"/>
      <c r="BA1056" s="48"/>
      <c r="BB1056" s="48"/>
      <c r="BC1056" s="48"/>
      <c r="BD1056" s="48"/>
      <c r="BE1056" s="48"/>
      <c r="BF1056" s="52"/>
      <c r="BG1056" s="52"/>
      <c r="BH1056" s="52"/>
      <c r="BI1056" s="52"/>
      <c r="BJ1056" s="52"/>
      <c r="BK1056" s="52"/>
      <c r="BL1056" s="52"/>
      <c r="BM1056" s="54"/>
    </row>
    <row r="1057">
      <c r="A1057" s="42"/>
      <c r="B1057" s="52"/>
      <c r="C1057" s="52"/>
      <c r="D1057" s="52"/>
      <c r="E1057" s="52"/>
      <c r="F1057" s="81"/>
      <c r="G1057" s="57"/>
      <c r="H1057" s="48"/>
      <c r="I1057" s="77"/>
      <c r="J1057" s="62"/>
      <c r="K1057" s="52"/>
      <c r="L1057" s="52"/>
      <c r="M1057" s="76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52"/>
      <c r="AA1057" s="62"/>
      <c r="AB1057" s="52"/>
      <c r="AC1057" s="52"/>
      <c r="AD1057" s="52"/>
      <c r="AE1057" s="52"/>
      <c r="AF1057" s="52"/>
      <c r="AG1057" s="52"/>
      <c r="AH1057" s="48"/>
      <c r="AI1057" s="48"/>
      <c r="AJ1057" s="48"/>
      <c r="AK1057" s="53"/>
      <c r="AL1057" s="53"/>
      <c r="AM1057" s="53"/>
      <c r="AN1057" s="53"/>
      <c r="AO1057" s="53"/>
      <c r="AP1057" s="53"/>
      <c r="AQ1057" s="53"/>
      <c r="AR1057" s="53"/>
      <c r="AS1057" s="53"/>
      <c r="AT1057" s="48"/>
      <c r="AU1057" s="48"/>
      <c r="AV1057" s="48"/>
      <c r="AW1057" s="48"/>
      <c r="AX1057" s="48"/>
      <c r="AY1057" s="48"/>
      <c r="AZ1057" s="48"/>
      <c r="BA1057" s="48"/>
      <c r="BB1057" s="48"/>
      <c r="BC1057" s="48"/>
      <c r="BD1057" s="48"/>
      <c r="BE1057" s="48"/>
      <c r="BF1057" s="52"/>
      <c r="BG1057" s="52"/>
      <c r="BH1057" s="52"/>
      <c r="BI1057" s="52"/>
      <c r="BJ1057" s="52"/>
      <c r="BK1057" s="52"/>
      <c r="BL1057" s="52"/>
      <c r="BM1057" s="54"/>
    </row>
    <row r="1058">
      <c r="A1058" s="42"/>
      <c r="B1058" s="52"/>
      <c r="C1058" s="52"/>
      <c r="D1058" s="52"/>
      <c r="E1058" s="52"/>
      <c r="F1058" s="81"/>
      <c r="G1058" s="57"/>
      <c r="H1058" s="48"/>
      <c r="I1058" s="77"/>
      <c r="J1058" s="62"/>
      <c r="K1058" s="52"/>
      <c r="L1058" s="52"/>
      <c r="M1058" s="76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52"/>
      <c r="AA1058" s="62"/>
      <c r="AB1058" s="52"/>
      <c r="AC1058" s="52"/>
      <c r="AD1058" s="52"/>
      <c r="AE1058" s="52"/>
      <c r="AF1058" s="52"/>
      <c r="AG1058" s="52"/>
      <c r="AH1058" s="48"/>
      <c r="AI1058" s="48"/>
      <c r="AJ1058" s="48"/>
      <c r="AK1058" s="53"/>
      <c r="AL1058" s="53"/>
      <c r="AM1058" s="53"/>
      <c r="AN1058" s="53"/>
      <c r="AO1058" s="53"/>
      <c r="AP1058" s="53"/>
      <c r="AQ1058" s="53"/>
      <c r="AR1058" s="53"/>
      <c r="AS1058" s="53"/>
      <c r="AT1058" s="48"/>
      <c r="AU1058" s="48"/>
      <c r="AV1058" s="48"/>
      <c r="AW1058" s="48"/>
      <c r="AX1058" s="48"/>
      <c r="AY1058" s="48"/>
      <c r="AZ1058" s="48"/>
      <c r="BA1058" s="48"/>
      <c r="BB1058" s="48"/>
      <c r="BC1058" s="48"/>
      <c r="BD1058" s="48"/>
      <c r="BE1058" s="48"/>
      <c r="BF1058" s="52"/>
      <c r="BG1058" s="52"/>
      <c r="BH1058" s="52"/>
      <c r="BI1058" s="52"/>
      <c r="BJ1058" s="52"/>
      <c r="BK1058" s="52"/>
      <c r="BL1058" s="52"/>
      <c r="BM1058" s="54"/>
    </row>
    <row r="1059">
      <c r="A1059" s="42"/>
      <c r="B1059" s="52"/>
      <c r="C1059" s="52"/>
      <c r="D1059" s="52"/>
      <c r="E1059" s="52"/>
      <c r="F1059" s="81"/>
      <c r="G1059" s="57"/>
      <c r="H1059" s="48"/>
      <c r="I1059" s="77"/>
      <c r="J1059" s="62"/>
      <c r="K1059" s="52"/>
      <c r="L1059" s="52"/>
      <c r="M1059" s="76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52"/>
      <c r="AA1059" s="62"/>
      <c r="AB1059" s="52"/>
      <c r="AC1059" s="52"/>
      <c r="AD1059" s="52"/>
      <c r="AE1059" s="52"/>
      <c r="AF1059" s="52"/>
      <c r="AG1059" s="52"/>
      <c r="AH1059" s="48"/>
      <c r="AI1059" s="48"/>
      <c r="AJ1059" s="48"/>
      <c r="AK1059" s="53"/>
      <c r="AL1059" s="53"/>
      <c r="AM1059" s="53"/>
      <c r="AN1059" s="53"/>
      <c r="AO1059" s="53"/>
      <c r="AP1059" s="53"/>
      <c r="AQ1059" s="53"/>
      <c r="AR1059" s="53"/>
      <c r="AS1059" s="53"/>
      <c r="AT1059" s="48"/>
      <c r="AU1059" s="48"/>
      <c r="AV1059" s="48"/>
      <c r="AW1059" s="48"/>
      <c r="AX1059" s="48"/>
      <c r="AY1059" s="48"/>
      <c r="AZ1059" s="48"/>
      <c r="BA1059" s="48"/>
      <c r="BB1059" s="48"/>
      <c r="BC1059" s="48"/>
      <c r="BD1059" s="48"/>
      <c r="BE1059" s="48"/>
      <c r="BF1059" s="52"/>
      <c r="BG1059" s="52"/>
      <c r="BH1059" s="52"/>
      <c r="BI1059" s="52"/>
      <c r="BJ1059" s="52"/>
      <c r="BK1059" s="52"/>
      <c r="BL1059" s="52"/>
      <c r="BM1059" s="54"/>
    </row>
    <row r="1060">
      <c r="A1060" s="42"/>
      <c r="B1060" s="52"/>
      <c r="C1060" s="52"/>
      <c r="D1060" s="52"/>
      <c r="E1060" s="52"/>
      <c r="F1060" s="81"/>
      <c r="G1060" s="57"/>
      <c r="H1060" s="48"/>
      <c r="I1060" s="77"/>
      <c r="J1060" s="62"/>
      <c r="K1060" s="52"/>
      <c r="L1060" s="52"/>
      <c r="M1060" s="76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52"/>
      <c r="AA1060" s="62"/>
      <c r="AB1060" s="52"/>
      <c r="AC1060" s="52"/>
      <c r="AD1060" s="52"/>
      <c r="AE1060" s="52"/>
      <c r="AF1060" s="52"/>
      <c r="AG1060" s="52"/>
      <c r="AH1060" s="48"/>
      <c r="AI1060" s="48"/>
      <c r="AJ1060" s="48"/>
      <c r="AK1060" s="53"/>
      <c r="AL1060" s="53"/>
      <c r="AM1060" s="53"/>
      <c r="AN1060" s="53"/>
      <c r="AO1060" s="53"/>
      <c r="AP1060" s="53"/>
      <c r="AQ1060" s="53"/>
      <c r="AR1060" s="53"/>
      <c r="AS1060" s="53"/>
      <c r="AT1060" s="48"/>
      <c r="AU1060" s="48"/>
      <c r="AV1060" s="48"/>
      <c r="AW1060" s="48"/>
      <c r="AX1060" s="48"/>
      <c r="AY1060" s="48"/>
      <c r="AZ1060" s="48"/>
      <c r="BA1060" s="48"/>
      <c r="BB1060" s="48"/>
      <c r="BC1060" s="48"/>
      <c r="BD1060" s="48"/>
      <c r="BE1060" s="48"/>
      <c r="BF1060" s="52"/>
      <c r="BG1060" s="52"/>
      <c r="BH1060" s="52"/>
      <c r="BI1060" s="52"/>
      <c r="BJ1060" s="52"/>
      <c r="BK1060" s="52"/>
      <c r="BL1060" s="52"/>
      <c r="BM1060" s="54"/>
    </row>
    <row r="1061">
      <c r="A1061" s="42"/>
      <c r="B1061" s="52"/>
      <c r="C1061" s="52"/>
      <c r="D1061" s="52"/>
      <c r="E1061" s="52"/>
      <c r="F1061" s="81"/>
      <c r="G1061" s="57"/>
      <c r="H1061" s="48"/>
      <c r="I1061" s="77"/>
      <c r="J1061" s="62"/>
      <c r="K1061" s="52"/>
      <c r="L1061" s="52"/>
      <c r="M1061" s="76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52"/>
      <c r="AA1061" s="62"/>
      <c r="AB1061" s="52"/>
      <c r="AC1061" s="52"/>
      <c r="AD1061" s="52"/>
      <c r="AE1061" s="52"/>
      <c r="AF1061" s="52"/>
      <c r="AG1061" s="52"/>
      <c r="AH1061" s="48"/>
      <c r="AI1061" s="48"/>
      <c r="AJ1061" s="48"/>
      <c r="AK1061" s="53"/>
      <c r="AL1061" s="53"/>
      <c r="AM1061" s="53"/>
      <c r="AN1061" s="53"/>
      <c r="AO1061" s="53"/>
      <c r="AP1061" s="53"/>
      <c r="AQ1061" s="53"/>
      <c r="AR1061" s="53"/>
      <c r="AS1061" s="53"/>
      <c r="AT1061" s="48"/>
      <c r="AU1061" s="48"/>
      <c r="AV1061" s="48"/>
      <c r="AW1061" s="48"/>
      <c r="AX1061" s="48"/>
      <c r="AY1061" s="48"/>
      <c r="AZ1061" s="48"/>
      <c r="BA1061" s="48"/>
      <c r="BB1061" s="48"/>
      <c r="BC1061" s="48"/>
      <c r="BD1061" s="48"/>
      <c r="BE1061" s="48"/>
      <c r="BF1061" s="52"/>
      <c r="BG1061" s="52"/>
      <c r="BH1061" s="52"/>
      <c r="BI1061" s="52"/>
      <c r="BJ1061" s="52"/>
      <c r="BK1061" s="52"/>
      <c r="BL1061" s="52"/>
      <c r="BM1061" s="54"/>
    </row>
    <row r="1062">
      <c r="A1062" s="42"/>
      <c r="B1062" s="52"/>
      <c r="C1062" s="52"/>
      <c r="D1062" s="52"/>
      <c r="E1062" s="52"/>
      <c r="F1062" s="81"/>
      <c r="G1062" s="57"/>
      <c r="H1062" s="48"/>
      <c r="I1062" s="77"/>
      <c r="J1062" s="62"/>
      <c r="K1062" s="52"/>
      <c r="L1062" s="52"/>
      <c r="M1062" s="76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52"/>
      <c r="AA1062" s="62"/>
      <c r="AB1062" s="52"/>
      <c r="AC1062" s="52"/>
      <c r="AD1062" s="52"/>
      <c r="AE1062" s="52"/>
      <c r="AF1062" s="52"/>
      <c r="AG1062" s="52"/>
      <c r="AH1062" s="48"/>
      <c r="AI1062" s="48"/>
      <c r="AJ1062" s="48"/>
      <c r="AK1062" s="53"/>
      <c r="AL1062" s="53"/>
      <c r="AM1062" s="53"/>
      <c r="AN1062" s="53"/>
      <c r="AO1062" s="53"/>
      <c r="AP1062" s="53"/>
      <c r="AQ1062" s="53"/>
      <c r="AR1062" s="53"/>
      <c r="AS1062" s="53"/>
      <c r="AT1062" s="48"/>
      <c r="AU1062" s="48"/>
      <c r="AV1062" s="48"/>
      <c r="AW1062" s="48"/>
      <c r="AX1062" s="48"/>
      <c r="AY1062" s="48"/>
      <c r="AZ1062" s="48"/>
      <c r="BA1062" s="48"/>
      <c r="BB1062" s="48"/>
      <c r="BC1062" s="48"/>
      <c r="BD1062" s="48"/>
      <c r="BE1062" s="48"/>
      <c r="BF1062" s="52"/>
      <c r="BG1062" s="52"/>
      <c r="BH1062" s="52"/>
      <c r="BI1062" s="52"/>
      <c r="BJ1062" s="52"/>
      <c r="BK1062" s="52"/>
      <c r="BL1062" s="52"/>
      <c r="BM1062" s="54"/>
    </row>
    <row r="1063">
      <c r="A1063" s="42"/>
      <c r="B1063" s="52"/>
      <c r="C1063" s="52"/>
      <c r="D1063" s="52"/>
      <c r="E1063" s="52"/>
      <c r="F1063" s="81"/>
      <c r="G1063" s="57"/>
      <c r="H1063" s="48"/>
      <c r="I1063" s="77"/>
      <c r="J1063" s="62"/>
      <c r="K1063" s="52"/>
      <c r="L1063" s="52"/>
      <c r="M1063" s="76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52"/>
      <c r="AA1063" s="62"/>
      <c r="AB1063" s="52"/>
      <c r="AC1063" s="52"/>
      <c r="AD1063" s="52"/>
      <c r="AE1063" s="52"/>
      <c r="AF1063" s="52"/>
      <c r="AG1063" s="52"/>
      <c r="AH1063" s="48"/>
      <c r="AI1063" s="48"/>
      <c r="AJ1063" s="48"/>
      <c r="AK1063" s="53"/>
      <c r="AL1063" s="53"/>
      <c r="AM1063" s="53"/>
      <c r="AN1063" s="53"/>
      <c r="AO1063" s="53"/>
      <c r="AP1063" s="53"/>
      <c r="AQ1063" s="53"/>
      <c r="AR1063" s="53"/>
      <c r="AS1063" s="53"/>
      <c r="AT1063" s="48"/>
      <c r="AU1063" s="48"/>
      <c r="AV1063" s="48"/>
      <c r="AW1063" s="48"/>
      <c r="AX1063" s="48"/>
      <c r="AY1063" s="48"/>
      <c r="AZ1063" s="48"/>
      <c r="BA1063" s="48"/>
      <c r="BB1063" s="48"/>
      <c r="BC1063" s="48"/>
      <c r="BD1063" s="48"/>
      <c r="BE1063" s="48"/>
      <c r="BF1063" s="52"/>
      <c r="BG1063" s="52"/>
      <c r="BH1063" s="52"/>
      <c r="BI1063" s="52"/>
      <c r="BJ1063" s="52"/>
      <c r="BK1063" s="52"/>
      <c r="BL1063" s="52"/>
      <c r="BM1063" s="54"/>
    </row>
    <row r="1064">
      <c r="A1064" s="42"/>
      <c r="B1064" s="52"/>
      <c r="C1064" s="52"/>
      <c r="D1064" s="52"/>
      <c r="E1064" s="52"/>
      <c r="F1064" s="81"/>
      <c r="G1064" s="57"/>
      <c r="H1064" s="48"/>
      <c r="I1064" s="77"/>
      <c r="J1064" s="62"/>
      <c r="K1064" s="52"/>
      <c r="L1064" s="52"/>
      <c r="M1064" s="76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52"/>
      <c r="AA1064" s="62"/>
      <c r="AB1064" s="52"/>
      <c r="AC1064" s="52"/>
      <c r="AD1064" s="52"/>
      <c r="AE1064" s="52"/>
      <c r="AF1064" s="52"/>
      <c r="AG1064" s="52"/>
      <c r="AH1064" s="48"/>
      <c r="AI1064" s="48"/>
      <c r="AJ1064" s="48"/>
      <c r="AK1064" s="53"/>
      <c r="AL1064" s="53"/>
      <c r="AM1064" s="53"/>
      <c r="AN1064" s="53"/>
      <c r="AO1064" s="53"/>
      <c r="AP1064" s="53"/>
      <c r="AQ1064" s="53"/>
      <c r="AR1064" s="53"/>
      <c r="AS1064" s="53"/>
      <c r="AT1064" s="48"/>
      <c r="AU1064" s="48"/>
      <c r="AV1064" s="48"/>
      <c r="AW1064" s="48"/>
      <c r="AX1064" s="48"/>
      <c r="AY1064" s="48"/>
      <c r="AZ1064" s="48"/>
      <c r="BA1064" s="48"/>
      <c r="BB1064" s="48"/>
      <c r="BC1064" s="48"/>
      <c r="BD1064" s="48"/>
      <c r="BE1064" s="48"/>
      <c r="BF1064" s="52"/>
      <c r="BG1064" s="52"/>
      <c r="BH1064" s="52"/>
      <c r="BI1064" s="52"/>
      <c r="BJ1064" s="52"/>
      <c r="BK1064" s="52"/>
      <c r="BL1064" s="52"/>
      <c r="BM1064" s="54"/>
    </row>
    <row r="1065">
      <c r="A1065" s="42"/>
      <c r="B1065" s="52"/>
      <c r="C1065" s="52"/>
      <c r="D1065" s="52"/>
      <c r="E1065" s="52"/>
      <c r="F1065" s="81"/>
      <c r="G1065" s="57"/>
      <c r="H1065" s="48"/>
      <c r="I1065" s="77"/>
      <c r="J1065" s="62"/>
      <c r="K1065" s="52"/>
      <c r="L1065" s="52"/>
      <c r="M1065" s="76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52"/>
      <c r="AA1065" s="62"/>
      <c r="AB1065" s="52"/>
      <c r="AC1065" s="52"/>
      <c r="AD1065" s="52"/>
      <c r="AE1065" s="52"/>
      <c r="AF1065" s="52"/>
      <c r="AG1065" s="52"/>
      <c r="AH1065" s="48"/>
      <c r="AI1065" s="48"/>
      <c r="AJ1065" s="48"/>
      <c r="AK1065" s="53"/>
      <c r="AL1065" s="53"/>
      <c r="AM1065" s="53"/>
      <c r="AN1065" s="53"/>
      <c r="AO1065" s="53"/>
      <c r="AP1065" s="53"/>
      <c r="AQ1065" s="53"/>
      <c r="AR1065" s="53"/>
      <c r="AS1065" s="53"/>
      <c r="AT1065" s="48"/>
      <c r="AU1065" s="48"/>
      <c r="AV1065" s="48"/>
      <c r="AW1065" s="48"/>
      <c r="AX1065" s="48"/>
      <c r="AY1065" s="48"/>
      <c r="AZ1065" s="48"/>
      <c r="BA1065" s="48"/>
      <c r="BB1065" s="48"/>
      <c r="BC1065" s="48"/>
      <c r="BD1065" s="48"/>
      <c r="BE1065" s="48"/>
      <c r="BF1065" s="52"/>
      <c r="BG1065" s="52"/>
      <c r="BH1065" s="52"/>
      <c r="BI1065" s="52"/>
      <c r="BJ1065" s="52"/>
      <c r="BK1065" s="52"/>
      <c r="BL1065" s="52"/>
      <c r="BM1065" s="54"/>
    </row>
    <row r="1066">
      <c r="A1066" s="42"/>
      <c r="B1066" s="52"/>
      <c r="C1066" s="52"/>
      <c r="D1066" s="52"/>
      <c r="E1066" s="52"/>
      <c r="F1066" s="81"/>
      <c r="G1066" s="57"/>
      <c r="H1066" s="48"/>
      <c r="I1066" s="77"/>
      <c r="J1066" s="62"/>
      <c r="K1066" s="52"/>
      <c r="L1066" s="52"/>
      <c r="M1066" s="76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52"/>
      <c r="AA1066" s="62"/>
      <c r="AB1066" s="52"/>
      <c r="AC1066" s="52"/>
      <c r="AD1066" s="52"/>
      <c r="AE1066" s="52"/>
      <c r="AF1066" s="52"/>
      <c r="AG1066" s="52"/>
      <c r="AH1066" s="48"/>
      <c r="AI1066" s="48"/>
      <c r="AJ1066" s="48"/>
      <c r="AK1066" s="53"/>
      <c r="AL1066" s="53"/>
      <c r="AM1066" s="53"/>
      <c r="AN1066" s="53"/>
      <c r="AO1066" s="53"/>
      <c r="AP1066" s="53"/>
      <c r="AQ1066" s="53"/>
      <c r="AR1066" s="53"/>
      <c r="AS1066" s="53"/>
      <c r="AT1066" s="48"/>
      <c r="AU1066" s="48"/>
      <c r="AV1066" s="48"/>
      <c r="AW1066" s="48"/>
      <c r="AX1066" s="48"/>
      <c r="AY1066" s="48"/>
      <c r="AZ1066" s="48"/>
      <c r="BA1066" s="48"/>
      <c r="BB1066" s="48"/>
      <c r="BC1066" s="48"/>
      <c r="BD1066" s="48"/>
      <c r="BE1066" s="48"/>
      <c r="BF1066" s="52"/>
      <c r="BG1066" s="52"/>
      <c r="BH1066" s="52"/>
      <c r="BI1066" s="52"/>
      <c r="BJ1066" s="52"/>
      <c r="BK1066" s="52"/>
      <c r="BL1066" s="52"/>
      <c r="BM1066" s="54"/>
    </row>
    <row r="1067">
      <c r="A1067" s="42"/>
      <c r="B1067" s="52"/>
      <c r="C1067" s="52"/>
      <c r="D1067" s="52"/>
      <c r="E1067" s="52"/>
      <c r="F1067" s="81"/>
      <c r="G1067" s="57"/>
      <c r="H1067" s="48"/>
      <c r="I1067" s="77"/>
      <c r="J1067" s="62"/>
      <c r="K1067" s="52"/>
      <c r="L1067" s="52"/>
      <c r="M1067" s="76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52"/>
      <c r="AA1067" s="62"/>
      <c r="AB1067" s="52"/>
      <c r="AC1067" s="52"/>
      <c r="AD1067" s="52"/>
      <c r="AE1067" s="52"/>
      <c r="AF1067" s="52"/>
      <c r="AG1067" s="52"/>
      <c r="AH1067" s="48"/>
      <c r="AI1067" s="48"/>
      <c r="AJ1067" s="48"/>
      <c r="AK1067" s="53"/>
      <c r="AL1067" s="53"/>
      <c r="AM1067" s="53"/>
      <c r="AN1067" s="53"/>
      <c r="AO1067" s="53"/>
      <c r="AP1067" s="53"/>
      <c r="AQ1067" s="53"/>
      <c r="AR1067" s="53"/>
      <c r="AS1067" s="53"/>
      <c r="AT1067" s="48"/>
      <c r="AU1067" s="48"/>
      <c r="AV1067" s="48"/>
      <c r="AW1067" s="48"/>
      <c r="AX1067" s="48"/>
      <c r="AY1067" s="48"/>
      <c r="AZ1067" s="48"/>
      <c r="BA1067" s="48"/>
      <c r="BB1067" s="48"/>
      <c r="BC1067" s="48"/>
      <c r="BD1067" s="48"/>
      <c r="BE1067" s="48"/>
      <c r="BF1067" s="52"/>
      <c r="BG1067" s="52"/>
      <c r="BH1067" s="52"/>
      <c r="BI1067" s="52"/>
      <c r="BJ1067" s="52"/>
      <c r="BK1067" s="52"/>
      <c r="BL1067" s="52"/>
      <c r="BM1067" s="54"/>
    </row>
    <row r="1068">
      <c r="A1068" s="42"/>
      <c r="B1068" s="52"/>
      <c r="C1068" s="52"/>
      <c r="D1068" s="52"/>
      <c r="E1068" s="52"/>
      <c r="F1068" s="81"/>
      <c r="G1068" s="57"/>
      <c r="H1068" s="48"/>
      <c r="I1068" s="77"/>
      <c r="J1068" s="62"/>
      <c r="K1068" s="52"/>
      <c r="L1068" s="52"/>
      <c r="M1068" s="76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52"/>
      <c r="AA1068" s="62"/>
      <c r="AB1068" s="52"/>
      <c r="AC1068" s="52"/>
      <c r="AD1068" s="52"/>
      <c r="AE1068" s="52"/>
      <c r="AF1068" s="52"/>
      <c r="AG1068" s="52"/>
      <c r="AH1068" s="48"/>
      <c r="AI1068" s="48"/>
      <c r="AJ1068" s="48"/>
      <c r="AK1068" s="53"/>
      <c r="AL1068" s="53"/>
      <c r="AM1068" s="53"/>
      <c r="AN1068" s="53"/>
      <c r="AO1068" s="53"/>
      <c r="AP1068" s="53"/>
      <c r="AQ1068" s="53"/>
      <c r="AR1068" s="53"/>
      <c r="AS1068" s="53"/>
      <c r="AT1068" s="48"/>
      <c r="AU1068" s="48"/>
      <c r="AV1068" s="48"/>
      <c r="AW1068" s="48"/>
      <c r="AX1068" s="48"/>
      <c r="AY1068" s="48"/>
      <c r="AZ1068" s="48"/>
      <c r="BA1068" s="48"/>
      <c r="BB1068" s="48"/>
      <c r="BC1068" s="48"/>
      <c r="BD1068" s="48"/>
      <c r="BE1068" s="48"/>
      <c r="BF1068" s="52"/>
      <c r="BG1068" s="52"/>
      <c r="BH1068" s="52"/>
      <c r="BI1068" s="52"/>
      <c r="BJ1068" s="52"/>
      <c r="BK1068" s="52"/>
      <c r="BL1068" s="52"/>
      <c r="BM1068" s="54"/>
    </row>
    <row r="1069">
      <c r="A1069" s="42"/>
      <c r="B1069" s="52"/>
      <c r="C1069" s="52"/>
      <c r="D1069" s="52"/>
      <c r="E1069" s="52"/>
      <c r="F1069" s="81"/>
      <c r="G1069" s="57"/>
      <c r="H1069" s="48"/>
      <c r="I1069" s="77"/>
      <c r="J1069" s="62"/>
      <c r="K1069" s="52"/>
      <c r="L1069" s="52"/>
      <c r="M1069" s="76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52"/>
      <c r="AA1069" s="62"/>
      <c r="AB1069" s="52"/>
      <c r="AC1069" s="52"/>
      <c r="AD1069" s="52"/>
      <c r="AE1069" s="52"/>
      <c r="AF1069" s="52"/>
      <c r="AG1069" s="52"/>
      <c r="AH1069" s="48"/>
      <c r="AI1069" s="48"/>
      <c r="AJ1069" s="48"/>
      <c r="AK1069" s="53"/>
      <c r="AL1069" s="53"/>
      <c r="AM1069" s="53"/>
      <c r="AN1069" s="53"/>
      <c r="AO1069" s="53"/>
      <c r="AP1069" s="53"/>
      <c r="AQ1069" s="53"/>
      <c r="AR1069" s="53"/>
      <c r="AS1069" s="53"/>
      <c r="AT1069" s="48"/>
      <c r="AU1069" s="48"/>
      <c r="AV1069" s="48"/>
      <c r="AW1069" s="48"/>
      <c r="AX1069" s="48"/>
      <c r="AY1069" s="48"/>
      <c r="AZ1069" s="48"/>
      <c r="BA1069" s="48"/>
      <c r="BB1069" s="48"/>
      <c r="BC1069" s="48"/>
      <c r="BD1069" s="48"/>
      <c r="BE1069" s="48"/>
      <c r="BF1069" s="52"/>
      <c r="BG1069" s="52"/>
      <c r="BH1069" s="52"/>
      <c r="BI1069" s="52"/>
      <c r="BJ1069" s="52"/>
      <c r="BK1069" s="52"/>
      <c r="BL1069" s="52"/>
      <c r="BM1069" s="54"/>
    </row>
    <row r="1070">
      <c r="A1070" s="42"/>
      <c r="B1070" s="52"/>
      <c r="C1070" s="52"/>
      <c r="D1070" s="52"/>
      <c r="E1070" s="52"/>
      <c r="F1070" s="81"/>
      <c r="G1070" s="57"/>
      <c r="H1070" s="48"/>
      <c r="I1070" s="77"/>
      <c r="J1070" s="62"/>
      <c r="K1070" s="52"/>
      <c r="L1070" s="52"/>
      <c r="M1070" s="76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52"/>
      <c r="AA1070" s="62"/>
      <c r="AB1070" s="52"/>
      <c r="AC1070" s="52"/>
      <c r="AD1070" s="52"/>
      <c r="AE1070" s="52"/>
      <c r="AF1070" s="52"/>
      <c r="AG1070" s="52"/>
      <c r="AH1070" s="48"/>
      <c r="AI1070" s="48"/>
      <c r="AJ1070" s="48"/>
      <c r="AK1070" s="53"/>
      <c r="AL1070" s="53"/>
      <c r="AM1070" s="53"/>
      <c r="AN1070" s="53"/>
      <c r="AO1070" s="53"/>
      <c r="AP1070" s="53"/>
      <c r="AQ1070" s="53"/>
      <c r="AR1070" s="53"/>
      <c r="AS1070" s="53"/>
      <c r="AT1070" s="48"/>
      <c r="AU1070" s="48"/>
      <c r="AV1070" s="48"/>
      <c r="AW1070" s="48"/>
      <c r="AX1070" s="48"/>
      <c r="AY1070" s="48"/>
      <c r="AZ1070" s="48"/>
      <c r="BA1070" s="48"/>
      <c r="BB1070" s="48"/>
      <c r="BC1070" s="48"/>
      <c r="BD1070" s="48"/>
      <c r="BE1070" s="48"/>
      <c r="BF1070" s="52"/>
      <c r="BG1070" s="52"/>
      <c r="BH1070" s="52"/>
      <c r="BI1070" s="52"/>
      <c r="BJ1070" s="52"/>
      <c r="BK1070" s="52"/>
      <c r="BL1070" s="52"/>
      <c r="BM1070" s="54"/>
    </row>
    <row r="1071">
      <c r="A1071" s="42"/>
      <c r="B1071" s="52"/>
      <c r="C1071" s="52"/>
      <c r="D1071" s="52"/>
      <c r="E1071" s="52"/>
      <c r="F1071" s="81"/>
      <c r="G1071" s="57"/>
      <c r="H1071" s="48"/>
      <c r="I1071" s="77"/>
      <c r="J1071" s="62"/>
      <c r="K1071" s="52"/>
      <c r="L1071" s="52"/>
      <c r="M1071" s="76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52"/>
      <c r="AA1071" s="62"/>
      <c r="AB1071" s="52"/>
      <c r="AC1071" s="52"/>
      <c r="AD1071" s="52"/>
      <c r="AE1071" s="52"/>
      <c r="AF1071" s="52"/>
      <c r="AG1071" s="52"/>
      <c r="AH1071" s="48"/>
      <c r="AI1071" s="48"/>
      <c r="AJ1071" s="48"/>
      <c r="AK1071" s="53"/>
      <c r="AL1071" s="53"/>
      <c r="AM1071" s="53"/>
      <c r="AN1071" s="53"/>
      <c r="AO1071" s="53"/>
      <c r="AP1071" s="53"/>
      <c r="AQ1071" s="53"/>
      <c r="AR1071" s="53"/>
      <c r="AS1071" s="53"/>
      <c r="AT1071" s="48"/>
      <c r="AU1071" s="48"/>
      <c r="AV1071" s="48"/>
      <c r="AW1071" s="48"/>
      <c r="AX1071" s="48"/>
      <c r="AY1071" s="48"/>
      <c r="AZ1071" s="48"/>
      <c r="BA1071" s="48"/>
      <c r="BB1071" s="48"/>
      <c r="BC1071" s="48"/>
      <c r="BD1071" s="48"/>
      <c r="BE1071" s="48"/>
      <c r="BF1071" s="52"/>
      <c r="BG1071" s="52"/>
      <c r="BH1071" s="52"/>
      <c r="BI1071" s="52"/>
      <c r="BJ1071" s="52"/>
      <c r="BK1071" s="52"/>
      <c r="BL1071" s="52"/>
      <c r="BM1071" s="54"/>
    </row>
    <row r="1072">
      <c r="A1072" s="42"/>
      <c r="B1072" s="52"/>
      <c r="C1072" s="52"/>
      <c r="D1072" s="52"/>
      <c r="E1072" s="52"/>
      <c r="F1072" s="81"/>
      <c r="G1072" s="57"/>
      <c r="H1072" s="48"/>
      <c r="I1072" s="77"/>
      <c r="J1072" s="62"/>
      <c r="K1072" s="52"/>
      <c r="L1072" s="52"/>
      <c r="M1072" s="76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52"/>
      <c r="AA1072" s="62"/>
      <c r="AB1072" s="52"/>
      <c r="AC1072" s="52"/>
      <c r="AD1072" s="52"/>
      <c r="AE1072" s="52"/>
      <c r="AF1072" s="52"/>
      <c r="AG1072" s="52"/>
      <c r="AH1072" s="48"/>
      <c r="AI1072" s="48"/>
      <c r="AJ1072" s="48"/>
      <c r="AK1072" s="53"/>
      <c r="AL1072" s="53"/>
      <c r="AM1072" s="53"/>
      <c r="AN1072" s="53"/>
      <c r="AO1072" s="53"/>
      <c r="AP1072" s="53"/>
      <c r="AQ1072" s="53"/>
      <c r="AR1072" s="53"/>
      <c r="AS1072" s="53"/>
      <c r="AT1072" s="48"/>
      <c r="AU1072" s="48"/>
      <c r="AV1072" s="48"/>
      <c r="AW1072" s="48"/>
      <c r="AX1072" s="48"/>
      <c r="AY1072" s="48"/>
      <c r="AZ1072" s="48"/>
      <c r="BA1072" s="48"/>
      <c r="BB1072" s="48"/>
      <c r="BC1072" s="48"/>
      <c r="BD1072" s="48"/>
      <c r="BE1072" s="48"/>
      <c r="BF1072" s="52"/>
      <c r="BG1072" s="52"/>
      <c r="BH1072" s="52"/>
      <c r="BI1072" s="52"/>
      <c r="BJ1072" s="52"/>
      <c r="BK1072" s="52"/>
      <c r="BL1072" s="52"/>
      <c r="BM1072" s="54"/>
    </row>
    <row r="1073">
      <c r="A1073" s="42"/>
      <c r="B1073" s="52"/>
      <c r="C1073" s="52"/>
      <c r="D1073" s="52"/>
      <c r="E1073" s="52"/>
      <c r="F1073" s="81"/>
      <c r="G1073" s="57"/>
      <c r="H1073" s="48"/>
      <c r="I1073" s="77"/>
      <c r="J1073" s="62"/>
      <c r="K1073" s="52"/>
      <c r="L1073" s="52"/>
      <c r="M1073" s="76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52"/>
      <c r="AA1073" s="62"/>
      <c r="AB1073" s="52"/>
      <c r="AC1073" s="52"/>
      <c r="AD1073" s="52"/>
      <c r="AE1073" s="52"/>
      <c r="AF1073" s="52"/>
      <c r="AG1073" s="52"/>
      <c r="AH1073" s="48"/>
      <c r="AI1073" s="48"/>
      <c r="AJ1073" s="48"/>
      <c r="AK1073" s="53"/>
      <c r="AL1073" s="53"/>
      <c r="AM1073" s="53"/>
      <c r="AN1073" s="53"/>
      <c r="AO1073" s="53"/>
      <c r="AP1073" s="53"/>
      <c r="AQ1073" s="53"/>
      <c r="AR1073" s="53"/>
      <c r="AS1073" s="53"/>
      <c r="AT1073" s="48"/>
      <c r="AU1073" s="48"/>
      <c r="AV1073" s="48"/>
      <c r="AW1073" s="48"/>
      <c r="AX1073" s="48"/>
      <c r="AY1073" s="48"/>
      <c r="AZ1073" s="48"/>
      <c r="BA1073" s="48"/>
      <c r="BB1073" s="48"/>
      <c r="BC1073" s="48"/>
      <c r="BD1073" s="48"/>
      <c r="BE1073" s="48"/>
      <c r="BF1073" s="52"/>
      <c r="BG1073" s="52"/>
      <c r="BH1073" s="52"/>
      <c r="BI1073" s="52"/>
      <c r="BJ1073" s="52"/>
      <c r="BK1073" s="52"/>
      <c r="BL1073" s="52"/>
      <c r="BM1073" s="54"/>
    </row>
    <row r="1074">
      <c r="A1074" s="42"/>
      <c r="B1074" s="52"/>
      <c r="C1074" s="52"/>
      <c r="D1074" s="52"/>
      <c r="E1074" s="52"/>
      <c r="F1074" s="81"/>
      <c r="G1074" s="57"/>
      <c r="H1074" s="48"/>
      <c r="I1074" s="77"/>
      <c r="J1074" s="62"/>
      <c r="K1074" s="52"/>
      <c r="L1074" s="52"/>
      <c r="M1074" s="76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52"/>
      <c r="AA1074" s="62"/>
      <c r="AB1074" s="52"/>
      <c r="AC1074" s="52"/>
      <c r="AD1074" s="52"/>
      <c r="AE1074" s="52"/>
      <c r="AF1074" s="52"/>
      <c r="AG1074" s="52"/>
      <c r="AH1074" s="48"/>
      <c r="AI1074" s="48"/>
      <c r="AJ1074" s="48"/>
      <c r="AK1074" s="53"/>
      <c r="AL1074" s="53"/>
      <c r="AM1074" s="53"/>
      <c r="AN1074" s="53"/>
      <c r="AO1074" s="53"/>
      <c r="AP1074" s="53"/>
      <c r="AQ1074" s="53"/>
      <c r="AR1074" s="53"/>
      <c r="AS1074" s="53"/>
      <c r="AT1074" s="48"/>
      <c r="AU1074" s="48"/>
      <c r="AV1074" s="48"/>
      <c r="AW1074" s="48"/>
      <c r="AX1074" s="48"/>
      <c r="AY1074" s="48"/>
      <c r="AZ1074" s="48"/>
      <c r="BA1074" s="48"/>
      <c r="BB1074" s="48"/>
      <c r="BC1074" s="48"/>
      <c r="BD1074" s="48"/>
      <c r="BE1074" s="48"/>
      <c r="BF1074" s="52"/>
      <c r="BG1074" s="52"/>
      <c r="BH1074" s="52"/>
      <c r="BI1074" s="52"/>
      <c r="BJ1074" s="52"/>
      <c r="BK1074" s="52"/>
      <c r="BL1074" s="52"/>
      <c r="BM1074" s="54"/>
    </row>
    <row r="1075">
      <c r="A1075" s="42"/>
      <c r="B1075" s="52"/>
      <c r="C1075" s="52"/>
      <c r="D1075" s="52"/>
      <c r="E1075" s="52"/>
      <c r="F1075" s="81"/>
      <c r="G1075" s="57"/>
      <c r="H1075" s="48"/>
      <c r="I1075" s="77"/>
      <c r="J1075" s="62"/>
      <c r="K1075" s="52"/>
      <c r="L1075" s="52"/>
      <c r="M1075" s="76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52"/>
      <c r="AA1075" s="62"/>
      <c r="AB1075" s="52"/>
      <c r="AC1075" s="52"/>
      <c r="AD1075" s="52"/>
      <c r="AE1075" s="52"/>
      <c r="AF1075" s="52"/>
      <c r="AG1075" s="52"/>
      <c r="AH1075" s="48"/>
      <c r="AI1075" s="48"/>
      <c r="AJ1075" s="48"/>
      <c r="AK1075" s="53"/>
      <c r="AL1075" s="53"/>
      <c r="AM1075" s="53"/>
      <c r="AN1075" s="53"/>
      <c r="AO1075" s="53"/>
      <c r="AP1075" s="53"/>
      <c r="AQ1075" s="53"/>
      <c r="AR1075" s="53"/>
      <c r="AS1075" s="53"/>
      <c r="AT1075" s="48"/>
      <c r="AU1075" s="48"/>
      <c r="AV1075" s="48"/>
      <c r="AW1075" s="48"/>
      <c r="AX1075" s="48"/>
      <c r="AY1075" s="48"/>
      <c r="AZ1075" s="48"/>
      <c r="BA1075" s="48"/>
      <c r="BB1075" s="48"/>
      <c r="BC1075" s="48"/>
      <c r="BD1075" s="48"/>
      <c r="BE1075" s="48"/>
      <c r="BF1075" s="52"/>
      <c r="BG1075" s="52"/>
      <c r="BH1075" s="52"/>
      <c r="BI1075" s="52"/>
      <c r="BJ1075" s="52"/>
      <c r="BK1075" s="52"/>
      <c r="BL1075" s="52"/>
      <c r="BM1075" s="54"/>
    </row>
    <row r="1076">
      <c r="A1076" s="42"/>
      <c r="B1076" s="52"/>
      <c r="C1076" s="52"/>
      <c r="D1076" s="52"/>
      <c r="E1076" s="52"/>
      <c r="F1076" s="81"/>
      <c r="G1076" s="57"/>
      <c r="H1076" s="48"/>
      <c r="I1076" s="77"/>
      <c r="J1076" s="62"/>
      <c r="K1076" s="52"/>
      <c r="L1076" s="52"/>
      <c r="M1076" s="76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52"/>
      <c r="AA1076" s="62"/>
      <c r="AB1076" s="52"/>
      <c r="AC1076" s="52"/>
      <c r="AD1076" s="52"/>
      <c r="AE1076" s="52"/>
      <c r="AF1076" s="52"/>
      <c r="AG1076" s="52"/>
      <c r="AH1076" s="48"/>
      <c r="AI1076" s="48"/>
      <c r="AJ1076" s="48"/>
      <c r="AK1076" s="53"/>
      <c r="AL1076" s="53"/>
      <c r="AM1076" s="53"/>
      <c r="AN1076" s="53"/>
      <c r="AO1076" s="53"/>
      <c r="AP1076" s="53"/>
      <c r="AQ1076" s="53"/>
      <c r="AR1076" s="53"/>
      <c r="AS1076" s="53"/>
      <c r="AT1076" s="48"/>
      <c r="AU1076" s="48"/>
      <c r="AV1076" s="48"/>
      <c r="AW1076" s="48"/>
      <c r="AX1076" s="48"/>
      <c r="AY1076" s="48"/>
      <c r="AZ1076" s="48"/>
      <c r="BA1076" s="48"/>
      <c r="BB1076" s="48"/>
      <c r="BC1076" s="48"/>
      <c r="BD1076" s="48"/>
      <c r="BE1076" s="48"/>
      <c r="BF1076" s="52"/>
      <c r="BG1076" s="52"/>
      <c r="BH1076" s="52"/>
      <c r="BI1076" s="52"/>
      <c r="BJ1076" s="52"/>
      <c r="BK1076" s="52"/>
      <c r="BL1076" s="52"/>
      <c r="BM1076" s="54"/>
    </row>
    <row r="1077">
      <c r="A1077" s="42"/>
      <c r="B1077" s="52"/>
      <c r="C1077" s="52"/>
      <c r="D1077" s="52"/>
      <c r="E1077" s="52"/>
      <c r="F1077" s="81"/>
      <c r="G1077" s="57"/>
      <c r="H1077" s="48"/>
      <c r="I1077" s="77"/>
      <c r="J1077" s="62"/>
      <c r="K1077" s="52"/>
      <c r="L1077" s="52"/>
      <c r="M1077" s="76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52"/>
      <c r="AA1077" s="62"/>
      <c r="AB1077" s="52"/>
      <c r="AC1077" s="52"/>
      <c r="AD1077" s="52"/>
      <c r="AE1077" s="52"/>
      <c r="AF1077" s="52"/>
      <c r="AG1077" s="52"/>
      <c r="AH1077" s="48"/>
      <c r="AI1077" s="48"/>
      <c r="AJ1077" s="48"/>
      <c r="AK1077" s="53"/>
      <c r="AL1077" s="53"/>
      <c r="AM1077" s="53"/>
      <c r="AN1077" s="53"/>
      <c r="AO1077" s="53"/>
      <c r="AP1077" s="53"/>
      <c r="AQ1077" s="53"/>
      <c r="AR1077" s="53"/>
      <c r="AS1077" s="53"/>
      <c r="AT1077" s="48"/>
      <c r="AU1077" s="48"/>
      <c r="AV1077" s="48"/>
      <c r="AW1077" s="48"/>
      <c r="AX1077" s="48"/>
      <c r="AY1077" s="48"/>
      <c r="AZ1077" s="48"/>
      <c r="BA1077" s="48"/>
      <c r="BB1077" s="48"/>
      <c r="BC1077" s="48"/>
      <c r="BD1077" s="48"/>
      <c r="BE1077" s="48"/>
      <c r="BF1077" s="52"/>
      <c r="BG1077" s="52"/>
      <c r="BH1077" s="52"/>
      <c r="BI1077" s="52"/>
      <c r="BJ1077" s="52"/>
      <c r="BK1077" s="52"/>
      <c r="BL1077" s="52"/>
      <c r="BM1077" s="54"/>
    </row>
    <row r="1078">
      <c r="A1078" s="42"/>
      <c r="B1078" s="52"/>
      <c r="C1078" s="52"/>
      <c r="D1078" s="52"/>
      <c r="E1078" s="52"/>
      <c r="F1078" s="81"/>
      <c r="G1078" s="57"/>
      <c r="H1078" s="48"/>
      <c r="I1078" s="77"/>
      <c r="J1078" s="62"/>
      <c r="K1078" s="52"/>
      <c r="L1078" s="52"/>
      <c r="M1078" s="76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52"/>
      <c r="AA1078" s="62"/>
      <c r="AB1078" s="52"/>
      <c r="AC1078" s="52"/>
      <c r="AD1078" s="52"/>
      <c r="AE1078" s="52"/>
      <c r="AF1078" s="52"/>
      <c r="AG1078" s="52"/>
      <c r="AH1078" s="48"/>
      <c r="AI1078" s="48"/>
      <c r="AJ1078" s="48"/>
      <c r="AK1078" s="53"/>
      <c r="AL1078" s="53"/>
      <c r="AM1078" s="53"/>
      <c r="AN1078" s="53"/>
      <c r="AO1078" s="53"/>
      <c r="AP1078" s="53"/>
      <c r="AQ1078" s="53"/>
      <c r="AR1078" s="53"/>
      <c r="AS1078" s="53"/>
      <c r="AT1078" s="48"/>
      <c r="AU1078" s="48"/>
      <c r="AV1078" s="48"/>
      <c r="AW1078" s="48"/>
      <c r="AX1078" s="48"/>
      <c r="AY1078" s="48"/>
      <c r="AZ1078" s="48"/>
      <c r="BA1078" s="48"/>
      <c r="BB1078" s="48"/>
      <c r="BC1078" s="48"/>
      <c r="BD1078" s="48"/>
      <c r="BE1078" s="48"/>
      <c r="BF1078" s="52"/>
      <c r="BG1078" s="52"/>
      <c r="BH1078" s="52"/>
      <c r="BI1078" s="52"/>
      <c r="BJ1078" s="52"/>
      <c r="BK1078" s="52"/>
      <c r="BL1078" s="52"/>
      <c r="BM1078" s="54"/>
    </row>
    <row r="1079">
      <c r="A1079" s="42"/>
      <c r="B1079" s="52"/>
      <c r="C1079" s="52"/>
      <c r="D1079" s="52"/>
      <c r="E1079" s="52"/>
      <c r="F1079" s="81"/>
      <c r="G1079" s="57"/>
      <c r="H1079" s="48"/>
      <c r="I1079" s="77"/>
      <c r="J1079" s="62"/>
      <c r="K1079" s="52"/>
      <c r="L1079" s="52"/>
      <c r="M1079" s="76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  <c r="Z1079" s="52"/>
      <c r="AA1079" s="62"/>
      <c r="AB1079" s="52"/>
      <c r="AC1079" s="52"/>
      <c r="AD1079" s="52"/>
      <c r="AE1079" s="52"/>
      <c r="AF1079" s="52"/>
      <c r="AG1079" s="52"/>
      <c r="AH1079" s="48"/>
      <c r="AI1079" s="48"/>
      <c r="AJ1079" s="48"/>
      <c r="AK1079" s="53"/>
      <c r="AL1079" s="53"/>
      <c r="AM1079" s="53"/>
      <c r="AN1079" s="53"/>
      <c r="AO1079" s="53"/>
      <c r="AP1079" s="53"/>
      <c r="AQ1079" s="53"/>
      <c r="AR1079" s="53"/>
      <c r="AS1079" s="53"/>
      <c r="AT1079" s="48"/>
      <c r="AU1079" s="48"/>
      <c r="AV1079" s="48"/>
      <c r="AW1079" s="48"/>
      <c r="AX1079" s="48"/>
      <c r="AY1079" s="48"/>
      <c r="AZ1079" s="48"/>
      <c r="BA1079" s="48"/>
      <c r="BB1079" s="48"/>
      <c r="BC1079" s="48"/>
      <c r="BD1079" s="48"/>
      <c r="BE1079" s="48"/>
      <c r="BF1079" s="52"/>
      <c r="BG1079" s="52"/>
      <c r="BH1079" s="52"/>
      <c r="BI1079" s="52"/>
      <c r="BJ1079" s="52"/>
      <c r="BK1079" s="52"/>
      <c r="BL1079" s="52"/>
      <c r="BM1079" s="54"/>
    </row>
    <row r="1080">
      <c r="A1080" s="42"/>
      <c r="B1080" s="52"/>
      <c r="C1080" s="52"/>
      <c r="D1080" s="52"/>
      <c r="E1080" s="52"/>
      <c r="F1080" s="81"/>
      <c r="G1080" s="57"/>
      <c r="H1080" s="48"/>
      <c r="I1080" s="77"/>
      <c r="J1080" s="62"/>
      <c r="K1080" s="52"/>
      <c r="L1080" s="52"/>
      <c r="M1080" s="76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  <c r="Z1080" s="52"/>
      <c r="AA1080" s="62"/>
      <c r="AB1080" s="52"/>
      <c r="AC1080" s="52"/>
      <c r="AD1080" s="52"/>
      <c r="AE1080" s="52"/>
      <c r="AF1080" s="52"/>
      <c r="AG1080" s="52"/>
      <c r="AH1080" s="48"/>
      <c r="AI1080" s="48"/>
      <c r="AJ1080" s="48"/>
      <c r="AK1080" s="53"/>
      <c r="AL1080" s="53"/>
      <c r="AM1080" s="53"/>
      <c r="AN1080" s="53"/>
      <c r="AO1080" s="53"/>
      <c r="AP1080" s="53"/>
      <c r="AQ1080" s="53"/>
      <c r="AR1080" s="53"/>
      <c r="AS1080" s="53"/>
      <c r="AT1080" s="48"/>
      <c r="AU1080" s="48"/>
      <c r="AV1080" s="48"/>
      <c r="AW1080" s="48"/>
      <c r="AX1080" s="48"/>
      <c r="AY1080" s="48"/>
      <c r="AZ1080" s="48"/>
      <c r="BA1080" s="48"/>
      <c r="BB1080" s="48"/>
      <c r="BC1080" s="48"/>
      <c r="BD1080" s="48"/>
      <c r="BE1080" s="48"/>
      <c r="BF1080" s="52"/>
      <c r="BG1080" s="52"/>
      <c r="BH1080" s="52"/>
      <c r="BI1080" s="52"/>
      <c r="BJ1080" s="52"/>
      <c r="BK1080" s="52"/>
      <c r="BL1080" s="52"/>
      <c r="BM1080" s="54"/>
    </row>
    <row r="1081">
      <c r="A1081" s="42"/>
      <c r="B1081" s="52"/>
      <c r="C1081" s="52"/>
      <c r="D1081" s="52"/>
      <c r="E1081" s="52"/>
      <c r="F1081" s="81"/>
      <c r="G1081" s="57"/>
      <c r="H1081" s="48"/>
      <c r="I1081" s="77"/>
      <c r="J1081" s="62"/>
      <c r="K1081" s="52"/>
      <c r="L1081" s="52"/>
      <c r="M1081" s="76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52"/>
      <c r="AA1081" s="62"/>
      <c r="AB1081" s="52"/>
      <c r="AC1081" s="52"/>
      <c r="AD1081" s="52"/>
      <c r="AE1081" s="52"/>
      <c r="AF1081" s="52"/>
      <c r="AG1081" s="52"/>
      <c r="AH1081" s="48"/>
      <c r="AI1081" s="48"/>
      <c r="AJ1081" s="48"/>
      <c r="AK1081" s="53"/>
      <c r="AL1081" s="53"/>
      <c r="AM1081" s="53"/>
      <c r="AN1081" s="53"/>
      <c r="AO1081" s="53"/>
      <c r="AP1081" s="53"/>
      <c r="AQ1081" s="53"/>
      <c r="AR1081" s="53"/>
      <c r="AS1081" s="53"/>
      <c r="AT1081" s="48"/>
      <c r="AU1081" s="48"/>
      <c r="AV1081" s="48"/>
      <c r="AW1081" s="48"/>
      <c r="AX1081" s="48"/>
      <c r="AY1081" s="48"/>
      <c r="AZ1081" s="48"/>
      <c r="BA1081" s="48"/>
      <c r="BB1081" s="48"/>
      <c r="BC1081" s="48"/>
      <c r="BD1081" s="48"/>
      <c r="BE1081" s="48"/>
      <c r="BF1081" s="52"/>
      <c r="BG1081" s="52"/>
      <c r="BH1081" s="52"/>
      <c r="BI1081" s="52"/>
      <c r="BJ1081" s="52"/>
      <c r="BK1081" s="52"/>
      <c r="BL1081" s="52"/>
      <c r="BM1081" s="54"/>
    </row>
    <row r="1082">
      <c r="A1082" s="42"/>
      <c r="B1082" s="52"/>
      <c r="C1082" s="52"/>
      <c r="D1082" s="52"/>
      <c r="E1082" s="52"/>
      <c r="F1082" s="81"/>
      <c r="G1082" s="57"/>
      <c r="H1082" s="48"/>
      <c r="I1082" s="77"/>
      <c r="J1082" s="62"/>
      <c r="K1082" s="52"/>
      <c r="L1082" s="52"/>
      <c r="M1082" s="76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  <c r="Z1082" s="52"/>
      <c r="AA1082" s="62"/>
      <c r="AB1082" s="52"/>
      <c r="AC1082" s="52"/>
      <c r="AD1082" s="52"/>
      <c r="AE1082" s="52"/>
      <c r="AF1082" s="52"/>
      <c r="AG1082" s="52"/>
      <c r="AH1082" s="48"/>
      <c r="AI1082" s="48"/>
      <c r="AJ1082" s="48"/>
      <c r="AK1082" s="53"/>
      <c r="AL1082" s="53"/>
      <c r="AM1082" s="53"/>
      <c r="AN1082" s="53"/>
      <c r="AO1082" s="53"/>
      <c r="AP1082" s="53"/>
      <c r="AQ1082" s="53"/>
      <c r="AR1082" s="53"/>
      <c r="AS1082" s="53"/>
      <c r="AT1082" s="48"/>
      <c r="AU1082" s="48"/>
      <c r="AV1082" s="48"/>
      <c r="AW1082" s="48"/>
      <c r="AX1082" s="48"/>
      <c r="AY1082" s="48"/>
      <c r="AZ1082" s="48"/>
      <c r="BA1082" s="48"/>
      <c r="BB1082" s="48"/>
      <c r="BC1082" s="48"/>
      <c r="BD1082" s="48"/>
      <c r="BE1082" s="48"/>
      <c r="BF1082" s="52"/>
      <c r="BG1082" s="52"/>
      <c r="BH1082" s="52"/>
      <c r="BI1082" s="52"/>
      <c r="BJ1082" s="52"/>
      <c r="BK1082" s="52"/>
      <c r="BL1082" s="52"/>
      <c r="BM1082" s="54"/>
    </row>
    <row r="1083">
      <c r="A1083" s="42"/>
      <c r="B1083" s="52"/>
      <c r="C1083" s="52"/>
      <c r="D1083" s="52"/>
      <c r="E1083" s="52"/>
      <c r="F1083" s="81"/>
      <c r="G1083" s="57"/>
      <c r="H1083" s="48"/>
      <c r="I1083" s="77"/>
      <c r="J1083" s="62"/>
      <c r="K1083" s="52"/>
      <c r="L1083" s="52"/>
      <c r="M1083" s="76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  <c r="Z1083" s="52"/>
      <c r="AA1083" s="62"/>
      <c r="AB1083" s="52"/>
      <c r="AC1083" s="52"/>
      <c r="AD1083" s="52"/>
      <c r="AE1083" s="52"/>
      <c r="AF1083" s="52"/>
      <c r="AG1083" s="52"/>
      <c r="AH1083" s="48"/>
      <c r="AI1083" s="48"/>
      <c r="AJ1083" s="48"/>
      <c r="AK1083" s="53"/>
      <c r="AL1083" s="53"/>
      <c r="AM1083" s="53"/>
      <c r="AN1083" s="53"/>
      <c r="AO1083" s="53"/>
      <c r="AP1083" s="53"/>
      <c r="AQ1083" s="53"/>
      <c r="AR1083" s="53"/>
      <c r="AS1083" s="53"/>
      <c r="AT1083" s="48"/>
      <c r="AU1083" s="48"/>
      <c r="AV1083" s="48"/>
      <c r="AW1083" s="48"/>
      <c r="AX1083" s="48"/>
      <c r="AY1083" s="48"/>
      <c r="AZ1083" s="48"/>
      <c r="BA1083" s="48"/>
      <c r="BB1083" s="48"/>
      <c r="BC1083" s="48"/>
      <c r="BD1083" s="48"/>
      <c r="BE1083" s="48"/>
      <c r="BF1083" s="52"/>
      <c r="BG1083" s="52"/>
      <c r="BH1083" s="52"/>
      <c r="BI1083" s="52"/>
      <c r="BJ1083" s="52"/>
      <c r="BK1083" s="52"/>
      <c r="BL1083" s="52"/>
      <c r="BM1083" s="54"/>
    </row>
    <row r="1084">
      <c r="A1084" s="42"/>
      <c r="B1084" s="52"/>
      <c r="C1084" s="52"/>
      <c r="D1084" s="52"/>
      <c r="E1084" s="52"/>
      <c r="F1084" s="81"/>
      <c r="G1084" s="57"/>
      <c r="H1084" s="48"/>
      <c r="I1084" s="77"/>
      <c r="J1084" s="62"/>
      <c r="K1084" s="52"/>
      <c r="L1084" s="52"/>
      <c r="M1084" s="76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  <c r="Z1084" s="52"/>
      <c r="AA1084" s="62"/>
      <c r="AB1084" s="52"/>
      <c r="AC1084" s="52"/>
      <c r="AD1084" s="52"/>
      <c r="AE1084" s="52"/>
      <c r="AF1084" s="52"/>
      <c r="AG1084" s="52"/>
      <c r="AH1084" s="48"/>
      <c r="AI1084" s="48"/>
      <c r="AJ1084" s="48"/>
      <c r="AK1084" s="53"/>
      <c r="AL1084" s="53"/>
      <c r="AM1084" s="53"/>
      <c r="AN1084" s="53"/>
      <c r="AO1084" s="53"/>
      <c r="AP1084" s="53"/>
      <c r="AQ1084" s="53"/>
      <c r="AR1084" s="53"/>
      <c r="AS1084" s="53"/>
      <c r="AT1084" s="48"/>
      <c r="AU1084" s="48"/>
      <c r="AV1084" s="48"/>
      <c r="AW1084" s="48"/>
      <c r="AX1084" s="48"/>
      <c r="AY1084" s="48"/>
      <c r="AZ1084" s="48"/>
      <c r="BA1084" s="48"/>
      <c r="BB1084" s="48"/>
      <c r="BC1084" s="48"/>
      <c r="BD1084" s="48"/>
      <c r="BE1084" s="48"/>
      <c r="BF1084" s="52"/>
      <c r="BG1084" s="52"/>
      <c r="BH1084" s="52"/>
      <c r="BI1084" s="52"/>
      <c r="BJ1084" s="52"/>
      <c r="BK1084" s="52"/>
      <c r="BL1084" s="52"/>
      <c r="BM1084" s="54"/>
    </row>
    <row r="1085">
      <c r="A1085" s="42"/>
      <c r="B1085" s="52"/>
      <c r="C1085" s="52"/>
      <c r="D1085" s="52"/>
      <c r="E1085" s="52"/>
      <c r="F1085" s="81"/>
      <c r="G1085" s="57"/>
      <c r="H1085" s="48"/>
      <c r="I1085" s="77"/>
      <c r="J1085" s="62"/>
      <c r="K1085" s="52"/>
      <c r="L1085" s="52"/>
      <c r="M1085" s="76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  <c r="Z1085" s="52"/>
      <c r="AA1085" s="62"/>
      <c r="AB1085" s="52"/>
      <c r="AC1085" s="52"/>
      <c r="AD1085" s="52"/>
      <c r="AE1085" s="52"/>
      <c r="AF1085" s="52"/>
      <c r="AG1085" s="52"/>
      <c r="AH1085" s="48"/>
      <c r="AI1085" s="48"/>
      <c r="AJ1085" s="48"/>
      <c r="AK1085" s="53"/>
      <c r="AL1085" s="53"/>
      <c r="AM1085" s="53"/>
      <c r="AN1085" s="53"/>
      <c r="AO1085" s="53"/>
      <c r="AP1085" s="53"/>
      <c r="AQ1085" s="53"/>
      <c r="AR1085" s="53"/>
      <c r="AS1085" s="53"/>
      <c r="AT1085" s="48"/>
      <c r="AU1085" s="48"/>
      <c r="AV1085" s="48"/>
      <c r="AW1085" s="48"/>
      <c r="AX1085" s="48"/>
      <c r="AY1085" s="48"/>
      <c r="AZ1085" s="48"/>
      <c r="BA1085" s="48"/>
      <c r="BB1085" s="48"/>
      <c r="BC1085" s="48"/>
      <c r="BD1085" s="48"/>
      <c r="BE1085" s="48"/>
      <c r="BF1085" s="52"/>
      <c r="BG1085" s="52"/>
      <c r="BH1085" s="52"/>
      <c r="BI1085" s="52"/>
      <c r="BJ1085" s="52"/>
      <c r="BK1085" s="52"/>
      <c r="BL1085" s="52"/>
      <c r="BM1085" s="54"/>
    </row>
    <row r="1086">
      <c r="A1086" s="42"/>
      <c r="B1086" s="52"/>
      <c r="C1086" s="52"/>
      <c r="D1086" s="52"/>
      <c r="E1086" s="52"/>
      <c r="F1086" s="81"/>
      <c r="G1086" s="57"/>
      <c r="H1086" s="48"/>
      <c r="I1086" s="77"/>
      <c r="J1086" s="62"/>
      <c r="K1086" s="52"/>
      <c r="L1086" s="52"/>
      <c r="M1086" s="76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  <c r="Z1086" s="52"/>
      <c r="AA1086" s="62"/>
      <c r="AB1086" s="52"/>
      <c r="AC1086" s="52"/>
      <c r="AD1086" s="52"/>
      <c r="AE1086" s="52"/>
      <c r="AF1086" s="52"/>
      <c r="AG1086" s="52"/>
      <c r="AH1086" s="48"/>
      <c r="AI1086" s="48"/>
      <c r="AJ1086" s="48"/>
      <c r="AK1086" s="53"/>
      <c r="AL1086" s="53"/>
      <c r="AM1086" s="53"/>
      <c r="AN1086" s="53"/>
      <c r="AO1086" s="53"/>
      <c r="AP1086" s="53"/>
      <c r="AQ1086" s="53"/>
      <c r="AR1086" s="53"/>
      <c r="AS1086" s="53"/>
      <c r="AT1086" s="48"/>
      <c r="AU1086" s="48"/>
      <c r="AV1086" s="48"/>
      <c r="AW1086" s="48"/>
      <c r="AX1086" s="48"/>
      <c r="AY1086" s="48"/>
      <c r="AZ1086" s="48"/>
      <c r="BA1086" s="48"/>
      <c r="BB1086" s="48"/>
      <c r="BC1086" s="48"/>
      <c r="BD1086" s="48"/>
      <c r="BE1086" s="48"/>
      <c r="BF1086" s="52"/>
      <c r="BG1086" s="52"/>
      <c r="BH1086" s="52"/>
      <c r="BI1086" s="52"/>
      <c r="BJ1086" s="52"/>
      <c r="BK1086" s="52"/>
      <c r="BL1086" s="52"/>
      <c r="BM1086" s="54"/>
    </row>
    <row r="1087">
      <c r="A1087" s="42"/>
      <c r="B1087" s="52"/>
      <c r="C1087" s="52"/>
      <c r="D1087" s="52"/>
      <c r="E1087" s="52"/>
      <c r="F1087" s="81"/>
      <c r="G1087" s="57"/>
      <c r="H1087" s="48"/>
      <c r="I1087" s="77"/>
      <c r="J1087" s="62"/>
      <c r="K1087" s="52"/>
      <c r="L1087" s="52"/>
      <c r="M1087" s="76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  <c r="Z1087" s="52"/>
      <c r="AA1087" s="62"/>
      <c r="AB1087" s="52"/>
      <c r="AC1087" s="52"/>
      <c r="AD1087" s="52"/>
      <c r="AE1087" s="52"/>
      <c r="AF1087" s="52"/>
      <c r="AG1087" s="52"/>
      <c r="AH1087" s="48"/>
      <c r="AI1087" s="48"/>
      <c r="AJ1087" s="48"/>
      <c r="AK1087" s="53"/>
      <c r="AL1087" s="53"/>
      <c r="AM1087" s="53"/>
      <c r="AN1087" s="53"/>
      <c r="AO1087" s="53"/>
      <c r="AP1087" s="53"/>
      <c r="AQ1087" s="53"/>
      <c r="AR1087" s="53"/>
      <c r="AS1087" s="53"/>
      <c r="AT1087" s="48"/>
      <c r="AU1087" s="48"/>
      <c r="AV1087" s="48"/>
      <c r="AW1087" s="48"/>
      <c r="AX1087" s="48"/>
      <c r="AY1087" s="48"/>
      <c r="AZ1087" s="48"/>
      <c r="BA1087" s="48"/>
      <c r="BB1087" s="48"/>
      <c r="BC1087" s="48"/>
      <c r="BD1087" s="48"/>
      <c r="BE1087" s="48"/>
      <c r="BF1087" s="52"/>
      <c r="BG1087" s="52"/>
      <c r="BH1087" s="52"/>
      <c r="BI1087" s="52"/>
      <c r="BJ1087" s="52"/>
      <c r="BK1087" s="52"/>
      <c r="BL1087" s="52"/>
      <c r="BM1087" s="54"/>
    </row>
    <row r="1088">
      <c r="A1088" s="42"/>
      <c r="B1088" s="52"/>
      <c r="C1088" s="52"/>
      <c r="D1088" s="52"/>
      <c r="E1088" s="52"/>
      <c r="F1088" s="81"/>
      <c r="G1088" s="57"/>
      <c r="H1088" s="48"/>
      <c r="I1088" s="77"/>
      <c r="J1088" s="62"/>
      <c r="K1088" s="52"/>
      <c r="L1088" s="52"/>
      <c r="M1088" s="76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  <c r="Z1088" s="52"/>
      <c r="AA1088" s="62"/>
      <c r="AB1088" s="52"/>
      <c r="AC1088" s="52"/>
      <c r="AD1088" s="52"/>
      <c r="AE1088" s="52"/>
      <c r="AF1088" s="52"/>
      <c r="AG1088" s="52"/>
      <c r="AH1088" s="48"/>
      <c r="AI1088" s="48"/>
      <c r="AJ1088" s="48"/>
      <c r="AK1088" s="53"/>
      <c r="AL1088" s="53"/>
      <c r="AM1088" s="53"/>
      <c r="AN1088" s="53"/>
      <c r="AO1088" s="53"/>
      <c r="AP1088" s="53"/>
      <c r="AQ1088" s="53"/>
      <c r="AR1088" s="53"/>
      <c r="AS1088" s="53"/>
      <c r="AT1088" s="48"/>
      <c r="AU1088" s="48"/>
      <c r="AV1088" s="48"/>
      <c r="AW1088" s="48"/>
      <c r="AX1088" s="48"/>
      <c r="AY1088" s="48"/>
      <c r="AZ1088" s="48"/>
      <c r="BA1088" s="48"/>
      <c r="BB1088" s="48"/>
      <c r="BC1088" s="48"/>
      <c r="BD1088" s="48"/>
      <c r="BE1088" s="48"/>
      <c r="BF1088" s="52"/>
      <c r="BG1088" s="52"/>
      <c r="BH1088" s="52"/>
      <c r="BI1088" s="52"/>
      <c r="BJ1088" s="52"/>
      <c r="BK1088" s="52"/>
      <c r="BL1088" s="52"/>
      <c r="BM1088" s="54"/>
    </row>
    <row r="1089">
      <c r="A1089" s="42"/>
      <c r="B1089" s="52"/>
      <c r="C1089" s="52"/>
      <c r="D1089" s="52"/>
      <c r="E1089" s="52"/>
      <c r="F1089" s="81"/>
      <c r="G1089" s="57"/>
      <c r="H1089" s="48"/>
      <c r="I1089" s="77"/>
      <c r="J1089" s="62"/>
      <c r="K1089" s="52"/>
      <c r="L1089" s="52"/>
      <c r="M1089" s="76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  <c r="Y1089" s="52"/>
      <c r="Z1089" s="52"/>
      <c r="AA1089" s="62"/>
      <c r="AB1089" s="52"/>
      <c r="AC1089" s="52"/>
      <c r="AD1089" s="52"/>
      <c r="AE1089" s="52"/>
      <c r="AF1089" s="52"/>
      <c r="AG1089" s="52"/>
      <c r="AH1089" s="48"/>
      <c r="AI1089" s="48"/>
      <c r="AJ1089" s="48"/>
      <c r="AK1089" s="53"/>
      <c r="AL1089" s="53"/>
      <c r="AM1089" s="53"/>
      <c r="AN1089" s="53"/>
      <c r="AO1089" s="53"/>
      <c r="AP1089" s="53"/>
      <c r="AQ1089" s="53"/>
      <c r="AR1089" s="53"/>
      <c r="AS1089" s="53"/>
      <c r="AT1089" s="48"/>
      <c r="AU1089" s="48"/>
      <c r="AV1089" s="48"/>
      <c r="AW1089" s="48"/>
      <c r="AX1089" s="48"/>
      <c r="AY1089" s="48"/>
      <c r="AZ1089" s="48"/>
      <c r="BA1089" s="48"/>
      <c r="BB1089" s="48"/>
      <c r="BC1089" s="48"/>
      <c r="BD1089" s="48"/>
      <c r="BE1089" s="48"/>
      <c r="BF1089" s="52"/>
      <c r="BG1089" s="52"/>
      <c r="BH1089" s="52"/>
      <c r="BI1089" s="52"/>
      <c r="BJ1089" s="52"/>
      <c r="BK1089" s="52"/>
      <c r="BL1089" s="52"/>
      <c r="BM1089" s="54"/>
    </row>
    <row r="1090">
      <c r="A1090" s="42"/>
      <c r="B1090" s="52"/>
      <c r="C1090" s="52"/>
      <c r="D1090" s="52"/>
      <c r="E1090" s="52"/>
      <c r="F1090" s="81"/>
      <c r="G1090" s="57"/>
      <c r="H1090" s="48"/>
      <c r="I1090" s="77"/>
      <c r="J1090" s="62"/>
      <c r="K1090" s="52"/>
      <c r="L1090" s="52"/>
      <c r="M1090" s="76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  <c r="Y1090" s="52"/>
      <c r="Z1090" s="52"/>
      <c r="AA1090" s="62"/>
      <c r="AB1090" s="52"/>
      <c r="AC1090" s="52"/>
      <c r="AD1090" s="52"/>
      <c r="AE1090" s="52"/>
      <c r="AF1090" s="52"/>
      <c r="AG1090" s="52"/>
      <c r="AH1090" s="48"/>
      <c r="AI1090" s="48"/>
      <c r="AJ1090" s="48"/>
      <c r="AK1090" s="53"/>
      <c r="AL1090" s="53"/>
      <c r="AM1090" s="53"/>
      <c r="AN1090" s="53"/>
      <c r="AO1090" s="53"/>
      <c r="AP1090" s="53"/>
      <c r="AQ1090" s="53"/>
      <c r="AR1090" s="53"/>
      <c r="AS1090" s="53"/>
      <c r="AT1090" s="48"/>
      <c r="AU1090" s="48"/>
      <c r="AV1090" s="48"/>
      <c r="AW1090" s="48"/>
      <c r="AX1090" s="48"/>
      <c r="AY1090" s="48"/>
      <c r="AZ1090" s="48"/>
      <c r="BA1090" s="48"/>
      <c r="BB1090" s="48"/>
      <c r="BC1090" s="48"/>
      <c r="BD1090" s="48"/>
      <c r="BE1090" s="48"/>
      <c r="BF1090" s="52"/>
      <c r="BG1090" s="52"/>
      <c r="BH1090" s="52"/>
      <c r="BI1090" s="52"/>
      <c r="BJ1090" s="52"/>
      <c r="BK1090" s="52"/>
      <c r="BL1090" s="52"/>
      <c r="BM1090" s="54"/>
    </row>
    <row r="1091">
      <c r="A1091" s="42"/>
      <c r="B1091" s="52"/>
      <c r="C1091" s="52"/>
      <c r="D1091" s="52"/>
      <c r="E1091" s="52"/>
      <c r="F1091" s="81"/>
      <c r="G1091" s="57"/>
      <c r="H1091" s="48"/>
      <c r="I1091" s="77"/>
      <c r="J1091" s="62"/>
      <c r="K1091" s="52"/>
      <c r="L1091" s="52"/>
      <c r="M1091" s="76"/>
      <c r="N1091" s="52"/>
      <c r="O1091" s="52"/>
      <c r="P1091" s="52"/>
      <c r="Q1091" s="52"/>
      <c r="R1091" s="52"/>
      <c r="S1091" s="52"/>
      <c r="T1091" s="52"/>
      <c r="U1091" s="52"/>
      <c r="V1091" s="52"/>
      <c r="W1091" s="52"/>
      <c r="X1091" s="52"/>
      <c r="Y1091" s="52"/>
      <c r="Z1091" s="52"/>
      <c r="AA1091" s="62"/>
      <c r="AB1091" s="52"/>
      <c r="AC1091" s="52"/>
      <c r="AD1091" s="52"/>
      <c r="AE1091" s="52"/>
      <c r="AF1091" s="52"/>
      <c r="AG1091" s="52"/>
      <c r="AH1091" s="48"/>
      <c r="AI1091" s="48"/>
      <c r="AJ1091" s="48"/>
      <c r="AK1091" s="53"/>
      <c r="AL1091" s="53"/>
      <c r="AM1091" s="53"/>
      <c r="AN1091" s="53"/>
      <c r="AO1091" s="53"/>
      <c r="AP1091" s="53"/>
      <c r="AQ1091" s="53"/>
      <c r="AR1091" s="53"/>
      <c r="AS1091" s="53"/>
      <c r="AT1091" s="48"/>
      <c r="AU1091" s="48"/>
      <c r="AV1091" s="48"/>
      <c r="AW1091" s="48"/>
      <c r="AX1091" s="48"/>
      <c r="AY1091" s="48"/>
      <c r="AZ1091" s="48"/>
      <c r="BA1091" s="48"/>
      <c r="BB1091" s="48"/>
      <c r="BC1091" s="48"/>
      <c r="BD1091" s="48"/>
      <c r="BE1091" s="48"/>
      <c r="BF1091" s="52"/>
      <c r="BG1091" s="52"/>
      <c r="BH1091" s="52"/>
      <c r="BI1091" s="52"/>
      <c r="BJ1091" s="52"/>
      <c r="BK1091" s="52"/>
      <c r="BL1091" s="52"/>
      <c r="BM1091" s="54"/>
    </row>
    <row r="1092">
      <c r="A1092" s="42"/>
      <c r="B1092" s="52"/>
      <c r="C1092" s="52"/>
      <c r="D1092" s="52"/>
      <c r="E1092" s="52"/>
      <c r="F1092" s="81"/>
      <c r="G1092" s="57"/>
      <c r="H1092" s="48"/>
      <c r="I1092" s="77"/>
      <c r="J1092" s="62"/>
      <c r="K1092" s="52"/>
      <c r="L1092" s="52"/>
      <c r="M1092" s="76"/>
      <c r="N1092" s="52"/>
      <c r="O1092" s="52"/>
      <c r="P1092" s="52"/>
      <c r="Q1092" s="52"/>
      <c r="R1092" s="52"/>
      <c r="S1092" s="52"/>
      <c r="T1092" s="52"/>
      <c r="U1092" s="52"/>
      <c r="V1092" s="52"/>
      <c r="W1092" s="52"/>
      <c r="X1092" s="52"/>
      <c r="Y1092" s="52"/>
      <c r="Z1092" s="52"/>
      <c r="AA1092" s="62"/>
      <c r="AB1092" s="52"/>
      <c r="AC1092" s="52"/>
      <c r="AD1092" s="52"/>
      <c r="AE1092" s="52"/>
      <c r="AF1092" s="52"/>
      <c r="AG1092" s="52"/>
      <c r="AH1092" s="48"/>
      <c r="AI1092" s="48"/>
      <c r="AJ1092" s="48"/>
      <c r="AK1092" s="53"/>
      <c r="AL1092" s="53"/>
      <c r="AM1092" s="53"/>
      <c r="AN1092" s="53"/>
      <c r="AO1092" s="53"/>
      <c r="AP1092" s="53"/>
      <c r="AQ1092" s="53"/>
      <c r="AR1092" s="53"/>
      <c r="AS1092" s="53"/>
      <c r="AT1092" s="48"/>
      <c r="AU1092" s="48"/>
      <c r="AV1092" s="48"/>
      <c r="AW1092" s="48"/>
      <c r="AX1092" s="48"/>
      <c r="AY1092" s="48"/>
      <c r="AZ1092" s="48"/>
      <c r="BA1092" s="48"/>
      <c r="BB1092" s="48"/>
      <c r="BC1092" s="48"/>
      <c r="BD1092" s="48"/>
      <c r="BE1092" s="48"/>
      <c r="BF1092" s="52"/>
      <c r="BG1092" s="52"/>
      <c r="BH1092" s="52"/>
      <c r="BI1092" s="52"/>
      <c r="BJ1092" s="52"/>
      <c r="BK1092" s="52"/>
      <c r="BL1092" s="52"/>
      <c r="BM1092" s="54"/>
    </row>
    <row r="1093">
      <c r="A1093" s="42"/>
      <c r="B1093" s="52"/>
      <c r="C1093" s="52"/>
      <c r="D1093" s="52"/>
      <c r="E1093" s="52"/>
      <c r="F1093" s="81"/>
      <c r="G1093" s="57"/>
      <c r="H1093" s="48"/>
      <c r="I1093" s="77"/>
      <c r="J1093" s="62"/>
      <c r="K1093" s="52"/>
      <c r="L1093" s="52"/>
      <c r="M1093" s="76"/>
      <c r="N1093" s="52"/>
      <c r="O1093" s="52"/>
      <c r="P1093" s="52"/>
      <c r="Q1093" s="52"/>
      <c r="R1093" s="52"/>
      <c r="S1093" s="52"/>
      <c r="T1093" s="52"/>
      <c r="U1093" s="52"/>
      <c r="V1093" s="52"/>
      <c r="W1093" s="52"/>
      <c r="X1093" s="52"/>
      <c r="Y1093" s="52"/>
      <c r="Z1093" s="52"/>
      <c r="AA1093" s="62"/>
      <c r="AB1093" s="52"/>
      <c r="AC1093" s="52"/>
      <c r="AD1093" s="52"/>
      <c r="AE1093" s="52"/>
      <c r="AF1093" s="52"/>
      <c r="AG1093" s="52"/>
      <c r="AH1093" s="48"/>
      <c r="AI1093" s="48"/>
      <c r="AJ1093" s="48"/>
      <c r="AK1093" s="53"/>
      <c r="AL1093" s="53"/>
      <c r="AM1093" s="53"/>
      <c r="AN1093" s="53"/>
      <c r="AO1093" s="53"/>
      <c r="AP1093" s="53"/>
      <c r="AQ1093" s="53"/>
      <c r="AR1093" s="53"/>
      <c r="AS1093" s="53"/>
      <c r="AT1093" s="48"/>
      <c r="AU1093" s="48"/>
      <c r="AV1093" s="48"/>
      <c r="AW1093" s="48"/>
      <c r="AX1093" s="48"/>
      <c r="AY1093" s="48"/>
      <c r="AZ1093" s="48"/>
      <c r="BA1093" s="48"/>
      <c r="BB1093" s="48"/>
      <c r="BC1093" s="48"/>
      <c r="BD1093" s="48"/>
      <c r="BE1093" s="48"/>
      <c r="BF1093" s="52"/>
      <c r="BG1093" s="52"/>
      <c r="BH1093" s="52"/>
      <c r="BI1093" s="52"/>
      <c r="BJ1093" s="52"/>
      <c r="BK1093" s="52"/>
      <c r="BL1093" s="52"/>
      <c r="BM1093" s="54"/>
    </row>
    <row r="1094">
      <c r="A1094" s="42"/>
      <c r="B1094" s="52"/>
      <c r="C1094" s="52"/>
      <c r="D1094" s="52"/>
      <c r="E1094" s="52"/>
      <c r="F1094" s="81"/>
      <c r="G1094" s="57"/>
      <c r="H1094" s="48"/>
      <c r="I1094" s="77"/>
      <c r="J1094" s="62"/>
      <c r="K1094" s="52"/>
      <c r="L1094" s="52"/>
      <c r="M1094" s="76"/>
      <c r="N1094" s="52"/>
      <c r="O1094" s="52"/>
      <c r="P1094" s="52"/>
      <c r="Q1094" s="52"/>
      <c r="R1094" s="52"/>
      <c r="S1094" s="52"/>
      <c r="T1094" s="52"/>
      <c r="U1094" s="52"/>
      <c r="V1094" s="52"/>
      <c r="W1094" s="52"/>
      <c r="X1094" s="52"/>
      <c r="Y1094" s="52"/>
      <c r="Z1094" s="52"/>
      <c r="AA1094" s="62"/>
      <c r="AB1094" s="52"/>
      <c r="AC1094" s="52"/>
      <c r="AD1094" s="52"/>
      <c r="AE1094" s="52"/>
      <c r="AF1094" s="52"/>
      <c r="AG1094" s="52"/>
      <c r="AH1094" s="48"/>
      <c r="AI1094" s="48"/>
      <c r="AJ1094" s="48"/>
      <c r="AK1094" s="53"/>
      <c r="AL1094" s="53"/>
      <c r="AM1094" s="53"/>
      <c r="AN1094" s="53"/>
      <c r="AO1094" s="53"/>
      <c r="AP1094" s="53"/>
      <c r="AQ1094" s="53"/>
      <c r="AR1094" s="53"/>
      <c r="AS1094" s="53"/>
      <c r="AT1094" s="48"/>
      <c r="AU1094" s="48"/>
      <c r="AV1094" s="48"/>
      <c r="AW1094" s="48"/>
      <c r="AX1094" s="48"/>
      <c r="AY1094" s="48"/>
      <c r="AZ1094" s="48"/>
      <c r="BA1094" s="48"/>
      <c r="BB1094" s="48"/>
      <c r="BC1094" s="48"/>
      <c r="BD1094" s="48"/>
      <c r="BE1094" s="48"/>
      <c r="BF1094" s="52"/>
      <c r="BG1094" s="52"/>
      <c r="BH1094" s="52"/>
      <c r="BI1094" s="52"/>
      <c r="BJ1094" s="52"/>
      <c r="BK1094" s="52"/>
      <c r="BL1094" s="52"/>
      <c r="BM1094" s="54"/>
    </row>
    <row r="1095">
      <c r="A1095" s="42"/>
      <c r="B1095" s="52"/>
      <c r="C1095" s="52"/>
      <c r="D1095" s="52"/>
      <c r="E1095" s="52"/>
      <c r="F1095" s="81"/>
      <c r="G1095" s="57"/>
      <c r="H1095" s="48"/>
      <c r="I1095" s="77"/>
      <c r="J1095" s="62"/>
      <c r="K1095" s="52"/>
      <c r="L1095" s="52"/>
      <c r="M1095" s="76"/>
      <c r="N1095" s="52"/>
      <c r="O1095" s="52"/>
      <c r="P1095" s="52"/>
      <c r="Q1095" s="52"/>
      <c r="R1095" s="52"/>
      <c r="S1095" s="52"/>
      <c r="T1095" s="52"/>
      <c r="U1095" s="52"/>
      <c r="V1095" s="52"/>
      <c r="W1095" s="52"/>
      <c r="X1095" s="52"/>
      <c r="Y1095" s="52"/>
      <c r="Z1095" s="52"/>
      <c r="AA1095" s="62"/>
      <c r="AB1095" s="52"/>
      <c r="AC1095" s="52"/>
      <c r="AD1095" s="52"/>
      <c r="AE1095" s="52"/>
      <c r="AF1095" s="52"/>
      <c r="AG1095" s="52"/>
      <c r="AH1095" s="48"/>
      <c r="AI1095" s="48"/>
      <c r="AJ1095" s="48"/>
      <c r="AK1095" s="53"/>
      <c r="AL1095" s="53"/>
      <c r="AM1095" s="53"/>
      <c r="AN1095" s="53"/>
      <c r="AO1095" s="53"/>
      <c r="AP1095" s="53"/>
      <c r="AQ1095" s="53"/>
      <c r="AR1095" s="53"/>
      <c r="AS1095" s="53"/>
      <c r="AT1095" s="48"/>
      <c r="AU1095" s="48"/>
      <c r="AV1095" s="48"/>
      <c r="AW1095" s="48"/>
      <c r="AX1095" s="48"/>
      <c r="AY1095" s="48"/>
      <c r="AZ1095" s="48"/>
      <c r="BA1095" s="48"/>
      <c r="BB1095" s="48"/>
      <c r="BC1095" s="48"/>
      <c r="BD1095" s="48"/>
      <c r="BE1095" s="48"/>
      <c r="BF1095" s="52"/>
      <c r="BG1095" s="52"/>
      <c r="BH1095" s="52"/>
      <c r="BI1095" s="52"/>
      <c r="BJ1095" s="52"/>
      <c r="BK1095" s="52"/>
      <c r="BL1095" s="52"/>
      <c r="BM1095" s="54"/>
    </row>
    <row r="1096">
      <c r="A1096" s="42"/>
      <c r="B1096" s="52"/>
      <c r="C1096" s="52"/>
      <c r="D1096" s="52"/>
      <c r="E1096" s="52"/>
      <c r="F1096" s="81"/>
      <c r="G1096" s="57"/>
      <c r="H1096" s="48"/>
      <c r="I1096" s="77"/>
      <c r="J1096" s="62"/>
      <c r="K1096" s="52"/>
      <c r="L1096" s="52"/>
      <c r="M1096" s="76"/>
      <c r="N1096" s="52"/>
      <c r="O1096" s="52"/>
      <c r="P1096" s="52"/>
      <c r="Q1096" s="52"/>
      <c r="R1096" s="52"/>
      <c r="S1096" s="52"/>
      <c r="T1096" s="52"/>
      <c r="U1096" s="52"/>
      <c r="V1096" s="52"/>
      <c r="W1096" s="52"/>
      <c r="X1096" s="52"/>
      <c r="Y1096" s="52"/>
      <c r="Z1096" s="52"/>
      <c r="AA1096" s="62"/>
      <c r="AB1096" s="52"/>
      <c r="AC1096" s="52"/>
      <c r="AD1096" s="52"/>
      <c r="AE1096" s="52"/>
      <c r="AF1096" s="52"/>
      <c r="AG1096" s="52"/>
      <c r="AH1096" s="48"/>
      <c r="AI1096" s="48"/>
      <c r="AJ1096" s="48"/>
      <c r="AK1096" s="53"/>
      <c r="AL1096" s="53"/>
      <c r="AM1096" s="53"/>
      <c r="AN1096" s="53"/>
      <c r="AO1096" s="53"/>
      <c r="AP1096" s="53"/>
      <c r="AQ1096" s="53"/>
      <c r="AR1096" s="53"/>
      <c r="AS1096" s="53"/>
      <c r="AT1096" s="48"/>
      <c r="AU1096" s="48"/>
      <c r="AV1096" s="48"/>
      <c r="AW1096" s="48"/>
      <c r="AX1096" s="48"/>
      <c r="AY1096" s="48"/>
      <c r="AZ1096" s="48"/>
      <c r="BA1096" s="48"/>
      <c r="BB1096" s="48"/>
      <c r="BC1096" s="48"/>
      <c r="BD1096" s="48"/>
      <c r="BE1096" s="48"/>
      <c r="BF1096" s="52"/>
      <c r="BG1096" s="52"/>
      <c r="BH1096" s="52"/>
      <c r="BI1096" s="52"/>
      <c r="BJ1096" s="52"/>
      <c r="BK1096" s="52"/>
      <c r="BL1096" s="52"/>
      <c r="BM1096" s="54"/>
    </row>
    <row r="1097">
      <c r="A1097" s="42"/>
      <c r="B1097" s="52"/>
      <c r="C1097" s="52"/>
      <c r="D1097" s="52"/>
      <c r="E1097" s="52"/>
      <c r="F1097" s="81"/>
      <c r="G1097" s="57"/>
      <c r="H1097" s="48"/>
      <c r="I1097" s="77"/>
      <c r="J1097" s="62"/>
      <c r="K1097" s="52"/>
      <c r="L1097" s="52"/>
      <c r="M1097" s="76"/>
      <c r="N1097" s="52"/>
      <c r="O1097" s="52"/>
      <c r="P1097" s="52"/>
      <c r="Q1097" s="52"/>
      <c r="R1097" s="52"/>
      <c r="S1097" s="52"/>
      <c r="T1097" s="52"/>
      <c r="U1097" s="52"/>
      <c r="V1097" s="52"/>
      <c r="W1097" s="52"/>
      <c r="X1097" s="52"/>
      <c r="Y1097" s="52"/>
      <c r="Z1097" s="52"/>
      <c r="AA1097" s="62"/>
      <c r="AB1097" s="52"/>
      <c r="AC1097" s="52"/>
      <c r="AD1097" s="52"/>
      <c r="AE1097" s="52"/>
      <c r="AF1097" s="52"/>
      <c r="AG1097" s="52"/>
      <c r="AH1097" s="48"/>
      <c r="AI1097" s="48"/>
      <c r="AJ1097" s="48"/>
      <c r="AK1097" s="53"/>
      <c r="AL1097" s="53"/>
      <c r="AM1097" s="53"/>
      <c r="AN1097" s="53"/>
      <c r="AO1097" s="53"/>
      <c r="AP1097" s="53"/>
      <c r="AQ1097" s="53"/>
      <c r="AR1097" s="53"/>
      <c r="AS1097" s="53"/>
      <c r="AT1097" s="48"/>
      <c r="AU1097" s="48"/>
      <c r="AV1097" s="48"/>
      <c r="AW1097" s="48"/>
      <c r="AX1097" s="48"/>
      <c r="AY1097" s="48"/>
      <c r="AZ1097" s="48"/>
      <c r="BA1097" s="48"/>
      <c r="BB1097" s="48"/>
      <c r="BC1097" s="48"/>
      <c r="BD1097" s="48"/>
      <c r="BE1097" s="48"/>
      <c r="BF1097" s="52"/>
      <c r="BG1097" s="52"/>
      <c r="BH1097" s="52"/>
      <c r="BI1097" s="52"/>
      <c r="BJ1097" s="52"/>
      <c r="BK1097" s="52"/>
      <c r="BL1097" s="52"/>
      <c r="BM1097" s="54"/>
    </row>
  </sheetData>
  <customSheetViews>
    <customSheetView guid="{9BF15CC5-DA84-4BA9-BED2-8EAB229E5E86}" filter="1" showAutoFilter="1">
      <autoFilter ref="$A$2:$BM$287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</filters>
        </filterColumn>
        <filterColumn colId="23">
          <filters blank="1">
            <filter val="Paid"/>
          </filters>
        </filterColumn>
      </autoFilter>
    </customSheetView>
    <customSheetView guid="{58E0480A-D6E6-47ED-AB7A-A81ACC9284EC}" filter="1" showAutoFilter="1">
      <autoFilter ref="$A$2:$BM$287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</filters>
        </filterColumn>
        <filterColumn colId="23">
          <filters blank="1">
            <filter val="Paid"/>
          </filters>
        </filterColumn>
      </autoFilter>
    </customSheetView>
    <customSheetView guid="{BEA96A2D-20AE-4697-8551-2900DC776ADB}" filter="1" showAutoFilter="1">
      <autoFilter ref="$A$2:$BM$287">
        <filterColumn colId="3">
          <filters>
            <filter val="Active"/>
          </filters>
        </filterColumn>
        <filterColumn colId="23">
          <filters blank="1">
            <filter val="Paid"/>
          </filters>
        </filterColumn>
        <filterColumn colId="24">
          <filters blank="1">
            <filter val="Recitation"/>
            <filter val="Arabic"/>
            <filter val="Arabic Letters"/>
          </filters>
        </filterColumn>
      </autoFilter>
    </customSheetView>
    <customSheetView guid="{7F4A1DFB-5F01-4BEC-B296-F2A7BA2ADBEA}" filter="1" showAutoFilter="1">
      <autoFilter ref="$A$2:$BM$272">
        <filterColumn colId="3">
          <filters>
            <filter val="Active"/>
          </filters>
        </filterColumn>
        <filterColumn colId="23">
          <filters blank="1">
            <filter val="Paid"/>
          </filters>
        </filterColumn>
        <filterColumn colId="24">
          <filters blank="1">
            <filter val="Recitation"/>
            <filter val="Arabic"/>
            <filter val="Arabic Letters"/>
          </filters>
        </filterColumn>
      </autoFilter>
    </customSheetView>
    <customSheetView guid="{46B0EE99-8E4C-4312-A60A-4ED3CCBE21F7}" filter="1" showAutoFilter="1">
      <autoFilter ref="$A$2:$BM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</filters>
        </filterColumn>
      </autoFilter>
    </customSheetView>
    <customSheetView guid="{3CC59E1C-344D-4E4F-BA21-4CE291B63CAF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3B88E4D0-86E1-4273-ADFE-2420EA3B8EEA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5">
          <filters blank="1">
            <filter val="Etisalat Cash"/>
            <filter val="Vodafone Cash"/>
            <filter val="Payment Method"/>
          </filters>
        </filterColumn>
      </autoFilter>
    </customSheetView>
    <customSheetView guid="{05777BE4-34FB-4B46-AC0A-7B9D033BF748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32B31068-AEA8-4335-91F1-E18C5DFC6072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7B84939B-EAC9-4FA6-A144-F917FDF77181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9F4FA4ED-E820-431C-8BB1-D55354DB80E4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D4CF8F64-92B5-4DC3-93A8-6FA6089FBFA5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2F547FDA-C453-4EF9-A288-E761B0392CD9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682B7555-5C61-446C-A7CD-7FC4900BDAB0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376BD382-EF75-46FA-AEBF-8DB60265E1AB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C4CAA331-CF11-42D3-B156-D7B3EE29A38B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0DBC12AD-7B51-4845-B850-BAA03BA0CDDA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3BEE8A91-F811-46F2-8EFE-796546F3BD3D}" filter="1" showAutoFilter="1">
      <autoFilter ref="$A$1:$BJ$272">
        <filterColumn colId="3">
          <filters blank="1">
            <filter val="Active"/>
            <filter val="Employment Status"/>
          </filters>
        </filterColumn>
        <filterColumn colId="24">
          <filters>
            <filter val="Recitation"/>
            <filter val="Arabic"/>
            <filter val="Arabic Letters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A5551389-35A1-4347-803D-F43BE228BE32}" filter="1" showAutoFilter="1">
      <autoFilter ref="$A$1:$BJ$272">
        <filterColumn colId="1">
          <filters blank="1">
            <filter val="Esraa Ahmad"/>
            <filter val="Jailan Nabil"/>
            <filter val="Dina Aboubasha"/>
            <filter val="Moustafa Zahran"/>
            <filter val="Pakinam Muhammad"/>
            <filter val="Muhammad Morsy"/>
            <filter val="Nashwa Abbas"/>
            <filter val="Ibrahim Shokry"/>
            <filter val="Israa Fahmy"/>
            <filter val="Mona El Rassass"/>
            <filter val="Aya El Tobgy"/>
            <filter val="Nouran Muhammad"/>
            <filter val="Asmaa Samy"/>
            <filter val="Lubna Morsy"/>
            <filter val="Shaimaa Nabil"/>
            <filter val="Ingy Bahgat"/>
            <filter val="Tarek Serag"/>
            <filter val="Shahenda Rashwan"/>
            <filter val="Ahmad Reda"/>
            <filter val="Alaa Ibrahim"/>
            <filter val="Umm Mariam"/>
            <filter val="Manal Saad El Deen"/>
            <filter val="Dalia Gamal"/>
            <filter val="Mervat Ameen"/>
            <filter val="Muhammad Hamdy"/>
            <filter val="Ashaymaa Yosry"/>
            <filter val="Eslam Kohail"/>
            <filter val="Walid Al Mahdy"/>
            <filter val="Mahmoud Anwar"/>
            <filter val="Ali Kassem"/>
            <filter val="Shaymaa Said"/>
            <filter val="Esraa Haitham"/>
            <filter val="Naglaa Safwat"/>
            <filter val="Nevine  Manah"/>
            <filter val="Mahmoud Badran"/>
            <filter val="Amira Ahmad"/>
            <filter val="Basma Raafat"/>
            <filter val="Mona Salah"/>
            <filter val="Shorouk Idrees"/>
            <filter val="Hebatallah Ahmad"/>
            <filter val="Samar Hussain"/>
            <filter val="Umm Emara"/>
            <filter val="Khadija Omar"/>
            <filter val="Azza Abdurrahman"/>
            <filter val="Umm Reem"/>
            <filter val="Sara Tarek"/>
            <filter val="Eman Shaheen"/>
            <filter val="Pensee Zamzam"/>
            <filter val="Hisham Hafez"/>
            <filter val="Shaimaa Seddiq"/>
            <filter val="Umm Omar"/>
            <filter val="Sondos Hassan"/>
            <filter val="Raghda Marwan"/>
            <filter val="Muhammad Al Marakby"/>
            <filter val="Lamia Karmi"/>
            <filter val="Mustafa Bakr"/>
            <filter val="Noha Nabil"/>
            <filter val="Shaimaa El Kordy"/>
            <filter val="Ahlam Shedeed"/>
            <filter val="Eman El Kholy"/>
            <filter val="Taher Abou Zainah"/>
            <filter val="Tamer El Giziry"/>
            <filter val="Mohamed Hassan"/>
            <filter val="Ahmad Al Hosainy"/>
            <filter val="Amal Fouly"/>
            <filter val="Jehad Bayomy"/>
            <filter val="Ola El Khatib"/>
            <filter val="Noura Shaaban"/>
            <filter val="Enas El Khateeb"/>
            <filter val="Maysa Zaki"/>
            <filter val="Belal Desouky"/>
            <filter val="Nourhan El Banna"/>
            <filter val="Teacher Name"/>
            <filter val="Muhammad Ismail"/>
            <filter val="Aya El Gebeely"/>
            <filter val="Eman Omar"/>
            <filter val="Nada Azmy"/>
            <filter val="Ahmad Sleem"/>
            <filter val="Walaa Hassan"/>
            <filter val="Hafsa Khaled"/>
            <filter val="Marwa Shaker"/>
            <filter val="Magdy Yahia"/>
            <filter val="Ahmad Abd El Khaleq Ibrahim"/>
            <filter val="Aml Mosallam"/>
            <filter val="Rania Habib"/>
            <filter val="Asmaa Saeed"/>
            <filter val="Samar Ali"/>
            <filter val="Amany Muhammad"/>
            <filter val="Sally El Shaarawy"/>
            <filter val="Doha Nabil"/>
            <filter val="Hebatallah Nabil"/>
            <filter val="Samar Zayed"/>
            <filter val="Laila Dawood"/>
            <filter val="Salwa Al Baroody"/>
            <filter val="Esmat Awad"/>
            <filter val="Sarah Hussain"/>
          </filters>
        </filterColumn>
        <filterColumn colId="24">
          <filters>
            <filter val="Arabic"/>
            <filter val="Arabic Letters"/>
            <filter val="Tajweed Theoretical"/>
            <filter val="Annourania"/>
          </filters>
        </filterColumn>
      </autoFilter>
    </customSheetView>
    <customSheetView guid="{6C0F86A6-F591-4D83-B80D-84BD1FB47A7A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72F49289-B21B-4A6B-8B4D-61D7B3990E50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  <filterColumn colId="25">
          <filters blank="1">
            <filter val="Etisalat Cash"/>
            <filter val="Vodafone Cash"/>
            <filter val="Payment Method"/>
          </filters>
        </filterColumn>
      </autoFilter>
    </customSheetView>
    <customSheetView guid="{581B5BA0-4D64-482F-BC70-2CB82A9871A1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CB15843D-64DD-4101-A09E-63B7F34D0BAE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885A3008-B4AF-46BA-B15F-E44CC7FA3032}" filter="1" showAutoFilter="1">
      <autoFilter ref="$A$1:$BJ$272">
        <filterColumn colId="3">
          <filters>
            <filter val="Active"/>
          </filters>
        </filterColumn>
      </autoFilter>
    </customSheetView>
    <customSheetView guid="{04DE3381-393C-4EEA-BA5B-00350A82EF87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C10D26C4-916C-483F-95D5-A7CBB80A8107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1676362C-9E12-45D9-B8A1-9D8E57528BB6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BFB8D08B-2AB8-473F-8286-DCFD52446AEB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C862739C-045B-4ABB-B0FC-572071B50896}" filter="1" showAutoFilter="1">
      <autoFilter ref="$A$1:$BJ$272">
        <filterColumn colId="3">
          <filters>
            <filter val="Active"/>
          </filters>
        </filterColumn>
      </autoFilter>
    </customSheetView>
    <customSheetView guid="{E2C5A3E9-D830-4729-A53B-56B01DE3A085}" filter="1" showAutoFilter="1">
      <autoFilter ref="$A$1:$BJ$272"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6451AEBE-24B8-43D4-856E-2FF19F87FF5E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A62DCD7F-DA65-4D15-A823-0B3F861D48AA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06219470-F303-4B21-A742-244DF103F74F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4D24B56A-5309-4B3A-9D0C-72112C9B5CD6}" filter="1" showAutoFilter="1">
      <autoFilter ref="$A$1:$BJ$272">
        <filterColumn colId="3">
          <filters>
            <filter val="Active"/>
          </filters>
        </filterColumn>
        <filterColumn colId="25">
          <filters>
            <filter val="Etisalat Cash"/>
            <filter val="Vodafone Cash"/>
            <filter val="Payment Method"/>
          </filters>
        </filterColumn>
        <filterColumn colId="24">
          <filters blank="1">
            <filter val="Recitation"/>
            <filter val="Arabic"/>
            <filter val="Arabic Letters"/>
            <filter val="Annourania"/>
            <filter val="Course Type"/>
          </filters>
        </filterColumn>
      </autoFilter>
    </customSheetView>
    <customSheetView guid="{F7D4EFB3-7423-47E7-9B03-375B0741E121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AB4E9646-B64E-4F26-B1F1-2A62DC5AE966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8D65A2F8-F5EE-4D5C-BEC1-00A6937EF61A}" filter="1" showAutoFilter="1">
      <autoFilter ref="$A$1:$BJ$272">
        <filterColumn colId="3">
          <filters blank="1">
            <filter val="Active"/>
            <filter val="Employment Status"/>
          </filters>
        </filterColumn>
        <filterColumn colId="24">
          <filters>
            <filter val="Recitation"/>
            <filter val="Arabic"/>
            <filter val="Arabic Letters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99E0E8A8-B1BC-4136-A2B3-91DD85BF53EE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E2771C42-0D24-41D8-A539-F42438DAAA69}" filter="1" showAutoFilter="1">
      <autoFilter ref="$A$1:$BJ$272">
        <filterColumn colId="3">
          <filters>
            <filter val="Active"/>
          </filters>
        </filterColumn>
      </autoFilter>
    </customSheetView>
    <customSheetView guid="{F9CD113E-4AC5-4BF9-B9AD-F8E5ED2544CD}" filter="1" showAutoFilter="1">
      <autoFilter ref="$A$1:$BJ$272">
        <filterColumn colId="3">
          <filters blank="1">
            <filter val="Active"/>
            <filter val="Employment Status"/>
          </filters>
        </filterColumn>
        <filterColumn colId="24">
          <filters>
            <filter val="Recitation"/>
            <filter val="Arabic"/>
            <filter val="Arabic Letters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40B3E54F-86F6-4EFE-A969-D3961BB11780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4369FE5D-38BD-4A60-985F-5DC91E2253C4}" filter="1" showAutoFilter="1">
      <autoFilter ref="$A$1:$BJ$272">
        <filterColumn colId="3">
          <filters>
            <filter val="Active"/>
          </filters>
        </filterColumn>
      </autoFilter>
    </customSheetView>
    <customSheetView guid="{62340CA9-D4F5-438B-8E41-487CF76225BA}" filter="1" showAutoFilter="1">
      <autoFilter ref="$A$1:$BJ$272"/>
    </customSheetView>
    <customSheetView guid="{F931C38A-AD80-410B-A6D6-57DD431EE5EF}" filter="1" showAutoFilter="1">
      <autoFilter ref="$A$1:$BJ$272">
        <filterColumn colId="3">
          <filters blank="1">
            <filter val="Active"/>
            <filter val="Employment Status"/>
          </filters>
        </filterColumn>
        <filterColumn colId="23">
          <filters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F8DB7E59-F834-4FEE-A665-D53174BC185C}" filter="1" showAutoFilter="1">
      <autoFilter ref="$A$1:$BJ$272">
        <filterColumn colId="3">
          <filters>
            <filter val="Inactive"/>
          </filters>
        </filterColumn>
        <filterColumn colId="19">
          <filters>
            <filter val="Qena"/>
            <filter val="New York"/>
            <filter val="Cairo"/>
            <filter val="Damanhûr"/>
            <filter val="Beni Suef"/>
            <filter val="City"/>
            <filter val="Shibin el Kom"/>
          </filters>
        </filterColumn>
        <filterColumn colId="4">
          <filters blank="1">
            <filter val="Female"/>
            <filter val="Gender"/>
          </filters>
        </filterColumn>
      </autoFilter>
    </customSheetView>
    <customSheetView guid="{DC898AA9-E5EF-47C3-96EA-9D7082797A84}" filter="1" showAutoFilter="1">
      <autoFilter ref="$A$1:$BJ$272">
        <filterColumn colId="3">
          <filters>
            <filter val="Active"/>
          </filters>
        </filterColumn>
        <filterColumn colId="23">
          <filters blank="1">
            <filter val="Teacher Payment Status"/>
            <filter val="Paid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</autoFilter>
    </customSheetView>
    <customSheetView guid="{5F7FB0F5-7B95-4690-9129-5779C032BBB2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422CEE51-113E-4DA1-97B8-8A0D681D37D3}" filter="1" showAutoFilter="1">
      <autoFilter ref="$A$1:$BJ$272">
        <filterColumn colId="3">
          <filters>
            <filter val="Active"/>
          </filters>
        </filterColumn>
      </autoFilter>
    </customSheetView>
    <customSheetView guid="{21DB75F3-8AC0-4736-8E12-679C456E43FC}" filter="1" showAutoFilter="1">
      <autoFilter ref="$A$1:$BJ$272">
        <filterColumn colId="1">
          <filters>
            <filter val="Essam Fouad"/>
            <filter val="Asmaa Samy"/>
            <filter val="Shaimaa Nabil"/>
            <filter val="Manar Bashat"/>
            <filter val="Abdurraheem Hussain"/>
            <filter val="Manal Saad El Deen"/>
            <filter val="Moustafa Nabawy"/>
            <filter val="Ali Kassem"/>
            <filter val="Shaymaa Said"/>
            <filter val="Esraa Haitham"/>
            <filter val="Naglaa Safwat"/>
            <filter val="Mai Taha"/>
            <filter val="Esraa Amer"/>
            <filter val="Randa Al Fahham"/>
            <filter val="Azza Abdurrahman"/>
            <filter val="Umm Reem"/>
            <filter val="Sahar Gamal"/>
            <filter val="Sondos Hassan"/>
            <filter val="Mustafa Bakr"/>
            <filter val="Mohamed Hassan"/>
            <filter val="Jehad Bayomy"/>
            <filter val="Ola El Khatib"/>
            <filter val="Belal Desouky"/>
            <filter val="Sara Abo Setta"/>
            <filter val="Samar Ali"/>
            <filter val="Salwa Al Baroody"/>
          </filters>
        </filterColumn>
      </autoFilter>
    </customSheetView>
    <customSheetView guid="{EEE6F621-1FD4-4657-AB21-69E6DD2B44D6}" filter="1" showAutoFilter="1">
      <autoFilter ref="$A$1:$BJ$272">
        <filterColumn colId="3">
          <filters blank="1">
            <filter val="Active"/>
            <filter val="Employment Status"/>
          </filters>
        </filterColumn>
        <filterColumn colId="24">
          <filters>
            <filter val="Recitation"/>
            <filter val="Arabic"/>
            <filter val="Arabic Letters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C8BFFCA9-3C8C-40AD-A799-4B929F863F37}" filter="1" showAutoFilter="1">
      <autoFilter ref="$A$1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  <filter val="Course Type"/>
          </filters>
        </filterColumn>
        <filterColumn colId="23">
          <filters blank="1">
            <filter val="Teacher Payment Status"/>
            <filter val="Paid"/>
          </filters>
        </filterColumn>
      </autoFilter>
    </customSheetView>
    <customSheetView guid="{20BC0155-6132-4BA0-89D8-81C062B40308}" filter="1" showAutoFilter="1">
      <autoFilter ref="$B$273"/>
    </customSheetView>
    <customSheetView guid="{6607C459-0C59-43DB-A12A-9A13CCBA58A4}" filter="1" showAutoFilter="1">
      <autoFilter ref="$B$273"/>
    </customSheetView>
    <customSheetView guid="{072ACADB-3391-4F56-8091-491BC196188A}" filter="1" showAutoFilter="1">
      <autoFilter ref="$B$273"/>
    </customSheetView>
    <customSheetView guid="{481B9354-D231-4F21-99DB-1CF3517AD8BF}" filter="1" showAutoFilter="1">
      <autoFilter ref="$B$273"/>
    </customSheetView>
    <customSheetView guid="{E6E689F2-3E7E-4266-A012-F1D1D3DBDB94}" filter="1" showAutoFilter="1">
      <autoFilter ref="$A$2:$BL$272">
        <filterColumn colId="3">
          <filters>
            <filter val="Active"/>
          </filters>
        </filterColumn>
        <filterColumn colId="23">
          <filters blank="1">
            <filter val="Paid"/>
          </filters>
        </filterColumn>
        <filterColumn colId="24">
          <filters blank="1">
            <filter val="Recitation"/>
            <filter val="Arabic"/>
            <filter val="Arabic Letters"/>
          </filters>
        </filterColumn>
      </autoFilter>
    </customSheetView>
    <customSheetView guid="{F256E4D7-C759-49F7-8841-B3C6311D028F}" filter="1" showAutoFilter="1">
      <autoFilter ref="$A$2:$BL$272">
        <filterColumn colId="1">
          <filters>
            <filter val="Asmaa Samy"/>
            <filter val="Manal Saad El Deen"/>
            <filter val="Mahmoud Badran"/>
            <filter val="Samar Hussain"/>
            <filter val="Umm Omar"/>
            <filter val="Sondos Hassan"/>
            <filter val="Mustafa Bakr"/>
            <filter val="Mohamed Hassan"/>
            <filter val="Jehad Bayomy"/>
            <filter val="Ola El Khatib"/>
            <filter val="Belal Desouky"/>
            <filter val="Magdy Yahia"/>
            <filter val="Samar Ali"/>
          </filters>
        </filterColumn>
      </autoFilter>
    </customSheetView>
    <customSheetView guid="{3B8DD201-C000-4ACF-8D87-D2B9AC5FC382}" filter="1" showAutoFilter="1">
      <autoFilter ref="$A$2:$BJ$272">
        <filterColumn colId="3">
          <filters>
            <filter val="Active"/>
          </filters>
        </filterColumn>
      </autoFilter>
    </customSheetView>
    <customSheetView guid="{3D374A99-4299-43A0-8D11-03DFEAB859C4}" filter="1" showAutoFilter="1">
      <autoFilter ref="$A$2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</filters>
        </filterColumn>
        <filterColumn colId="23">
          <filters blank="1">
            <filter val="Paid"/>
          </filters>
        </filterColumn>
      </autoFilter>
    </customSheetView>
    <customSheetView guid="{F6E3EAF5-2F97-4312-AF36-CD7913509DAB}" filter="1" showAutoFilter="1">
      <autoFilter ref="$A$2:$BJ$272">
        <filterColumn colId="3">
          <filters>
            <filter val="Active"/>
          </filters>
        </filterColumn>
        <filterColumn colId="23">
          <filters blank="1">
            <filter val="Paid"/>
          </filters>
        </filterColumn>
        <filterColumn colId="24">
          <filters blank="1">
            <filter val="Recitation"/>
            <filter val="Arabic"/>
            <filter val="Arabic Letters"/>
          </filters>
        </filterColumn>
      </autoFilter>
    </customSheetView>
    <customSheetView guid="{5F9ED33E-E0AD-4752-8B04-D3A3D8822FF9}" filter="1" showAutoFilter="1">
      <autoFilter ref="$A$2:$BJ$272">
        <filterColumn colId="3">
          <filters blank="1">
            <filter val="Active"/>
          </filters>
        </filterColumn>
        <filterColumn colId="23">
          <filters>
            <filter val="Paid"/>
          </filters>
        </filterColumn>
      </autoFilter>
    </customSheetView>
    <customSheetView guid="{77DC4EEB-9ABC-416B-8ADF-8DFBC2D6C5F5}" filter="1" showAutoFilter="1">
      <autoFilter ref="$A$2:$BJ$272">
        <filterColumn colId="3">
          <filters>
            <filter val="Active"/>
          </filters>
        </filterColumn>
        <filterColumn colId="24">
          <filters blank="1">
            <filter val="Recitation"/>
            <filter val="Arabic"/>
            <filter val="Arabic Letters"/>
          </filters>
        </filterColumn>
        <filterColumn colId="23">
          <filters blank="1">
            <filter val="Paid"/>
          </filters>
        </filterColumn>
      </autoFilter>
    </customSheetView>
  </customSheetViews>
  <mergeCells count="5">
    <mergeCell ref="AB1:AG1"/>
    <mergeCell ref="AH1:AJ1"/>
    <mergeCell ref="AK1:AX1"/>
    <mergeCell ref="AY1:BE1"/>
    <mergeCell ref="BF1:BJ1"/>
  </mergeCells>
  <dataValidations>
    <dataValidation type="list" allowBlank="1" showErrorMessage="1" sqref="O3:O1097">
      <formula1>"Single,Engaged,Married,Divorced,Widowed"</formula1>
    </dataValidation>
    <dataValidation type="list" allowBlank="1" showErrorMessage="1" sqref="U3:U1097">
      <formula1>"GMT,GMT +1,GMT +2,GMT +3,GMT +4,GMT +5,GMT +6,GMT +7,GMT +8,GMT +9,GMT +10,GMT -1,GMT -2,GMT -3,GMT -4,GMT -5,GMT -6,GMT -7,GMT -8,GMT -9,GMT -10"</formula1>
    </dataValidation>
    <dataValidation type="list" allowBlank="1" sqref="P3:Q1097">
      <formula1>"Yes,No"</formula1>
    </dataValidation>
    <dataValidation type="list" allowBlank="1" showErrorMessage="1" sqref="S3:S1097 W3:W1097">
      <formula1>"Afghanistan,Albania,Algeria,Andorra,Angola,Antigua and Barbuda,Argentina,Armenia,Aruba,Australia,Austria,Azerbaijan,Bahamas,Bahrain,Bangladesh,Barbados,Belarus,Belgium,Belize,Benin,Bhutan,Bolivia,Bosnia and Herzegovina,Botswana,Brazil,Brunei,Bulgaria,Burk"&amp;"ina Faso,Burma,Burundi,Cambodia,Cameroon,Canada,Cape,Verde,Central,African,Republic,Chad,Chile,China,Colombia,Comoros,Republic of the Congo,Costa Rica,Cote d'Ivoire,Croatia,Cuba,Curacao,Cyprus,Czech Republic,Denmark,Djibouti,Dominica,Dominican Republic,Ea"&amp;"st Timor (see Timor-Leste),Ecuador,Egypt,El Salvador,Equatorial,Guinea,Eritrea,Estonia,Ethiopia,Fiji,Finland,France,Gabon,Gambia,Georgia,Germany,Ghana,Greece,Grenada,Guatemala,Guinea,Guinea-Bissau,Guyana,Haiti,Holy See,Honduras,Hong Kong,Hungary,Iceland,I"&amp;"ndia,Indonesia,Iran,Iraq,Ireland,Israel,Italy,Jamaica,Japan,Jordan,Kazakhstan,Kenya,Kiribati,Korea-North,Korea-South,Kosovo,Kuwait,Kyrgyzstan,Laos,Latvia,Lebanon,Lesotho,Liberia,Libya,Liechtenstein,Lithuania,Luxembourg,Macau,Macedonia,Madagascar,Malawi,Ma"&amp;"laysia,Maldives,Mali,Malta,Marshall Islands,Mauritania,Mauritius,Mexico,Micronesia,Moldova,Monaco,Mongolia,Montenegro,Morocco,Mozambique,Namibia,Nauru,Nepal,Netherlands,Netherlands Antilles,New Zealand,Nicaragua,Niger,Nigeria,North Korea,Norway,Oman,Pakis"&amp;"tan,Palau,Palestinian Territories,Panama,Papua New,Guinea,Paraguay,Peru,Philippines,Poland,Portugal,Qatar,Romania,Russia,Rwanda,Saint Kitts and Nevis,Saint Lucia,Saint Vincent and the Grenadines,Samoa,San Marino,Sao Tome and Principe,Saudi Arabia,Senegal,"&amp;"Serbia,Seychelles,Sierra Leone,Singapore,Sint Maarten,Slovakia,Slovenia,Solomon Islands,Somalia,South Africa,South Korea,South Sudan,Spain,Sri Lanka,Sudan,Suriname,Swaziland,Sweden,Switzerland,Syria,Taiwan,Tajikistan,Tanzania,Thailand,Timor-Leste,Togo,Ton"&amp;"ga,Trinidad and Tobago,Tunisia,Turkey,Turkmenistan,Tuvalu,Uganda,Ukraine,United Arab Emirates,United Kingdom,Uruguay,United States,Uzbekistan,Vanuatu,Venezuela,Vietnam,Yemen,Zambia,Zimbabwe"</formula1>
    </dataValidation>
    <dataValidation type="list" allowBlank="1" showErrorMessage="1" sqref="V3:V1097">
      <formula1>"Yes,No"</formula1>
    </dataValidation>
    <dataValidation type="list" allowBlank="1" showErrorMessage="1" sqref="D3:D1097">
      <formula1>"Active,Inactive,Paused"</formula1>
    </dataValidation>
    <dataValidation type="custom" allowBlank="1" showErrorMessage="1" sqref="G3:G87 G89:G1097">
      <formula1>OR(NOT(ISERROR(DATEVALUE(G3))), AND(ISNUMBER(G3), LEFT(CELL("format", G3))="D"))</formula1>
    </dataValidation>
    <dataValidation type="list" allowBlank="1" sqref="X3:X1097">
      <formula1>"Voluonteer,Paid"</formula1>
    </dataValidation>
    <dataValidation type="list" allowBlank="1" sqref="E3:E1097">
      <formula1>"Male,Female"</formula1>
    </dataValidation>
    <dataValidation type="list" allowBlank="1" showErrorMessage="1" sqref="Z3:Z1097">
      <formula1>"Vodafone Cash,Etisalat Cash,Cash,Bank"</formula1>
    </dataValidation>
    <dataValidation type="custom" allowBlank="1" showErrorMessage="1" sqref="F95:F112 F114:F1097">
      <formula1>OR(NOT(ISERROR(DATEVALUE(F95))), AND(ISNUMBER(F95), LEFT(CELL("format", F95))="D"))</formula1>
    </dataValidation>
    <dataValidation type="list" allowBlank="1" showErrorMessage="1" sqref="Y1 Y3:Y1097">
      <formula1>"Recitation,Tajweed Theoretical,Annourania,Arabic,Arabic Letters"</formula1>
    </dataValidation>
    <dataValidation type="custom" allowBlank="1" showDropDown="1" sqref="M3:M1097">
      <formula1>OR(NOT(ISERROR(DATEVALUE(M3))), AND(ISNUMBER(M3), LEFT(CELL("format", M3))="D"))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7.0"/>
    <col customWidth="1" min="2" max="2" width="20.43"/>
    <col customWidth="1" min="3" max="3" width="19.71"/>
    <col customWidth="1" min="4" max="4" width="21.57"/>
    <col customWidth="1" min="5" max="5" width="16.86"/>
    <col customWidth="1" min="6" max="6" width="19.14"/>
    <col customWidth="1" min="7" max="7" width="14.57"/>
    <col customWidth="1" min="8" max="8" width="13.43"/>
    <col customWidth="1" min="9" max="25" width="21.57"/>
  </cols>
  <sheetData>
    <row r="1" ht="23.25" customHeight="1">
      <c r="A1" s="82" t="s">
        <v>1035</v>
      </c>
      <c r="B1" s="83">
        <v>2016.0</v>
      </c>
      <c r="C1" s="82" t="s">
        <v>1036</v>
      </c>
      <c r="D1" s="84" t="s">
        <v>1037</v>
      </c>
      <c r="E1" s="82" t="s">
        <v>1038</v>
      </c>
      <c r="F1" s="84" t="s">
        <v>125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6"/>
      <c r="S1" s="86"/>
      <c r="T1" s="86"/>
      <c r="U1" s="86"/>
      <c r="V1" s="86"/>
      <c r="W1" s="86"/>
      <c r="X1" s="86"/>
      <c r="Y1" s="86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</row>
    <row r="2">
      <c r="A2" s="88" t="s">
        <v>1039</v>
      </c>
      <c r="B2" s="88" t="s">
        <v>1040</v>
      </c>
      <c r="C2" s="88" t="s">
        <v>5</v>
      </c>
      <c r="D2" s="89" t="s">
        <v>39</v>
      </c>
      <c r="E2" s="90" t="s">
        <v>1041</v>
      </c>
      <c r="F2" s="90" t="s">
        <v>41</v>
      </c>
      <c r="G2" s="90" t="s">
        <v>1042</v>
      </c>
      <c r="H2" s="90" t="s">
        <v>43</v>
      </c>
      <c r="I2" s="90" t="s">
        <v>44</v>
      </c>
      <c r="J2" s="90" t="s">
        <v>45</v>
      </c>
      <c r="K2" s="90" t="s">
        <v>1043</v>
      </c>
      <c r="L2" s="90" t="s">
        <v>1044</v>
      </c>
      <c r="M2" s="90" t="s">
        <v>52</v>
      </c>
      <c r="N2" s="90" t="s">
        <v>47</v>
      </c>
      <c r="O2" s="90" t="s">
        <v>48</v>
      </c>
      <c r="P2" s="90" t="s">
        <v>49</v>
      </c>
      <c r="Q2" s="90" t="s">
        <v>50</v>
      </c>
      <c r="R2" s="90" t="s">
        <v>51</v>
      </c>
      <c r="S2" s="91" t="s">
        <v>36</v>
      </c>
      <c r="T2" s="91" t="s">
        <v>1045</v>
      </c>
      <c r="U2" s="92" t="s">
        <v>1046</v>
      </c>
      <c r="V2" s="92" t="s">
        <v>53</v>
      </c>
      <c r="W2" s="92" t="s">
        <v>54</v>
      </c>
      <c r="X2" s="92" t="s">
        <v>55</v>
      </c>
      <c r="Y2" s="92" t="s">
        <v>56</v>
      </c>
      <c r="Z2" s="92" t="s">
        <v>57</v>
      </c>
      <c r="AA2" s="92" t="s">
        <v>1047</v>
      </c>
      <c r="AB2" s="92" t="s">
        <v>1048</v>
      </c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</row>
    <row r="3">
      <c r="A3" s="94" t="str">
        <f>IFERROR(__xludf.DUMMYFUNCTION("if(F1=""All"",ARRAYFORMULA(Sheet1!A3:C2152),filter(Sheet1!A3:C2152,Sheet1!D3:D2152=F1))"),"TEA006")</f>
        <v>TEA006</v>
      </c>
      <c r="B3" s="95" t="str">
        <f>IFERROR(__xludf.DUMMYFUNCTION("""COMPUTED_VALUE"""),"Umm Omar")</f>
        <v>Umm Omar</v>
      </c>
      <c r="C3" s="95" t="str">
        <f>IFERROR(__xludf.DUMMYFUNCTION("""COMPUTED_VALUE"""),"""1wJjH7H8wrcqUnClMTZI3fz882C6-5ozj_hhJftVIMyk""")</f>
        <v>"1wJjH7H8wrcqUnClMTZI3fz882C6-5ozj_hhJftVIMyk"</v>
      </c>
      <c r="D3" s="96" t="str">
        <f>IFERROR(__xludf.DUMMYFUNCTION("importrange(C3,Sheet3!D$1)"),"Attended")</f>
        <v>Attended</v>
      </c>
      <c r="E3" s="97">
        <f>IFERROR(__xludf.DUMMYFUNCTION("""COMPUTED_VALUE"""),49.0)</f>
        <v>49</v>
      </c>
      <c r="F3" s="97">
        <f>IFERROR(__xludf.DUMMYFUNCTION("""COMPUTED_VALUE"""),37.0)</f>
        <v>37</v>
      </c>
      <c r="G3" s="97">
        <f>IFERROR(__xludf.DUMMYFUNCTION("""COMPUTED_VALUE"""),36.0)</f>
        <v>36</v>
      </c>
      <c r="H3" s="97">
        <f>IFERROR(__xludf.DUMMYFUNCTION("""COMPUTED_VALUE"""),2.0)</f>
        <v>2</v>
      </c>
      <c r="I3" s="97">
        <f>IFERROR(__xludf.DUMMYFUNCTION("""COMPUTED_VALUE"""),1.0)</f>
        <v>1</v>
      </c>
      <c r="J3" s="97">
        <f>IFERROR(__xludf.DUMMYFUNCTION("""COMPUTED_VALUE"""),0.0)</f>
        <v>0</v>
      </c>
      <c r="K3" s="97">
        <f>IFERROR(__xludf.DUMMYFUNCTION("""COMPUTED_VALUE"""),10.0)</f>
        <v>10</v>
      </c>
      <c r="L3" s="97">
        <f>IFERROR(__xludf.DUMMYFUNCTION("""COMPUTED_VALUE"""),75.51020408163265)</f>
        <v>75.51020408</v>
      </c>
      <c r="M3" s="98">
        <f>IFERROR(__xludf.DUMMYFUNCTION("""COMPUTED_VALUE"""),95.91836734693877)</f>
        <v>95.91836735</v>
      </c>
      <c r="N3" s="98">
        <f>IFERROR(__xludf.DUMMYFUNCTION("""COMPUTED_VALUE"""),93.87755102040816)</f>
        <v>93.87755102</v>
      </c>
      <c r="O3" s="98">
        <f>IFERROR(__xludf.DUMMYFUNCTION("""COMPUTED_VALUE"""),4.081632653061225)</f>
        <v>4.081632653</v>
      </c>
      <c r="P3" s="98">
        <f>IFERROR(__xludf.DUMMYFUNCTION("""COMPUTED_VALUE"""),2.0408163265306123)</f>
        <v>2.040816327</v>
      </c>
      <c r="Q3" s="98">
        <f>IFERROR(__xludf.DUMMYFUNCTION("""COMPUTED_VALUE"""),0.0)</f>
        <v>0</v>
      </c>
      <c r="R3" s="98">
        <f>IFERROR(__xludf.DUMMYFUNCTION("""COMPUTED_VALUE"""),20.408163265306122)</f>
        <v>20.40816327</v>
      </c>
      <c r="S3" s="98">
        <f>IFERROR(__xludf.DUMMYFUNCTION("""COMPUTED_VALUE"""),30.0)</f>
        <v>30</v>
      </c>
      <c r="T3" s="97">
        <f>IFERROR(__xludf.DUMMYFUNCTION("""COMPUTED_VALUE"""),13.0)</f>
        <v>13</v>
      </c>
      <c r="U3" s="97" t="str">
        <f>IFERROR(__xludf.DUMMYFUNCTION("""COMPUTED_VALUE"""),"Yes")</f>
        <v>Yes</v>
      </c>
      <c r="V3" s="97">
        <f>IFERROR(__xludf.DUMMYFUNCTION("""COMPUTED_VALUE"""),34.0)</f>
        <v>34</v>
      </c>
      <c r="W3" s="97">
        <f>IFERROR(__xludf.DUMMYFUNCTION("""COMPUTED_VALUE"""),34.0)</f>
        <v>34</v>
      </c>
      <c r="X3" s="97">
        <f>IFERROR(__xludf.DUMMYFUNCTION("""COMPUTED_VALUE"""),0.0)</f>
        <v>0</v>
      </c>
      <c r="Y3" s="97">
        <f>IFERROR(__xludf.DUMMYFUNCTION("""COMPUTED_VALUE"""),0.0)</f>
        <v>0</v>
      </c>
      <c r="Z3" s="99">
        <f>IFERROR(__xludf.DUMMYFUNCTION("""COMPUTED_VALUE"""),100.0)</f>
        <v>100</v>
      </c>
      <c r="AA3" s="99">
        <f>IFERROR(__xludf.DUMMYFUNCTION("""COMPUTED_VALUE"""),0.0)</f>
        <v>0</v>
      </c>
      <c r="AB3" s="99">
        <f>IFERROR(__xludf.DUMMYFUNCTION("""COMPUTED_VALUE"""),0.0)</f>
        <v>0</v>
      </c>
    </row>
    <row r="4">
      <c r="A4" s="95" t="str">
        <f>IFERROR(__xludf.DUMMYFUNCTION("""COMPUTED_VALUE"""),"TEA021")</f>
        <v>TEA021</v>
      </c>
      <c r="B4" s="95" t="str">
        <f>IFERROR(__xludf.DUMMYFUNCTION("""COMPUTED_VALUE"""),"Heba El Khateeb")</f>
        <v>Heba El Khateeb</v>
      </c>
      <c r="C4" s="95" t="str">
        <f>IFERROR(__xludf.DUMMYFUNCTION("""COMPUTED_VALUE"""),"""1hVVDkW8ddsayvuEDMt8ezvvS7zgQJqgwuU7YdVnsigo""")</f>
        <v>"1hVVDkW8ddsayvuEDMt8ezvvS7zgQJqgwuU7YdVnsigo"</v>
      </c>
      <c r="D4" s="100" t="str">
        <f>IFERROR(__xludf.DUMMYFUNCTION("importrange(C4,Sheet3!D$1)"),"Attended No Show")</f>
        <v>Attended No Show</v>
      </c>
      <c r="E4" s="97">
        <f>IFERROR(__xludf.DUMMYFUNCTION("""COMPUTED_VALUE"""),48.0)</f>
        <v>48</v>
      </c>
      <c r="F4" s="97">
        <f>IFERROR(__xludf.DUMMYFUNCTION("""COMPUTED_VALUE"""),33.0)</f>
        <v>33</v>
      </c>
      <c r="G4" s="97">
        <f>IFERROR(__xludf.DUMMYFUNCTION("""COMPUTED_VALUE"""),31.0)</f>
        <v>31</v>
      </c>
      <c r="H4" s="97">
        <f>IFERROR(__xludf.DUMMYFUNCTION("""COMPUTED_VALUE"""),5.0)</f>
        <v>5</v>
      </c>
      <c r="I4" s="97">
        <f>IFERROR(__xludf.DUMMYFUNCTION("""COMPUTED_VALUE"""),2.0)</f>
        <v>2</v>
      </c>
      <c r="J4" s="97">
        <f>IFERROR(__xludf.DUMMYFUNCTION("""COMPUTED_VALUE"""),0.0)</f>
        <v>0</v>
      </c>
      <c r="K4" s="97">
        <f>IFERROR(__xludf.DUMMYFUNCTION("""COMPUTED_VALUE"""),10.0)</f>
        <v>10</v>
      </c>
      <c r="L4" s="97">
        <f>IFERROR(__xludf.DUMMYFUNCTION("""COMPUTED_VALUE"""),68.75)</f>
        <v>68.75</v>
      </c>
      <c r="M4" s="98">
        <f>IFERROR(__xludf.DUMMYFUNCTION("""COMPUTED_VALUE"""),89.58333333333334)</f>
        <v>89.58333333</v>
      </c>
      <c r="N4" s="98">
        <f>IFERROR(__xludf.DUMMYFUNCTION("""COMPUTED_VALUE"""),85.41666666666666)</f>
        <v>85.41666667</v>
      </c>
      <c r="O4" s="98">
        <f>IFERROR(__xludf.DUMMYFUNCTION("""COMPUTED_VALUE"""),10.416666666666668)</f>
        <v>10.41666667</v>
      </c>
      <c r="P4" s="98">
        <f>IFERROR(__xludf.DUMMYFUNCTION("""COMPUTED_VALUE"""),4.166666666666666)</f>
        <v>4.166666667</v>
      </c>
      <c r="Q4" s="98">
        <f>IFERROR(__xludf.DUMMYFUNCTION("""COMPUTED_VALUE"""),0.0)</f>
        <v>0</v>
      </c>
      <c r="R4" s="98">
        <f>IFERROR(__xludf.DUMMYFUNCTION("""COMPUTED_VALUE"""),20.833333333333336)</f>
        <v>20.83333333</v>
      </c>
      <c r="S4" s="98">
        <f>IFERROR(__xludf.DUMMYFUNCTION("""COMPUTED_VALUE"""),28.06451612903226)</f>
        <v>28.06451613</v>
      </c>
      <c r="T4" s="97">
        <f>IFERROR(__xludf.DUMMYFUNCTION("""COMPUTED_VALUE"""),10.0)</f>
        <v>10</v>
      </c>
      <c r="U4" s="97" t="str">
        <f>IFERROR(__xludf.DUMMYFUNCTION("""COMPUTED_VALUE"""),"yes")</f>
        <v>yes</v>
      </c>
      <c r="V4" s="97">
        <f>IFERROR(__xludf.DUMMYFUNCTION("""COMPUTED_VALUE"""),30.0)</f>
        <v>30</v>
      </c>
      <c r="W4" s="97">
        <f>IFERROR(__xludf.DUMMYFUNCTION("""COMPUTED_VALUE"""),30.0)</f>
        <v>30</v>
      </c>
      <c r="X4" s="97">
        <f>IFERROR(__xludf.DUMMYFUNCTION("""COMPUTED_VALUE"""),0.0)</f>
        <v>0</v>
      </c>
      <c r="Y4" s="97">
        <f>IFERROR(__xludf.DUMMYFUNCTION("""COMPUTED_VALUE"""),0.0)</f>
        <v>0</v>
      </c>
      <c r="Z4" s="99">
        <f>IFERROR(__xludf.DUMMYFUNCTION("""COMPUTED_VALUE"""),100.0)</f>
        <v>100</v>
      </c>
      <c r="AA4" s="99">
        <f>IFERROR(__xludf.DUMMYFUNCTION("""COMPUTED_VALUE"""),0.0)</f>
        <v>0</v>
      </c>
      <c r="AB4" s="99">
        <f>IFERROR(__xludf.DUMMYFUNCTION("""COMPUTED_VALUE"""),0.0)</f>
        <v>0</v>
      </c>
    </row>
    <row r="5">
      <c r="A5" s="95" t="str">
        <f>IFERROR(__xludf.DUMMYFUNCTION("""COMPUTED_VALUE"""),"TEA049")</f>
        <v>TEA049</v>
      </c>
      <c r="B5" s="95" t="str">
        <f>IFERROR(__xludf.DUMMYFUNCTION("""COMPUTED_VALUE"""),"Shaimaa El Kordy")</f>
        <v>Shaimaa El Kordy</v>
      </c>
      <c r="C5" s="95" t="str">
        <f>IFERROR(__xludf.DUMMYFUNCTION("""COMPUTED_VALUE"""),"""16vvJsFIh58NAqnALcx5zT26w6Hf5mGGwUa0_XboVu2k""")</f>
        <v>"16vvJsFIh58NAqnALcx5zT26w6Hf5mGGwUa0_XboVu2k"</v>
      </c>
      <c r="D5" s="100" t="str">
        <f>IFERROR(__xludf.DUMMYFUNCTION("importrange(C5,Sheet3!D$1)"),"Attended")</f>
        <v>Attended</v>
      </c>
      <c r="E5" s="97">
        <f>IFERROR(__xludf.DUMMYFUNCTION("""COMPUTED_VALUE"""),59.0)</f>
        <v>59</v>
      </c>
      <c r="F5" s="97">
        <f>IFERROR(__xludf.DUMMYFUNCTION("""COMPUTED_VALUE"""),47.0)</f>
        <v>47</v>
      </c>
      <c r="G5" s="97">
        <f>IFERROR(__xludf.DUMMYFUNCTION("""COMPUTED_VALUE"""),47.0)</f>
        <v>47</v>
      </c>
      <c r="H5" s="97">
        <f>IFERROR(__xludf.DUMMYFUNCTION("""COMPUTED_VALUE"""),1.0)</f>
        <v>1</v>
      </c>
      <c r="I5" s="97">
        <f>IFERROR(__xludf.DUMMYFUNCTION("""COMPUTED_VALUE"""),0.0)</f>
        <v>0</v>
      </c>
      <c r="J5" s="97">
        <f>IFERROR(__xludf.DUMMYFUNCTION("""COMPUTED_VALUE"""),0.0)</f>
        <v>0</v>
      </c>
      <c r="K5" s="97">
        <f>IFERROR(__xludf.DUMMYFUNCTION("""COMPUTED_VALUE"""),11.0)</f>
        <v>11</v>
      </c>
      <c r="L5" s="97">
        <f>IFERROR(__xludf.DUMMYFUNCTION("""COMPUTED_VALUE"""),79.66101694915254)</f>
        <v>79.66101695</v>
      </c>
      <c r="M5" s="98">
        <f>IFERROR(__xludf.DUMMYFUNCTION("""COMPUTED_VALUE"""),98.30508474576271)</f>
        <v>98.30508475</v>
      </c>
      <c r="N5" s="98">
        <f>IFERROR(__xludf.DUMMYFUNCTION("""COMPUTED_VALUE"""),98.30508474576271)</f>
        <v>98.30508475</v>
      </c>
      <c r="O5" s="98">
        <f>IFERROR(__xludf.DUMMYFUNCTION("""COMPUTED_VALUE"""),1.694915254237288)</f>
        <v>1.694915254</v>
      </c>
      <c r="P5" s="98">
        <f>IFERROR(__xludf.DUMMYFUNCTION("""COMPUTED_VALUE"""),0.0)</f>
        <v>0</v>
      </c>
      <c r="Q5" s="98">
        <f>IFERROR(__xludf.DUMMYFUNCTION("""COMPUTED_VALUE"""),0.0)</f>
        <v>0</v>
      </c>
      <c r="R5" s="98">
        <f>IFERROR(__xludf.DUMMYFUNCTION("""COMPUTED_VALUE"""),18.64406779661017)</f>
        <v>18.6440678</v>
      </c>
      <c r="S5" s="98">
        <f>IFERROR(__xludf.DUMMYFUNCTION("""COMPUTED_VALUE"""),30.0)</f>
        <v>30</v>
      </c>
      <c r="T5" s="97">
        <f>IFERROR(__xludf.DUMMYFUNCTION("""COMPUTED_VALUE"""),11.0)</f>
        <v>11</v>
      </c>
      <c r="U5" s="97" t="str">
        <f>IFERROR(__xludf.DUMMYFUNCTION("""COMPUTED_VALUE"""),"Yes ")</f>
        <v>Yes </v>
      </c>
      <c r="V5" s="97">
        <f>IFERROR(__xludf.DUMMYFUNCTION("""COMPUTED_VALUE"""),2.0)</f>
        <v>2</v>
      </c>
      <c r="W5" s="97">
        <f>IFERROR(__xludf.DUMMYFUNCTION("""COMPUTED_VALUE"""),0.0)</f>
        <v>0</v>
      </c>
      <c r="X5" s="97">
        <f>IFERROR(__xludf.DUMMYFUNCTION("""COMPUTED_VALUE"""),2.0)</f>
        <v>2</v>
      </c>
      <c r="Y5" s="97">
        <f>IFERROR(__xludf.DUMMYFUNCTION("""COMPUTED_VALUE"""),3.0)</f>
        <v>3</v>
      </c>
      <c r="Z5" s="99">
        <f>IFERROR(__xludf.DUMMYFUNCTION("""COMPUTED_VALUE"""),0.0)</f>
        <v>0</v>
      </c>
      <c r="AA5" s="99">
        <f>IFERROR(__xludf.DUMMYFUNCTION("""COMPUTED_VALUE"""),100.0)</f>
        <v>100</v>
      </c>
      <c r="AB5" s="99">
        <f>IFERROR(__xludf.DUMMYFUNCTION("""COMPUTED_VALUE"""),60.0)</f>
        <v>60</v>
      </c>
    </row>
    <row r="6">
      <c r="A6" s="95" t="str">
        <f>IFERROR(__xludf.DUMMYFUNCTION("""COMPUTED_VALUE"""),"TEA055")</f>
        <v>TEA055</v>
      </c>
      <c r="B6" s="95" t="str">
        <f>IFERROR(__xludf.DUMMYFUNCTION("""COMPUTED_VALUE"""),"Mona Salah")</f>
        <v>Mona Salah</v>
      </c>
      <c r="C6" s="95" t="str">
        <f>IFERROR(__xludf.DUMMYFUNCTION("""COMPUTED_VALUE"""),"""1KdwfavjK35cUUGL0vYRZXIu89JT_zj--tLhh2QJZh9g""")</f>
        <v>"1KdwfavjK35cUUGL0vYRZXIu89JT_zj--tLhh2QJZh9g"</v>
      </c>
      <c r="D6" s="100" t="str">
        <f>IFERROR(__xludf.DUMMYFUNCTION("importrange(C6,Sheet3!D$1)"),"Attended")</f>
        <v>Attended</v>
      </c>
      <c r="E6" s="97">
        <f>IFERROR(__xludf.DUMMYFUNCTION("""COMPUTED_VALUE"""),26.0)</f>
        <v>26</v>
      </c>
      <c r="F6" s="97">
        <f>IFERROR(__xludf.DUMMYFUNCTION("""COMPUTED_VALUE"""),20.0)</f>
        <v>20</v>
      </c>
      <c r="G6" s="97">
        <f>IFERROR(__xludf.DUMMYFUNCTION("""COMPUTED_VALUE"""),20.0)</f>
        <v>20</v>
      </c>
      <c r="H6" s="97">
        <f>IFERROR(__xludf.DUMMYFUNCTION("""COMPUTED_VALUE"""),0.0)</f>
        <v>0</v>
      </c>
      <c r="I6" s="97">
        <f>IFERROR(__xludf.DUMMYFUNCTION("""COMPUTED_VALUE"""),0.0)</f>
        <v>0</v>
      </c>
      <c r="J6" s="97">
        <f>IFERROR(__xludf.DUMMYFUNCTION("""COMPUTED_VALUE"""),3.0)</f>
        <v>3</v>
      </c>
      <c r="K6" s="97">
        <f>IFERROR(__xludf.DUMMYFUNCTION("""COMPUTED_VALUE"""),3.0)</f>
        <v>3</v>
      </c>
      <c r="L6" s="97">
        <f>IFERROR(__xludf.DUMMYFUNCTION("""COMPUTED_VALUE"""),76.92307692307693)</f>
        <v>76.92307692</v>
      </c>
      <c r="M6" s="98">
        <f>IFERROR(__xludf.DUMMYFUNCTION("""COMPUTED_VALUE"""),88.46153846153845)</f>
        <v>88.46153846</v>
      </c>
      <c r="N6" s="98">
        <f>IFERROR(__xludf.DUMMYFUNCTION("""COMPUTED_VALUE"""),100.0)</f>
        <v>100</v>
      </c>
      <c r="O6" s="98">
        <f>IFERROR(__xludf.DUMMYFUNCTION("""COMPUTED_VALUE"""),0.0)</f>
        <v>0</v>
      </c>
      <c r="P6" s="98">
        <f>IFERROR(__xludf.DUMMYFUNCTION("""COMPUTED_VALUE"""),0.0)</f>
        <v>0</v>
      </c>
      <c r="Q6" s="98">
        <f>IFERROR(__xludf.DUMMYFUNCTION("""COMPUTED_VALUE"""),11.538461538461538)</f>
        <v>11.53846154</v>
      </c>
      <c r="R6" s="98">
        <f>IFERROR(__xludf.DUMMYFUNCTION("""COMPUTED_VALUE"""),11.538461538461538)</f>
        <v>11.53846154</v>
      </c>
      <c r="S6" s="98">
        <f>IFERROR(__xludf.DUMMYFUNCTION("""COMPUTED_VALUE"""),29.75)</f>
        <v>29.75</v>
      </c>
      <c r="T6" s="97">
        <f>IFERROR(__xludf.DUMMYFUNCTION("""COMPUTED_VALUE"""),6.0)</f>
        <v>6</v>
      </c>
      <c r="U6" s="97" t="str">
        <f>IFERROR(__xludf.DUMMYFUNCTION("""COMPUTED_VALUE"""),"Yes ")</f>
        <v>Yes </v>
      </c>
      <c r="V6" s="97">
        <f>IFERROR(__xludf.DUMMYFUNCTION("""COMPUTED_VALUE"""),2.0)</f>
        <v>2</v>
      </c>
      <c r="W6" s="97">
        <f>IFERROR(__xludf.DUMMYFUNCTION("""COMPUTED_VALUE"""),0.0)</f>
        <v>0</v>
      </c>
      <c r="X6" s="97">
        <f>IFERROR(__xludf.DUMMYFUNCTION("""COMPUTED_VALUE"""),2.0)</f>
        <v>2</v>
      </c>
      <c r="Y6" s="97">
        <f>IFERROR(__xludf.DUMMYFUNCTION("""COMPUTED_VALUE"""),0.0)</f>
        <v>0</v>
      </c>
      <c r="Z6" s="99">
        <f>IFERROR(__xludf.DUMMYFUNCTION("""COMPUTED_VALUE"""),0.0)</f>
        <v>0</v>
      </c>
      <c r="AA6" s="99">
        <f>IFERROR(__xludf.DUMMYFUNCTION("""COMPUTED_VALUE"""),100.0)</f>
        <v>100</v>
      </c>
      <c r="AB6" s="99">
        <f>IFERROR(__xludf.DUMMYFUNCTION("""COMPUTED_VALUE"""),0.0)</f>
        <v>0</v>
      </c>
    </row>
    <row r="7">
      <c r="A7" s="95" t="str">
        <f>IFERROR(__xludf.DUMMYFUNCTION("""COMPUTED_VALUE"""),"TEA059")</f>
        <v>TEA059</v>
      </c>
      <c r="B7" s="95" t="str">
        <f>IFERROR(__xludf.DUMMYFUNCTION("""COMPUTED_VALUE"""),"Magdy Yahia")</f>
        <v>Magdy Yahia</v>
      </c>
      <c r="C7" s="95" t="str">
        <f>IFERROR(__xludf.DUMMYFUNCTION("""COMPUTED_VALUE"""),"""1axC8523wyO9fGvTcgFzPYrsWNfX0bKylUXLpzXSvCmw""")</f>
        <v>"1axC8523wyO9fGvTcgFzPYrsWNfX0bKylUXLpzXSvCmw"</v>
      </c>
      <c r="D7" s="100" t="str">
        <f>IFERROR(__xludf.DUMMYFUNCTION("importrange(C7,Sheet3!D$1)"),"Late")</f>
        <v>Late</v>
      </c>
      <c r="E7" s="97">
        <f>IFERROR(__xludf.DUMMYFUNCTION("""COMPUTED_VALUE"""),56.0)</f>
        <v>56</v>
      </c>
      <c r="F7" s="97">
        <f>IFERROR(__xludf.DUMMYFUNCTION("""COMPUTED_VALUE"""),32.0)</f>
        <v>32</v>
      </c>
      <c r="G7" s="97">
        <f>IFERROR(__xludf.DUMMYFUNCTION("""COMPUTED_VALUE"""),31.0)</f>
        <v>31</v>
      </c>
      <c r="H7" s="97">
        <f>IFERROR(__xludf.DUMMYFUNCTION("""COMPUTED_VALUE"""),10.0)</f>
        <v>10</v>
      </c>
      <c r="I7" s="97">
        <f>IFERROR(__xludf.DUMMYFUNCTION("""COMPUTED_VALUE"""),1.0)</f>
        <v>1</v>
      </c>
      <c r="J7" s="97">
        <f>IFERROR(__xludf.DUMMYFUNCTION("""COMPUTED_VALUE"""),0.0)</f>
        <v>0</v>
      </c>
      <c r="K7" s="97">
        <f>IFERROR(__xludf.DUMMYFUNCTION("""COMPUTED_VALUE"""),14.0)</f>
        <v>14</v>
      </c>
      <c r="L7" s="97">
        <f>IFERROR(__xludf.DUMMYFUNCTION("""COMPUTED_VALUE"""),57.14285714285714)</f>
        <v>57.14285714</v>
      </c>
      <c r="M7" s="98">
        <f>IFERROR(__xludf.DUMMYFUNCTION("""COMPUTED_VALUE"""),82.14285714285714)</f>
        <v>82.14285714</v>
      </c>
      <c r="N7" s="98">
        <f>IFERROR(__xludf.DUMMYFUNCTION("""COMPUTED_VALUE"""),80.35714285714286)</f>
        <v>80.35714286</v>
      </c>
      <c r="O7" s="98">
        <f>IFERROR(__xludf.DUMMYFUNCTION("""COMPUTED_VALUE"""),17.857142857142858)</f>
        <v>17.85714286</v>
      </c>
      <c r="P7" s="98">
        <f>IFERROR(__xludf.DUMMYFUNCTION("""COMPUTED_VALUE"""),1.7857142857142856)</f>
        <v>1.785714286</v>
      </c>
      <c r="Q7" s="98">
        <f>IFERROR(__xludf.DUMMYFUNCTION("""COMPUTED_VALUE"""),0.0)</f>
        <v>0</v>
      </c>
      <c r="R7" s="98">
        <f>IFERROR(__xludf.DUMMYFUNCTION("""COMPUTED_VALUE"""),25.0)</f>
        <v>25</v>
      </c>
      <c r="S7" s="98">
        <f>IFERROR(__xludf.DUMMYFUNCTION("""COMPUTED_VALUE"""),24.84375)</f>
        <v>24.84375</v>
      </c>
      <c r="T7" s="97">
        <f>IFERROR(__xludf.DUMMYFUNCTION("""COMPUTED_VALUE"""),11.0)</f>
        <v>11</v>
      </c>
      <c r="U7" s="97" t="str">
        <f>IFERROR(__xludf.DUMMYFUNCTION("""COMPUTED_VALUE"""),"Yes ")</f>
        <v>Yes </v>
      </c>
      <c r="V7" s="97">
        <f>IFERROR(__xludf.DUMMYFUNCTION("""COMPUTED_VALUE"""),0.0)</f>
        <v>0</v>
      </c>
      <c r="W7" s="97">
        <f>IFERROR(__xludf.DUMMYFUNCTION("""COMPUTED_VALUE"""),0.0)</f>
        <v>0</v>
      </c>
      <c r="X7" s="97">
        <f>IFERROR(__xludf.DUMMYFUNCTION("""COMPUTED_VALUE"""),0.0)</f>
        <v>0</v>
      </c>
      <c r="Y7" s="97">
        <f>IFERROR(__xludf.DUMMYFUNCTION("""COMPUTED_VALUE"""),3.0)</f>
        <v>3</v>
      </c>
      <c r="Z7" s="99" t="str">
        <f>IFERROR(__xludf.DUMMYFUNCTION("""COMPUTED_VALUE"""),"N/A")</f>
        <v>N/A</v>
      </c>
      <c r="AA7" s="99" t="str">
        <f>IFERROR(__xludf.DUMMYFUNCTION("""COMPUTED_VALUE"""),"N/A")</f>
        <v>N/A</v>
      </c>
      <c r="AB7" s="99">
        <f>IFERROR(__xludf.DUMMYFUNCTION("""COMPUTED_VALUE"""),100.0)</f>
        <v>100</v>
      </c>
    </row>
    <row r="8">
      <c r="A8" s="95" t="str">
        <f>IFERROR(__xludf.DUMMYFUNCTION("""COMPUTED_VALUE"""),"TEA067")</f>
        <v>TEA067</v>
      </c>
      <c r="B8" s="95" t="str">
        <f>IFERROR(__xludf.DUMMYFUNCTION("""COMPUTED_VALUE"""),"Samar Hussain")</f>
        <v>Samar Hussain</v>
      </c>
      <c r="C8" s="95" t="str">
        <f>IFERROR(__xludf.DUMMYFUNCTION("""COMPUTED_VALUE"""),"""1--B1ZvMbg2SRY8KX-WmPnFJ_tGYZsAnZqn0GQ0qchCM""")</f>
        <v>"1--B1ZvMbg2SRY8KX-WmPnFJ_tGYZsAnZqn0GQ0qchCM"</v>
      </c>
      <c r="D8" s="100" t="str">
        <f>IFERROR(__xludf.DUMMYFUNCTION("importrange(C8,Sheet3!D$1)"),"Attended")</f>
        <v>Attended</v>
      </c>
      <c r="E8" s="97">
        <f>IFERROR(__xludf.DUMMYFUNCTION("""COMPUTED_VALUE"""),119.0)</f>
        <v>119</v>
      </c>
      <c r="F8" s="97">
        <f>IFERROR(__xludf.DUMMYFUNCTION("""COMPUTED_VALUE"""),80.0)</f>
        <v>80</v>
      </c>
      <c r="G8" s="97">
        <f>IFERROR(__xludf.DUMMYFUNCTION("""COMPUTED_VALUE"""),79.0)</f>
        <v>79</v>
      </c>
      <c r="H8" s="97">
        <f>IFERROR(__xludf.DUMMYFUNCTION("""COMPUTED_VALUE"""),4.0)</f>
        <v>4</v>
      </c>
      <c r="I8" s="97">
        <f>IFERROR(__xludf.DUMMYFUNCTION("""COMPUTED_VALUE"""),1.0)</f>
        <v>1</v>
      </c>
      <c r="J8" s="97">
        <f>IFERROR(__xludf.DUMMYFUNCTION("""COMPUTED_VALUE"""),7.0)</f>
        <v>7</v>
      </c>
      <c r="K8" s="97">
        <f>IFERROR(__xludf.DUMMYFUNCTION("""COMPUTED_VALUE"""),28.0)</f>
        <v>28</v>
      </c>
      <c r="L8" s="97">
        <f>IFERROR(__xludf.DUMMYFUNCTION("""COMPUTED_VALUE"""),67.22689075630252)</f>
        <v>67.22689076</v>
      </c>
      <c r="M8" s="98">
        <f>IFERROR(__xludf.DUMMYFUNCTION("""COMPUTED_VALUE"""),90.75630252100841)</f>
        <v>90.75630252</v>
      </c>
      <c r="N8" s="98">
        <f>IFERROR(__xludf.DUMMYFUNCTION("""COMPUTED_VALUE"""),95.53571428571429)</f>
        <v>95.53571429</v>
      </c>
      <c r="O8" s="98">
        <f>IFERROR(__xludf.DUMMYFUNCTION("""COMPUTED_VALUE"""),3.361344537815126)</f>
        <v>3.361344538</v>
      </c>
      <c r="P8" s="98">
        <f>IFERROR(__xludf.DUMMYFUNCTION("""COMPUTED_VALUE"""),0.8403361344537815)</f>
        <v>0.8403361345</v>
      </c>
      <c r="Q8" s="98">
        <f>IFERROR(__xludf.DUMMYFUNCTION("""COMPUTED_VALUE"""),5.88235294117647)</f>
        <v>5.882352941</v>
      </c>
      <c r="R8" s="98">
        <f>IFERROR(__xludf.DUMMYFUNCTION("""COMPUTED_VALUE"""),23.52941176470588)</f>
        <v>23.52941176</v>
      </c>
      <c r="S8" s="98">
        <f>IFERROR(__xludf.DUMMYFUNCTION("""COMPUTED_VALUE"""),28.8)</f>
        <v>28.8</v>
      </c>
      <c r="T8" s="97">
        <f>IFERROR(__xludf.DUMMYFUNCTION("""COMPUTED_VALUE"""),19.0)</f>
        <v>19</v>
      </c>
      <c r="U8" s="97" t="str">
        <f>IFERROR(__xludf.DUMMYFUNCTION("""COMPUTED_VALUE"""),"Yes ")</f>
        <v>Yes </v>
      </c>
      <c r="V8" s="97">
        <f>IFERROR(__xludf.DUMMYFUNCTION("""COMPUTED_VALUE"""),40.0)</f>
        <v>40</v>
      </c>
      <c r="W8" s="97">
        <f>IFERROR(__xludf.DUMMYFUNCTION("""COMPUTED_VALUE"""),40.0)</f>
        <v>40</v>
      </c>
      <c r="X8" s="97">
        <f>IFERROR(__xludf.DUMMYFUNCTION("""COMPUTED_VALUE"""),0.0)</f>
        <v>0</v>
      </c>
      <c r="Y8" s="97">
        <f>IFERROR(__xludf.DUMMYFUNCTION("""COMPUTED_VALUE"""),0.0)</f>
        <v>0</v>
      </c>
      <c r="Z8" s="99">
        <f>IFERROR(__xludf.DUMMYFUNCTION("""COMPUTED_VALUE"""),100.0)</f>
        <v>100</v>
      </c>
      <c r="AA8" s="99">
        <f>IFERROR(__xludf.DUMMYFUNCTION("""COMPUTED_VALUE"""),0.0)</f>
        <v>0</v>
      </c>
      <c r="AB8" s="99">
        <f>IFERROR(__xludf.DUMMYFUNCTION("""COMPUTED_VALUE"""),0.0)</f>
        <v>0</v>
      </c>
    </row>
    <row r="9">
      <c r="A9" s="95" t="str">
        <f>IFERROR(__xludf.DUMMYFUNCTION("""COMPUTED_VALUE"""),"TEA021")</f>
        <v>TEA021</v>
      </c>
      <c r="B9" s="95" t="str">
        <f>IFERROR(__xludf.DUMMYFUNCTION("""COMPUTED_VALUE"""),"Heba El Khateeb")</f>
        <v>Heba El Khateeb</v>
      </c>
      <c r="C9" s="95" t="str">
        <f>IFERROR(__xludf.DUMMYFUNCTION("""COMPUTED_VALUE"""),"""1cLkcYGkQOCdiqHsDQyF8-IgqwAHTQ0tOB_aMxonofF8""")</f>
        <v>"1cLkcYGkQOCdiqHsDQyF8-IgqwAHTQ0tOB_aMxonofF8"</v>
      </c>
      <c r="D9" s="100" t="str">
        <f>IFERROR(__xludf.DUMMYFUNCTION("importrange(C9,Sheet3!D$1)"),"Attended")</f>
        <v>Attended</v>
      </c>
      <c r="E9" s="97">
        <f>IFERROR(__xludf.DUMMYFUNCTION("""COMPUTED_VALUE"""),6.0)</f>
        <v>6</v>
      </c>
      <c r="F9" s="97">
        <f>IFERROR(__xludf.DUMMYFUNCTION("""COMPUTED_VALUE"""),6.0)</f>
        <v>6</v>
      </c>
      <c r="G9" s="97">
        <f>IFERROR(__xludf.DUMMYFUNCTION("""COMPUTED_VALUE"""),6.0)</f>
        <v>6</v>
      </c>
      <c r="H9" s="97">
        <f>IFERROR(__xludf.DUMMYFUNCTION("""COMPUTED_VALUE"""),0.0)</f>
        <v>0</v>
      </c>
      <c r="I9" s="97">
        <f>IFERROR(__xludf.DUMMYFUNCTION("""COMPUTED_VALUE"""),0.0)</f>
        <v>0</v>
      </c>
      <c r="J9" s="97">
        <f>IFERROR(__xludf.DUMMYFUNCTION("""COMPUTED_VALUE"""),0.0)</f>
        <v>0</v>
      </c>
      <c r="K9" s="97">
        <f>IFERROR(__xludf.DUMMYFUNCTION("""COMPUTED_VALUE"""),0.0)</f>
        <v>0</v>
      </c>
      <c r="L9" s="97">
        <f>IFERROR(__xludf.DUMMYFUNCTION("""COMPUTED_VALUE"""),100.0)</f>
        <v>100</v>
      </c>
      <c r="M9" s="98">
        <f>IFERROR(__xludf.DUMMYFUNCTION("""COMPUTED_VALUE"""),100.0)</f>
        <v>100</v>
      </c>
      <c r="N9" s="98">
        <f>IFERROR(__xludf.DUMMYFUNCTION("""COMPUTED_VALUE"""),100.0)</f>
        <v>100</v>
      </c>
      <c r="O9" s="98">
        <f>IFERROR(__xludf.DUMMYFUNCTION("""COMPUTED_VALUE"""),0.0)</f>
        <v>0</v>
      </c>
      <c r="P9" s="98">
        <f>IFERROR(__xludf.DUMMYFUNCTION("""COMPUTED_VALUE"""),0.0)</f>
        <v>0</v>
      </c>
      <c r="Q9" s="98">
        <f>IFERROR(__xludf.DUMMYFUNCTION("""COMPUTED_VALUE"""),0.0)</f>
        <v>0</v>
      </c>
      <c r="R9" s="98">
        <f>IFERROR(__xludf.DUMMYFUNCTION("""COMPUTED_VALUE"""),0.0)</f>
        <v>0</v>
      </c>
      <c r="S9" s="98">
        <f>IFERROR(__xludf.DUMMYFUNCTION("""COMPUTED_VALUE"""),24.166666666666668)</f>
        <v>24.16666667</v>
      </c>
      <c r="T9" s="97">
        <f>IFERROR(__xludf.DUMMYFUNCTION("""COMPUTED_VALUE"""),1.0)</f>
        <v>1</v>
      </c>
      <c r="U9" s="97" t="str">
        <f>IFERROR(__xludf.DUMMYFUNCTION("""COMPUTED_VALUE"""),"Yes")</f>
        <v>Yes</v>
      </c>
      <c r="V9" s="97">
        <f>IFERROR(__xludf.DUMMYFUNCTION("""COMPUTED_VALUE"""),6.0)</f>
        <v>6</v>
      </c>
      <c r="W9" s="97">
        <f>IFERROR(__xludf.DUMMYFUNCTION("""COMPUTED_VALUE"""),5.0)</f>
        <v>5</v>
      </c>
      <c r="X9" s="97">
        <f>IFERROR(__xludf.DUMMYFUNCTION("""COMPUTED_VALUE"""),1.0)</f>
        <v>1</v>
      </c>
      <c r="Y9" s="97">
        <f>IFERROR(__xludf.DUMMYFUNCTION("""COMPUTED_VALUE"""),0.0)</f>
        <v>0</v>
      </c>
      <c r="Z9" s="99">
        <f>IFERROR(__xludf.DUMMYFUNCTION("""COMPUTED_VALUE"""),83.33333333333334)</f>
        <v>83.33333333</v>
      </c>
      <c r="AA9" s="99">
        <f>IFERROR(__xludf.DUMMYFUNCTION("""COMPUTED_VALUE"""),16.666666666666664)</f>
        <v>16.66666667</v>
      </c>
      <c r="AB9" s="99">
        <f>IFERROR(__xludf.DUMMYFUNCTION("""COMPUTED_VALUE"""),0.0)</f>
        <v>0</v>
      </c>
    </row>
    <row r="10">
      <c r="A10" s="95" t="str">
        <f>IFERROR(__xludf.DUMMYFUNCTION("""COMPUTED_VALUE"""),"TEA082")</f>
        <v>TEA082</v>
      </c>
      <c r="B10" s="95" t="str">
        <f>IFERROR(__xludf.DUMMYFUNCTION("""COMPUTED_VALUE"""),"Mariam Fouad")</f>
        <v>Mariam Fouad</v>
      </c>
      <c r="C10" s="95" t="str">
        <f>IFERROR(__xludf.DUMMYFUNCTION("""COMPUTED_VALUE"""),"""1C4E7oe2GvebH1rIusUUGL763Nv3Hl8XIhyyqmpaGF_4""")</f>
        <v>"1C4E7oe2GvebH1rIusUUGL763Nv3Hl8XIhyyqmpaGF_4"</v>
      </c>
      <c r="D10" s="100" t="str">
        <f>IFERROR(__xludf.DUMMYFUNCTION("importrange(C10,Sheet3!D$1)"),"No Sessions")</f>
        <v>No Sessions</v>
      </c>
      <c r="E10" s="97">
        <f>IFERROR(__xludf.DUMMYFUNCTION("""COMPUTED_VALUE"""),0.0)</f>
        <v>0</v>
      </c>
      <c r="F10" s="97">
        <f>IFERROR(__xludf.DUMMYFUNCTION("""COMPUTED_VALUE"""),0.0)</f>
        <v>0</v>
      </c>
      <c r="G10" s="97">
        <f>IFERROR(__xludf.DUMMYFUNCTION("""COMPUTED_VALUE"""),0.0)</f>
        <v>0</v>
      </c>
      <c r="H10" s="97">
        <f>IFERROR(__xludf.DUMMYFUNCTION("""COMPUTED_VALUE"""),0.0)</f>
        <v>0</v>
      </c>
      <c r="I10" s="97">
        <f>IFERROR(__xludf.DUMMYFUNCTION("""COMPUTED_VALUE"""),0.0)</f>
        <v>0</v>
      </c>
      <c r="J10" s="97">
        <f>IFERROR(__xludf.DUMMYFUNCTION("""COMPUTED_VALUE"""),0.0)</f>
        <v>0</v>
      </c>
      <c r="K10" s="97">
        <f>IFERROR(__xludf.DUMMYFUNCTION("""COMPUTED_VALUE"""),0.0)</f>
        <v>0</v>
      </c>
      <c r="L10" s="97" t="str">
        <f>IFERROR(__xludf.DUMMYFUNCTION("""COMPUTED_VALUE"""),"N/A")</f>
        <v>N/A</v>
      </c>
      <c r="M10" s="98" t="str">
        <f>IFERROR(__xludf.DUMMYFUNCTION("""COMPUTED_VALUE"""),"N/A")</f>
        <v>N/A</v>
      </c>
      <c r="N10" s="98" t="str">
        <f>IFERROR(__xludf.DUMMYFUNCTION("""COMPUTED_VALUE"""),"N/A")</f>
        <v>N/A</v>
      </c>
      <c r="O10" s="98" t="str">
        <f>IFERROR(__xludf.DUMMYFUNCTION("""COMPUTED_VALUE"""),"N/A")</f>
        <v>N/A</v>
      </c>
      <c r="P10" s="98" t="str">
        <f>IFERROR(__xludf.DUMMYFUNCTION("""COMPUTED_VALUE"""),"N/A")</f>
        <v>N/A</v>
      </c>
      <c r="Q10" s="98" t="str">
        <f>IFERROR(__xludf.DUMMYFUNCTION("""COMPUTED_VALUE"""),"N/A")</f>
        <v>N/A</v>
      </c>
      <c r="R10" s="98" t="str">
        <f>IFERROR(__xludf.DUMMYFUNCTION("""COMPUTED_VALUE"""),"N/A")</f>
        <v>N/A</v>
      </c>
      <c r="S10" s="98" t="str">
        <f>IFERROR(__xludf.DUMMYFUNCTION("""COMPUTED_VALUE"""),"N/A")</f>
        <v>N/A</v>
      </c>
      <c r="T10" s="97">
        <f>IFERROR(__xludf.DUMMYFUNCTION("""COMPUTED_VALUE"""),0.0)</f>
        <v>0</v>
      </c>
      <c r="U10" s="97" t="str">
        <f>IFERROR(__xludf.DUMMYFUNCTION("""COMPUTED_VALUE"""),"No Sessions")</f>
        <v>No Sessions</v>
      </c>
      <c r="V10" s="97">
        <f>IFERROR(__xludf.DUMMYFUNCTION("""COMPUTED_VALUE"""),0.0)</f>
        <v>0</v>
      </c>
      <c r="W10" s="97">
        <f>IFERROR(__xludf.DUMMYFUNCTION("""COMPUTED_VALUE"""),0.0)</f>
        <v>0</v>
      </c>
      <c r="X10" s="97">
        <f>IFERROR(__xludf.DUMMYFUNCTION("""COMPUTED_VALUE"""),0.0)</f>
        <v>0</v>
      </c>
      <c r="Y10" s="97">
        <f>IFERROR(__xludf.DUMMYFUNCTION("""COMPUTED_VALUE"""),0.0)</f>
        <v>0</v>
      </c>
      <c r="Z10" s="99" t="str">
        <f>IFERROR(__xludf.DUMMYFUNCTION("""COMPUTED_VALUE"""),"N/A")</f>
        <v>N/A</v>
      </c>
      <c r="AA10" s="99" t="str">
        <f>IFERROR(__xludf.DUMMYFUNCTION("""COMPUTED_VALUE"""),"N/A")</f>
        <v>N/A</v>
      </c>
      <c r="AB10" s="99" t="str">
        <f>IFERROR(__xludf.DUMMYFUNCTION("""COMPUTED_VALUE"""),"N/A")</f>
        <v>N/A</v>
      </c>
    </row>
    <row r="11">
      <c r="A11" s="95" t="str">
        <f>IFERROR(__xludf.DUMMYFUNCTION("""COMPUTED_VALUE"""),"TEA084")</f>
        <v>TEA084</v>
      </c>
      <c r="B11" s="95" t="str">
        <f>IFERROR(__xludf.DUMMYFUNCTION("""COMPUTED_VALUE"""),"Essam Fouad")</f>
        <v>Essam Fouad</v>
      </c>
      <c r="C11" s="95" t="str">
        <f>IFERROR(__xludf.DUMMYFUNCTION("""COMPUTED_VALUE"""),"""12zP1IR8XRT3734jhZkWyBbhz0fuladYSo3eUrIgU7Go""")</f>
        <v>"12zP1IR8XRT3734jhZkWyBbhz0fuladYSo3eUrIgU7Go"</v>
      </c>
      <c r="D11" s="100" t="str">
        <f>IFERROR(__xludf.DUMMYFUNCTION("importrange(C11,Sheet3!D$1)"),"No Sessions")</f>
        <v>No Sessions</v>
      </c>
      <c r="E11" s="97">
        <f>IFERROR(__xludf.DUMMYFUNCTION("""COMPUTED_VALUE"""),0.0)</f>
        <v>0</v>
      </c>
      <c r="F11" s="97">
        <f>IFERROR(__xludf.DUMMYFUNCTION("""COMPUTED_VALUE"""),0.0)</f>
        <v>0</v>
      </c>
      <c r="G11" s="97">
        <f>IFERROR(__xludf.DUMMYFUNCTION("""COMPUTED_VALUE"""),0.0)</f>
        <v>0</v>
      </c>
      <c r="H11" s="97">
        <f>IFERROR(__xludf.DUMMYFUNCTION("""COMPUTED_VALUE"""),0.0)</f>
        <v>0</v>
      </c>
      <c r="I11" s="97">
        <f>IFERROR(__xludf.DUMMYFUNCTION("""COMPUTED_VALUE"""),0.0)</f>
        <v>0</v>
      </c>
      <c r="J11" s="97">
        <f>IFERROR(__xludf.DUMMYFUNCTION("""COMPUTED_VALUE"""),0.0)</f>
        <v>0</v>
      </c>
      <c r="K11" s="97">
        <f>IFERROR(__xludf.DUMMYFUNCTION("""COMPUTED_VALUE"""),0.0)</f>
        <v>0</v>
      </c>
      <c r="L11" s="97" t="str">
        <f>IFERROR(__xludf.DUMMYFUNCTION("""COMPUTED_VALUE"""),"N/A")</f>
        <v>N/A</v>
      </c>
      <c r="M11" s="98" t="str">
        <f>IFERROR(__xludf.DUMMYFUNCTION("""COMPUTED_VALUE"""),"N/A")</f>
        <v>N/A</v>
      </c>
      <c r="N11" s="98" t="str">
        <f>IFERROR(__xludf.DUMMYFUNCTION("""COMPUTED_VALUE"""),"N/A")</f>
        <v>N/A</v>
      </c>
      <c r="O11" s="98" t="str">
        <f>IFERROR(__xludf.DUMMYFUNCTION("""COMPUTED_VALUE"""),"N/A")</f>
        <v>N/A</v>
      </c>
      <c r="P11" s="98" t="str">
        <f>IFERROR(__xludf.DUMMYFUNCTION("""COMPUTED_VALUE"""),"N/A")</f>
        <v>N/A</v>
      </c>
      <c r="Q11" s="98" t="str">
        <f>IFERROR(__xludf.DUMMYFUNCTION("""COMPUTED_VALUE"""),"N/A")</f>
        <v>N/A</v>
      </c>
      <c r="R11" s="98" t="str">
        <f>IFERROR(__xludf.DUMMYFUNCTION("""COMPUTED_VALUE"""),"N/A")</f>
        <v>N/A</v>
      </c>
      <c r="S11" s="98" t="str">
        <f>IFERROR(__xludf.DUMMYFUNCTION("""COMPUTED_VALUE"""),"N/A")</f>
        <v>N/A</v>
      </c>
      <c r="T11" s="97">
        <f>IFERROR(__xludf.DUMMYFUNCTION("""COMPUTED_VALUE"""),0.0)</f>
        <v>0</v>
      </c>
      <c r="U11" s="97" t="str">
        <f>IFERROR(__xludf.DUMMYFUNCTION("""COMPUTED_VALUE"""),"No Sessions")</f>
        <v>No Sessions</v>
      </c>
      <c r="V11" s="97">
        <f>IFERROR(__xludf.DUMMYFUNCTION("""COMPUTED_VALUE"""),0.0)</f>
        <v>0</v>
      </c>
      <c r="W11" s="97">
        <f>IFERROR(__xludf.DUMMYFUNCTION("""COMPUTED_VALUE"""),0.0)</f>
        <v>0</v>
      </c>
      <c r="X11" s="97">
        <f>IFERROR(__xludf.DUMMYFUNCTION("""COMPUTED_VALUE"""),0.0)</f>
        <v>0</v>
      </c>
      <c r="Y11" s="97">
        <f>IFERROR(__xludf.DUMMYFUNCTION("""COMPUTED_VALUE"""),0.0)</f>
        <v>0</v>
      </c>
      <c r="Z11" s="99" t="str">
        <f>IFERROR(__xludf.DUMMYFUNCTION("""COMPUTED_VALUE"""),"N/A")</f>
        <v>N/A</v>
      </c>
      <c r="AA11" s="99" t="str">
        <f>IFERROR(__xludf.DUMMYFUNCTION("""COMPUTED_VALUE"""),"N/A")</f>
        <v>N/A</v>
      </c>
      <c r="AB11" s="99" t="str">
        <f>IFERROR(__xludf.DUMMYFUNCTION("""COMPUTED_VALUE"""),"N/A")</f>
        <v>N/A</v>
      </c>
    </row>
    <row r="12">
      <c r="A12" s="95" t="str">
        <f>IFERROR(__xludf.DUMMYFUNCTION("""COMPUTED_VALUE"""),"TEA085")</f>
        <v>TEA085</v>
      </c>
      <c r="B12" s="95" t="str">
        <f>IFERROR(__xludf.DUMMYFUNCTION("""COMPUTED_VALUE"""),"Asmaa Saeed")</f>
        <v>Asmaa Saeed</v>
      </c>
      <c r="C12" s="95" t="str">
        <f>IFERROR(__xludf.DUMMYFUNCTION("""COMPUTED_VALUE"""),"""1VpYlSi6y_dH3DadLozi4MqFAdnWT7G4sxR9DgeTkDbI""")</f>
        <v>"1VpYlSi6y_dH3DadLozi4MqFAdnWT7G4sxR9DgeTkDbI"</v>
      </c>
      <c r="D12" s="100" t="str">
        <f>IFERROR(__xludf.DUMMYFUNCTION("importrange(C12,Sheet3!D$1)"),"Attended")</f>
        <v>Attended</v>
      </c>
      <c r="E12" s="97">
        <f>IFERROR(__xludf.DUMMYFUNCTION("""COMPUTED_VALUE"""),83.0)</f>
        <v>83</v>
      </c>
      <c r="F12" s="97">
        <f>IFERROR(__xludf.DUMMYFUNCTION("""COMPUTED_VALUE"""),49.0)</f>
        <v>49</v>
      </c>
      <c r="G12" s="97">
        <f>IFERROR(__xludf.DUMMYFUNCTION("""COMPUTED_VALUE"""),48.0)</f>
        <v>48</v>
      </c>
      <c r="H12" s="97">
        <f>IFERROR(__xludf.DUMMYFUNCTION("""COMPUTED_VALUE"""),1.0)</f>
        <v>1</v>
      </c>
      <c r="I12" s="97">
        <f>IFERROR(__xludf.DUMMYFUNCTION("""COMPUTED_VALUE"""),1.0)</f>
        <v>1</v>
      </c>
      <c r="J12" s="97">
        <f>IFERROR(__xludf.DUMMYFUNCTION("""COMPUTED_VALUE"""),8.0)</f>
        <v>8</v>
      </c>
      <c r="K12" s="97">
        <f>IFERROR(__xludf.DUMMYFUNCTION("""COMPUTED_VALUE"""),25.0)</f>
        <v>25</v>
      </c>
      <c r="L12" s="97">
        <f>IFERROR(__xludf.DUMMYFUNCTION("""COMPUTED_VALUE"""),59.036144578313255)</f>
        <v>59.03614458</v>
      </c>
      <c r="M12" s="98">
        <f>IFERROR(__xludf.DUMMYFUNCTION("""COMPUTED_VALUE"""),89.1566265060241)</f>
        <v>89.15662651</v>
      </c>
      <c r="N12" s="98">
        <f>IFERROR(__xludf.DUMMYFUNCTION("""COMPUTED_VALUE"""),97.33333333333334)</f>
        <v>97.33333333</v>
      </c>
      <c r="O12" s="98">
        <f>IFERROR(__xludf.DUMMYFUNCTION("""COMPUTED_VALUE"""),1.2048192771084338)</f>
        <v>1.204819277</v>
      </c>
      <c r="P12" s="98">
        <f>IFERROR(__xludf.DUMMYFUNCTION("""COMPUTED_VALUE"""),1.2048192771084338)</f>
        <v>1.204819277</v>
      </c>
      <c r="Q12" s="98">
        <f>IFERROR(__xludf.DUMMYFUNCTION("""COMPUTED_VALUE"""),9.63855421686747)</f>
        <v>9.638554217</v>
      </c>
      <c r="R12" s="98">
        <f>IFERROR(__xludf.DUMMYFUNCTION("""COMPUTED_VALUE"""),30.120481927710845)</f>
        <v>30.12048193</v>
      </c>
      <c r="S12" s="98">
        <f>IFERROR(__xludf.DUMMYFUNCTION("""COMPUTED_VALUE"""),24.979591836734695)</f>
        <v>24.97959184</v>
      </c>
      <c r="T12" s="97">
        <f>IFERROR(__xludf.DUMMYFUNCTION("""COMPUTED_VALUE"""),17.0)</f>
        <v>17</v>
      </c>
      <c r="U12" s="97" t="str">
        <f>IFERROR(__xludf.DUMMYFUNCTION("""COMPUTED_VALUE"""),"Yes")</f>
        <v>Yes</v>
      </c>
      <c r="V12" s="97">
        <f>IFERROR(__xludf.DUMMYFUNCTION("""COMPUTED_VALUE"""),49.0)</f>
        <v>49</v>
      </c>
      <c r="W12" s="97">
        <f>IFERROR(__xludf.DUMMYFUNCTION("""COMPUTED_VALUE"""),48.0)</f>
        <v>48</v>
      </c>
      <c r="X12" s="97">
        <f>IFERROR(__xludf.DUMMYFUNCTION("""COMPUTED_VALUE"""),1.0)</f>
        <v>1</v>
      </c>
      <c r="Y12" s="97">
        <f>IFERROR(__xludf.DUMMYFUNCTION("""COMPUTED_VALUE"""),0.0)</f>
        <v>0</v>
      </c>
      <c r="Z12" s="99">
        <f>IFERROR(__xludf.DUMMYFUNCTION("""COMPUTED_VALUE"""),97.95918367346938)</f>
        <v>97.95918367</v>
      </c>
      <c r="AA12" s="99">
        <f>IFERROR(__xludf.DUMMYFUNCTION("""COMPUTED_VALUE"""),2.0408163265306123)</f>
        <v>2.040816327</v>
      </c>
      <c r="AB12" s="99">
        <f>IFERROR(__xludf.DUMMYFUNCTION("""COMPUTED_VALUE"""),0.0)</f>
        <v>0</v>
      </c>
    </row>
    <row r="13">
      <c r="A13" s="95" t="str">
        <f>IFERROR(__xludf.DUMMYFUNCTION("""COMPUTED_VALUE"""),"TEA087")</f>
        <v>TEA087</v>
      </c>
      <c r="B13" s="95" t="str">
        <f>IFERROR(__xludf.DUMMYFUNCTION("""COMPUTED_VALUE"""),"Nada Sinoussi")</f>
        <v>Nada Sinoussi</v>
      </c>
      <c r="C13" s="95" t="str">
        <f>IFERROR(__xludf.DUMMYFUNCTION("""COMPUTED_VALUE"""),"""1B8pRndJo3IXfFSdh4ciwymUhUoCTku2mTTIj1boL9Ek""")</f>
        <v>"1B8pRndJo3IXfFSdh4ciwymUhUoCTku2mTTIj1boL9Ek"</v>
      </c>
      <c r="D13" s="100" t="str">
        <f>IFERROR(__xludf.DUMMYFUNCTION("importrange(C13,Sheet3!D$1)"),"Attended")</f>
        <v>Attended</v>
      </c>
      <c r="E13" s="97">
        <f>IFERROR(__xludf.DUMMYFUNCTION("""COMPUTED_VALUE"""),18.0)</f>
        <v>18</v>
      </c>
      <c r="F13" s="97">
        <f>IFERROR(__xludf.DUMMYFUNCTION("""COMPUTED_VALUE"""),11.0)</f>
        <v>11</v>
      </c>
      <c r="G13" s="97">
        <f>IFERROR(__xludf.DUMMYFUNCTION("""COMPUTED_VALUE"""),11.0)</f>
        <v>11</v>
      </c>
      <c r="H13" s="97">
        <f>IFERROR(__xludf.DUMMYFUNCTION("""COMPUTED_VALUE"""),0.0)</f>
        <v>0</v>
      </c>
      <c r="I13" s="97">
        <f>IFERROR(__xludf.DUMMYFUNCTION("""COMPUTED_VALUE"""),0.0)</f>
        <v>0</v>
      </c>
      <c r="J13" s="97">
        <f>IFERROR(__xludf.DUMMYFUNCTION("""COMPUTED_VALUE"""),0.0)</f>
        <v>0</v>
      </c>
      <c r="K13" s="97">
        <f>IFERROR(__xludf.DUMMYFUNCTION("""COMPUTED_VALUE"""),7.0)</f>
        <v>7</v>
      </c>
      <c r="L13" s="97">
        <f>IFERROR(__xludf.DUMMYFUNCTION("""COMPUTED_VALUE"""),61.111111111111114)</f>
        <v>61.11111111</v>
      </c>
      <c r="M13" s="98">
        <f>IFERROR(__xludf.DUMMYFUNCTION("""COMPUTED_VALUE"""),100.0)</f>
        <v>100</v>
      </c>
      <c r="N13" s="98">
        <f>IFERROR(__xludf.DUMMYFUNCTION("""COMPUTED_VALUE"""),100.0)</f>
        <v>100</v>
      </c>
      <c r="O13" s="98">
        <f>IFERROR(__xludf.DUMMYFUNCTION("""COMPUTED_VALUE"""),0.0)</f>
        <v>0</v>
      </c>
      <c r="P13" s="98">
        <f>IFERROR(__xludf.DUMMYFUNCTION("""COMPUTED_VALUE"""),0.0)</f>
        <v>0</v>
      </c>
      <c r="Q13" s="98">
        <f>IFERROR(__xludf.DUMMYFUNCTION("""COMPUTED_VALUE"""),0.0)</f>
        <v>0</v>
      </c>
      <c r="R13" s="98">
        <f>IFERROR(__xludf.DUMMYFUNCTION("""COMPUTED_VALUE"""),38.88888888888889)</f>
        <v>38.88888889</v>
      </c>
      <c r="S13" s="98">
        <f>IFERROR(__xludf.DUMMYFUNCTION("""COMPUTED_VALUE"""),26.636363636363637)</f>
        <v>26.63636364</v>
      </c>
      <c r="T13" s="97">
        <f>IFERROR(__xludf.DUMMYFUNCTION("""COMPUTED_VALUE"""),3.0)</f>
        <v>3</v>
      </c>
      <c r="U13" s="97" t="str">
        <f>IFERROR(__xludf.DUMMYFUNCTION("""COMPUTED_VALUE"""),"Yes")</f>
        <v>Yes</v>
      </c>
      <c r="V13" s="97">
        <f>IFERROR(__xludf.DUMMYFUNCTION("""COMPUTED_VALUE"""),9.0)</f>
        <v>9</v>
      </c>
      <c r="W13" s="97">
        <f>IFERROR(__xludf.DUMMYFUNCTION("""COMPUTED_VALUE"""),9.0)</f>
        <v>9</v>
      </c>
      <c r="X13" s="97">
        <f>IFERROR(__xludf.DUMMYFUNCTION("""COMPUTED_VALUE"""),0.0)</f>
        <v>0</v>
      </c>
      <c r="Y13" s="97">
        <f>IFERROR(__xludf.DUMMYFUNCTION("""COMPUTED_VALUE"""),2.0)</f>
        <v>2</v>
      </c>
      <c r="Z13" s="99">
        <f>IFERROR(__xludf.DUMMYFUNCTION("""COMPUTED_VALUE"""),100.0)</f>
        <v>100</v>
      </c>
      <c r="AA13" s="99">
        <f>IFERROR(__xludf.DUMMYFUNCTION("""COMPUTED_VALUE"""),0.0)</f>
        <v>0</v>
      </c>
      <c r="AB13" s="99">
        <f>IFERROR(__xludf.DUMMYFUNCTION("""COMPUTED_VALUE"""),18.181818181818183)</f>
        <v>18.18181818</v>
      </c>
    </row>
    <row r="14">
      <c r="A14" s="95" t="str">
        <f>IFERROR(__xludf.DUMMYFUNCTION("""COMPUTED_VALUE"""),"TEA088")</f>
        <v>TEA088</v>
      </c>
      <c r="B14" s="95" t="str">
        <f>IFERROR(__xludf.DUMMYFUNCTION("""COMPUTED_VALUE"""),"Omnia Ghareeb")</f>
        <v>Omnia Ghareeb</v>
      </c>
      <c r="C14" s="95" t="str">
        <f>IFERROR(__xludf.DUMMYFUNCTION("""COMPUTED_VALUE"""),"""12ydMRDHdXaRdG5tQSFrI3TwugCqnKc6rBE8n-rNLur8""")</f>
        <v>"12ydMRDHdXaRdG5tQSFrI3TwugCqnKc6rBE8n-rNLur8"</v>
      </c>
      <c r="D14" s="100" t="str">
        <f>IFERROR(__xludf.DUMMYFUNCTION("importrange(C14,Sheet3!D$1)"),"No Sessions")</f>
        <v>No Sessions</v>
      </c>
      <c r="E14" s="97">
        <f>IFERROR(__xludf.DUMMYFUNCTION("""COMPUTED_VALUE"""),0.0)</f>
        <v>0</v>
      </c>
      <c r="F14" s="97">
        <f>IFERROR(__xludf.DUMMYFUNCTION("""COMPUTED_VALUE"""),0.0)</f>
        <v>0</v>
      </c>
      <c r="G14" s="97">
        <f>IFERROR(__xludf.DUMMYFUNCTION("""COMPUTED_VALUE"""),0.0)</f>
        <v>0</v>
      </c>
      <c r="H14" s="97">
        <f>IFERROR(__xludf.DUMMYFUNCTION("""COMPUTED_VALUE"""),0.0)</f>
        <v>0</v>
      </c>
      <c r="I14" s="97">
        <f>IFERROR(__xludf.DUMMYFUNCTION("""COMPUTED_VALUE"""),0.0)</f>
        <v>0</v>
      </c>
      <c r="J14" s="97">
        <f>IFERROR(__xludf.DUMMYFUNCTION("""COMPUTED_VALUE"""),0.0)</f>
        <v>0</v>
      </c>
      <c r="K14" s="97">
        <f>IFERROR(__xludf.DUMMYFUNCTION("""COMPUTED_VALUE"""),0.0)</f>
        <v>0</v>
      </c>
      <c r="L14" s="97" t="str">
        <f>IFERROR(__xludf.DUMMYFUNCTION("""COMPUTED_VALUE"""),"N/A")</f>
        <v>N/A</v>
      </c>
      <c r="M14" s="98" t="str">
        <f>IFERROR(__xludf.DUMMYFUNCTION("""COMPUTED_VALUE"""),"N/A")</f>
        <v>N/A</v>
      </c>
      <c r="N14" s="98" t="str">
        <f>IFERROR(__xludf.DUMMYFUNCTION("""COMPUTED_VALUE"""),"N/A")</f>
        <v>N/A</v>
      </c>
      <c r="O14" s="98" t="str">
        <f>IFERROR(__xludf.DUMMYFUNCTION("""COMPUTED_VALUE"""),"N/A")</f>
        <v>N/A</v>
      </c>
      <c r="P14" s="98" t="str">
        <f>IFERROR(__xludf.DUMMYFUNCTION("""COMPUTED_VALUE"""),"N/A")</f>
        <v>N/A</v>
      </c>
      <c r="Q14" s="98" t="str">
        <f>IFERROR(__xludf.DUMMYFUNCTION("""COMPUTED_VALUE"""),"N/A")</f>
        <v>N/A</v>
      </c>
      <c r="R14" s="98" t="str">
        <f>IFERROR(__xludf.DUMMYFUNCTION("""COMPUTED_VALUE"""),"N/A")</f>
        <v>N/A</v>
      </c>
      <c r="S14" s="98" t="str">
        <f>IFERROR(__xludf.DUMMYFUNCTION("""COMPUTED_VALUE"""),"N/A")</f>
        <v>N/A</v>
      </c>
      <c r="T14" s="97">
        <f>IFERROR(__xludf.DUMMYFUNCTION("""COMPUTED_VALUE"""),0.0)</f>
        <v>0</v>
      </c>
      <c r="U14" s="97" t="str">
        <f>IFERROR(__xludf.DUMMYFUNCTION("""COMPUTED_VALUE"""),"No Sessions")</f>
        <v>No Sessions</v>
      </c>
      <c r="V14" s="97">
        <f>IFERROR(__xludf.DUMMYFUNCTION("""COMPUTED_VALUE"""),0.0)</f>
        <v>0</v>
      </c>
      <c r="W14" s="97">
        <f>IFERROR(__xludf.DUMMYFUNCTION("""COMPUTED_VALUE"""),0.0)</f>
        <v>0</v>
      </c>
      <c r="X14" s="97">
        <f>IFERROR(__xludf.DUMMYFUNCTION("""COMPUTED_VALUE"""),0.0)</f>
        <v>0</v>
      </c>
      <c r="Y14" s="97">
        <f>IFERROR(__xludf.DUMMYFUNCTION("""COMPUTED_VALUE"""),0.0)</f>
        <v>0</v>
      </c>
      <c r="Z14" s="99" t="str">
        <f>IFERROR(__xludf.DUMMYFUNCTION("""COMPUTED_VALUE"""),"N/A")</f>
        <v>N/A</v>
      </c>
      <c r="AA14" s="99" t="str">
        <f>IFERROR(__xludf.DUMMYFUNCTION("""COMPUTED_VALUE"""),"N/A")</f>
        <v>N/A</v>
      </c>
      <c r="AB14" s="99" t="str">
        <f>IFERROR(__xludf.DUMMYFUNCTION("""COMPUTED_VALUE"""),"N/A")</f>
        <v>N/A</v>
      </c>
    </row>
    <row r="15">
      <c r="A15" s="95" t="str">
        <f>IFERROR(__xludf.DUMMYFUNCTION("""COMPUTED_VALUE"""),"TEA092")</f>
        <v>TEA092</v>
      </c>
      <c r="B15" s="95" t="str">
        <f>IFERROR(__xludf.DUMMYFUNCTION("""COMPUTED_VALUE"""),"Doha Moustafa")</f>
        <v>Doha Moustafa</v>
      </c>
      <c r="C15" s="95" t="str">
        <f>IFERROR(__xludf.DUMMYFUNCTION("""COMPUTED_VALUE"""),"""191orw7gMBaB83r2nWth3BTME10zFWs1y_lzWs8Zp4bA""")</f>
        <v>"191orw7gMBaB83r2nWth3BTME10zFWs1y_lzWs8Zp4bA"</v>
      </c>
      <c r="D15" s="100" t="str">
        <f>IFERROR(__xludf.DUMMYFUNCTION("importrange(C15,Sheet3!D$1)"),"Attended No Show")</f>
        <v>Attended No Show</v>
      </c>
      <c r="E15" s="97">
        <f>IFERROR(__xludf.DUMMYFUNCTION("""COMPUTED_VALUE"""),30.0)</f>
        <v>30</v>
      </c>
      <c r="F15" s="97">
        <f>IFERROR(__xludf.DUMMYFUNCTION("""COMPUTED_VALUE"""),17.0)</f>
        <v>17</v>
      </c>
      <c r="G15" s="97">
        <f>IFERROR(__xludf.DUMMYFUNCTION("""COMPUTED_VALUE"""),17.0)</f>
        <v>17</v>
      </c>
      <c r="H15" s="97">
        <f>IFERROR(__xludf.DUMMYFUNCTION("""COMPUTED_VALUE"""),4.0)</f>
        <v>4</v>
      </c>
      <c r="I15" s="97">
        <f>IFERROR(__xludf.DUMMYFUNCTION("""COMPUTED_VALUE"""),0.0)</f>
        <v>0</v>
      </c>
      <c r="J15" s="97">
        <f>IFERROR(__xludf.DUMMYFUNCTION("""COMPUTED_VALUE"""),1.0)</f>
        <v>1</v>
      </c>
      <c r="K15" s="97">
        <f>IFERROR(__xludf.DUMMYFUNCTION("""COMPUTED_VALUE"""),8.0)</f>
        <v>8</v>
      </c>
      <c r="L15" s="97">
        <f>IFERROR(__xludf.DUMMYFUNCTION("""COMPUTED_VALUE"""),56.666666666666664)</f>
        <v>56.66666667</v>
      </c>
      <c r="M15" s="98">
        <f>IFERROR(__xludf.DUMMYFUNCTION("""COMPUTED_VALUE"""),83.33333333333334)</f>
        <v>83.33333333</v>
      </c>
      <c r="N15" s="98">
        <f>IFERROR(__xludf.DUMMYFUNCTION("""COMPUTED_VALUE"""),86.20689655172413)</f>
        <v>86.20689655</v>
      </c>
      <c r="O15" s="98">
        <f>IFERROR(__xludf.DUMMYFUNCTION("""COMPUTED_VALUE"""),13.333333333333334)</f>
        <v>13.33333333</v>
      </c>
      <c r="P15" s="98">
        <f>IFERROR(__xludf.DUMMYFUNCTION("""COMPUTED_VALUE"""),0.0)</f>
        <v>0</v>
      </c>
      <c r="Q15" s="98">
        <f>IFERROR(__xludf.DUMMYFUNCTION("""COMPUTED_VALUE"""),3.3333333333333335)</f>
        <v>3.333333333</v>
      </c>
      <c r="R15" s="98">
        <f>IFERROR(__xludf.DUMMYFUNCTION("""COMPUTED_VALUE"""),26.666666666666668)</f>
        <v>26.66666667</v>
      </c>
      <c r="S15" s="98">
        <f>IFERROR(__xludf.DUMMYFUNCTION("""COMPUTED_VALUE"""),30.88235294117647)</f>
        <v>30.88235294</v>
      </c>
      <c r="T15" s="97">
        <f>IFERROR(__xludf.DUMMYFUNCTION("""COMPUTED_VALUE"""),5.0)</f>
        <v>5</v>
      </c>
      <c r="U15" s="97" t="str">
        <f>IFERROR(__xludf.DUMMYFUNCTION("""COMPUTED_VALUE"""),"Yes ")</f>
        <v>Yes </v>
      </c>
      <c r="V15" s="97">
        <f>IFERROR(__xludf.DUMMYFUNCTION("""COMPUTED_VALUE"""),2.0)</f>
        <v>2</v>
      </c>
      <c r="W15" s="97">
        <f>IFERROR(__xludf.DUMMYFUNCTION("""COMPUTED_VALUE"""),0.0)</f>
        <v>0</v>
      </c>
      <c r="X15" s="97">
        <f>IFERROR(__xludf.DUMMYFUNCTION("""COMPUTED_VALUE"""),2.0)</f>
        <v>2</v>
      </c>
      <c r="Y15" s="97">
        <f>IFERROR(__xludf.DUMMYFUNCTION("""COMPUTED_VALUE"""),0.0)</f>
        <v>0</v>
      </c>
      <c r="Z15" s="99">
        <f>IFERROR(__xludf.DUMMYFUNCTION("""COMPUTED_VALUE"""),0.0)</f>
        <v>0</v>
      </c>
      <c r="AA15" s="99">
        <f>IFERROR(__xludf.DUMMYFUNCTION("""COMPUTED_VALUE"""),100.0)</f>
        <v>100</v>
      </c>
      <c r="AB15" s="99">
        <f>IFERROR(__xludf.DUMMYFUNCTION("""COMPUTED_VALUE"""),0.0)</f>
        <v>0</v>
      </c>
    </row>
    <row r="16">
      <c r="A16" s="95" t="str">
        <f>IFERROR(__xludf.DUMMYFUNCTION("""COMPUTED_VALUE"""),"TEA095")</f>
        <v>TEA095</v>
      </c>
      <c r="B16" s="95" t="str">
        <f>IFERROR(__xludf.DUMMYFUNCTION("""COMPUTED_VALUE"""),"Ahmad Abd El Khaleq Ibrahim")</f>
        <v>Ahmad Abd El Khaleq Ibrahim</v>
      </c>
      <c r="C16" s="95" t="str">
        <f>IFERROR(__xludf.DUMMYFUNCTION("""COMPUTED_VALUE"""),"""14pgdTUJMPCUnhl95P36i7ZYfWFIYwaq635nS8Is1ZKE""")</f>
        <v>"14pgdTUJMPCUnhl95P36i7ZYfWFIYwaq635nS8Is1ZKE"</v>
      </c>
      <c r="D16" s="100" t="str">
        <f>IFERROR(__xludf.DUMMYFUNCTION("importrange(C16,Sheet3!D$1)"),"Attended")</f>
        <v>Attended</v>
      </c>
      <c r="E16" s="97">
        <f>IFERROR(__xludf.DUMMYFUNCTION("""COMPUTED_VALUE"""),14.0)</f>
        <v>14</v>
      </c>
      <c r="F16" s="97">
        <f>IFERROR(__xludf.DUMMYFUNCTION("""COMPUTED_VALUE"""),14.0)</f>
        <v>14</v>
      </c>
      <c r="G16" s="97">
        <f>IFERROR(__xludf.DUMMYFUNCTION("""COMPUTED_VALUE"""),14.0)</f>
        <v>14</v>
      </c>
      <c r="H16" s="97">
        <f>IFERROR(__xludf.DUMMYFUNCTION("""COMPUTED_VALUE"""),0.0)</f>
        <v>0</v>
      </c>
      <c r="I16" s="97">
        <f>IFERROR(__xludf.DUMMYFUNCTION("""COMPUTED_VALUE"""),0.0)</f>
        <v>0</v>
      </c>
      <c r="J16" s="97">
        <f>IFERROR(__xludf.DUMMYFUNCTION("""COMPUTED_VALUE"""),0.0)</f>
        <v>0</v>
      </c>
      <c r="K16" s="97">
        <f>IFERROR(__xludf.DUMMYFUNCTION("""COMPUTED_VALUE"""),0.0)</f>
        <v>0</v>
      </c>
      <c r="L16" s="97">
        <f>IFERROR(__xludf.DUMMYFUNCTION("""COMPUTED_VALUE"""),100.0)</f>
        <v>100</v>
      </c>
      <c r="M16" s="98">
        <f>IFERROR(__xludf.DUMMYFUNCTION("""COMPUTED_VALUE"""),100.0)</f>
        <v>100</v>
      </c>
      <c r="N16" s="98">
        <f>IFERROR(__xludf.DUMMYFUNCTION("""COMPUTED_VALUE"""),100.0)</f>
        <v>100</v>
      </c>
      <c r="O16" s="98">
        <f>IFERROR(__xludf.DUMMYFUNCTION("""COMPUTED_VALUE"""),0.0)</f>
        <v>0</v>
      </c>
      <c r="P16" s="98">
        <f>IFERROR(__xludf.DUMMYFUNCTION("""COMPUTED_VALUE"""),0.0)</f>
        <v>0</v>
      </c>
      <c r="Q16" s="98">
        <f>IFERROR(__xludf.DUMMYFUNCTION("""COMPUTED_VALUE"""),0.0)</f>
        <v>0</v>
      </c>
      <c r="R16" s="98">
        <f>IFERROR(__xludf.DUMMYFUNCTION("""COMPUTED_VALUE"""),0.0)</f>
        <v>0</v>
      </c>
      <c r="S16" s="98">
        <f>IFERROR(__xludf.DUMMYFUNCTION("""COMPUTED_VALUE"""),25.5)</f>
        <v>25.5</v>
      </c>
      <c r="T16" s="97">
        <f>IFERROR(__xludf.DUMMYFUNCTION("""COMPUTED_VALUE"""),2.0)</f>
        <v>2</v>
      </c>
      <c r="U16" s="97" t="str">
        <f>IFERROR(__xludf.DUMMYFUNCTION("""COMPUTED_VALUE"""),"No")</f>
        <v>No</v>
      </c>
      <c r="V16" s="97">
        <f>IFERROR(__xludf.DUMMYFUNCTION("""COMPUTED_VALUE"""),6.0)</f>
        <v>6</v>
      </c>
      <c r="W16" s="97">
        <f>IFERROR(__xludf.DUMMYFUNCTION("""COMPUTED_VALUE"""),0.0)</f>
        <v>0</v>
      </c>
      <c r="X16" s="97">
        <f>IFERROR(__xludf.DUMMYFUNCTION("""COMPUTED_VALUE"""),6.0)</f>
        <v>6</v>
      </c>
      <c r="Y16" s="97">
        <f>IFERROR(__xludf.DUMMYFUNCTION("""COMPUTED_VALUE"""),0.0)</f>
        <v>0</v>
      </c>
      <c r="Z16" s="99">
        <f>IFERROR(__xludf.DUMMYFUNCTION("""COMPUTED_VALUE"""),0.0)</f>
        <v>0</v>
      </c>
      <c r="AA16" s="99">
        <f>IFERROR(__xludf.DUMMYFUNCTION("""COMPUTED_VALUE"""),100.0)</f>
        <v>100</v>
      </c>
      <c r="AB16" s="99">
        <f>IFERROR(__xludf.DUMMYFUNCTION("""COMPUTED_VALUE"""),0.0)</f>
        <v>0</v>
      </c>
    </row>
    <row r="17">
      <c r="A17" s="95" t="str">
        <f>IFERROR(__xludf.DUMMYFUNCTION("""COMPUTED_VALUE"""),"TEA100")</f>
        <v>TEA100</v>
      </c>
      <c r="B17" s="95" t="str">
        <f>IFERROR(__xludf.DUMMYFUNCTION("""COMPUTED_VALUE"""),"Mahmoud Badran")</f>
        <v>Mahmoud Badran</v>
      </c>
      <c r="C17" s="95" t="str">
        <f>IFERROR(__xludf.DUMMYFUNCTION("""COMPUTED_VALUE"""),"""1YlwLzEFUEcI3NVy6jbVAi5TCSSGi3LmI3Jr_ola8H4Q""")</f>
        <v>"1YlwLzEFUEcI3NVy6jbVAi5TCSSGi3LmI3Jr_ola8H4Q"</v>
      </c>
      <c r="D17" s="100" t="str">
        <f>IFERROR(__xludf.DUMMYFUNCTION("importrange(C17,Sheet3!D$1)"),"Attended")</f>
        <v>Attended</v>
      </c>
      <c r="E17" s="97">
        <f>IFERROR(__xludf.DUMMYFUNCTION("""COMPUTED_VALUE"""),22.0)</f>
        <v>22</v>
      </c>
      <c r="F17" s="97">
        <f>IFERROR(__xludf.DUMMYFUNCTION("""COMPUTED_VALUE"""),16.0)</f>
        <v>16</v>
      </c>
      <c r="G17" s="97">
        <f>IFERROR(__xludf.DUMMYFUNCTION("""COMPUTED_VALUE"""),16.0)</f>
        <v>16</v>
      </c>
      <c r="H17" s="97">
        <f>IFERROR(__xludf.DUMMYFUNCTION("""COMPUTED_VALUE"""),0.0)</f>
        <v>0</v>
      </c>
      <c r="I17" s="97">
        <f>IFERROR(__xludf.DUMMYFUNCTION("""COMPUTED_VALUE"""),0.0)</f>
        <v>0</v>
      </c>
      <c r="J17" s="97">
        <f>IFERROR(__xludf.DUMMYFUNCTION("""COMPUTED_VALUE"""),0.0)</f>
        <v>0</v>
      </c>
      <c r="K17" s="97">
        <f>IFERROR(__xludf.DUMMYFUNCTION("""COMPUTED_VALUE"""),6.0)</f>
        <v>6</v>
      </c>
      <c r="L17" s="97">
        <f>IFERROR(__xludf.DUMMYFUNCTION("""COMPUTED_VALUE"""),72.72727272727273)</f>
        <v>72.72727273</v>
      </c>
      <c r="M17" s="98">
        <f>IFERROR(__xludf.DUMMYFUNCTION("""COMPUTED_VALUE"""),100.0)</f>
        <v>100</v>
      </c>
      <c r="N17" s="98">
        <f>IFERROR(__xludf.DUMMYFUNCTION("""COMPUTED_VALUE"""),100.0)</f>
        <v>100</v>
      </c>
      <c r="O17" s="98">
        <f>IFERROR(__xludf.DUMMYFUNCTION("""COMPUTED_VALUE"""),0.0)</f>
        <v>0</v>
      </c>
      <c r="P17" s="98">
        <f>IFERROR(__xludf.DUMMYFUNCTION("""COMPUTED_VALUE"""),0.0)</f>
        <v>0</v>
      </c>
      <c r="Q17" s="98">
        <f>IFERROR(__xludf.DUMMYFUNCTION("""COMPUTED_VALUE"""),0.0)</f>
        <v>0</v>
      </c>
      <c r="R17" s="98">
        <f>IFERROR(__xludf.DUMMYFUNCTION("""COMPUTED_VALUE"""),27.27272727272727)</f>
        <v>27.27272727</v>
      </c>
      <c r="S17" s="98">
        <f>IFERROR(__xludf.DUMMYFUNCTION("""COMPUTED_VALUE"""),27.9375)</f>
        <v>27.9375</v>
      </c>
      <c r="T17" s="97">
        <f>IFERROR(__xludf.DUMMYFUNCTION("""COMPUTED_VALUE"""),5.0)</f>
        <v>5</v>
      </c>
      <c r="U17" s="97" t="str">
        <f>IFERROR(__xludf.DUMMYFUNCTION("""COMPUTED_VALUE"""),"No")</f>
        <v>No</v>
      </c>
      <c r="V17" s="97">
        <f>IFERROR(__xludf.DUMMYFUNCTION("""COMPUTED_VALUE"""),11.0)</f>
        <v>11</v>
      </c>
      <c r="W17" s="97">
        <f>IFERROR(__xludf.DUMMYFUNCTION("""COMPUTED_VALUE"""),10.0)</f>
        <v>10</v>
      </c>
      <c r="X17" s="97">
        <f>IFERROR(__xludf.DUMMYFUNCTION("""COMPUTED_VALUE"""),1.0)</f>
        <v>1</v>
      </c>
      <c r="Y17" s="97">
        <f>IFERROR(__xludf.DUMMYFUNCTION("""COMPUTED_VALUE"""),0.0)</f>
        <v>0</v>
      </c>
      <c r="Z17" s="99">
        <f>IFERROR(__xludf.DUMMYFUNCTION("""COMPUTED_VALUE"""),90.9090909090909)</f>
        <v>90.90909091</v>
      </c>
      <c r="AA17" s="99">
        <f>IFERROR(__xludf.DUMMYFUNCTION("""COMPUTED_VALUE"""),9.090909090909092)</f>
        <v>9.090909091</v>
      </c>
      <c r="AB17" s="99">
        <f>IFERROR(__xludf.DUMMYFUNCTION("""COMPUTED_VALUE"""),0.0)</f>
        <v>0</v>
      </c>
    </row>
    <row r="18">
      <c r="A18" s="95" t="str">
        <f>IFERROR(__xludf.DUMMYFUNCTION("""COMPUTED_VALUE"""),"TEA103")</f>
        <v>TEA103</v>
      </c>
      <c r="B18" s="95" t="str">
        <f>IFERROR(__xludf.DUMMYFUNCTION("""COMPUTED_VALUE"""),"Muhammad Al Marakby")</f>
        <v>Muhammad Al Marakby</v>
      </c>
      <c r="C18" s="95" t="str">
        <f>IFERROR(__xludf.DUMMYFUNCTION("""COMPUTED_VALUE"""),"""1F9Tfn5JK3vRerC0A7AZpcdRMxXkn6WiKjL-SR9_CBoA""")</f>
        <v>"1F9Tfn5JK3vRerC0A7AZpcdRMxXkn6WiKjL-SR9_CBoA"</v>
      </c>
      <c r="D18" s="100" t="str">
        <f>IFERROR(__xludf.DUMMYFUNCTION("importrange(C18,Sheet3!D$1)"),"Attended")</f>
        <v>Attended</v>
      </c>
      <c r="E18" s="97">
        <f>IFERROR(__xludf.DUMMYFUNCTION("""COMPUTED_VALUE"""),101.0)</f>
        <v>101</v>
      </c>
      <c r="F18" s="97">
        <f>IFERROR(__xludf.DUMMYFUNCTION("""COMPUTED_VALUE"""),80.0)</f>
        <v>80</v>
      </c>
      <c r="G18" s="97">
        <f>IFERROR(__xludf.DUMMYFUNCTION("""COMPUTED_VALUE"""),80.0)</f>
        <v>80</v>
      </c>
      <c r="H18" s="97">
        <f>IFERROR(__xludf.DUMMYFUNCTION("""COMPUTED_VALUE"""),0.0)</f>
        <v>0</v>
      </c>
      <c r="I18" s="97">
        <f>IFERROR(__xludf.DUMMYFUNCTION("""COMPUTED_VALUE"""),0.0)</f>
        <v>0</v>
      </c>
      <c r="J18" s="97">
        <f>IFERROR(__xludf.DUMMYFUNCTION("""COMPUTED_VALUE"""),0.0)</f>
        <v>0</v>
      </c>
      <c r="K18" s="97">
        <f>IFERROR(__xludf.DUMMYFUNCTION("""COMPUTED_VALUE"""),21.0)</f>
        <v>21</v>
      </c>
      <c r="L18" s="97">
        <f>IFERROR(__xludf.DUMMYFUNCTION("""COMPUTED_VALUE"""),79.20792079207921)</f>
        <v>79.20792079</v>
      </c>
      <c r="M18" s="98">
        <f>IFERROR(__xludf.DUMMYFUNCTION("""COMPUTED_VALUE"""),100.0)</f>
        <v>100</v>
      </c>
      <c r="N18" s="98">
        <f>IFERROR(__xludf.DUMMYFUNCTION("""COMPUTED_VALUE"""),100.0)</f>
        <v>100</v>
      </c>
      <c r="O18" s="98">
        <f>IFERROR(__xludf.DUMMYFUNCTION("""COMPUTED_VALUE"""),0.0)</f>
        <v>0</v>
      </c>
      <c r="P18" s="98">
        <f>IFERROR(__xludf.DUMMYFUNCTION("""COMPUTED_VALUE"""),0.0)</f>
        <v>0</v>
      </c>
      <c r="Q18" s="98">
        <f>IFERROR(__xludf.DUMMYFUNCTION("""COMPUTED_VALUE"""),0.0)</f>
        <v>0</v>
      </c>
      <c r="R18" s="98">
        <f>IFERROR(__xludf.DUMMYFUNCTION("""COMPUTED_VALUE"""),20.792079207920793)</f>
        <v>20.79207921</v>
      </c>
      <c r="S18" s="98">
        <f>IFERROR(__xludf.DUMMYFUNCTION("""COMPUTED_VALUE"""),27.45)</f>
        <v>27.45</v>
      </c>
      <c r="T18" s="97">
        <f>IFERROR(__xludf.DUMMYFUNCTION("""COMPUTED_VALUE"""),21.0)</f>
        <v>21</v>
      </c>
      <c r="U18" s="97" t="str">
        <f>IFERROR(__xludf.DUMMYFUNCTION("""COMPUTED_VALUE"""),"Yes ")</f>
        <v>Yes </v>
      </c>
      <c r="V18" s="97">
        <f>IFERROR(__xludf.DUMMYFUNCTION("""COMPUTED_VALUE"""),3.0)</f>
        <v>3</v>
      </c>
      <c r="W18" s="97">
        <f>IFERROR(__xludf.DUMMYFUNCTION("""COMPUTED_VALUE"""),0.0)</f>
        <v>0</v>
      </c>
      <c r="X18" s="97">
        <f>IFERROR(__xludf.DUMMYFUNCTION("""COMPUTED_VALUE"""),3.0)</f>
        <v>3</v>
      </c>
      <c r="Y18" s="97">
        <f>IFERROR(__xludf.DUMMYFUNCTION("""COMPUTED_VALUE"""),0.0)</f>
        <v>0</v>
      </c>
      <c r="Z18" s="99">
        <f>IFERROR(__xludf.DUMMYFUNCTION("""COMPUTED_VALUE"""),0.0)</f>
        <v>0</v>
      </c>
      <c r="AA18" s="99">
        <f>IFERROR(__xludf.DUMMYFUNCTION("""COMPUTED_VALUE"""),100.0)</f>
        <v>100</v>
      </c>
      <c r="AB18" s="99">
        <f>IFERROR(__xludf.DUMMYFUNCTION("""COMPUTED_VALUE"""),0.0)</f>
        <v>0</v>
      </c>
    </row>
    <row r="19">
      <c r="A19" s="95" t="str">
        <f>IFERROR(__xludf.DUMMYFUNCTION("""COMPUTED_VALUE"""),"TEA108")</f>
        <v>TEA108</v>
      </c>
      <c r="B19" s="95" t="str">
        <f>IFERROR(__xludf.DUMMYFUNCTION("""COMPUTED_VALUE"""),"Sara Abo Setta")</f>
        <v>Sara Abo Setta</v>
      </c>
      <c r="C19" s="95" t="str">
        <f>IFERROR(__xludf.DUMMYFUNCTION("""COMPUTED_VALUE"""),"""1XvK6ull_Xwx8ufUZd1Wch6s1xtoLtYODUG4Ki2_SSkg""")</f>
        <v>"1XvK6ull_Xwx8ufUZd1Wch6s1xtoLtYODUG4Ki2_SSkg"</v>
      </c>
      <c r="D19" s="100" t="str">
        <f>IFERROR(__xludf.DUMMYFUNCTION("importrange(C19,Sheet3!D$1)"),"No Sessions")</f>
        <v>No Sessions</v>
      </c>
      <c r="E19" s="97">
        <f>IFERROR(__xludf.DUMMYFUNCTION("""COMPUTED_VALUE"""),0.0)</f>
        <v>0</v>
      </c>
      <c r="F19" s="97">
        <f>IFERROR(__xludf.DUMMYFUNCTION("""COMPUTED_VALUE"""),0.0)</f>
        <v>0</v>
      </c>
      <c r="G19" s="97">
        <f>IFERROR(__xludf.DUMMYFUNCTION("""COMPUTED_VALUE"""),0.0)</f>
        <v>0</v>
      </c>
      <c r="H19" s="97">
        <f>IFERROR(__xludf.DUMMYFUNCTION("""COMPUTED_VALUE"""),0.0)</f>
        <v>0</v>
      </c>
      <c r="I19" s="97">
        <f>IFERROR(__xludf.DUMMYFUNCTION("""COMPUTED_VALUE"""),0.0)</f>
        <v>0</v>
      </c>
      <c r="J19" s="97">
        <f>IFERROR(__xludf.DUMMYFUNCTION("""COMPUTED_VALUE"""),0.0)</f>
        <v>0</v>
      </c>
      <c r="K19" s="97">
        <f>IFERROR(__xludf.DUMMYFUNCTION("""COMPUTED_VALUE"""),0.0)</f>
        <v>0</v>
      </c>
      <c r="L19" s="97" t="str">
        <f>IFERROR(__xludf.DUMMYFUNCTION("""COMPUTED_VALUE"""),"N/A")</f>
        <v>N/A</v>
      </c>
      <c r="M19" s="98" t="str">
        <f>IFERROR(__xludf.DUMMYFUNCTION("""COMPUTED_VALUE"""),"N/A")</f>
        <v>N/A</v>
      </c>
      <c r="N19" s="98" t="str">
        <f>IFERROR(__xludf.DUMMYFUNCTION("""COMPUTED_VALUE"""),"N/A")</f>
        <v>N/A</v>
      </c>
      <c r="O19" s="98" t="str">
        <f>IFERROR(__xludf.DUMMYFUNCTION("""COMPUTED_VALUE"""),"N/A")</f>
        <v>N/A</v>
      </c>
      <c r="P19" s="98" t="str">
        <f>IFERROR(__xludf.DUMMYFUNCTION("""COMPUTED_VALUE"""),"N/A")</f>
        <v>N/A</v>
      </c>
      <c r="Q19" s="98" t="str">
        <f>IFERROR(__xludf.DUMMYFUNCTION("""COMPUTED_VALUE"""),"N/A")</f>
        <v>N/A</v>
      </c>
      <c r="R19" s="98" t="str">
        <f>IFERROR(__xludf.DUMMYFUNCTION("""COMPUTED_VALUE"""),"N/A")</f>
        <v>N/A</v>
      </c>
      <c r="S19" s="98" t="str">
        <f>IFERROR(__xludf.DUMMYFUNCTION("""COMPUTED_VALUE"""),"N/A")</f>
        <v>N/A</v>
      </c>
      <c r="T19" s="97">
        <f>IFERROR(__xludf.DUMMYFUNCTION("""COMPUTED_VALUE"""),0.0)</f>
        <v>0</v>
      </c>
      <c r="U19" s="97" t="str">
        <f>IFERROR(__xludf.DUMMYFUNCTION("""COMPUTED_VALUE"""),"No Sessions")</f>
        <v>No Sessions</v>
      </c>
      <c r="V19" s="97">
        <f>IFERROR(__xludf.DUMMYFUNCTION("""COMPUTED_VALUE"""),0.0)</f>
        <v>0</v>
      </c>
      <c r="W19" s="97">
        <f>IFERROR(__xludf.DUMMYFUNCTION("""COMPUTED_VALUE"""),0.0)</f>
        <v>0</v>
      </c>
      <c r="X19" s="97">
        <f>IFERROR(__xludf.DUMMYFUNCTION("""COMPUTED_VALUE"""),0.0)</f>
        <v>0</v>
      </c>
      <c r="Y19" s="97">
        <f>IFERROR(__xludf.DUMMYFUNCTION("""COMPUTED_VALUE"""),0.0)</f>
        <v>0</v>
      </c>
      <c r="Z19" s="99" t="str">
        <f>IFERROR(__xludf.DUMMYFUNCTION("""COMPUTED_VALUE"""),"N/A")</f>
        <v>N/A</v>
      </c>
      <c r="AA19" s="99" t="str">
        <f>IFERROR(__xludf.DUMMYFUNCTION("""COMPUTED_VALUE"""),"N/A")</f>
        <v>N/A</v>
      </c>
      <c r="AB19" s="99" t="str">
        <f>IFERROR(__xludf.DUMMYFUNCTION("""COMPUTED_VALUE"""),"N/A")</f>
        <v>N/A</v>
      </c>
    </row>
    <row r="20">
      <c r="A20" s="95" t="str">
        <f>IFERROR(__xludf.DUMMYFUNCTION("""COMPUTED_VALUE"""),"TEA110")</f>
        <v>TEA110</v>
      </c>
      <c r="B20" s="95" t="str">
        <f>IFERROR(__xludf.DUMMYFUNCTION("""COMPUTED_VALUE"""),"Shaymaa Said")</f>
        <v>Shaymaa Said</v>
      </c>
      <c r="C20" s="95" t="str">
        <f>IFERROR(__xludf.DUMMYFUNCTION("""COMPUTED_VALUE"""),"""1fGckK56YwBkBKtWAUqQ2c2X7xsmqhdJ2MDqnAImPDBY""")</f>
        <v>"1fGckK56YwBkBKtWAUqQ2c2X7xsmqhdJ2MDqnAImPDBY"</v>
      </c>
      <c r="D20" s="100" t="str">
        <f>IFERROR(__xludf.DUMMYFUNCTION("importrange(C20,Sheet3!D$1)"),"No Sessions")</f>
        <v>No Sessions</v>
      </c>
      <c r="E20" s="97">
        <f>IFERROR(__xludf.DUMMYFUNCTION("""COMPUTED_VALUE"""),0.0)</f>
        <v>0</v>
      </c>
      <c r="F20" s="97">
        <f>IFERROR(__xludf.DUMMYFUNCTION("""COMPUTED_VALUE"""),0.0)</f>
        <v>0</v>
      </c>
      <c r="G20" s="97">
        <f>IFERROR(__xludf.DUMMYFUNCTION("""COMPUTED_VALUE"""),0.0)</f>
        <v>0</v>
      </c>
      <c r="H20" s="97">
        <f>IFERROR(__xludf.DUMMYFUNCTION("""COMPUTED_VALUE"""),0.0)</f>
        <v>0</v>
      </c>
      <c r="I20" s="97">
        <f>IFERROR(__xludf.DUMMYFUNCTION("""COMPUTED_VALUE"""),0.0)</f>
        <v>0</v>
      </c>
      <c r="J20" s="97">
        <f>IFERROR(__xludf.DUMMYFUNCTION("""COMPUTED_VALUE"""),0.0)</f>
        <v>0</v>
      </c>
      <c r="K20" s="97">
        <f>IFERROR(__xludf.DUMMYFUNCTION("""COMPUTED_VALUE"""),0.0)</f>
        <v>0</v>
      </c>
      <c r="L20" s="97" t="str">
        <f>IFERROR(__xludf.DUMMYFUNCTION("""COMPUTED_VALUE"""),"N/A")</f>
        <v>N/A</v>
      </c>
      <c r="M20" s="98" t="str">
        <f>IFERROR(__xludf.DUMMYFUNCTION("""COMPUTED_VALUE"""),"N/A")</f>
        <v>N/A</v>
      </c>
      <c r="N20" s="98" t="str">
        <f>IFERROR(__xludf.DUMMYFUNCTION("""COMPUTED_VALUE"""),"N/A")</f>
        <v>N/A</v>
      </c>
      <c r="O20" s="98" t="str">
        <f>IFERROR(__xludf.DUMMYFUNCTION("""COMPUTED_VALUE"""),"N/A")</f>
        <v>N/A</v>
      </c>
      <c r="P20" s="98" t="str">
        <f>IFERROR(__xludf.DUMMYFUNCTION("""COMPUTED_VALUE"""),"N/A")</f>
        <v>N/A</v>
      </c>
      <c r="Q20" s="98" t="str">
        <f>IFERROR(__xludf.DUMMYFUNCTION("""COMPUTED_VALUE"""),"N/A")</f>
        <v>N/A</v>
      </c>
      <c r="R20" s="98" t="str">
        <f>IFERROR(__xludf.DUMMYFUNCTION("""COMPUTED_VALUE"""),"N/A")</f>
        <v>N/A</v>
      </c>
      <c r="S20" s="98" t="str">
        <f>IFERROR(__xludf.DUMMYFUNCTION("""COMPUTED_VALUE"""),"N/A")</f>
        <v>N/A</v>
      </c>
      <c r="T20" s="97">
        <f>IFERROR(__xludf.DUMMYFUNCTION("""COMPUTED_VALUE"""),0.0)</f>
        <v>0</v>
      </c>
      <c r="U20" s="97" t="str">
        <f>IFERROR(__xludf.DUMMYFUNCTION("""COMPUTED_VALUE"""),"No Sessions")</f>
        <v>No Sessions</v>
      </c>
      <c r="V20" s="97">
        <f>IFERROR(__xludf.DUMMYFUNCTION("""COMPUTED_VALUE"""),0.0)</f>
        <v>0</v>
      </c>
      <c r="W20" s="97">
        <f>IFERROR(__xludf.DUMMYFUNCTION("""COMPUTED_VALUE"""),0.0)</f>
        <v>0</v>
      </c>
      <c r="X20" s="97">
        <f>IFERROR(__xludf.DUMMYFUNCTION("""COMPUTED_VALUE"""),0.0)</f>
        <v>0</v>
      </c>
      <c r="Y20" s="97">
        <f>IFERROR(__xludf.DUMMYFUNCTION("""COMPUTED_VALUE"""),0.0)</f>
        <v>0</v>
      </c>
      <c r="Z20" s="99" t="str">
        <f>IFERROR(__xludf.DUMMYFUNCTION("""COMPUTED_VALUE"""),"N/A")</f>
        <v>N/A</v>
      </c>
      <c r="AA20" s="99" t="str">
        <f>IFERROR(__xludf.DUMMYFUNCTION("""COMPUTED_VALUE"""),"N/A")</f>
        <v>N/A</v>
      </c>
      <c r="AB20" s="99" t="str">
        <f>IFERROR(__xludf.DUMMYFUNCTION("""COMPUTED_VALUE"""),"N/A")</f>
        <v>N/A</v>
      </c>
    </row>
    <row r="21">
      <c r="A21" s="95" t="str">
        <f>IFERROR(__xludf.DUMMYFUNCTION("""COMPUTED_VALUE"""),"TEA111")</f>
        <v>TEA111</v>
      </c>
      <c r="B21" s="95" t="str">
        <f>IFERROR(__xludf.DUMMYFUNCTION("""COMPUTED_VALUE"""),"Umm Omar")</f>
        <v>Umm Omar</v>
      </c>
      <c r="C21" s="95" t="str">
        <f>IFERROR(__xludf.DUMMYFUNCTION("""COMPUTED_VALUE"""),"""1Ni7fa-tipr-FSTJDkV3dhAJCDTPWldi4O05zrHRm3VI""")</f>
        <v>"1Ni7fa-tipr-FSTJDkV3dhAJCDTPWldi4O05zrHRm3VI"</v>
      </c>
      <c r="D21" s="100" t="str">
        <f>IFERROR(__xludf.DUMMYFUNCTION("importrange(C21,Sheet3!D$1)"),"Attended")</f>
        <v>Attended</v>
      </c>
      <c r="E21" s="97">
        <f>IFERROR(__xludf.DUMMYFUNCTION("""COMPUTED_VALUE"""),8.0)</f>
        <v>8</v>
      </c>
      <c r="F21" s="97">
        <f>IFERROR(__xludf.DUMMYFUNCTION("""COMPUTED_VALUE"""),5.0)</f>
        <v>5</v>
      </c>
      <c r="G21" s="97">
        <f>IFERROR(__xludf.DUMMYFUNCTION("""COMPUTED_VALUE"""),5.0)</f>
        <v>5</v>
      </c>
      <c r="H21" s="97">
        <f>IFERROR(__xludf.DUMMYFUNCTION("""COMPUTED_VALUE"""),2.0)</f>
        <v>2</v>
      </c>
      <c r="I21" s="97">
        <f>IFERROR(__xludf.DUMMYFUNCTION("""COMPUTED_VALUE"""),0.0)</f>
        <v>0</v>
      </c>
      <c r="J21" s="97">
        <f>IFERROR(__xludf.DUMMYFUNCTION("""COMPUTED_VALUE"""),0.0)</f>
        <v>0</v>
      </c>
      <c r="K21" s="97">
        <f>IFERROR(__xludf.DUMMYFUNCTION("""COMPUTED_VALUE"""),1.0)</f>
        <v>1</v>
      </c>
      <c r="L21" s="97">
        <f>IFERROR(__xludf.DUMMYFUNCTION("""COMPUTED_VALUE"""),62.5)</f>
        <v>62.5</v>
      </c>
      <c r="M21" s="98">
        <f>IFERROR(__xludf.DUMMYFUNCTION("""COMPUTED_VALUE"""),75.0)</f>
        <v>75</v>
      </c>
      <c r="N21" s="98">
        <f>IFERROR(__xludf.DUMMYFUNCTION("""COMPUTED_VALUE"""),75.0)</f>
        <v>75</v>
      </c>
      <c r="O21" s="98">
        <f>IFERROR(__xludf.DUMMYFUNCTION("""COMPUTED_VALUE"""),25.0)</f>
        <v>25</v>
      </c>
      <c r="P21" s="98">
        <f>IFERROR(__xludf.DUMMYFUNCTION("""COMPUTED_VALUE"""),0.0)</f>
        <v>0</v>
      </c>
      <c r="Q21" s="98">
        <f>IFERROR(__xludf.DUMMYFUNCTION("""COMPUTED_VALUE"""),0.0)</f>
        <v>0</v>
      </c>
      <c r="R21" s="98">
        <f>IFERROR(__xludf.DUMMYFUNCTION("""COMPUTED_VALUE"""),12.5)</f>
        <v>12.5</v>
      </c>
      <c r="S21" s="98">
        <f>IFERROR(__xludf.DUMMYFUNCTION("""COMPUTED_VALUE"""),30.0)</f>
        <v>30</v>
      </c>
      <c r="T21" s="97">
        <f>IFERROR(__xludf.DUMMYFUNCTION("""COMPUTED_VALUE"""),2.0)</f>
        <v>2</v>
      </c>
      <c r="U21" s="97" t="str">
        <f>IFERROR(__xludf.DUMMYFUNCTION("""COMPUTED_VALUE"""),"Yes")</f>
        <v>Yes</v>
      </c>
      <c r="V21" s="97">
        <f>IFERROR(__xludf.DUMMYFUNCTION("""COMPUTED_VALUE"""),5.0)</f>
        <v>5</v>
      </c>
      <c r="W21" s="97">
        <f>IFERROR(__xludf.DUMMYFUNCTION("""COMPUTED_VALUE"""),5.0)</f>
        <v>5</v>
      </c>
      <c r="X21" s="97">
        <f>IFERROR(__xludf.DUMMYFUNCTION("""COMPUTED_VALUE"""),0.0)</f>
        <v>0</v>
      </c>
      <c r="Y21" s="97">
        <f>IFERROR(__xludf.DUMMYFUNCTION("""COMPUTED_VALUE"""),0.0)</f>
        <v>0</v>
      </c>
      <c r="Z21" s="99">
        <f>IFERROR(__xludf.DUMMYFUNCTION("""COMPUTED_VALUE"""),100.0)</f>
        <v>100</v>
      </c>
      <c r="AA21" s="99">
        <f>IFERROR(__xludf.DUMMYFUNCTION("""COMPUTED_VALUE"""),0.0)</f>
        <v>0</v>
      </c>
      <c r="AB21" s="99">
        <f>IFERROR(__xludf.DUMMYFUNCTION("""COMPUTED_VALUE"""),0.0)</f>
        <v>0</v>
      </c>
    </row>
    <row r="22">
      <c r="A22" s="95" t="str">
        <f>IFERROR(__xludf.DUMMYFUNCTION("""COMPUTED_VALUE"""),"TEA112")</f>
        <v>TEA112</v>
      </c>
      <c r="B22" s="95" t="str">
        <f>IFERROR(__xludf.DUMMYFUNCTION("""COMPUTED_VALUE"""),"Shaimaa Nabil")</f>
        <v>Shaimaa Nabil</v>
      </c>
      <c r="C22" s="95" t="str">
        <f>IFERROR(__xludf.DUMMYFUNCTION("""COMPUTED_VALUE"""),"""132XuIf4tq5CfKzc7KNgolSWXsTwfzUq0FS6mikRwOiY""")</f>
        <v>"132XuIf4tq5CfKzc7KNgolSWXsTwfzUq0FS6mikRwOiY"</v>
      </c>
      <c r="D22" s="100" t="str">
        <f>IFERROR(__xludf.DUMMYFUNCTION("importrange(C22,Sheet3!D$1)"),"No Sessions")</f>
        <v>No Sessions</v>
      </c>
      <c r="E22" s="97">
        <f>IFERROR(__xludf.DUMMYFUNCTION("""COMPUTED_VALUE"""),0.0)</f>
        <v>0</v>
      </c>
      <c r="F22" s="97">
        <f>IFERROR(__xludf.DUMMYFUNCTION("""COMPUTED_VALUE"""),0.0)</f>
        <v>0</v>
      </c>
      <c r="G22" s="97">
        <f>IFERROR(__xludf.DUMMYFUNCTION("""COMPUTED_VALUE"""),0.0)</f>
        <v>0</v>
      </c>
      <c r="H22" s="97">
        <f>IFERROR(__xludf.DUMMYFUNCTION("""COMPUTED_VALUE"""),0.0)</f>
        <v>0</v>
      </c>
      <c r="I22" s="97">
        <f>IFERROR(__xludf.DUMMYFUNCTION("""COMPUTED_VALUE"""),0.0)</f>
        <v>0</v>
      </c>
      <c r="J22" s="97">
        <f>IFERROR(__xludf.DUMMYFUNCTION("""COMPUTED_VALUE"""),0.0)</f>
        <v>0</v>
      </c>
      <c r="K22" s="97">
        <f>IFERROR(__xludf.DUMMYFUNCTION("""COMPUTED_VALUE"""),0.0)</f>
        <v>0</v>
      </c>
      <c r="L22" s="97" t="str">
        <f>IFERROR(__xludf.DUMMYFUNCTION("""COMPUTED_VALUE"""),"N/A")</f>
        <v>N/A</v>
      </c>
      <c r="M22" s="98" t="str">
        <f>IFERROR(__xludf.DUMMYFUNCTION("""COMPUTED_VALUE"""),"N/A")</f>
        <v>N/A</v>
      </c>
      <c r="N22" s="98" t="str">
        <f>IFERROR(__xludf.DUMMYFUNCTION("""COMPUTED_VALUE"""),"N/A")</f>
        <v>N/A</v>
      </c>
      <c r="O22" s="98" t="str">
        <f>IFERROR(__xludf.DUMMYFUNCTION("""COMPUTED_VALUE"""),"N/A")</f>
        <v>N/A</v>
      </c>
      <c r="P22" s="98" t="str">
        <f>IFERROR(__xludf.DUMMYFUNCTION("""COMPUTED_VALUE"""),"N/A")</f>
        <v>N/A</v>
      </c>
      <c r="Q22" s="98" t="str">
        <f>IFERROR(__xludf.DUMMYFUNCTION("""COMPUTED_VALUE"""),"N/A")</f>
        <v>N/A</v>
      </c>
      <c r="R22" s="98" t="str">
        <f>IFERROR(__xludf.DUMMYFUNCTION("""COMPUTED_VALUE"""),"N/A")</f>
        <v>N/A</v>
      </c>
      <c r="S22" s="98" t="str">
        <f>IFERROR(__xludf.DUMMYFUNCTION("""COMPUTED_VALUE"""),"N/A")</f>
        <v>N/A</v>
      </c>
      <c r="T22" s="97">
        <f>IFERROR(__xludf.DUMMYFUNCTION("""COMPUTED_VALUE"""),0.0)</f>
        <v>0</v>
      </c>
      <c r="U22" s="97" t="str">
        <f>IFERROR(__xludf.DUMMYFUNCTION("""COMPUTED_VALUE"""),"No Sessions")</f>
        <v>No Sessions</v>
      </c>
      <c r="V22" s="97">
        <f>IFERROR(__xludf.DUMMYFUNCTION("""COMPUTED_VALUE"""),0.0)</f>
        <v>0</v>
      </c>
      <c r="W22" s="97">
        <f>IFERROR(__xludf.DUMMYFUNCTION("""COMPUTED_VALUE"""),0.0)</f>
        <v>0</v>
      </c>
      <c r="X22" s="97">
        <f>IFERROR(__xludf.DUMMYFUNCTION("""COMPUTED_VALUE"""),0.0)</f>
        <v>0</v>
      </c>
      <c r="Y22" s="97">
        <f>IFERROR(__xludf.DUMMYFUNCTION("""COMPUTED_VALUE"""),0.0)</f>
        <v>0</v>
      </c>
      <c r="Z22" s="99" t="str">
        <f>IFERROR(__xludf.DUMMYFUNCTION("""COMPUTED_VALUE"""),"N/A")</f>
        <v>N/A</v>
      </c>
      <c r="AA22" s="99" t="str">
        <f>IFERROR(__xludf.DUMMYFUNCTION("""COMPUTED_VALUE"""),"N/A")</f>
        <v>N/A</v>
      </c>
      <c r="AB22" s="99" t="str">
        <f>IFERROR(__xludf.DUMMYFUNCTION("""COMPUTED_VALUE"""),"N/A")</f>
        <v>N/A</v>
      </c>
    </row>
    <row r="23">
      <c r="A23" s="95" t="str">
        <f>IFERROR(__xludf.DUMMYFUNCTION("""COMPUTED_VALUE"""),"TEA113")</f>
        <v>TEA113</v>
      </c>
      <c r="B23" s="95" t="str">
        <f>IFERROR(__xludf.DUMMYFUNCTION("""COMPUTED_VALUE"""),"Ali Kassem")</f>
        <v>Ali Kassem</v>
      </c>
      <c r="C23" s="95" t="str">
        <f>IFERROR(__xludf.DUMMYFUNCTION("""COMPUTED_VALUE"""),"""1WvC1BNvGW17jxNrIrLT0XiP8o3KQSGdZPSinfimgGwI""")</f>
        <v>"1WvC1BNvGW17jxNrIrLT0XiP8o3KQSGdZPSinfimgGwI"</v>
      </c>
      <c r="D23" s="100" t="str">
        <f>IFERROR(__xludf.DUMMYFUNCTION("importrange(C23,Sheet3!D$1)"),"No Sessions")</f>
        <v>No Sessions</v>
      </c>
      <c r="E23" s="97">
        <f>IFERROR(__xludf.DUMMYFUNCTION("""COMPUTED_VALUE"""),0.0)</f>
        <v>0</v>
      </c>
      <c r="F23" s="97">
        <f>IFERROR(__xludf.DUMMYFUNCTION("""COMPUTED_VALUE"""),0.0)</f>
        <v>0</v>
      </c>
      <c r="G23" s="97">
        <f>IFERROR(__xludf.DUMMYFUNCTION("""COMPUTED_VALUE"""),0.0)</f>
        <v>0</v>
      </c>
      <c r="H23" s="97">
        <f>IFERROR(__xludf.DUMMYFUNCTION("""COMPUTED_VALUE"""),0.0)</f>
        <v>0</v>
      </c>
      <c r="I23" s="97">
        <f>IFERROR(__xludf.DUMMYFUNCTION("""COMPUTED_VALUE"""),0.0)</f>
        <v>0</v>
      </c>
      <c r="J23" s="97">
        <f>IFERROR(__xludf.DUMMYFUNCTION("""COMPUTED_VALUE"""),0.0)</f>
        <v>0</v>
      </c>
      <c r="K23" s="97">
        <f>IFERROR(__xludf.DUMMYFUNCTION("""COMPUTED_VALUE"""),0.0)</f>
        <v>0</v>
      </c>
      <c r="L23" s="97" t="str">
        <f>IFERROR(__xludf.DUMMYFUNCTION("""COMPUTED_VALUE"""),"N/A")</f>
        <v>N/A</v>
      </c>
      <c r="M23" s="98" t="str">
        <f>IFERROR(__xludf.DUMMYFUNCTION("""COMPUTED_VALUE"""),"N/A")</f>
        <v>N/A</v>
      </c>
      <c r="N23" s="98" t="str">
        <f>IFERROR(__xludf.DUMMYFUNCTION("""COMPUTED_VALUE"""),"N/A")</f>
        <v>N/A</v>
      </c>
      <c r="O23" s="98" t="str">
        <f>IFERROR(__xludf.DUMMYFUNCTION("""COMPUTED_VALUE"""),"N/A")</f>
        <v>N/A</v>
      </c>
      <c r="P23" s="98" t="str">
        <f>IFERROR(__xludf.DUMMYFUNCTION("""COMPUTED_VALUE"""),"N/A")</f>
        <v>N/A</v>
      </c>
      <c r="Q23" s="98" t="str">
        <f>IFERROR(__xludf.DUMMYFUNCTION("""COMPUTED_VALUE"""),"N/A")</f>
        <v>N/A</v>
      </c>
      <c r="R23" s="98" t="str">
        <f>IFERROR(__xludf.DUMMYFUNCTION("""COMPUTED_VALUE"""),"N/A")</f>
        <v>N/A</v>
      </c>
      <c r="S23" s="98" t="str">
        <f>IFERROR(__xludf.DUMMYFUNCTION("""COMPUTED_VALUE"""),"N/A")</f>
        <v>N/A</v>
      </c>
      <c r="T23" s="97">
        <f>IFERROR(__xludf.DUMMYFUNCTION("""COMPUTED_VALUE"""),0.0)</f>
        <v>0</v>
      </c>
      <c r="U23" s="97" t="str">
        <f>IFERROR(__xludf.DUMMYFUNCTION("""COMPUTED_VALUE"""),"No Sessions")</f>
        <v>No Sessions</v>
      </c>
      <c r="V23" s="97">
        <f>IFERROR(__xludf.DUMMYFUNCTION("""COMPUTED_VALUE"""),0.0)</f>
        <v>0</v>
      </c>
      <c r="W23" s="97">
        <f>IFERROR(__xludf.DUMMYFUNCTION("""COMPUTED_VALUE"""),0.0)</f>
        <v>0</v>
      </c>
      <c r="X23" s="97">
        <f>IFERROR(__xludf.DUMMYFUNCTION("""COMPUTED_VALUE"""),0.0)</f>
        <v>0</v>
      </c>
      <c r="Y23" s="97">
        <f>IFERROR(__xludf.DUMMYFUNCTION("""COMPUTED_VALUE"""),0.0)</f>
        <v>0</v>
      </c>
      <c r="Z23" s="99" t="str">
        <f>IFERROR(__xludf.DUMMYFUNCTION("""COMPUTED_VALUE"""),"N/A")</f>
        <v>N/A</v>
      </c>
      <c r="AA23" s="99" t="str">
        <f>IFERROR(__xludf.DUMMYFUNCTION("""COMPUTED_VALUE"""),"N/A")</f>
        <v>N/A</v>
      </c>
      <c r="AB23" s="99" t="str">
        <f>IFERROR(__xludf.DUMMYFUNCTION("""COMPUTED_VALUE"""),"N/A")</f>
        <v>N/A</v>
      </c>
    </row>
    <row r="24">
      <c r="A24" s="95" t="str">
        <f>IFERROR(__xludf.DUMMYFUNCTION("""COMPUTED_VALUE"""),"TEA114")</f>
        <v>TEA114</v>
      </c>
      <c r="B24" s="95" t="str">
        <f>IFERROR(__xludf.DUMMYFUNCTION("""COMPUTED_VALUE"""),"Sondos Hassan")</f>
        <v>Sondos Hassan</v>
      </c>
      <c r="C24" s="95" t="str">
        <f>IFERROR(__xludf.DUMMYFUNCTION("""COMPUTED_VALUE"""),"""1Z9v_L3t5-LBZepOBbriPuRkzDMxy3qaXb_4OMsaX2ZQ""")</f>
        <v>"1Z9v_L3t5-LBZepOBbriPuRkzDMxy3qaXb_4OMsaX2ZQ"</v>
      </c>
      <c r="D24" s="100" t="str">
        <f>IFERROR(__xludf.DUMMYFUNCTION("importrange(C24,Sheet3!D$1)"),"No Sessions")</f>
        <v>No Sessions</v>
      </c>
      <c r="E24" s="97">
        <f>IFERROR(__xludf.DUMMYFUNCTION("""COMPUTED_VALUE"""),0.0)</f>
        <v>0</v>
      </c>
      <c r="F24" s="97">
        <f>IFERROR(__xludf.DUMMYFUNCTION("""COMPUTED_VALUE"""),0.0)</f>
        <v>0</v>
      </c>
      <c r="G24" s="97">
        <f>IFERROR(__xludf.DUMMYFUNCTION("""COMPUTED_VALUE"""),0.0)</f>
        <v>0</v>
      </c>
      <c r="H24" s="97">
        <f>IFERROR(__xludf.DUMMYFUNCTION("""COMPUTED_VALUE"""),0.0)</f>
        <v>0</v>
      </c>
      <c r="I24" s="97">
        <f>IFERROR(__xludf.DUMMYFUNCTION("""COMPUTED_VALUE"""),0.0)</f>
        <v>0</v>
      </c>
      <c r="J24" s="97">
        <f>IFERROR(__xludf.DUMMYFUNCTION("""COMPUTED_VALUE"""),0.0)</f>
        <v>0</v>
      </c>
      <c r="K24" s="97">
        <f>IFERROR(__xludf.DUMMYFUNCTION("""COMPUTED_VALUE"""),0.0)</f>
        <v>0</v>
      </c>
      <c r="L24" s="97" t="str">
        <f>IFERROR(__xludf.DUMMYFUNCTION("""COMPUTED_VALUE"""),"N/A")</f>
        <v>N/A</v>
      </c>
      <c r="M24" s="98" t="str">
        <f>IFERROR(__xludf.DUMMYFUNCTION("""COMPUTED_VALUE"""),"N/A")</f>
        <v>N/A</v>
      </c>
      <c r="N24" s="98" t="str">
        <f>IFERROR(__xludf.DUMMYFUNCTION("""COMPUTED_VALUE"""),"N/A")</f>
        <v>N/A</v>
      </c>
      <c r="O24" s="98" t="str">
        <f>IFERROR(__xludf.DUMMYFUNCTION("""COMPUTED_VALUE"""),"N/A")</f>
        <v>N/A</v>
      </c>
      <c r="P24" s="98" t="str">
        <f>IFERROR(__xludf.DUMMYFUNCTION("""COMPUTED_VALUE"""),"N/A")</f>
        <v>N/A</v>
      </c>
      <c r="Q24" s="98" t="str">
        <f>IFERROR(__xludf.DUMMYFUNCTION("""COMPUTED_VALUE"""),"N/A")</f>
        <v>N/A</v>
      </c>
      <c r="R24" s="98" t="str">
        <f>IFERROR(__xludf.DUMMYFUNCTION("""COMPUTED_VALUE"""),"N/A")</f>
        <v>N/A</v>
      </c>
      <c r="S24" s="98" t="str">
        <f>IFERROR(__xludf.DUMMYFUNCTION("""COMPUTED_VALUE"""),"N/A")</f>
        <v>N/A</v>
      </c>
      <c r="T24" s="97">
        <f>IFERROR(__xludf.DUMMYFUNCTION("""COMPUTED_VALUE"""),0.0)</f>
        <v>0</v>
      </c>
      <c r="U24" s="97" t="str">
        <f>IFERROR(__xludf.DUMMYFUNCTION("""COMPUTED_VALUE"""),"No Sessions")</f>
        <v>No Sessions</v>
      </c>
      <c r="V24" s="97">
        <f>IFERROR(__xludf.DUMMYFUNCTION("""COMPUTED_VALUE"""),0.0)</f>
        <v>0</v>
      </c>
      <c r="W24" s="97">
        <f>IFERROR(__xludf.DUMMYFUNCTION("""COMPUTED_VALUE"""),0.0)</f>
        <v>0</v>
      </c>
      <c r="X24" s="97">
        <f>IFERROR(__xludf.DUMMYFUNCTION("""COMPUTED_VALUE"""),0.0)</f>
        <v>0</v>
      </c>
      <c r="Y24" s="97">
        <f>IFERROR(__xludf.DUMMYFUNCTION("""COMPUTED_VALUE"""),0.0)</f>
        <v>0</v>
      </c>
      <c r="Z24" s="99" t="str">
        <f>IFERROR(__xludf.DUMMYFUNCTION("""COMPUTED_VALUE"""),"N/A")</f>
        <v>N/A</v>
      </c>
      <c r="AA24" s="99" t="str">
        <f>IFERROR(__xludf.DUMMYFUNCTION("""COMPUTED_VALUE"""),"N/A")</f>
        <v>N/A</v>
      </c>
      <c r="AB24" s="99" t="str">
        <f>IFERROR(__xludf.DUMMYFUNCTION("""COMPUTED_VALUE"""),"N/A")</f>
        <v>N/A</v>
      </c>
    </row>
    <row r="25">
      <c r="A25" s="95" t="str">
        <f>IFERROR(__xludf.DUMMYFUNCTION("""COMPUTED_VALUE"""),"TEA115")</f>
        <v>TEA115</v>
      </c>
      <c r="B25" s="95" t="str">
        <f>IFERROR(__xludf.DUMMYFUNCTION("""COMPUTED_VALUE"""),"Manal Saad El Deen")</f>
        <v>Manal Saad El Deen</v>
      </c>
      <c r="C25" s="95" t="str">
        <f>IFERROR(__xludf.DUMMYFUNCTION("""COMPUTED_VALUE"""),"""1XhOt0Z_Z_uHzYZSk2f8ASZ1nIfuhELKxdXAgDfLyszA""")</f>
        <v>"1XhOt0Z_Z_uHzYZSk2f8ASZ1nIfuhELKxdXAgDfLyszA"</v>
      </c>
      <c r="D25" s="100" t="str">
        <f>IFERROR(__xludf.DUMMYFUNCTION("importrange(C25,Sheet3!D$1)"),"No Sessions")</f>
        <v>No Sessions</v>
      </c>
      <c r="E25" s="97">
        <f>IFERROR(__xludf.DUMMYFUNCTION("""COMPUTED_VALUE"""),0.0)</f>
        <v>0</v>
      </c>
      <c r="F25" s="97">
        <f>IFERROR(__xludf.DUMMYFUNCTION("""COMPUTED_VALUE"""),0.0)</f>
        <v>0</v>
      </c>
      <c r="G25" s="97">
        <f>IFERROR(__xludf.DUMMYFUNCTION("""COMPUTED_VALUE"""),0.0)</f>
        <v>0</v>
      </c>
      <c r="H25" s="97">
        <f>IFERROR(__xludf.DUMMYFUNCTION("""COMPUTED_VALUE"""),0.0)</f>
        <v>0</v>
      </c>
      <c r="I25" s="97">
        <f>IFERROR(__xludf.DUMMYFUNCTION("""COMPUTED_VALUE"""),0.0)</f>
        <v>0</v>
      </c>
      <c r="J25" s="97">
        <f>IFERROR(__xludf.DUMMYFUNCTION("""COMPUTED_VALUE"""),0.0)</f>
        <v>0</v>
      </c>
      <c r="K25" s="97">
        <f>IFERROR(__xludf.DUMMYFUNCTION("""COMPUTED_VALUE"""),0.0)</f>
        <v>0</v>
      </c>
      <c r="L25" s="97" t="str">
        <f>IFERROR(__xludf.DUMMYFUNCTION("""COMPUTED_VALUE"""),"N/A")</f>
        <v>N/A</v>
      </c>
      <c r="M25" s="98" t="str">
        <f>IFERROR(__xludf.DUMMYFUNCTION("""COMPUTED_VALUE"""),"N/A")</f>
        <v>N/A</v>
      </c>
      <c r="N25" s="98" t="str">
        <f>IFERROR(__xludf.DUMMYFUNCTION("""COMPUTED_VALUE"""),"N/A")</f>
        <v>N/A</v>
      </c>
      <c r="O25" s="98" t="str">
        <f>IFERROR(__xludf.DUMMYFUNCTION("""COMPUTED_VALUE"""),"N/A")</f>
        <v>N/A</v>
      </c>
      <c r="P25" s="98" t="str">
        <f>IFERROR(__xludf.DUMMYFUNCTION("""COMPUTED_VALUE"""),"N/A")</f>
        <v>N/A</v>
      </c>
      <c r="Q25" s="98" t="str">
        <f>IFERROR(__xludf.DUMMYFUNCTION("""COMPUTED_VALUE"""),"N/A")</f>
        <v>N/A</v>
      </c>
      <c r="R25" s="98" t="str">
        <f>IFERROR(__xludf.DUMMYFUNCTION("""COMPUTED_VALUE"""),"N/A")</f>
        <v>N/A</v>
      </c>
      <c r="S25" s="98" t="str">
        <f>IFERROR(__xludf.DUMMYFUNCTION("""COMPUTED_VALUE"""),"N/A")</f>
        <v>N/A</v>
      </c>
      <c r="T25" s="97">
        <f>IFERROR(__xludf.DUMMYFUNCTION("""COMPUTED_VALUE"""),0.0)</f>
        <v>0</v>
      </c>
      <c r="U25" s="97" t="str">
        <f>IFERROR(__xludf.DUMMYFUNCTION("""COMPUTED_VALUE"""),"No Sessions")</f>
        <v>No Sessions</v>
      </c>
      <c r="V25" s="97">
        <f>IFERROR(__xludf.DUMMYFUNCTION("""COMPUTED_VALUE"""),0.0)</f>
        <v>0</v>
      </c>
      <c r="W25" s="97">
        <f>IFERROR(__xludf.DUMMYFUNCTION("""COMPUTED_VALUE"""),0.0)</f>
        <v>0</v>
      </c>
      <c r="X25" s="97">
        <f>IFERROR(__xludf.DUMMYFUNCTION("""COMPUTED_VALUE"""),0.0)</f>
        <v>0</v>
      </c>
      <c r="Y25" s="97">
        <f>IFERROR(__xludf.DUMMYFUNCTION("""COMPUTED_VALUE"""),0.0)</f>
        <v>0</v>
      </c>
      <c r="Z25" s="99" t="str">
        <f>IFERROR(__xludf.DUMMYFUNCTION("""COMPUTED_VALUE"""),"N/A")</f>
        <v>N/A</v>
      </c>
      <c r="AA25" s="99" t="str">
        <f>IFERROR(__xludf.DUMMYFUNCTION("""COMPUTED_VALUE"""),"N/A")</f>
        <v>N/A</v>
      </c>
      <c r="AB25" s="99" t="str">
        <f>IFERROR(__xludf.DUMMYFUNCTION("""COMPUTED_VALUE"""),"N/A")</f>
        <v>N/A</v>
      </c>
    </row>
    <row r="26">
      <c r="A26" s="95" t="str">
        <f>IFERROR(__xludf.DUMMYFUNCTION("""COMPUTED_VALUE"""),"TEA116")</f>
        <v>TEA116</v>
      </c>
      <c r="B26" s="95" t="str">
        <f>IFERROR(__xludf.DUMMYFUNCTION("""COMPUTED_VALUE"""),"Samar Ali")</f>
        <v>Samar Ali</v>
      </c>
      <c r="C26" s="95" t="str">
        <f>IFERROR(__xludf.DUMMYFUNCTION("""COMPUTED_VALUE"""),"""1rw-tLCeTQ48Z1SgxS0TDW7lpYU-CAaNIQ6myJWaXEYc""")</f>
        <v>"1rw-tLCeTQ48Z1SgxS0TDW7lpYU-CAaNIQ6myJWaXEYc"</v>
      </c>
      <c r="D26" s="100" t="str">
        <f>IFERROR(__xludf.DUMMYFUNCTION("importrange(C26,Sheet3!D$1)"),"No Sessions")</f>
        <v>No Sessions</v>
      </c>
      <c r="E26" s="97">
        <f>IFERROR(__xludf.DUMMYFUNCTION("""COMPUTED_VALUE"""),0.0)</f>
        <v>0</v>
      </c>
      <c r="F26" s="97">
        <f>IFERROR(__xludf.DUMMYFUNCTION("""COMPUTED_VALUE"""),0.0)</f>
        <v>0</v>
      </c>
      <c r="G26" s="97">
        <f>IFERROR(__xludf.DUMMYFUNCTION("""COMPUTED_VALUE"""),0.0)</f>
        <v>0</v>
      </c>
      <c r="H26" s="97">
        <f>IFERROR(__xludf.DUMMYFUNCTION("""COMPUTED_VALUE"""),0.0)</f>
        <v>0</v>
      </c>
      <c r="I26" s="97">
        <f>IFERROR(__xludf.DUMMYFUNCTION("""COMPUTED_VALUE"""),0.0)</f>
        <v>0</v>
      </c>
      <c r="J26" s="97">
        <f>IFERROR(__xludf.DUMMYFUNCTION("""COMPUTED_VALUE"""),0.0)</f>
        <v>0</v>
      </c>
      <c r="K26" s="97">
        <f>IFERROR(__xludf.DUMMYFUNCTION("""COMPUTED_VALUE"""),0.0)</f>
        <v>0</v>
      </c>
      <c r="L26" s="97" t="str">
        <f>IFERROR(__xludf.DUMMYFUNCTION("""COMPUTED_VALUE"""),"N/A")</f>
        <v>N/A</v>
      </c>
      <c r="M26" s="98" t="str">
        <f>IFERROR(__xludf.DUMMYFUNCTION("""COMPUTED_VALUE"""),"N/A")</f>
        <v>N/A</v>
      </c>
      <c r="N26" s="98" t="str">
        <f>IFERROR(__xludf.DUMMYFUNCTION("""COMPUTED_VALUE"""),"N/A")</f>
        <v>N/A</v>
      </c>
      <c r="O26" s="98" t="str">
        <f>IFERROR(__xludf.DUMMYFUNCTION("""COMPUTED_VALUE"""),"N/A")</f>
        <v>N/A</v>
      </c>
      <c r="P26" s="98" t="str">
        <f>IFERROR(__xludf.DUMMYFUNCTION("""COMPUTED_VALUE"""),"N/A")</f>
        <v>N/A</v>
      </c>
      <c r="Q26" s="98" t="str">
        <f>IFERROR(__xludf.DUMMYFUNCTION("""COMPUTED_VALUE"""),"N/A")</f>
        <v>N/A</v>
      </c>
      <c r="R26" s="98" t="str">
        <f>IFERROR(__xludf.DUMMYFUNCTION("""COMPUTED_VALUE"""),"N/A")</f>
        <v>N/A</v>
      </c>
      <c r="S26" s="98" t="str">
        <f>IFERROR(__xludf.DUMMYFUNCTION("""COMPUTED_VALUE"""),"N/A")</f>
        <v>N/A</v>
      </c>
      <c r="T26" s="97">
        <f>IFERROR(__xludf.DUMMYFUNCTION("""COMPUTED_VALUE"""),0.0)</f>
        <v>0</v>
      </c>
      <c r="U26" s="97" t="str">
        <f>IFERROR(__xludf.DUMMYFUNCTION("""COMPUTED_VALUE"""),"No Sessions")</f>
        <v>No Sessions</v>
      </c>
      <c r="V26" s="97">
        <f>IFERROR(__xludf.DUMMYFUNCTION("""COMPUTED_VALUE"""),0.0)</f>
        <v>0</v>
      </c>
      <c r="W26" s="97">
        <f>IFERROR(__xludf.DUMMYFUNCTION("""COMPUTED_VALUE"""),0.0)</f>
        <v>0</v>
      </c>
      <c r="X26" s="97">
        <f>IFERROR(__xludf.DUMMYFUNCTION("""COMPUTED_VALUE"""),0.0)</f>
        <v>0</v>
      </c>
      <c r="Y26" s="97">
        <f>IFERROR(__xludf.DUMMYFUNCTION("""COMPUTED_VALUE"""),0.0)</f>
        <v>0</v>
      </c>
      <c r="Z26" s="99" t="str">
        <f>IFERROR(__xludf.DUMMYFUNCTION("""COMPUTED_VALUE"""),"N/A")</f>
        <v>N/A</v>
      </c>
      <c r="AA26" s="99" t="str">
        <f>IFERROR(__xludf.DUMMYFUNCTION("""COMPUTED_VALUE"""),"N/A")</f>
        <v>N/A</v>
      </c>
      <c r="AB26" s="99" t="str">
        <f>IFERROR(__xludf.DUMMYFUNCTION("""COMPUTED_VALUE"""),"N/A")</f>
        <v>N/A</v>
      </c>
    </row>
    <row r="27">
      <c r="A27" s="95" t="str">
        <f>IFERROR(__xludf.DUMMYFUNCTION("""COMPUTED_VALUE"""),"TEA117")</f>
        <v>TEA117</v>
      </c>
      <c r="B27" s="95" t="str">
        <f>IFERROR(__xludf.DUMMYFUNCTION("""COMPUTED_VALUE"""),"Belal Desouky")</f>
        <v>Belal Desouky</v>
      </c>
      <c r="C27" s="95" t="str">
        <f>IFERROR(__xludf.DUMMYFUNCTION("""COMPUTED_VALUE"""),"""1UM-DfE_bU3DJKWw4dH6kxwOScrLQf8EGPCJ5DdjbmJY""")</f>
        <v>"1UM-DfE_bU3DJKWw4dH6kxwOScrLQf8EGPCJ5DdjbmJY"</v>
      </c>
      <c r="D27" s="100" t="str">
        <f>IFERROR(__xludf.DUMMYFUNCTION("importrange(C27,Sheet3!D$1)"),"No Sessions")</f>
        <v>No Sessions</v>
      </c>
      <c r="E27" s="97">
        <f>IFERROR(__xludf.DUMMYFUNCTION("""COMPUTED_VALUE"""),0.0)</f>
        <v>0</v>
      </c>
      <c r="F27" s="97">
        <f>IFERROR(__xludf.DUMMYFUNCTION("""COMPUTED_VALUE"""),0.0)</f>
        <v>0</v>
      </c>
      <c r="G27" s="97">
        <f>IFERROR(__xludf.DUMMYFUNCTION("""COMPUTED_VALUE"""),0.0)</f>
        <v>0</v>
      </c>
      <c r="H27" s="97">
        <f>IFERROR(__xludf.DUMMYFUNCTION("""COMPUTED_VALUE"""),0.0)</f>
        <v>0</v>
      </c>
      <c r="I27" s="97">
        <f>IFERROR(__xludf.DUMMYFUNCTION("""COMPUTED_VALUE"""),0.0)</f>
        <v>0</v>
      </c>
      <c r="J27" s="97">
        <f>IFERROR(__xludf.DUMMYFUNCTION("""COMPUTED_VALUE"""),0.0)</f>
        <v>0</v>
      </c>
      <c r="K27" s="97">
        <f>IFERROR(__xludf.DUMMYFUNCTION("""COMPUTED_VALUE"""),0.0)</f>
        <v>0</v>
      </c>
      <c r="L27" s="97" t="str">
        <f>IFERROR(__xludf.DUMMYFUNCTION("""COMPUTED_VALUE"""),"N/A")</f>
        <v>N/A</v>
      </c>
      <c r="M27" s="98" t="str">
        <f>IFERROR(__xludf.DUMMYFUNCTION("""COMPUTED_VALUE"""),"N/A")</f>
        <v>N/A</v>
      </c>
      <c r="N27" s="98" t="str">
        <f>IFERROR(__xludf.DUMMYFUNCTION("""COMPUTED_VALUE"""),"N/A")</f>
        <v>N/A</v>
      </c>
      <c r="O27" s="98" t="str">
        <f>IFERROR(__xludf.DUMMYFUNCTION("""COMPUTED_VALUE"""),"N/A")</f>
        <v>N/A</v>
      </c>
      <c r="P27" s="98" t="str">
        <f>IFERROR(__xludf.DUMMYFUNCTION("""COMPUTED_VALUE"""),"N/A")</f>
        <v>N/A</v>
      </c>
      <c r="Q27" s="98" t="str">
        <f>IFERROR(__xludf.DUMMYFUNCTION("""COMPUTED_VALUE"""),"N/A")</f>
        <v>N/A</v>
      </c>
      <c r="R27" s="98" t="str">
        <f>IFERROR(__xludf.DUMMYFUNCTION("""COMPUTED_VALUE"""),"N/A")</f>
        <v>N/A</v>
      </c>
      <c r="S27" s="98" t="str">
        <f>IFERROR(__xludf.DUMMYFUNCTION("""COMPUTED_VALUE"""),"N/A")</f>
        <v>N/A</v>
      </c>
      <c r="T27" s="97">
        <f>IFERROR(__xludf.DUMMYFUNCTION("""COMPUTED_VALUE"""),0.0)</f>
        <v>0</v>
      </c>
      <c r="U27" s="97" t="str">
        <f>IFERROR(__xludf.DUMMYFUNCTION("""COMPUTED_VALUE"""),"No Sessions")</f>
        <v>No Sessions</v>
      </c>
      <c r="V27" s="97">
        <f>IFERROR(__xludf.DUMMYFUNCTION("""COMPUTED_VALUE"""),0.0)</f>
        <v>0</v>
      </c>
      <c r="W27" s="97">
        <f>IFERROR(__xludf.DUMMYFUNCTION("""COMPUTED_VALUE"""),0.0)</f>
        <v>0</v>
      </c>
      <c r="X27" s="97">
        <f>IFERROR(__xludf.DUMMYFUNCTION("""COMPUTED_VALUE"""),0.0)</f>
        <v>0</v>
      </c>
      <c r="Y27" s="97">
        <f>IFERROR(__xludf.DUMMYFUNCTION("""COMPUTED_VALUE"""),0.0)</f>
        <v>0</v>
      </c>
      <c r="Z27" s="99" t="str">
        <f>IFERROR(__xludf.DUMMYFUNCTION("""COMPUTED_VALUE"""),"N/A")</f>
        <v>N/A</v>
      </c>
      <c r="AA27" s="99" t="str">
        <f>IFERROR(__xludf.DUMMYFUNCTION("""COMPUTED_VALUE"""),"N/A")</f>
        <v>N/A</v>
      </c>
      <c r="AB27" s="99" t="str">
        <f>IFERROR(__xludf.DUMMYFUNCTION("""COMPUTED_VALUE"""),"N/A")</f>
        <v>N/A</v>
      </c>
    </row>
    <row r="28">
      <c r="A28" s="95" t="str">
        <f>IFERROR(__xludf.DUMMYFUNCTION("""COMPUTED_VALUE"""),"TEA118")</f>
        <v>TEA118</v>
      </c>
      <c r="B28" s="101" t="str">
        <f>IFERROR(__xludf.DUMMYFUNCTION("""COMPUTED_VALUE"""),"Jehad Bayomy")</f>
        <v>Jehad Bayomy</v>
      </c>
      <c r="C28" s="95" t="str">
        <f>IFERROR(__xludf.DUMMYFUNCTION("""COMPUTED_VALUE"""),"""1u8BbOoB8E3AXsIYwuhlpwG8UqDm-genQ1MezibVXrh0""")</f>
        <v>"1u8BbOoB8E3AXsIYwuhlpwG8UqDm-genQ1MezibVXrh0"</v>
      </c>
      <c r="D28" s="100" t="str">
        <f>IFERROR(__xludf.DUMMYFUNCTION("importrange(C28,Sheet3!D$1)"),"No Sessions")</f>
        <v>No Sessions</v>
      </c>
      <c r="E28" s="97">
        <f>IFERROR(__xludf.DUMMYFUNCTION("""COMPUTED_VALUE"""),0.0)</f>
        <v>0</v>
      </c>
      <c r="F28" s="97">
        <f>IFERROR(__xludf.DUMMYFUNCTION("""COMPUTED_VALUE"""),0.0)</f>
        <v>0</v>
      </c>
      <c r="G28" s="97">
        <f>IFERROR(__xludf.DUMMYFUNCTION("""COMPUTED_VALUE"""),0.0)</f>
        <v>0</v>
      </c>
      <c r="H28" s="97">
        <f>IFERROR(__xludf.DUMMYFUNCTION("""COMPUTED_VALUE"""),0.0)</f>
        <v>0</v>
      </c>
      <c r="I28" s="97">
        <f>IFERROR(__xludf.DUMMYFUNCTION("""COMPUTED_VALUE"""),0.0)</f>
        <v>0</v>
      </c>
      <c r="J28" s="97">
        <f>IFERROR(__xludf.DUMMYFUNCTION("""COMPUTED_VALUE"""),0.0)</f>
        <v>0</v>
      </c>
      <c r="K28" s="97">
        <f>IFERROR(__xludf.DUMMYFUNCTION("""COMPUTED_VALUE"""),0.0)</f>
        <v>0</v>
      </c>
      <c r="L28" s="97" t="str">
        <f>IFERROR(__xludf.DUMMYFUNCTION("""COMPUTED_VALUE"""),"N/A")</f>
        <v>N/A</v>
      </c>
      <c r="M28" s="98" t="str">
        <f>IFERROR(__xludf.DUMMYFUNCTION("""COMPUTED_VALUE"""),"N/A")</f>
        <v>N/A</v>
      </c>
      <c r="N28" s="98" t="str">
        <f>IFERROR(__xludf.DUMMYFUNCTION("""COMPUTED_VALUE"""),"N/A")</f>
        <v>N/A</v>
      </c>
      <c r="O28" s="98" t="str">
        <f>IFERROR(__xludf.DUMMYFUNCTION("""COMPUTED_VALUE"""),"N/A")</f>
        <v>N/A</v>
      </c>
      <c r="P28" s="98" t="str">
        <f>IFERROR(__xludf.DUMMYFUNCTION("""COMPUTED_VALUE"""),"N/A")</f>
        <v>N/A</v>
      </c>
      <c r="Q28" s="98" t="str">
        <f>IFERROR(__xludf.DUMMYFUNCTION("""COMPUTED_VALUE"""),"N/A")</f>
        <v>N/A</v>
      </c>
      <c r="R28" s="98" t="str">
        <f>IFERROR(__xludf.DUMMYFUNCTION("""COMPUTED_VALUE"""),"N/A")</f>
        <v>N/A</v>
      </c>
      <c r="S28" s="98" t="str">
        <f>IFERROR(__xludf.DUMMYFUNCTION("""COMPUTED_VALUE"""),"N/A")</f>
        <v>N/A</v>
      </c>
      <c r="T28" s="97">
        <f>IFERROR(__xludf.DUMMYFUNCTION("""COMPUTED_VALUE"""),0.0)</f>
        <v>0</v>
      </c>
      <c r="U28" s="97" t="str">
        <f>IFERROR(__xludf.DUMMYFUNCTION("""COMPUTED_VALUE"""),"No Sessions")</f>
        <v>No Sessions</v>
      </c>
      <c r="V28" s="97">
        <f>IFERROR(__xludf.DUMMYFUNCTION("""COMPUTED_VALUE"""),0.0)</f>
        <v>0</v>
      </c>
      <c r="W28" s="97">
        <f>IFERROR(__xludf.DUMMYFUNCTION("""COMPUTED_VALUE"""),0.0)</f>
        <v>0</v>
      </c>
      <c r="X28" s="97">
        <f>IFERROR(__xludf.DUMMYFUNCTION("""COMPUTED_VALUE"""),0.0)</f>
        <v>0</v>
      </c>
      <c r="Y28" s="97">
        <f>IFERROR(__xludf.DUMMYFUNCTION("""COMPUTED_VALUE"""),0.0)</f>
        <v>0</v>
      </c>
      <c r="Z28" s="99" t="str">
        <f>IFERROR(__xludf.DUMMYFUNCTION("""COMPUTED_VALUE"""),"N/A")</f>
        <v>N/A</v>
      </c>
      <c r="AA28" s="99" t="str">
        <f>IFERROR(__xludf.DUMMYFUNCTION("""COMPUTED_VALUE"""),"N/A")</f>
        <v>N/A</v>
      </c>
      <c r="AB28" s="99" t="str">
        <f>IFERROR(__xludf.DUMMYFUNCTION("""COMPUTED_VALUE"""),"N/A")</f>
        <v>N/A</v>
      </c>
    </row>
    <row r="29">
      <c r="A29" s="95" t="str">
        <f>IFERROR(__xludf.DUMMYFUNCTION("""COMPUTED_VALUE"""),"TEA119")</f>
        <v>TEA119</v>
      </c>
      <c r="B29" s="101" t="str">
        <f>IFERROR(__xludf.DUMMYFUNCTION("""COMPUTED_VALUE"""),"Mohamed Hassan")</f>
        <v>Mohamed Hassan</v>
      </c>
      <c r="C29" s="95" t="str">
        <f>IFERROR(__xludf.DUMMYFUNCTION("""COMPUTED_VALUE"""),"""10zcZ2qSsmtNbF2-9xPSLqmLHo4k9Hr-uAn4eBBoGq5M""")</f>
        <v>"10zcZ2qSsmtNbF2-9xPSLqmLHo4k9Hr-uAn4eBBoGq5M"</v>
      </c>
      <c r="D29" s="100" t="str">
        <f>IFERROR(__xludf.DUMMYFUNCTION("importrange(C29,Sheet3!D$1)"),"No Sessions")</f>
        <v>No Sessions</v>
      </c>
      <c r="E29" s="97">
        <f>IFERROR(__xludf.DUMMYFUNCTION("""COMPUTED_VALUE"""),0.0)</f>
        <v>0</v>
      </c>
      <c r="F29" s="97">
        <f>IFERROR(__xludf.DUMMYFUNCTION("""COMPUTED_VALUE"""),0.0)</f>
        <v>0</v>
      </c>
      <c r="G29" s="97">
        <f>IFERROR(__xludf.DUMMYFUNCTION("""COMPUTED_VALUE"""),0.0)</f>
        <v>0</v>
      </c>
      <c r="H29" s="97">
        <f>IFERROR(__xludf.DUMMYFUNCTION("""COMPUTED_VALUE"""),0.0)</f>
        <v>0</v>
      </c>
      <c r="I29" s="97">
        <f>IFERROR(__xludf.DUMMYFUNCTION("""COMPUTED_VALUE"""),0.0)</f>
        <v>0</v>
      </c>
      <c r="J29" s="97">
        <f>IFERROR(__xludf.DUMMYFUNCTION("""COMPUTED_VALUE"""),0.0)</f>
        <v>0</v>
      </c>
      <c r="K29" s="97">
        <f>IFERROR(__xludf.DUMMYFUNCTION("""COMPUTED_VALUE"""),0.0)</f>
        <v>0</v>
      </c>
      <c r="L29" s="97" t="str">
        <f>IFERROR(__xludf.DUMMYFUNCTION("""COMPUTED_VALUE"""),"N/A")</f>
        <v>N/A</v>
      </c>
      <c r="M29" s="98" t="str">
        <f>IFERROR(__xludf.DUMMYFUNCTION("""COMPUTED_VALUE"""),"N/A")</f>
        <v>N/A</v>
      </c>
      <c r="N29" s="98" t="str">
        <f>IFERROR(__xludf.DUMMYFUNCTION("""COMPUTED_VALUE"""),"N/A")</f>
        <v>N/A</v>
      </c>
      <c r="O29" s="98" t="str">
        <f>IFERROR(__xludf.DUMMYFUNCTION("""COMPUTED_VALUE"""),"N/A")</f>
        <v>N/A</v>
      </c>
      <c r="P29" s="98" t="str">
        <f>IFERROR(__xludf.DUMMYFUNCTION("""COMPUTED_VALUE"""),"N/A")</f>
        <v>N/A</v>
      </c>
      <c r="Q29" s="98" t="str">
        <f>IFERROR(__xludf.DUMMYFUNCTION("""COMPUTED_VALUE"""),"N/A")</f>
        <v>N/A</v>
      </c>
      <c r="R29" s="98" t="str">
        <f>IFERROR(__xludf.DUMMYFUNCTION("""COMPUTED_VALUE"""),"N/A")</f>
        <v>N/A</v>
      </c>
      <c r="S29" s="98" t="str">
        <f>IFERROR(__xludf.DUMMYFUNCTION("""COMPUTED_VALUE"""),"N/A")</f>
        <v>N/A</v>
      </c>
      <c r="T29" s="97">
        <f>IFERROR(__xludf.DUMMYFUNCTION("""COMPUTED_VALUE"""),0.0)</f>
        <v>0</v>
      </c>
      <c r="U29" s="97" t="str">
        <f>IFERROR(__xludf.DUMMYFUNCTION("""COMPUTED_VALUE"""),"No Sessions")</f>
        <v>No Sessions</v>
      </c>
      <c r="V29" s="97">
        <f>IFERROR(__xludf.DUMMYFUNCTION("""COMPUTED_VALUE"""),0.0)</f>
        <v>0</v>
      </c>
      <c r="W29" s="97">
        <f>IFERROR(__xludf.DUMMYFUNCTION("""COMPUTED_VALUE"""),0.0)</f>
        <v>0</v>
      </c>
      <c r="X29" s="97">
        <f>IFERROR(__xludf.DUMMYFUNCTION("""COMPUTED_VALUE"""),0.0)</f>
        <v>0</v>
      </c>
      <c r="Y29" s="97">
        <f>IFERROR(__xludf.DUMMYFUNCTION("""COMPUTED_VALUE"""),0.0)</f>
        <v>0</v>
      </c>
      <c r="Z29" s="99" t="str">
        <f>IFERROR(__xludf.DUMMYFUNCTION("""COMPUTED_VALUE"""),"N/A")</f>
        <v>N/A</v>
      </c>
      <c r="AA29" s="99" t="str">
        <f>IFERROR(__xludf.DUMMYFUNCTION("""COMPUTED_VALUE"""),"N/A")</f>
        <v>N/A</v>
      </c>
      <c r="AB29" s="99" t="str">
        <f>IFERROR(__xludf.DUMMYFUNCTION("""COMPUTED_VALUE"""),"N/A")</f>
        <v>N/A</v>
      </c>
    </row>
    <row r="30">
      <c r="A30" s="95" t="str">
        <f>IFERROR(__xludf.DUMMYFUNCTION("""COMPUTED_VALUE"""),"TEA120")</f>
        <v>TEA120</v>
      </c>
      <c r="B30" s="101" t="str">
        <f>IFERROR(__xludf.DUMMYFUNCTION("""COMPUTED_VALUE"""),"Ola El Khatib")</f>
        <v>Ola El Khatib</v>
      </c>
      <c r="C30" s="95" t="str">
        <f>IFERROR(__xludf.DUMMYFUNCTION("""COMPUTED_VALUE"""),"""10vrgqW5pHbYiyCdW8LY4iHKz5s9cGOf57JoRg50Uog4""")</f>
        <v>"10vrgqW5pHbYiyCdW8LY4iHKz5s9cGOf57JoRg50Uog4"</v>
      </c>
      <c r="D30" s="100" t="str">
        <f>IFERROR(__xludf.DUMMYFUNCTION("importrange(C30,Sheet3!D$1)"),"No Sessions")</f>
        <v>No Sessions</v>
      </c>
      <c r="E30" s="97">
        <f>IFERROR(__xludf.DUMMYFUNCTION("""COMPUTED_VALUE"""),0.0)</f>
        <v>0</v>
      </c>
      <c r="F30" s="97">
        <f>IFERROR(__xludf.DUMMYFUNCTION("""COMPUTED_VALUE"""),0.0)</f>
        <v>0</v>
      </c>
      <c r="G30" s="97">
        <f>IFERROR(__xludf.DUMMYFUNCTION("""COMPUTED_VALUE"""),0.0)</f>
        <v>0</v>
      </c>
      <c r="H30" s="97">
        <f>IFERROR(__xludf.DUMMYFUNCTION("""COMPUTED_VALUE"""),0.0)</f>
        <v>0</v>
      </c>
      <c r="I30" s="97">
        <f>IFERROR(__xludf.DUMMYFUNCTION("""COMPUTED_VALUE"""),0.0)</f>
        <v>0</v>
      </c>
      <c r="J30" s="97">
        <f>IFERROR(__xludf.DUMMYFUNCTION("""COMPUTED_VALUE"""),0.0)</f>
        <v>0</v>
      </c>
      <c r="K30" s="97">
        <f>IFERROR(__xludf.DUMMYFUNCTION("""COMPUTED_VALUE"""),0.0)</f>
        <v>0</v>
      </c>
      <c r="L30" s="97" t="str">
        <f>IFERROR(__xludf.DUMMYFUNCTION("""COMPUTED_VALUE"""),"N/A")</f>
        <v>N/A</v>
      </c>
      <c r="M30" s="98" t="str">
        <f>IFERROR(__xludf.DUMMYFUNCTION("""COMPUTED_VALUE"""),"N/A")</f>
        <v>N/A</v>
      </c>
      <c r="N30" s="98" t="str">
        <f>IFERROR(__xludf.DUMMYFUNCTION("""COMPUTED_VALUE"""),"N/A")</f>
        <v>N/A</v>
      </c>
      <c r="O30" s="98" t="str">
        <f>IFERROR(__xludf.DUMMYFUNCTION("""COMPUTED_VALUE"""),"N/A")</f>
        <v>N/A</v>
      </c>
      <c r="P30" s="98" t="str">
        <f>IFERROR(__xludf.DUMMYFUNCTION("""COMPUTED_VALUE"""),"N/A")</f>
        <v>N/A</v>
      </c>
      <c r="Q30" s="98" t="str">
        <f>IFERROR(__xludf.DUMMYFUNCTION("""COMPUTED_VALUE"""),"N/A")</f>
        <v>N/A</v>
      </c>
      <c r="R30" s="98" t="str">
        <f>IFERROR(__xludf.DUMMYFUNCTION("""COMPUTED_VALUE"""),"N/A")</f>
        <v>N/A</v>
      </c>
      <c r="S30" s="98" t="str">
        <f>IFERROR(__xludf.DUMMYFUNCTION("""COMPUTED_VALUE"""),"N/A")</f>
        <v>N/A</v>
      </c>
      <c r="T30" s="97">
        <f>IFERROR(__xludf.DUMMYFUNCTION("""COMPUTED_VALUE"""),0.0)</f>
        <v>0</v>
      </c>
      <c r="U30" s="97" t="str">
        <f>IFERROR(__xludf.DUMMYFUNCTION("""COMPUTED_VALUE"""),"No Sessions")</f>
        <v>No Sessions</v>
      </c>
      <c r="V30" s="97">
        <f>IFERROR(__xludf.DUMMYFUNCTION("""COMPUTED_VALUE"""),0.0)</f>
        <v>0</v>
      </c>
      <c r="W30" s="97">
        <f>IFERROR(__xludf.DUMMYFUNCTION("""COMPUTED_VALUE"""),0.0)</f>
        <v>0</v>
      </c>
      <c r="X30" s="97">
        <f>IFERROR(__xludf.DUMMYFUNCTION("""COMPUTED_VALUE"""),0.0)</f>
        <v>0</v>
      </c>
      <c r="Y30" s="97">
        <f>IFERROR(__xludf.DUMMYFUNCTION("""COMPUTED_VALUE"""),0.0)</f>
        <v>0</v>
      </c>
      <c r="Z30" s="99" t="str">
        <f>IFERROR(__xludf.DUMMYFUNCTION("""COMPUTED_VALUE"""),"N/A")</f>
        <v>N/A</v>
      </c>
      <c r="AA30" s="99" t="str">
        <f>IFERROR(__xludf.DUMMYFUNCTION("""COMPUTED_VALUE"""),"N/A")</f>
        <v>N/A</v>
      </c>
      <c r="AB30" s="99" t="str">
        <f>IFERROR(__xludf.DUMMYFUNCTION("""COMPUTED_VALUE"""),"N/A")</f>
        <v>N/A</v>
      </c>
    </row>
    <row r="31">
      <c r="A31" s="95" t="str">
        <f>IFERROR(__xludf.DUMMYFUNCTION("""COMPUTED_VALUE"""),"TEA121")</f>
        <v>TEA121</v>
      </c>
      <c r="B31" s="101" t="str">
        <f>IFERROR(__xludf.DUMMYFUNCTION("""COMPUTED_VALUE"""),"Asmaa Samy")</f>
        <v>Asmaa Samy</v>
      </c>
      <c r="C31" s="95" t="str">
        <f>IFERROR(__xludf.DUMMYFUNCTION("""COMPUTED_VALUE"""),"""1376tnOhkFWq9ArcQ0OjnlfQ-DBoLsipLWBssIYenfFM""")</f>
        <v>"1376tnOhkFWq9ArcQ0OjnlfQ-DBoLsipLWBssIYenfFM"</v>
      </c>
      <c r="D31" s="100" t="str">
        <f>IFERROR(__xludf.DUMMYFUNCTION("importrange(C31,Sheet3!D$1)"),"No Sessions")</f>
        <v>No Sessions</v>
      </c>
      <c r="E31" s="97">
        <f>IFERROR(__xludf.DUMMYFUNCTION("""COMPUTED_VALUE"""),0.0)</f>
        <v>0</v>
      </c>
      <c r="F31" s="97">
        <f>IFERROR(__xludf.DUMMYFUNCTION("""COMPUTED_VALUE"""),0.0)</f>
        <v>0</v>
      </c>
      <c r="G31" s="97">
        <f>IFERROR(__xludf.DUMMYFUNCTION("""COMPUTED_VALUE"""),0.0)</f>
        <v>0</v>
      </c>
      <c r="H31" s="97">
        <f>IFERROR(__xludf.DUMMYFUNCTION("""COMPUTED_VALUE"""),0.0)</f>
        <v>0</v>
      </c>
      <c r="I31" s="97">
        <f>IFERROR(__xludf.DUMMYFUNCTION("""COMPUTED_VALUE"""),0.0)</f>
        <v>0</v>
      </c>
      <c r="J31" s="97">
        <f>IFERROR(__xludf.DUMMYFUNCTION("""COMPUTED_VALUE"""),0.0)</f>
        <v>0</v>
      </c>
      <c r="K31" s="97">
        <f>IFERROR(__xludf.DUMMYFUNCTION("""COMPUTED_VALUE"""),0.0)</f>
        <v>0</v>
      </c>
      <c r="L31" s="97" t="str">
        <f>IFERROR(__xludf.DUMMYFUNCTION("""COMPUTED_VALUE"""),"N/A")</f>
        <v>N/A</v>
      </c>
      <c r="M31" s="98" t="str">
        <f>IFERROR(__xludf.DUMMYFUNCTION("""COMPUTED_VALUE"""),"N/A")</f>
        <v>N/A</v>
      </c>
      <c r="N31" s="98" t="str">
        <f>IFERROR(__xludf.DUMMYFUNCTION("""COMPUTED_VALUE"""),"N/A")</f>
        <v>N/A</v>
      </c>
      <c r="O31" s="98" t="str">
        <f>IFERROR(__xludf.DUMMYFUNCTION("""COMPUTED_VALUE"""),"N/A")</f>
        <v>N/A</v>
      </c>
      <c r="P31" s="98" t="str">
        <f>IFERROR(__xludf.DUMMYFUNCTION("""COMPUTED_VALUE"""),"N/A")</f>
        <v>N/A</v>
      </c>
      <c r="Q31" s="98" t="str">
        <f>IFERROR(__xludf.DUMMYFUNCTION("""COMPUTED_VALUE"""),"N/A")</f>
        <v>N/A</v>
      </c>
      <c r="R31" s="98" t="str">
        <f>IFERROR(__xludf.DUMMYFUNCTION("""COMPUTED_VALUE"""),"N/A")</f>
        <v>N/A</v>
      </c>
      <c r="S31" s="98" t="str">
        <f>IFERROR(__xludf.DUMMYFUNCTION("""COMPUTED_VALUE"""),"N/A")</f>
        <v>N/A</v>
      </c>
      <c r="T31" s="97">
        <f>IFERROR(__xludf.DUMMYFUNCTION("""COMPUTED_VALUE"""),0.0)</f>
        <v>0</v>
      </c>
      <c r="U31" s="97" t="str">
        <f>IFERROR(__xludf.DUMMYFUNCTION("""COMPUTED_VALUE"""),"No Sessions")</f>
        <v>No Sessions</v>
      </c>
      <c r="V31" s="97">
        <f>IFERROR(__xludf.DUMMYFUNCTION("""COMPUTED_VALUE"""),0.0)</f>
        <v>0</v>
      </c>
      <c r="W31" s="97">
        <f>IFERROR(__xludf.DUMMYFUNCTION("""COMPUTED_VALUE"""),0.0)</f>
        <v>0</v>
      </c>
      <c r="X31" s="97">
        <f>IFERROR(__xludf.DUMMYFUNCTION("""COMPUTED_VALUE"""),0.0)</f>
        <v>0</v>
      </c>
      <c r="Y31" s="97">
        <f>IFERROR(__xludf.DUMMYFUNCTION("""COMPUTED_VALUE"""),0.0)</f>
        <v>0</v>
      </c>
      <c r="Z31" s="99" t="str">
        <f>IFERROR(__xludf.DUMMYFUNCTION("""COMPUTED_VALUE"""),"N/A")</f>
        <v>N/A</v>
      </c>
      <c r="AA31" s="99" t="str">
        <f>IFERROR(__xludf.DUMMYFUNCTION("""COMPUTED_VALUE"""),"N/A")</f>
        <v>N/A</v>
      </c>
      <c r="AB31" s="99" t="str">
        <f>IFERROR(__xludf.DUMMYFUNCTION("""COMPUTED_VALUE"""),"N/A")</f>
        <v>N/A</v>
      </c>
    </row>
    <row r="32">
      <c r="A32" s="95" t="str">
        <f>IFERROR(__xludf.DUMMYFUNCTION("""COMPUTED_VALUE"""),"TEA122")</f>
        <v>TEA122</v>
      </c>
      <c r="B32" s="102" t="str">
        <f>IFERROR(__xludf.DUMMYFUNCTION("""COMPUTED_VALUE"""),"Sondos Hassan")</f>
        <v>Sondos Hassan</v>
      </c>
      <c r="C32" s="95" t="str">
        <f>IFERROR(__xludf.DUMMYFUNCTION("""COMPUTED_VALUE"""),"""1541DEEmw7a7Mi2oawRmjdNil-0g2LBY80OQqEGh6tHQ""")</f>
        <v>"1541DEEmw7a7Mi2oawRmjdNil-0g2LBY80OQqEGh6tHQ"</v>
      </c>
      <c r="D32" s="100" t="str">
        <f>IFERROR(__xludf.DUMMYFUNCTION("importrange(C32,Sheet3!D$1)"),"No Sessions")</f>
        <v>No Sessions</v>
      </c>
      <c r="E32" s="97">
        <f>IFERROR(__xludf.DUMMYFUNCTION("""COMPUTED_VALUE"""),0.0)</f>
        <v>0</v>
      </c>
      <c r="F32" s="97">
        <f>IFERROR(__xludf.DUMMYFUNCTION("""COMPUTED_VALUE"""),0.0)</f>
        <v>0</v>
      </c>
      <c r="G32" s="97">
        <f>IFERROR(__xludf.DUMMYFUNCTION("""COMPUTED_VALUE"""),0.0)</f>
        <v>0</v>
      </c>
      <c r="H32" s="97">
        <f>IFERROR(__xludf.DUMMYFUNCTION("""COMPUTED_VALUE"""),0.0)</f>
        <v>0</v>
      </c>
      <c r="I32" s="97">
        <f>IFERROR(__xludf.DUMMYFUNCTION("""COMPUTED_VALUE"""),0.0)</f>
        <v>0</v>
      </c>
      <c r="J32" s="97">
        <f>IFERROR(__xludf.DUMMYFUNCTION("""COMPUTED_VALUE"""),0.0)</f>
        <v>0</v>
      </c>
      <c r="K32" s="97">
        <f>IFERROR(__xludf.DUMMYFUNCTION("""COMPUTED_VALUE"""),0.0)</f>
        <v>0</v>
      </c>
      <c r="L32" s="97" t="str">
        <f>IFERROR(__xludf.DUMMYFUNCTION("""COMPUTED_VALUE"""),"N/A")</f>
        <v>N/A</v>
      </c>
      <c r="M32" s="98" t="str">
        <f>IFERROR(__xludf.DUMMYFUNCTION("""COMPUTED_VALUE"""),"N/A")</f>
        <v>N/A</v>
      </c>
      <c r="N32" s="98" t="str">
        <f>IFERROR(__xludf.DUMMYFUNCTION("""COMPUTED_VALUE"""),"N/A")</f>
        <v>N/A</v>
      </c>
      <c r="O32" s="98" t="str">
        <f>IFERROR(__xludf.DUMMYFUNCTION("""COMPUTED_VALUE"""),"N/A")</f>
        <v>N/A</v>
      </c>
      <c r="P32" s="98" t="str">
        <f>IFERROR(__xludf.DUMMYFUNCTION("""COMPUTED_VALUE"""),"N/A")</f>
        <v>N/A</v>
      </c>
      <c r="Q32" s="98" t="str">
        <f>IFERROR(__xludf.DUMMYFUNCTION("""COMPUTED_VALUE"""),"N/A")</f>
        <v>N/A</v>
      </c>
      <c r="R32" s="98" t="str">
        <f>IFERROR(__xludf.DUMMYFUNCTION("""COMPUTED_VALUE"""),"N/A")</f>
        <v>N/A</v>
      </c>
      <c r="S32" s="98" t="str">
        <f>IFERROR(__xludf.DUMMYFUNCTION("""COMPUTED_VALUE"""),"N/A")</f>
        <v>N/A</v>
      </c>
      <c r="T32" s="97">
        <f>IFERROR(__xludf.DUMMYFUNCTION("""COMPUTED_VALUE"""),0.0)</f>
        <v>0</v>
      </c>
      <c r="U32" s="97" t="str">
        <f>IFERROR(__xludf.DUMMYFUNCTION("""COMPUTED_VALUE"""),"No Sessions")</f>
        <v>No Sessions</v>
      </c>
      <c r="V32" s="97">
        <f>IFERROR(__xludf.DUMMYFUNCTION("""COMPUTED_VALUE"""),0.0)</f>
        <v>0</v>
      </c>
      <c r="W32" s="97">
        <f>IFERROR(__xludf.DUMMYFUNCTION("""COMPUTED_VALUE"""),0.0)</f>
        <v>0</v>
      </c>
      <c r="X32" s="97">
        <f>IFERROR(__xludf.DUMMYFUNCTION("""COMPUTED_VALUE"""),0.0)</f>
        <v>0</v>
      </c>
      <c r="Y32" s="97">
        <f>IFERROR(__xludf.DUMMYFUNCTION("""COMPUTED_VALUE"""),0.0)</f>
        <v>0</v>
      </c>
      <c r="Z32" s="99" t="str">
        <f>IFERROR(__xludf.DUMMYFUNCTION("""COMPUTED_VALUE"""),"N/A")</f>
        <v>N/A</v>
      </c>
      <c r="AA32" s="99" t="str">
        <f>IFERROR(__xludf.DUMMYFUNCTION("""COMPUTED_VALUE"""),"N/A")</f>
        <v>N/A</v>
      </c>
      <c r="AB32" s="99" t="str">
        <f>IFERROR(__xludf.DUMMYFUNCTION("""COMPUTED_VALUE"""),"N/A")</f>
        <v>N/A</v>
      </c>
    </row>
    <row r="33">
      <c r="A33" s="95" t="str">
        <f>IFERROR(__xludf.DUMMYFUNCTION("""COMPUTED_VALUE"""),"TEA123")</f>
        <v>TEA123</v>
      </c>
      <c r="B33" s="101" t="str">
        <f>IFERROR(__xludf.DUMMYFUNCTION("""COMPUTED_VALUE"""),"Samar Ali")</f>
        <v>Samar Ali</v>
      </c>
      <c r="C33" s="95" t="str">
        <f>IFERROR(__xludf.DUMMYFUNCTION("""COMPUTED_VALUE"""),"""17Jy_fi34zb6jEX-Ih0aLhRVpMUz2UHLSlk7RaeDJV78""")</f>
        <v>"17Jy_fi34zb6jEX-Ih0aLhRVpMUz2UHLSlk7RaeDJV78"</v>
      </c>
      <c r="D33" s="100" t="str">
        <f>IFERROR(__xludf.DUMMYFUNCTION("importrange(C33,Sheet3!D$1)"),"No Sessions")</f>
        <v>No Sessions</v>
      </c>
      <c r="E33" s="97">
        <f>IFERROR(__xludf.DUMMYFUNCTION("""COMPUTED_VALUE"""),0.0)</f>
        <v>0</v>
      </c>
      <c r="F33" s="97">
        <f>IFERROR(__xludf.DUMMYFUNCTION("""COMPUTED_VALUE"""),0.0)</f>
        <v>0</v>
      </c>
      <c r="G33" s="97">
        <f>IFERROR(__xludf.DUMMYFUNCTION("""COMPUTED_VALUE"""),0.0)</f>
        <v>0</v>
      </c>
      <c r="H33" s="97">
        <f>IFERROR(__xludf.DUMMYFUNCTION("""COMPUTED_VALUE"""),0.0)</f>
        <v>0</v>
      </c>
      <c r="I33" s="97">
        <f>IFERROR(__xludf.DUMMYFUNCTION("""COMPUTED_VALUE"""),0.0)</f>
        <v>0</v>
      </c>
      <c r="J33" s="97">
        <f>IFERROR(__xludf.DUMMYFUNCTION("""COMPUTED_VALUE"""),0.0)</f>
        <v>0</v>
      </c>
      <c r="K33" s="97">
        <f>IFERROR(__xludf.DUMMYFUNCTION("""COMPUTED_VALUE"""),0.0)</f>
        <v>0</v>
      </c>
      <c r="L33" s="97" t="str">
        <f>IFERROR(__xludf.DUMMYFUNCTION("""COMPUTED_VALUE"""),"N/A")</f>
        <v>N/A</v>
      </c>
      <c r="M33" s="98" t="str">
        <f>IFERROR(__xludf.DUMMYFUNCTION("""COMPUTED_VALUE"""),"N/A")</f>
        <v>N/A</v>
      </c>
      <c r="N33" s="98" t="str">
        <f>IFERROR(__xludf.DUMMYFUNCTION("""COMPUTED_VALUE"""),"N/A")</f>
        <v>N/A</v>
      </c>
      <c r="O33" s="98" t="str">
        <f>IFERROR(__xludf.DUMMYFUNCTION("""COMPUTED_VALUE"""),"N/A")</f>
        <v>N/A</v>
      </c>
      <c r="P33" s="98" t="str">
        <f>IFERROR(__xludf.DUMMYFUNCTION("""COMPUTED_VALUE"""),"N/A")</f>
        <v>N/A</v>
      </c>
      <c r="Q33" s="98" t="str">
        <f>IFERROR(__xludf.DUMMYFUNCTION("""COMPUTED_VALUE"""),"N/A")</f>
        <v>N/A</v>
      </c>
      <c r="R33" s="98" t="str">
        <f>IFERROR(__xludf.DUMMYFUNCTION("""COMPUTED_VALUE"""),"N/A")</f>
        <v>N/A</v>
      </c>
      <c r="S33" s="98" t="str">
        <f>IFERROR(__xludf.DUMMYFUNCTION("""COMPUTED_VALUE"""),"N/A")</f>
        <v>N/A</v>
      </c>
      <c r="T33" s="97">
        <f>IFERROR(__xludf.DUMMYFUNCTION("""COMPUTED_VALUE"""),0.0)</f>
        <v>0</v>
      </c>
      <c r="U33" s="97" t="str">
        <f>IFERROR(__xludf.DUMMYFUNCTION("""COMPUTED_VALUE"""),"No Sessions")</f>
        <v>No Sessions</v>
      </c>
      <c r="V33" s="97">
        <f>IFERROR(__xludf.DUMMYFUNCTION("""COMPUTED_VALUE"""),0.0)</f>
        <v>0</v>
      </c>
      <c r="W33" s="97">
        <f>IFERROR(__xludf.DUMMYFUNCTION("""COMPUTED_VALUE"""),0.0)</f>
        <v>0</v>
      </c>
      <c r="X33" s="97">
        <f>IFERROR(__xludf.DUMMYFUNCTION("""COMPUTED_VALUE"""),0.0)</f>
        <v>0</v>
      </c>
      <c r="Y33" s="97">
        <f>IFERROR(__xludf.DUMMYFUNCTION("""COMPUTED_VALUE"""),0.0)</f>
        <v>0</v>
      </c>
      <c r="Z33" s="99" t="str">
        <f>IFERROR(__xludf.DUMMYFUNCTION("""COMPUTED_VALUE"""),"N/A")</f>
        <v>N/A</v>
      </c>
      <c r="AA33" s="99" t="str">
        <f>IFERROR(__xludf.DUMMYFUNCTION("""COMPUTED_VALUE"""),"N/A")</f>
        <v>N/A</v>
      </c>
      <c r="AB33" s="99" t="str">
        <f>IFERROR(__xludf.DUMMYFUNCTION("""COMPUTED_VALUE"""),"N/A")</f>
        <v>N/A</v>
      </c>
    </row>
    <row r="34">
      <c r="A34" s="95" t="str">
        <f>IFERROR(__xludf.DUMMYFUNCTION("""COMPUTED_VALUE"""),"TEA124")</f>
        <v>TEA124</v>
      </c>
      <c r="B34" s="101" t="str">
        <f>IFERROR(__xludf.DUMMYFUNCTION("""COMPUTED_VALUE"""),"Ali Kassem")</f>
        <v>Ali Kassem</v>
      </c>
      <c r="C34" s="95" t="str">
        <f>IFERROR(__xludf.DUMMYFUNCTION("""COMPUTED_VALUE"""),"""1pNOsOLytYsZUneoTLw7CCmFxHkhZJ5XZmnY0FVEVDzc""")</f>
        <v>"1pNOsOLytYsZUneoTLw7CCmFxHkhZJ5XZmnY0FVEVDzc"</v>
      </c>
      <c r="D34" s="100" t="str">
        <f>IFERROR(__xludf.DUMMYFUNCTION("importrange(C34,Sheet3!D$1)"),"No Sessions")</f>
        <v>No Sessions</v>
      </c>
      <c r="E34" s="97">
        <f>IFERROR(__xludf.DUMMYFUNCTION("""COMPUTED_VALUE"""),0.0)</f>
        <v>0</v>
      </c>
      <c r="F34" s="97">
        <f>IFERROR(__xludf.DUMMYFUNCTION("""COMPUTED_VALUE"""),0.0)</f>
        <v>0</v>
      </c>
      <c r="G34" s="97">
        <f>IFERROR(__xludf.DUMMYFUNCTION("""COMPUTED_VALUE"""),0.0)</f>
        <v>0</v>
      </c>
      <c r="H34" s="97">
        <f>IFERROR(__xludf.DUMMYFUNCTION("""COMPUTED_VALUE"""),0.0)</f>
        <v>0</v>
      </c>
      <c r="I34" s="97">
        <f>IFERROR(__xludf.DUMMYFUNCTION("""COMPUTED_VALUE"""),0.0)</f>
        <v>0</v>
      </c>
      <c r="J34" s="97">
        <f>IFERROR(__xludf.DUMMYFUNCTION("""COMPUTED_VALUE"""),0.0)</f>
        <v>0</v>
      </c>
      <c r="K34" s="97">
        <f>IFERROR(__xludf.DUMMYFUNCTION("""COMPUTED_VALUE"""),0.0)</f>
        <v>0</v>
      </c>
      <c r="L34" s="97" t="str">
        <f>IFERROR(__xludf.DUMMYFUNCTION("""COMPUTED_VALUE"""),"N/A")</f>
        <v>N/A</v>
      </c>
      <c r="M34" s="98" t="str">
        <f>IFERROR(__xludf.DUMMYFUNCTION("""COMPUTED_VALUE"""),"N/A")</f>
        <v>N/A</v>
      </c>
      <c r="N34" s="98" t="str">
        <f>IFERROR(__xludf.DUMMYFUNCTION("""COMPUTED_VALUE"""),"N/A")</f>
        <v>N/A</v>
      </c>
      <c r="O34" s="98" t="str">
        <f>IFERROR(__xludf.DUMMYFUNCTION("""COMPUTED_VALUE"""),"N/A")</f>
        <v>N/A</v>
      </c>
      <c r="P34" s="98" t="str">
        <f>IFERROR(__xludf.DUMMYFUNCTION("""COMPUTED_VALUE"""),"N/A")</f>
        <v>N/A</v>
      </c>
      <c r="Q34" s="98" t="str">
        <f>IFERROR(__xludf.DUMMYFUNCTION("""COMPUTED_VALUE"""),"N/A")</f>
        <v>N/A</v>
      </c>
      <c r="R34" s="98" t="str">
        <f>IFERROR(__xludf.DUMMYFUNCTION("""COMPUTED_VALUE"""),"N/A")</f>
        <v>N/A</v>
      </c>
      <c r="S34" s="98" t="str">
        <f>IFERROR(__xludf.DUMMYFUNCTION("""COMPUTED_VALUE"""),"N/A")</f>
        <v>N/A</v>
      </c>
      <c r="T34" s="97">
        <f>IFERROR(__xludf.DUMMYFUNCTION("""COMPUTED_VALUE"""),0.0)</f>
        <v>0</v>
      </c>
      <c r="U34" s="97" t="str">
        <f>IFERROR(__xludf.DUMMYFUNCTION("""COMPUTED_VALUE"""),"No Sessions")</f>
        <v>No Sessions</v>
      </c>
      <c r="V34" s="97">
        <f>IFERROR(__xludf.DUMMYFUNCTION("""COMPUTED_VALUE"""),0.0)</f>
        <v>0</v>
      </c>
      <c r="W34" s="97">
        <f>IFERROR(__xludf.DUMMYFUNCTION("""COMPUTED_VALUE"""),0.0)</f>
        <v>0</v>
      </c>
      <c r="X34" s="97">
        <f>IFERROR(__xludf.DUMMYFUNCTION("""COMPUTED_VALUE"""),0.0)</f>
        <v>0</v>
      </c>
      <c r="Y34" s="97">
        <f>IFERROR(__xludf.DUMMYFUNCTION("""COMPUTED_VALUE"""),0.0)</f>
        <v>0</v>
      </c>
      <c r="Z34" s="99" t="str">
        <f>IFERROR(__xludf.DUMMYFUNCTION("""COMPUTED_VALUE"""),"N/A")</f>
        <v>N/A</v>
      </c>
      <c r="AA34" s="99" t="str">
        <f>IFERROR(__xludf.DUMMYFUNCTION("""COMPUTED_VALUE"""),"N/A")</f>
        <v>N/A</v>
      </c>
      <c r="AB34" s="99" t="str">
        <f>IFERROR(__xludf.DUMMYFUNCTION("""COMPUTED_VALUE"""),"N/A")</f>
        <v>N/A</v>
      </c>
    </row>
    <row r="35">
      <c r="A35" s="95" t="str">
        <f>IFERROR(__xludf.DUMMYFUNCTION("""COMPUTED_VALUE"""),"TEA125")</f>
        <v>TEA125</v>
      </c>
      <c r="B35" s="102" t="str">
        <f>IFERROR(__xludf.DUMMYFUNCTION("""COMPUTED_VALUE"""),"Belal Desouky")</f>
        <v>Belal Desouky</v>
      </c>
      <c r="C35" s="95" t="str">
        <f>IFERROR(__xludf.DUMMYFUNCTION("""COMPUTED_VALUE"""),"""19v39Fl9kCiwORRnr6vSzDnDsC37aUboesDKbZw-aSE0""")</f>
        <v>"19v39Fl9kCiwORRnr6vSzDnDsC37aUboesDKbZw-aSE0"</v>
      </c>
      <c r="D35" s="100" t="str">
        <f>IFERROR(__xludf.DUMMYFUNCTION("importrange(C35,Sheet3!D$1)"),"No Sessions")</f>
        <v>No Sessions</v>
      </c>
      <c r="E35" s="97">
        <f>IFERROR(__xludf.DUMMYFUNCTION("""COMPUTED_VALUE"""),0.0)</f>
        <v>0</v>
      </c>
      <c r="F35" s="97">
        <f>IFERROR(__xludf.DUMMYFUNCTION("""COMPUTED_VALUE"""),0.0)</f>
        <v>0</v>
      </c>
      <c r="G35" s="97">
        <f>IFERROR(__xludf.DUMMYFUNCTION("""COMPUTED_VALUE"""),0.0)</f>
        <v>0</v>
      </c>
      <c r="H35" s="97">
        <f>IFERROR(__xludf.DUMMYFUNCTION("""COMPUTED_VALUE"""),0.0)</f>
        <v>0</v>
      </c>
      <c r="I35" s="97">
        <f>IFERROR(__xludf.DUMMYFUNCTION("""COMPUTED_VALUE"""),0.0)</f>
        <v>0</v>
      </c>
      <c r="J35" s="97">
        <f>IFERROR(__xludf.DUMMYFUNCTION("""COMPUTED_VALUE"""),0.0)</f>
        <v>0</v>
      </c>
      <c r="K35" s="97">
        <f>IFERROR(__xludf.DUMMYFUNCTION("""COMPUTED_VALUE"""),0.0)</f>
        <v>0</v>
      </c>
      <c r="L35" s="97" t="str">
        <f>IFERROR(__xludf.DUMMYFUNCTION("""COMPUTED_VALUE"""),"N/A")</f>
        <v>N/A</v>
      </c>
      <c r="M35" s="98" t="str">
        <f>IFERROR(__xludf.DUMMYFUNCTION("""COMPUTED_VALUE"""),"N/A")</f>
        <v>N/A</v>
      </c>
      <c r="N35" s="98" t="str">
        <f>IFERROR(__xludf.DUMMYFUNCTION("""COMPUTED_VALUE"""),"N/A")</f>
        <v>N/A</v>
      </c>
      <c r="O35" s="98" t="str">
        <f>IFERROR(__xludf.DUMMYFUNCTION("""COMPUTED_VALUE"""),"N/A")</f>
        <v>N/A</v>
      </c>
      <c r="P35" s="98" t="str">
        <f>IFERROR(__xludf.DUMMYFUNCTION("""COMPUTED_VALUE"""),"N/A")</f>
        <v>N/A</v>
      </c>
      <c r="Q35" s="98" t="str">
        <f>IFERROR(__xludf.DUMMYFUNCTION("""COMPUTED_VALUE"""),"N/A")</f>
        <v>N/A</v>
      </c>
      <c r="R35" s="98" t="str">
        <f>IFERROR(__xludf.DUMMYFUNCTION("""COMPUTED_VALUE"""),"N/A")</f>
        <v>N/A</v>
      </c>
      <c r="S35" s="98" t="str">
        <f>IFERROR(__xludf.DUMMYFUNCTION("""COMPUTED_VALUE"""),"N/A")</f>
        <v>N/A</v>
      </c>
      <c r="T35" s="97">
        <f>IFERROR(__xludf.DUMMYFUNCTION("""COMPUTED_VALUE"""),0.0)</f>
        <v>0</v>
      </c>
      <c r="U35" s="97" t="str">
        <f>IFERROR(__xludf.DUMMYFUNCTION("""COMPUTED_VALUE"""),"No Sessions")</f>
        <v>No Sessions</v>
      </c>
      <c r="V35" s="97">
        <f>IFERROR(__xludf.DUMMYFUNCTION("""COMPUTED_VALUE"""),0.0)</f>
        <v>0</v>
      </c>
      <c r="W35" s="97">
        <f>IFERROR(__xludf.DUMMYFUNCTION("""COMPUTED_VALUE"""),0.0)</f>
        <v>0</v>
      </c>
      <c r="X35" s="97">
        <f>IFERROR(__xludf.DUMMYFUNCTION("""COMPUTED_VALUE"""),0.0)</f>
        <v>0</v>
      </c>
      <c r="Y35" s="97">
        <f>IFERROR(__xludf.DUMMYFUNCTION("""COMPUTED_VALUE"""),0.0)</f>
        <v>0</v>
      </c>
      <c r="Z35" s="99" t="str">
        <f>IFERROR(__xludf.DUMMYFUNCTION("""COMPUTED_VALUE"""),"N/A")</f>
        <v>N/A</v>
      </c>
      <c r="AA35" s="99" t="str">
        <f>IFERROR(__xludf.DUMMYFUNCTION("""COMPUTED_VALUE"""),"N/A")</f>
        <v>N/A</v>
      </c>
      <c r="AB35" s="99" t="str">
        <f>IFERROR(__xludf.DUMMYFUNCTION("""COMPUTED_VALUE"""),"N/A")</f>
        <v>N/A</v>
      </c>
    </row>
    <row r="36">
      <c r="A36" s="95" t="str">
        <f>IFERROR(__xludf.DUMMYFUNCTION("""COMPUTED_VALUE"""),"TEA126")</f>
        <v>TEA126</v>
      </c>
      <c r="B36" s="102" t="str">
        <f>IFERROR(__xludf.DUMMYFUNCTION("""COMPUTED_VALUE"""),"Shaimaa Nabil")</f>
        <v>Shaimaa Nabil</v>
      </c>
      <c r="C36" s="95" t="str">
        <f>IFERROR(__xludf.DUMMYFUNCTION("""COMPUTED_VALUE"""),"""1QJRShdgwcjtiyWLiUGKVJQ43ZuOWVfSXUWqz4Y8qplE""")</f>
        <v>"1QJRShdgwcjtiyWLiUGKVJQ43ZuOWVfSXUWqz4Y8qplE"</v>
      </c>
      <c r="D36" s="100" t="str">
        <f>IFERROR(__xludf.DUMMYFUNCTION("importrange(C36,Sheet3!D$1)"),"No Sessions")</f>
        <v>No Sessions</v>
      </c>
      <c r="E36" s="97">
        <f>IFERROR(__xludf.DUMMYFUNCTION("""COMPUTED_VALUE"""),0.0)</f>
        <v>0</v>
      </c>
      <c r="F36" s="97">
        <f>IFERROR(__xludf.DUMMYFUNCTION("""COMPUTED_VALUE"""),0.0)</f>
        <v>0</v>
      </c>
      <c r="G36" s="97">
        <f>IFERROR(__xludf.DUMMYFUNCTION("""COMPUTED_VALUE"""),0.0)</f>
        <v>0</v>
      </c>
      <c r="H36" s="97">
        <f>IFERROR(__xludf.DUMMYFUNCTION("""COMPUTED_VALUE"""),0.0)</f>
        <v>0</v>
      </c>
      <c r="I36" s="97">
        <f>IFERROR(__xludf.DUMMYFUNCTION("""COMPUTED_VALUE"""),0.0)</f>
        <v>0</v>
      </c>
      <c r="J36" s="97">
        <f>IFERROR(__xludf.DUMMYFUNCTION("""COMPUTED_VALUE"""),0.0)</f>
        <v>0</v>
      </c>
      <c r="K36" s="97">
        <f>IFERROR(__xludf.DUMMYFUNCTION("""COMPUTED_VALUE"""),0.0)</f>
        <v>0</v>
      </c>
      <c r="L36" s="97" t="str">
        <f>IFERROR(__xludf.DUMMYFUNCTION("""COMPUTED_VALUE"""),"N/A")</f>
        <v>N/A</v>
      </c>
      <c r="M36" s="98" t="str">
        <f>IFERROR(__xludf.DUMMYFUNCTION("""COMPUTED_VALUE"""),"N/A")</f>
        <v>N/A</v>
      </c>
      <c r="N36" s="98" t="str">
        <f>IFERROR(__xludf.DUMMYFUNCTION("""COMPUTED_VALUE"""),"N/A")</f>
        <v>N/A</v>
      </c>
      <c r="O36" s="98" t="str">
        <f>IFERROR(__xludf.DUMMYFUNCTION("""COMPUTED_VALUE"""),"N/A")</f>
        <v>N/A</v>
      </c>
      <c r="P36" s="98" t="str">
        <f>IFERROR(__xludf.DUMMYFUNCTION("""COMPUTED_VALUE"""),"N/A")</f>
        <v>N/A</v>
      </c>
      <c r="Q36" s="98" t="str">
        <f>IFERROR(__xludf.DUMMYFUNCTION("""COMPUTED_VALUE"""),"N/A")</f>
        <v>N/A</v>
      </c>
      <c r="R36" s="98" t="str">
        <f>IFERROR(__xludf.DUMMYFUNCTION("""COMPUTED_VALUE"""),"N/A")</f>
        <v>N/A</v>
      </c>
      <c r="S36" s="98" t="str">
        <f>IFERROR(__xludf.DUMMYFUNCTION("""COMPUTED_VALUE"""),"N/A")</f>
        <v>N/A</v>
      </c>
      <c r="T36" s="97">
        <f>IFERROR(__xludf.DUMMYFUNCTION("""COMPUTED_VALUE"""),0.0)</f>
        <v>0</v>
      </c>
      <c r="U36" s="97" t="str">
        <f>IFERROR(__xludf.DUMMYFUNCTION("""COMPUTED_VALUE"""),"No Sessions")</f>
        <v>No Sessions</v>
      </c>
      <c r="V36" s="97">
        <f>IFERROR(__xludf.DUMMYFUNCTION("""COMPUTED_VALUE"""),0.0)</f>
        <v>0</v>
      </c>
      <c r="W36" s="97">
        <f>IFERROR(__xludf.DUMMYFUNCTION("""COMPUTED_VALUE"""),0.0)</f>
        <v>0</v>
      </c>
      <c r="X36" s="97">
        <f>IFERROR(__xludf.DUMMYFUNCTION("""COMPUTED_VALUE"""),0.0)</f>
        <v>0</v>
      </c>
      <c r="Y36" s="97">
        <f>IFERROR(__xludf.DUMMYFUNCTION("""COMPUTED_VALUE"""),0.0)</f>
        <v>0</v>
      </c>
      <c r="Z36" s="99" t="str">
        <f>IFERROR(__xludf.DUMMYFUNCTION("""COMPUTED_VALUE"""),"N/A")</f>
        <v>N/A</v>
      </c>
      <c r="AA36" s="99" t="str">
        <f>IFERROR(__xludf.DUMMYFUNCTION("""COMPUTED_VALUE"""),"N/A")</f>
        <v>N/A</v>
      </c>
      <c r="AB36" s="99" t="str">
        <f>IFERROR(__xludf.DUMMYFUNCTION("""COMPUTED_VALUE"""),"N/A")</f>
        <v>N/A</v>
      </c>
    </row>
    <row r="37">
      <c r="A37" s="95" t="str">
        <f>IFERROR(__xludf.DUMMYFUNCTION("""COMPUTED_VALUE"""),"TEA127")</f>
        <v>TEA127</v>
      </c>
      <c r="B37" s="102" t="str">
        <f>IFERROR(__xludf.DUMMYFUNCTION("""COMPUTED_VALUE"""),"Manal Saad El Deen")</f>
        <v>Manal Saad El Deen</v>
      </c>
      <c r="C37" s="95" t="str">
        <f>IFERROR(__xludf.DUMMYFUNCTION("""COMPUTED_VALUE"""),"""1BVxJJPRGc4ReMVtqAT0pNmK6ltf7MnlKMzldqE8hO4g""")</f>
        <v>"1BVxJJPRGc4ReMVtqAT0pNmK6ltf7MnlKMzldqE8hO4g"</v>
      </c>
      <c r="D37" s="100" t="str">
        <f>IFERROR(__xludf.DUMMYFUNCTION("importrange(C37,Sheet3!D$1)"),"No Sessions")</f>
        <v>No Sessions</v>
      </c>
      <c r="E37" s="97">
        <f>IFERROR(__xludf.DUMMYFUNCTION("""COMPUTED_VALUE"""),0.0)</f>
        <v>0</v>
      </c>
      <c r="F37" s="97">
        <f>IFERROR(__xludf.DUMMYFUNCTION("""COMPUTED_VALUE"""),0.0)</f>
        <v>0</v>
      </c>
      <c r="G37" s="97">
        <f>IFERROR(__xludf.DUMMYFUNCTION("""COMPUTED_VALUE"""),0.0)</f>
        <v>0</v>
      </c>
      <c r="H37" s="97">
        <f>IFERROR(__xludf.DUMMYFUNCTION("""COMPUTED_VALUE"""),0.0)</f>
        <v>0</v>
      </c>
      <c r="I37" s="97">
        <f>IFERROR(__xludf.DUMMYFUNCTION("""COMPUTED_VALUE"""),0.0)</f>
        <v>0</v>
      </c>
      <c r="J37" s="97">
        <f>IFERROR(__xludf.DUMMYFUNCTION("""COMPUTED_VALUE"""),0.0)</f>
        <v>0</v>
      </c>
      <c r="K37" s="97">
        <f>IFERROR(__xludf.DUMMYFUNCTION("""COMPUTED_VALUE"""),0.0)</f>
        <v>0</v>
      </c>
      <c r="L37" s="97" t="str">
        <f>IFERROR(__xludf.DUMMYFUNCTION("""COMPUTED_VALUE"""),"N/A")</f>
        <v>N/A</v>
      </c>
      <c r="M37" s="98" t="str">
        <f>IFERROR(__xludf.DUMMYFUNCTION("""COMPUTED_VALUE"""),"N/A")</f>
        <v>N/A</v>
      </c>
      <c r="N37" s="98" t="str">
        <f>IFERROR(__xludf.DUMMYFUNCTION("""COMPUTED_VALUE"""),"N/A")</f>
        <v>N/A</v>
      </c>
      <c r="O37" s="98" t="str">
        <f>IFERROR(__xludf.DUMMYFUNCTION("""COMPUTED_VALUE"""),"N/A")</f>
        <v>N/A</v>
      </c>
      <c r="P37" s="98" t="str">
        <f>IFERROR(__xludf.DUMMYFUNCTION("""COMPUTED_VALUE"""),"N/A")</f>
        <v>N/A</v>
      </c>
      <c r="Q37" s="98" t="str">
        <f>IFERROR(__xludf.DUMMYFUNCTION("""COMPUTED_VALUE"""),"N/A")</f>
        <v>N/A</v>
      </c>
      <c r="R37" s="98" t="str">
        <f>IFERROR(__xludf.DUMMYFUNCTION("""COMPUTED_VALUE"""),"N/A")</f>
        <v>N/A</v>
      </c>
      <c r="S37" s="98" t="str">
        <f>IFERROR(__xludf.DUMMYFUNCTION("""COMPUTED_VALUE"""),"N/A")</f>
        <v>N/A</v>
      </c>
      <c r="T37" s="97">
        <f>IFERROR(__xludf.DUMMYFUNCTION("""COMPUTED_VALUE"""),0.0)</f>
        <v>0</v>
      </c>
      <c r="U37" s="97" t="str">
        <f>IFERROR(__xludf.DUMMYFUNCTION("""COMPUTED_VALUE"""),"No Sessions")</f>
        <v>No Sessions</v>
      </c>
      <c r="V37" s="97">
        <f>IFERROR(__xludf.DUMMYFUNCTION("""COMPUTED_VALUE"""),0.0)</f>
        <v>0</v>
      </c>
      <c r="W37" s="97">
        <f>IFERROR(__xludf.DUMMYFUNCTION("""COMPUTED_VALUE"""),0.0)</f>
        <v>0</v>
      </c>
      <c r="X37" s="97">
        <f>IFERROR(__xludf.DUMMYFUNCTION("""COMPUTED_VALUE"""),0.0)</f>
        <v>0</v>
      </c>
      <c r="Y37" s="97">
        <f>IFERROR(__xludf.DUMMYFUNCTION("""COMPUTED_VALUE"""),0.0)</f>
        <v>0</v>
      </c>
      <c r="Z37" s="99" t="str">
        <f>IFERROR(__xludf.DUMMYFUNCTION("""COMPUTED_VALUE"""),"N/A")</f>
        <v>N/A</v>
      </c>
      <c r="AA37" s="99" t="str">
        <f>IFERROR(__xludf.DUMMYFUNCTION("""COMPUTED_VALUE"""),"N/A")</f>
        <v>N/A</v>
      </c>
      <c r="AB37" s="99" t="str">
        <f>IFERROR(__xludf.DUMMYFUNCTION("""COMPUTED_VALUE"""),"N/A")</f>
        <v>N/A</v>
      </c>
    </row>
    <row r="38">
      <c r="A38" s="95" t="str">
        <f>IFERROR(__xludf.DUMMYFUNCTION("""COMPUTED_VALUE"""),"TEA128")</f>
        <v>TEA128</v>
      </c>
      <c r="B38" s="102" t="str">
        <f>IFERROR(__xludf.DUMMYFUNCTION("""COMPUTED_VALUE"""),"Mustafa Bakr")</f>
        <v>Mustafa Bakr</v>
      </c>
      <c r="C38" s="95" t="str">
        <f>IFERROR(__xludf.DUMMYFUNCTION("""COMPUTED_VALUE"""),"""1KszLpoAn-AoKmoJaOgObEfhwwyq2K-ZFzg_1nm2D1wQ""")</f>
        <v>"1KszLpoAn-AoKmoJaOgObEfhwwyq2K-ZFzg_1nm2D1wQ"</v>
      </c>
      <c r="D38" s="100" t="str">
        <f>IFERROR(__xludf.DUMMYFUNCTION("importrange(C38,Sheet3!D$1)"),"No Sessions")</f>
        <v>No Sessions</v>
      </c>
      <c r="E38" s="97">
        <f>IFERROR(__xludf.DUMMYFUNCTION("""COMPUTED_VALUE"""),0.0)</f>
        <v>0</v>
      </c>
      <c r="F38" s="97">
        <f>IFERROR(__xludf.DUMMYFUNCTION("""COMPUTED_VALUE"""),0.0)</f>
        <v>0</v>
      </c>
      <c r="G38" s="97">
        <f>IFERROR(__xludf.DUMMYFUNCTION("""COMPUTED_VALUE"""),0.0)</f>
        <v>0</v>
      </c>
      <c r="H38" s="97">
        <f>IFERROR(__xludf.DUMMYFUNCTION("""COMPUTED_VALUE"""),0.0)</f>
        <v>0</v>
      </c>
      <c r="I38" s="97">
        <f>IFERROR(__xludf.DUMMYFUNCTION("""COMPUTED_VALUE"""),0.0)</f>
        <v>0</v>
      </c>
      <c r="J38" s="97">
        <f>IFERROR(__xludf.DUMMYFUNCTION("""COMPUTED_VALUE"""),0.0)</f>
        <v>0</v>
      </c>
      <c r="K38" s="97">
        <f>IFERROR(__xludf.DUMMYFUNCTION("""COMPUTED_VALUE"""),0.0)</f>
        <v>0</v>
      </c>
      <c r="L38" s="97" t="str">
        <f>IFERROR(__xludf.DUMMYFUNCTION("""COMPUTED_VALUE"""),"N/A")</f>
        <v>N/A</v>
      </c>
      <c r="M38" s="98" t="str">
        <f>IFERROR(__xludf.DUMMYFUNCTION("""COMPUTED_VALUE"""),"N/A")</f>
        <v>N/A</v>
      </c>
      <c r="N38" s="98" t="str">
        <f>IFERROR(__xludf.DUMMYFUNCTION("""COMPUTED_VALUE"""),"N/A")</f>
        <v>N/A</v>
      </c>
      <c r="O38" s="98" t="str">
        <f>IFERROR(__xludf.DUMMYFUNCTION("""COMPUTED_VALUE"""),"N/A")</f>
        <v>N/A</v>
      </c>
      <c r="P38" s="98" t="str">
        <f>IFERROR(__xludf.DUMMYFUNCTION("""COMPUTED_VALUE"""),"N/A")</f>
        <v>N/A</v>
      </c>
      <c r="Q38" s="98" t="str">
        <f>IFERROR(__xludf.DUMMYFUNCTION("""COMPUTED_VALUE"""),"N/A")</f>
        <v>N/A</v>
      </c>
      <c r="R38" s="98" t="str">
        <f>IFERROR(__xludf.DUMMYFUNCTION("""COMPUTED_VALUE"""),"N/A")</f>
        <v>N/A</v>
      </c>
      <c r="S38" s="98" t="str">
        <f>IFERROR(__xludf.DUMMYFUNCTION("""COMPUTED_VALUE"""),"N/A")</f>
        <v>N/A</v>
      </c>
      <c r="T38" s="97">
        <f>IFERROR(__xludf.DUMMYFUNCTION("""COMPUTED_VALUE"""),0.0)</f>
        <v>0</v>
      </c>
      <c r="U38" s="97" t="str">
        <f>IFERROR(__xludf.DUMMYFUNCTION("""COMPUTED_VALUE"""),"No Sessions")</f>
        <v>No Sessions</v>
      </c>
      <c r="V38" s="97">
        <f>IFERROR(__xludf.DUMMYFUNCTION("""COMPUTED_VALUE"""),0.0)</f>
        <v>0</v>
      </c>
      <c r="W38" s="97">
        <f>IFERROR(__xludf.DUMMYFUNCTION("""COMPUTED_VALUE"""),0.0)</f>
        <v>0</v>
      </c>
      <c r="X38" s="97">
        <f>IFERROR(__xludf.DUMMYFUNCTION("""COMPUTED_VALUE"""),0.0)</f>
        <v>0</v>
      </c>
      <c r="Y38" s="97">
        <f>IFERROR(__xludf.DUMMYFUNCTION("""COMPUTED_VALUE"""),0.0)</f>
        <v>0</v>
      </c>
      <c r="Z38" s="99" t="str">
        <f>IFERROR(__xludf.DUMMYFUNCTION("""COMPUTED_VALUE"""),"N/A")</f>
        <v>N/A</v>
      </c>
      <c r="AA38" s="99" t="str">
        <f>IFERROR(__xludf.DUMMYFUNCTION("""COMPUTED_VALUE"""),"N/A")</f>
        <v>N/A</v>
      </c>
      <c r="AB38" s="99" t="str">
        <f>IFERROR(__xludf.DUMMYFUNCTION("""COMPUTED_VALUE"""),"N/A")</f>
        <v>N/A</v>
      </c>
    </row>
    <row r="39">
      <c r="A39" s="95" t="str">
        <f>IFERROR(__xludf.DUMMYFUNCTION("""COMPUTED_VALUE"""),"TEA129")</f>
        <v>TEA129</v>
      </c>
      <c r="B39" s="102" t="str">
        <f>IFERROR(__xludf.DUMMYFUNCTION("""COMPUTED_VALUE"""),"Sara Abo Setta")</f>
        <v>Sara Abo Setta</v>
      </c>
      <c r="C39" s="95" t="str">
        <f>IFERROR(__xludf.DUMMYFUNCTION("""COMPUTED_VALUE"""),"""1lq2sfJLzVnesEIffdyYnaCW_445_5aMb14HNYnpTE9s""")</f>
        <v>"1lq2sfJLzVnesEIffdyYnaCW_445_5aMb14HNYnpTE9s"</v>
      </c>
      <c r="D39" s="100" t="str">
        <f>IFERROR(__xludf.DUMMYFUNCTION("importrange(C39,Sheet3!D$1)"),"#REF!")</f>
        <v>#REF!</v>
      </c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</row>
    <row r="40">
      <c r="A40" s="95"/>
      <c r="B40" s="102"/>
      <c r="C40" s="95"/>
      <c r="D40" s="100" t="str">
        <f>IFERROR(__xludf.DUMMYFUNCTION("importrange(C40,Sheet3!D$1)"),"#N/A")</f>
        <v>#N/A</v>
      </c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</row>
    <row r="41">
      <c r="A41" s="95"/>
      <c r="B41" s="102"/>
      <c r="C41" s="95"/>
      <c r="D41" s="100" t="str">
        <f>IFERROR(__xludf.DUMMYFUNCTION("importrange(C41,Sheet3!D$1)"),"#N/A")</f>
        <v>#N/A</v>
      </c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</row>
    <row r="42">
      <c r="A42" s="95"/>
      <c r="B42" s="102"/>
      <c r="C42" s="95"/>
      <c r="D42" s="100" t="str">
        <f>IFERROR(__xludf.DUMMYFUNCTION("importrange(C42,Sheet3!D$1)"),"#N/A")</f>
        <v>#N/A</v>
      </c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</row>
    <row r="43">
      <c r="A43" s="95"/>
      <c r="B43" s="102"/>
      <c r="C43" s="95"/>
      <c r="D43" s="100" t="str">
        <f>IFERROR(__xludf.DUMMYFUNCTION("importrange(C43,Sheet3!D$1)"),"#N/A")</f>
        <v>#N/A</v>
      </c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</row>
    <row r="44">
      <c r="A44" s="95"/>
      <c r="B44" s="102"/>
      <c r="C44" s="95"/>
      <c r="D44" s="100" t="str">
        <f>IFERROR(__xludf.DUMMYFUNCTION("importrange(C44,Sheet3!D$1)"),"#N/A")</f>
        <v>#N/A</v>
      </c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</row>
    <row r="45">
      <c r="A45" s="95"/>
      <c r="B45" s="102"/>
      <c r="C45" s="95"/>
      <c r="D45" s="100" t="str">
        <f>IFERROR(__xludf.DUMMYFUNCTION("importrange(C45,Sheet3!D$1)"),"#N/A")</f>
        <v>#N/A</v>
      </c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</row>
    <row r="46">
      <c r="A46" s="95"/>
      <c r="B46" s="102"/>
      <c r="C46" s="95"/>
      <c r="D46" s="100" t="str">
        <f>IFERROR(__xludf.DUMMYFUNCTION("importrange(C46,Sheet3!D$1)"),"#N/A")</f>
        <v>#N/A</v>
      </c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</row>
    <row r="47">
      <c r="A47" s="95"/>
      <c r="B47" s="102"/>
      <c r="C47" s="95"/>
      <c r="D47" s="100" t="str">
        <f>IFERROR(__xludf.DUMMYFUNCTION("importrange(C47,Sheet3!D$1)"),"#N/A")</f>
        <v>#N/A</v>
      </c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</row>
    <row r="48">
      <c r="A48" s="95"/>
      <c r="B48" s="102"/>
      <c r="C48" s="95"/>
      <c r="D48" s="100" t="str">
        <f>IFERROR(__xludf.DUMMYFUNCTION("importrange(C48,Sheet3!D$1)"),"#N/A")</f>
        <v>#N/A</v>
      </c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</row>
    <row r="49">
      <c r="A49" s="95"/>
      <c r="B49" s="95"/>
      <c r="C49" s="95"/>
      <c r="D49" s="100" t="str">
        <f>IFERROR(__xludf.DUMMYFUNCTION("importrange(C49,Sheet3!D$1)"),"#N/A")</f>
        <v>#N/A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</row>
    <row r="50">
      <c r="A50" s="95"/>
      <c r="B50" s="95"/>
      <c r="C50" s="95"/>
      <c r="D50" s="100" t="str">
        <f>IFERROR(__xludf.DUMMYFUNCTION("importrange(C50,Sheet3!D$1)"),"#N/A")</f>
        <v>#N/A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</row>
    <row r="51">
      <c r="A51" s="95"/>
      <c r="B51" s="95"/>
      <c r="C51" s="95"/>
      <c r="D51" s="100" t="str">
        <f>IFERROR(__xludf.DUMMYFUNCTION("importrange(C51,Sheet3!D$1)"),"#N/A")</f>
        <v>#N/A</v>
      </c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</row>
    <row r="52">
      <c r="A52" s="95"/>
      <c r="B52" s="95"/>
      <c r="C52" s="95"/>
      <c r="D52" s="100" t="str">
        <f>IFERROR(__xludf.DUMMYFUNCTION("importrange(C52,Sheet3!D$1)"),"#N/A")</f>
        <v>#N/A</v>
      </c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</row>
    <row r="53">
      <c r="A53" s="103"/>
      <c r="B53" s="103"/>
      <c r="C53" s="104"/>
      <c r="D53" s="100" t="str">
        <f>IFERROR(__xludf.DUMMYFUNCTION("importrange(C53,Sheet3!D$1)"),"#N/A")</f>
        <v>#N/A</v>
      </c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</row>
    <row r="54">
      <c r="A54" s="103"/>
      <c r="B54" s="103"/>
      <c r="C54" s="104"/>
      <c r="D54" s="100" t="str">
        <f>IFERROR(__xludf.DUMMYFUNCTION("importrange(C54,Sheet3!D$1)"),"#N/A")</f>
        <v>#N/A</v>
      </c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</row>
    <row r="55">
      <c r="A55" s="103"/>
      <c r="B55" s="103"/>
      <c r="C55" s="104"/>
      <c r="D55" s="100" t="str">
        <f>IFERROR(__xludf.DUMMYFUNCTION("importrange(C55,Sheet3!D$1)"),"#N/A")</f>
        <v>#N/A</v>
      </c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</row>
    <row r="56">
      <c r="A56" s="103"/>
      <c r="B56" s="103"/>
      <c r="C56" s="104"/>
      <c r="D56" s="100" t="str">
        <f>IFERROR(__xludf.DUMMYFUNCTION("importrange(C56,Sheet3!D$1)"),"#N/A")</f>
        <v>#N/A</v>
      </c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</row>
    <row r="57">
      <c r="A57" s="103"/>
      <c r="B57" s="103"/>
      <c r="C57" s="104"/>
      <c r="D57" s="100" t="str">
        <f>IFERROR(__xludf.DUMMYFUNCTION("importrange(C57,Sheet3!D$1)"),"#N/A")</f>
        <v>#N/A</v>
      </c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</row>
    <row r="58">
      <c r="A58" s="103"/>
      <c r="B58" s="103"/>
      <c r="C58" s="104"/>
      <c r="D58" s="100" t="str">
        <f>IFERROR(__xludf.DUMMYFUNCTION("importrange(C58,Sheet3!D$1)"),"#N/A")</f>
        <v>#N/A</v>
      </c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</row>
    <row r="59">
      <c r="A59" s="103"/>
      <c r="B59" s="103"/>
      <c r="C59" s="104"/>
      <c r="D59" s="100" t="str">
        <f>IFERROR(__xludf.DUMMYFUNCTION("importrange(C59,Sheet3!D$1)"),"#N/A")</f>
        <v>#N/A</v>
      </c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</row>
    <row r="60">
      <c r="A60" s="103"/>
      <c r="B60" s="103"/>
      <c r="C60" s="104"/>
      <c r="D60" s="100" t="str">
        <f>IFERROR(__xludf.DUMMYFUNCTION("importrange(C60,Sheet3!D$1)"),"#N/A")</f>
        <v>#N/A</v>
      </c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</row>
    <row r="61">
      <c r="A61" s="103"/>
      <c r="B61" s="103"/>
      <c r="C61" s="104"/>
      <c r="D61" s="100" t="str">
        <f>IFERROR(__xludf.DUMMYFUNCTION("importrange(C61,Sheet3!D$1)"),"#N/A")</f>
        <v>#N/A</v>
      </c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</row>
    <row r="62">
      <c r="A62" s="103"/>
      <c r="B62" s="103"/>
      <c r="C62" s="104"/>
      <c r="D62" s="100" t="str">
        <f>IFERROR(__xludf.DUMMYFUNCTION("importrange(C62,Sheet3!D$1)"),"#N/A")</f>
        <v>#N/A</v>
      </c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</row>
    <row r="63">
      <c r="A63" s="103"/>
      <c r="B63" s="103"/>
      <c r="C63" s="104"/>
      <c r="D63" s="100" t="str">
        <f>IFERROR(__xludf.DUMMYFUNCTION("importrange(C63,Sheet3!D$1)"),"#N/A")</f>
        <v>#N/A</v>
      </c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</row>
    <row r="64">
      <c r="A64" s="103"/>
      <c r="B64" s="103"/>
      <c r="C64" s="104"/>
      <c r="D64" s="100" t="str">
        <f>IFERROR(__xludf.DUMMYFUNCTION("importrange(C64,Sheet3!D$1)"),"#N/A")</f>
        <v>#N/A</v>
      </c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</row>
    <row r="65">
      <c r="A65" s="103"/>
      <c r="B65" s="103"/>
      <c r="C65" s="104"/>
      <c r="D65" s="100" t="str">
        <f>IFERROR(__xludf.DUMMYFUNCTION("importrange(C65,Sheet3!D$1)"),"#N/A")</f>
        <v>#N/A</v>
      </c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</row>
    <row r="66">
      <c r="A66" s="103"/>
      <c r="B66" s="103"/>
      <c r="C66" s="104"/>
      <c r="D66" s="100" t="str">
        <f>IFERROR(__xludf.DUMMYFUNCTION("importrange(C66,Sheet3!D$1)"),"#N/A")</f>
        <v>#N/A</v>
      </c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</row>
    <row r="67">
      <c r="A67" s="103"/>
      <c r="B67" s="105"/>
      <c r="C67" s="104"/>
      <c r="D67" s="100" t="str">
        <f>IFERROR(__xludf.DUMMYFUNCTION("importrange(C67,Sheet3!D$1)"),"#N/A")</f>
        <v>#N/A</v>
      </c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</row>
    <row r="68">
      <c r="A68" s="103"/>
      <c r="B68" s="103"/>
      <c r="C68" s="104"/>
      <c r="D68" s="100" t="str">
        <f>IFERROR(__xludf.DUMMYFUNCTION("importrange(C68,Sheet3!D$1)"),"#N/A")</f>
        <v>#N/A</v>
      </c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</row>
    <row r="69">
      <c r="A69" s="103"/>
      <c r="B69" s="103"/>
      <c r="C69" s="104"/>
      <c r="D69" s="100" t="str">
        <f>IFERROR(__xludf.DUMMYFUNCTION("importrange(C69,Sheet3!D$1)"),"#N/A")</f>
        <v>#N/A</v>
      </c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</row>
    <row r="70">
      <c r="A70" s="103"/>
      <c r="B70" s="103"/>
      <c r="C70" s="104"/>
      <c r="D70" s="100" t="str">
        <f>IFERROR(__xludf.DUMMYFUNCTION("importrange(C70,Sheet3!D$1)"),"#N/A")</f>
        <v>#N/A</v>
      </c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</row>
    <row r="71">
      <c r="A71" s="103"/>
      <c r="B71" s="103"/>
      <c r="C71" s="104"/>
      <c r="D71" s="100" t="str">
        <f>IFERROR(__xludf.DUMMYFUNCTION("importrange(C71,Sheet3!D$1)"),"#N/A")</f>
        <v>#N/A</v>
      </c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</row>
    <row r="72">
      <c r="A72" s="103"/>
      <c r="B72" s="103"/>
      <c r="C72" s="104"/>
      <c r="D72" s="100" t="str">
        <f>IFERROR(__xludf.DUMMYFUNCTION("importrange(C72,Sheet3!D$1)"),"#N/A")</f>
        <v>#N/A</v>
      </c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</row>
    <row r="73">
      <c r="A73" s="103"/>
      <c r="B73" s="103"/>
      <c r="C73" s="104"/>
      <c r="D73" s="100" t="str">
        <f>IFERROR(__xludf.DUMMYFUNCTION("importrange(C73,Sheet3!D$1)"),"#N/A")</f>
        <v>#N/A</v>
      </c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</row>
    <row r="74">
      <c r="A74" s="103"/>
      <c r="B74" s="106"/>
      <c r="C74" s="104"/>
      <c r="D74" s="100" t="str">
        <f>IFERROR(__xludf.DUMMYFUNCTION("importrange(C74,Sheet3!D$1)"),"#N/A")</f>
        <v>#N/A</v>
      </c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</row>
    <row r="75">
      <c r="A75" s="103"/>
      <c r="B75" s="103"/>
      <c r="C75" s="104"/>
      <c r="D75" s="100" t="str">
        <f>IFERROR(__xludf.DUMMYFUNCTION("importrange(C75,Sheet3!D$1)"),"#N/A")</f>
        <v>#N/A</v>
      </c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</row>
    <row r="76">
      <c r="A76" s="103"/>
      <c r="B76" s="103"/>
      <c r="C76" s="104"/>
      <c r="D76" s="100" t="str">
        <f>IFERROR(__xludf.DUMMYFUNCTION("importrange(C76,Sheet3!D$1)"),"#N/A")</f>
        <v>#N/A</v>
      </c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</row>
    <row r="77">
      <c r="A77" s="103"/>
      <c r="B77" s="103"/>
      <c r="C77" s="104"/>
      <c r="D77" s="100" t="str">
        <f>IFERROR(__xludf.DUMMYFUNCTION("importrange(C77,Sheet3!D$1)"),"#N/A")</f>
        <v>#N/A</v>
      </c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</row>
    <row r="78">
      <c r="A78" s="103"/>
      <c r="B78" s="107"/>
      <c r="C78" s="104"/>
      <c r="D78" s="100" t="str">
        <f>IFERROR(__xludf.DUMMYFUNCTION("importrange(C78,Sheet3!D$1)"),"#N/A")</f>
        <v>#N/A</v>
      </c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</row>
    <row r="79">
      <c r="A79" s="103"/>
      <c r="B79" s="107"/>
      <c r="C79" s="104"/>
      <c r="D79" s="100" t="str">
        <f>IFERROR(__xludf.DUMMYFUNCTION("importrange(C79,Sheet3!D$1)"),"#N/A")</f>
        <v>#N/A</v>
      </c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</row>
    <row r="80">
      <c r="A80" s="103"/>
      <c r="B80" s="103"/>
      <c r="C80" s="104"/>
      <c r="D80" s="100" t="str">
        <f>IFERROR(__xludf.DUMMYFUNCTION("importrange(C80,Sheet3!D$1)"),"#N/A")</f>
        <v>#N/A</v>
      </c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</row>
    <row r="81">
      <c r="A81" s="103"/>
      <c r="B81" s="103"/>
      <c r="C81" s="104"/>
      <c r="D81" s="100" t="str">
        <f>IFERROR(__xludf.DUMMYFUNCTION("importrange(C81,Sheet3!D$1)"),"#N/A")</f>
        <v>#N/A</v>
      </c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</row>
    <row r="82">
      <c r="A82" s="103"/>
      <c r="B82" s="103"/>
      <c r="C82" s="104"/>
      <c r="D82" s="100" t="str">
        <f>IFERROR(__xludf.DUMMYFUNCTION("importrange(C82,Sheet3!D$1)"),"#N/A")</f>
        <v>#N/A</v>
      </c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</row>
    <row r="83">
      <c r="A83" s="103"/>
      <c r="B83" s="104"/>
      <c r="C83" s="104"/>
      <c r="D83" s="100" t="str">
        <f>IFERROR(__xludf.DUMMYFUNCTION("importrange(C83,Sheet3!D$1)"),"#N/A")</f>
        <v>#N/A</v>
      </c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</row>
    <row r="84">
      <c r="A84" s="103"/>
      <c r="B84" s="107"/>
      <c r="C84" s="104"/>
      <c r="D84" s="100" t="str">
        <f>IFERROR(__xludf.DUMMYFUNCTION("importrange(C84,Sheet3!D$1)"),"#N/A")</f>
        <v>#N/A</v>
      </c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</row>
    <row r="85">
      <c r="A85" s="103"/>
      <c r="B85" s="103"/>
      <c r="C85" s="104"/>
      <c r="D85" s="100" t="str">
        <f>IFERROR(__xludf.DUMMYFUNCTION("importrange(C85,Sheet3!D$1)"),"#N/A")</f>
        <v>#N/A</v>
      </c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</row>
    <row r="86">
      <c r="A86" s="103"/>
      <c r="B86" s="107"/>
      <c r="C86" s="104"/>
      <c r="D86" s="100" t="str">
        <f>IFERROR(__xludf.DUMMYFUNCTION("importrange(C86,Sheet3!D$1)"),"#N/A")</f>
        <v>#N/A</v>
      </c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</row>
    <row r="87">
      <c r="A87" s="103"/>
      <c r="B87" s="107"/>
      <c r="C87" s="104"/>
      <c r="D87" s="100" t="str">
        <f>IFERROR(__xludf.DUMMYFUNCTION("importrange(C87,Sheet3!D$1)"),"#N/A")</f>
        <v>#N/A</v>
      </c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</row>
    <row r="88">
      <c r="A88" s="103"/>
      <c r="B88" s="107"/>
      <c r="C88" s="104"/>
      <c r="D88" s="100" t="str">
        <f>IFERROR(__xludf.DUMMYFUNCTION("importrange(C88,Sheet3!D$1)"),"#N/A")</f>
        <v>#N/A</v>
      </c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</row>
    <row r="89">
      <c r="A89" s="103"/>
      <c r="B89" s="107"/>
      <c r="C89" s="104"/>
      <c r="D89" s="100" t="str">
        <f>IFERROR(__xludf.DUMMYFUNCTION("importrange(C89,Sheet3!D$1)"),"#N/A")</f>
        <v>#N/A</v>
      </c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</row>
    <row r="90">
      <c r="A90" s="103"/>
      <c r="B90" s="107"/>
      <c r="C90" s="104"/>
      <c r="D90" s="100" t="str">
        <f>IFERROR(__xludf.DUMMYFUNCTION("importrange(C90,Sheet3!D$1)"),"#N/A")</f>
        <v>#N/A</v>
      </c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</row>
    <row r="91">
      <c r="A91" s="103"/>
      <c r="B91" s="103"/>
      <c r="C91" s="104"/>
      <c r="D91" s="100" t="str">
        <f>IFERROR(__xludf.DUMMYFUNCTION("importrange(C91,Sheet3!D$1)"),"#N/A")</f>
        <v>#N/A</v>
      </c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</row>
    <row r="92">
      <c r="A92" s="103"/>
      <c r="B92" s="103"/>
      <c r="C92" s="104"/>
      <c r="D92" s="100" t="str">
        <f>IFERROR(__xludf.DUMMYFUNCTION("importrange(C92,Sheet3!D$1)"),"#N/A")</f>
        <v>#N/A</v>
      </c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</row>
    <row r="93">
      <c r="A93" s="103"/>
      <c r="B93" s="103"/>
      <c r="C93" s="104"/>
      <c r="D93" s="100" t="str">
        <f>IFERROR(__xludf.DUMMYFUNCTION("importrange(C93,Sheet3!D$1)"),"#N/A")</f>
        <v>#N/A</v>
      </c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</row>
    <row r="94">
      <c r="A94" s="103"/>
      <c r="B94" s="107"/>
      <c r="C94" s="104"/>
      <c r="D94" s="100" t="str">
        <f>IFERROR(__xludf.DUMMYFUNCTION("importrange(C94,Sheet3!D$1)"),"#N/A")</f>
        <v>#N/A</v>
      </c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</row>
    <row r="95">
      <c r="A95" s="103"/>
      <c r="B95" s="107"/>
      <c r="C95" s="104"/>
      <c r="D95" s="100" t="str">
        <f>IFERROR(__xludf.DUMMYFUNCTION("importrange(C95,Sheet3!D$1)"),"#N/A")</f>
        <v>#N/A</v>
      </c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</row>
    <row r="96">
      <c r="A96" s="103"/>
      <c r="B96" s="103"/>
      <c r="C96" s="104"/>
      <c r="D96" s="100" t="str">
        <f>IFERROR(__xludf.DUMMYFUNCTION("importrange(C96,Sheet3!D$1)"),"#N/A")</f>
        <v>#N/A</v>
      </c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</row>
    <row r="97">
      <c r="A97" s="103"/>
      <c r="B97" s="106"/>
      <c r="C97" s="104"/>
      <c r="D97" s="100" t="str">
        <f>IFERROR(__xludf.DUMMYFUNCTION("importrange(C97,Sheet3!D$1)"),"#N/A")</f>
        <v>#N/A</v>
      </c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</row>
    <row r="98">
      <c r="A98" s="103"/>
      <c r="B98" s="103"/>
      <c r="C98" s="104"/>
      <c r="D98" s="100" t="str">
        <f>IFERROR(__xludf.DUMMYFUNCTION("importrange(C98,Sheet3!D$1)"),"#N/A")</f>
        <v>#N/A</v>
      </c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</row>
    <row r="99">
      <c r="A99" s="103"/>
      <c r="B99" s="107"/>
      <c r="C99" s="104"/>
      <c r="D99" s="100" t="str">
        <f>IFERROR(__xludf.DUMMYFUNCTION("importrange(C99,Sheet3!D$1)"),"#N/A")</f>
        <v>#N/A</v>
      </c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</row>
    <row r="100">
      <c r="A100" s="103"/>
      <c r="B100" s="103"/>
      <c r="C100" s="104"/>
      <c r="D100" s="100" t="str">
        <f>IFERROR(__xludf.DUMMYFUNCTION("importrange(C100,Sheet3!D$1)"),"#N/A")</f>
        <v>#N/A</v>
      </c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</row>
    <row r="101">
      <c r="A101" s="103"/>
      <c r="B101" s="103"/>
      <c r="C101" s="104"/>
      <c r="D101" s="100" t="str">
        <f>IFERROR(__xludf.DUMMYFUNCTION("importrange(C101,Sheet3!D$1)"),"#N/A")</f>
        <v>#N/A</v>
      </c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</row>
    <row r="102">
      <c r="A102" s="103"/>
      <c r="B102" s="103"/>
      <c r="C102" s="104"/>
      <c r="D102" s="100" t="str">
        <f>IFERROR(__xludf.DUMMYFUNCTION("importrange(C102,Sheet3!D$1)"),"#N/A")</f>
        <v>#N/A</v>
      </c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</row>
    <row r="103">
      <c r="A103" s="103"/>
      <c r="B103" s="107"/>
      <c r="C103" s="104"/>
      <c r="D103" s="100" t="str">
        <f>IFERROR(__xludf.DUMMYFUNCTION("importrange(C103,Sheet3!D$1)"),"#N/A")</f>
        <v>#N/A</v>
      </c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</row>
    <row r="104">
      <c r="A104" s="103"/>
      <c r="B104" s="103"/>
      <c r="C104" s="104"/>
      <c r="D104" s="100" t="str">
        <f>IFERROR(__xludf.DUMMYFUNCTION("importrange(C104,Sheet3!D$1)"),"#N/A")</f>
        <v>#N/A</v>
      </c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</row>
    <row r="105">
      <c r="A105" s="103"/>
      <c r="B105" s="106"/>
      <c r="C105" s="104"/>
      <c r="D105" s="100" t="str">
        <f>IFERROR(__xludf.DUMMYFUNCTION("importrange(C105,Sheet3!D$1)"),"#N/A")</f>
        <v>#N/A</v>
      </c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</row>
    <row r="106">
      <c r="A106" s="103"/>
      <c r="B106" s="107"/>
      <c r="C106" s="103"/>
      <c r="D106" s="100" t="str">
        <f>IFERROR(__xludf.DUMMYFUNCTION("importrange(C106,Sheet3!D$1)"),"#N/A")</f>
        <v>#N/A</v>
      </c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</row>
    <row r="107">
      <c r="A107" s="103"/>
      <c r="B107" s="104"/>
      <c r="C107" s="104"/>
      <c r="D107" s="100" t="str">
        <f>IFERROR(__xludf.DUMMYFUNCTION("importrange(C107,Sheet3!D$1)"),"#N/A")</f>
        <v>#N/A</v>
      </c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</row>
    <row r="108">
      <c r="A108" s="103"/>
      <c r="B108" s="107"/>
      <c r="C108" s="103"/>
      <c r="D108" s="100" t="str">
        <f>IFERROR(__xludf.DUMMYFUNCTION("importrange(C108,Sheet3!D$1)"),"#N/A")</f>
        <v>#N/A</v>
      </c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</row>
    <row r="109">
      <c r="A109" s="103"/>
      <c r="B109" s="107"/>
      <c r="C109" s="103"/>
      <c r="D109" s="100" t="str">
        <f>IFERROR(__xludf.DUMMYFUNCTION("importrange(C109,Sheet3!D$1)"),"#N/A")</f>
        <v>#N/A</v>
      </c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</row>
    <row r="110">
      <c r="A110" s="103"/>
      <c r="B110" s="107"/>
      <c r="C110" s="103"/>
      <c r="D110" s="100" t="str">
        <f>IFERROR(__xludf.DUMMYFUNCTION("importrange(C110,Sheet3!D$1)"),"#N/A")</f>
        <v>#N/A</v>
      </c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</row>
    <row r="111">
      <c r="A111" s="103"/>
      <c r="B111" s="107"/>
      <c r="C111" s="103"/>
      <c r="D111" s="100" t="str">
        <f>IFERROR(__xludf.DUMMYFUNCTION("importrange(C111,Sheet3!D$1)"),"#N/A")</f>
        <v>#N/A</v>
      </c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</row>
    <row r="112">
      <c r="A112" s="103"/>
      <c r="B112" s="107"/>
      <c r="C112" s="103"/>
      <c r="D112" s="100" t="str">
        <f>IFERROR(__xludf.DUMMYFUNCTION("importrange(C112,Sheet3!D$1)"),"#N/A")</f>
        <v>#N/A</v>
      </c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</row>
    <row r="113">
      <c r="A113" s="103"/>
      <c r="B113" s="103"/>
      <c r="C113" s="104"/>
      <c r="D113" s="100" t="str">
        <f>IFERROR(__xludf.DUMMYFUNCTION("importrange(C113,Sheet3!D$1)"),"#N/A")</f>
        <v>#N/A</v>
      </c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</row>
    <row r="114">
      <c r="A114" s="103"/>
      <c r="B114" s="103"/>
      <c r="C114" s="104"/>
      <c r="D114" s="100" t="str">
        <f>IFERROR(__xludf.DUMMYFUNCTION("importrange(C114,Sheet3!D$1)"),"#N/A")</f>
        <v>#N/A</v>
      </c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</row>
    <row r="115">
      <c r="A115" s="103"/>
      <c r="B115" s="107"/>
      <c r="C115" s="104"/>
      <c r="D115" s="100" t="str">
        <f>IFERROR(__xludf.DUMMYFUNCTION("importrange(C115,Sheet3!D$1)"),"#N/A")</f>
        <v>#N/A</v>
      </c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</row>
    <row r="116">
      <c r="A116" s="103"/>
      <c r="B116" s="103"/>
      <c r="C116" s="104"/>
      <c r="D116" s="100" t="str">
        <f>IFERROR(__xludf.DUMMYFUNCTION("importrange(C116,Sheet3!D$1)"),"#N/A")</f>
        <v>#N/A</v>
      </c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</row>
    <row r="117">
      <c r="A117" s="103"/>
      <c r="B117" s="107"/>
      <c r="C117" s="103"/>
      <c r="D117" s="100" t="str">
        <f>IFERROR(__xludf.DUMMYFUNCTION("importrange(C117,Sheet3!D$1)"),"#N/A")</f>
        <v>#N/A</v>
      </c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</row>
    <row r="118">
      <c r="A118" s="103"/>
      <c r="B118" s="107"/>
      <c r="C118" s="103"/>
      <c r="D118" s="100" t="str">
        <f>IFERROR(__xludf.DUMMYFUNCTION("importrange(C118,Sheet3!D$1)"),"#N/A")</f>
        <v>#N/A</v>
      </c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</row>
    <row r="119">
      <c r="A119" s="103"/>
      <c r="B119" s="107"/>
      <c r="C119" s="103"/>
      <c r="D119" s="100" t="str">
        <f>IFERROR(__xludf.DUMMYFUNCTION("importrange(C119,Sheet3!D$1)"),"#N/A")</f>
        <v>#N/A</v>
      </c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</row>
    <row r="120">
      <c r="A120" s="103"/>
      <c r="B120" s="107"/>
      <c r="C120" s="103"/>
      <c r="D120" s="100" t="str">
        <f>IFERROR(__xludf.DUMMYFUNCTION("importrange(C120,Sheet3!D$1)"),"#N/A")</f>
        <v>#N/A</v>
      </c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</row>
    <row r="121">
      <c r="A121" s="103"/>
      <c r="B121" s="107"/>
      <c r="C121" s="103"/>
      <c r="D121" s="100" t="str">
        <f>IFERROR(__xludf.DUMMYFUNCTION("importrange(C121,Sheet3!D$1)"),"#N/A")</f>
        <v>#N/A</v>
      </c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</row>
    <row r="122">
      <c r="A122" s="103"/>
      <c r="B122" s="103"/>
      <c r="C122" s="104"/>
      <c r="D122" s="100" t="str">
        <f>IFERROR(__xludf.DUMMYFUNCTION("importrange(C122,Sheet3!D$1)"),"#N/A")</f>
        <v>#N/A</v>
      </c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</row>
    <row r="123">
      <c r="A123" s="103"/>
      <c r="B123" s="107"/>
      <c r="C123" s="103"/>
      <c r="D123" s="100" t="str">
        <f>IFERROR(__xludf.DUMMYFUNCTION("importrange(C123,Sheet3!D$1)"),"#N/A")</f>
        <v>#N/A</v>
      </c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</row>
    <row r="124">
      <c r="A124" s="103"/>
      <c r="B124" s="103"/>
      <c r="C124" s="104"/>
      <c r="D124" s="100" t="str">
        <f>IFERROR(__xludf.DUMMYFUNCTION("importrange(C124,Sheet3!D$1)"),"#N/A")</f>
        <v>#N/A</v>
      </c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</row>
    <row r="125">
      <c r="A125" s="103"/>
      <c r="B125" s="107"/>
      <c r="C125" s="103"/>
      <c r="D125" s="100" t="str">
        <f>IFERROR(__xludf.DUMMYFUNCTION("importrange(C125,Sheet3!D$1)"),"#N/A")</f>
        <v>#N/A</v>
      </c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</row>
    <row r="126">
      <c r="A126" s="103"/>
      <c r="B126" s="107"/>
      <c r="C126" s="103"/>
      <c r="D126" s="100" t="str">
        <f>IFERROR(__xludf.DUMMYFUNCTION("importrange(C126,Sheet3!D$1)"),"#N/A")</f>
        <v>#N/A</v>
      </c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</row>
    <row r="127">
      <c r="A127" s="103"/>
      <c r="B127" s="107"/>
      <c r="C127" s="103"/>
      <c r="D127" s="100" t="str">
        <f>IFERROR(__xludf.DUMMYFUNCTION("importrange(C127,Sheet3!D$1)"),"#N/A")</f>
        <v>#N/A</v>
      </c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</row>
    <row r="128">
      <c r="A128" s="103"/>
      <c r="B128" s="107"/>
      <c r="C128" s="103"/>
      <c r="D128" s="100" t="str">
        <f>IFERROR(__xludf.DUMMYFUNCTION("importrange(C128,Sheet3!D$1)"),"#N/A")</f>
        <v>#N/A</v>
      </c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</row>
    <row r="129">
      <c r="A129" s="103"/>
      <c r="B129" s="107"/>
      <c r="C129" s="103"/>
      <c r="D129" s="100" t="str">
        <f>IFERROR(__xludf.DUMMYFUNCTION("importrange(C129,Sheet3!D$1)"),"#N/A")</f>
        <v>#N/A</v>
      </c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</row>
    <row r="130">
      <c r="A130" s="103"/>
      <c r="B130" s="107"/>
      <c r="C130" s="103"/>
      <c r="D130" s="100" t="str">
        <f>IFERROR(__xludf.DUMMYFUNCTION("importrange(C130,Sheet3!D$1)"),"#N/A")</f>
        <v>#N/A</v>
      </c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</row>
    <row r="131">
      <c r="A131" s="103"/>
      <c r="B131" s="107"/>
      <c r="C131" s="103"/>
      <c r="D131" s="100" t="str">
        <f>IFERROR(__xludf.DUMMYFUNCTION("importrange(C131,Sheet3!D$1)"),"#N/A")</f>
        <v>#N/A</v>
      </c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</row>
    <row r="132">
      <c r="A132" s="103"/>
      <c r="B132" s="103"/>
      <c r="C132" s="104"/>
      <c r="D132" s="100" t="str">
        <f>IFERROR(__xludf.DUMMYFUNCTION("importrange(C132,Sheet3!D$1)"),"#N/A")</f>
        <v>#N/A</v>
      </c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</row>
    <row r="133">
      <c r="A133" s="103"/>
      <c r="B133" s="107"/>
      <c r="C133" s="103"/>
      <c r="D133" s="100" t="str">
        <f>IFERROR(__xludf.DUMMYFUNCTION("importrange(C133,Sheet3!D$1)"),"#N/A")</f>
        <v>#N/A</v>
      </c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</row>
    <row r="134">
      <c r="A134" s="103"/>
      <c r="B134" s="108"/>
      <c r="C134" s="104"/>
      <c r="D134" s="100" t="str">
        <f>IFERROR(__xludf.DUMMYFUNCTION("importrange(C134,Sheet3!D$1)"),"#N/A")</f>
        <v>#N/A</v>
      </c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</row>
    <row r="135">
      <c r="A135" s="103"/>
      <c r="B135" s="103"/>
      <c r="C135" s="104"/>
      <c r="D135" s="100" t="str">
        <f>IFERROR(__xludf.DUMMYFUNCTION("importrange(C135,Sheet3!D$1)"),"#N/A")</f>
        <v>#N/A</v>
      </c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</row>
    <row r="136">
      <c r="A136" s="103"/>
      <c r="B136" s="103"/>
      <c r="C136" s="104"/>
      <c r="D136" s="100" t="str">
        <f>IFERROR(__xludf.DUMMYFUNCTION("importrange(C136,Sheet3!D$1)"),"#N/A")</f>
        <v>#N/A</v>
      </c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</row>
    <row r="137">
      <c r="A137" s="103"/>
      <c r="B137" s="107"/>
      <c r="C137" s="104"/>
      <c r="D137" s="100" t="str">
        <f>IFERROR(__xludf.DUMMYFUNCTION("importrange(C137,Sheet3!D$1)"),"#N/A")</f>
        <v>#N/A</v>
      </c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</row>
    <row r="138">
      <c r="A138" s="103"/>
      <c r="B138" s="106"/>
      <c r="C138" s="104"/>
      <c r="D138" s="100" t="str">
        <f>IFERROR(__xludf.DUMMYFUNCTION("importrange(C138,Sheet3!D$1)"),"#N/A")</f>
        <v>#N/A</v>
      </c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</row>
    <row r="139">
      <c r="A139" s="103"/>
      <c r="B139" s="107"/>
      <c r="C139" s="103"/>
      <c r="D139" s="100" t="str">
        <f>IFERROR(__xludf.DUMMYFUNCTION("importrange(C139,Sheet3!D$1)"),"#N/A")</f>
        <v>#N/A</v>
      </c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</row>
    <row r="140">
      <c r="A140" s="103"/>
      <c r="B140" s="103"/>
      <c r="C140" s="104"/>
      <c r="D140" s="100" t="str">
        <f>IFERROR(__xludf.DUMMYFUNCTION("importrange(C140,Sheet3!D$1)"),"#N/A")</f>
        <v>#N/A</v>
      </c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</row>
    <row r="141">
      <c r="A141" s="103"/>
      <c r="B141" s="103"/>
      <c r="C141" s="104"/>
      <c r="D141" s="100" t="str">
        <f>IFERROR(__xludf.DUMMYFUNCTION("importrange(C141,Sheet3!D$1)"),"#N/A")</f>
        <v>#N/A</v>
      </c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</row>
    <row r="142">
      <c r="A142" s="103"/>
      <c r="B142" s="107"/>
      <c r="C142" s="103"/>
      <c r="D142" s="100" t="str">
        <f>IFERROR(__xludf.DUMMYFUNCTION("importrange(C142,Sheet3!D$1)"),"#N/A")</f>
        <v>#N/A</v>
      </c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</row>
    <row r="143">
      <c r="A143" s="103"/>
      <c r="B143" s="107"/>
      <c r="C143" s="103"/>
      <c r="D143" s="100" t="str">
        <f>IFERROR(__xludf.DUMMYFUNCTION("importrange(C143,Sheet3!D$1)"),"#N/A")</f>
        <v>#N/A</v>
      </c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</row>
    <row r="144">
      <c r="A144" s="103"/>
      <c r="B144" s="107"/>
      <c r="C144" s="104"/>
      <c r="D144" s="100" t="str">
        <f>IFERROR(__xludf.DUMMYFUNCTION("importrange(C144,Sheet3!D$1)"),"#N/A")</f>
        <v>#N/A</v>
      </c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</row>
    <row r="145">
      <c r="A145" s="103"/>
      <c r="B145" s="103"/>
      <c r="C145" s="104"/>
      <c r="D145" s="100" t="str">
        <f>IFERROR(__xludf.DUMMYFUNCTION("importrange(C145,Sheet3!D$1)"),"#N/A")</f>
        <v>#N/A</v>
      </c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</row>
    <row r="146">
      <c r="A146" s="103"/>
      <c r="B146" s="103"/>
      <c r="C146" s="104"/>
      <c r="D146" s="100" t="str">
        <f>IFERROR(__xludf.DUMMYFUNCTION("importrange(C146,Sheet3!D$1)"),"#N/A")</f>
        <v>#N/A</v>
      </c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</row>
    <row r="147">
      <c r="A147" s="103"/>
      <c r="B147" s="103"/>
      <c r="C147" s="104"/>
      <c r="D147" s="100" t="str">
        <f>IFERROR(__xludf.DUMMYFUNCTION("importrange(C147,Sheet3!D$1)"),"#N/A")</f>
        <v>#N/A</v>
      </c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</row>
    <row r="148">
      <c r="A148" s="103"/>
      <c r="B148" s="109"/>
      <c r="C148" s="104"/>
      <c r="D148" s="100" t="str">
        <f>IFERROR(__xludf.DUMMYFUNCTION("importrange(C148,Sheet3!D$1)"),"#N/A")</f>
        <v>#N/A</v>
      </c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</row>
    <row r="149">
      <c r="A149" s="103"/>
      <c r="B149" s="107"/>
      <c r="C149" s="104"/>
      <c r="D149" s="100" t="str">
        <f>IFERROR(__xludf.DUMMYFUNCTION("importrange(C149,Sheet3!D$1)"),"#N/A")</f>
        <v>#N/A</v>
      </c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</row>
    <row r="150">
      <c r="A150" s="103"/>
      <c r="B150" s="103"/>
      <c r="C150" s="104"/>
      <c r="D150" s="100" t="str">
        <f>IFERROR(__xludf.DUMMYFUNCTION("importrange(C150,Sheet3!D$1)"),"#N/A")</f>
        <v>#N/A</v>
      </c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</row>
    <row r="151">
      <c r="A151" s="103"/>
      <c r="B151" s="103"/>
      <c r="C151" s="104"/>
      <c r="D151" s="100" t="str">
        <f>IFERROR(__xludf.DUMMYFUNCTION("importrange(C151,Sheet3!D$1)"),"#N/A")</f>
        <v>#N/A</v>
      </c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</row>
    <row r="152">
      <c r="A152" s="103"/>
      <c r="B152" s="103"/>
      <c r="C152" s="104"/>
      <c r="D152" s="100" t="str">
        <f>IFERROR(__xludf.DUMMYFUNCTION("importrange(C152,Sheet3!D$1)"),"#N/A")</f>
        <v>#N/A</v>
      </c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</row>
    <row r="153">
      <c r="A153" s="103"/>
      <c r="B153" s="103"/>
      <c r="C153" s="104"/>
      <c r="D153" s="100" t="str">
        <f>IFERROR(__xludf.DUMMYFUNCTION("importrange(C153,Sheet3!D$1)"),"#N/A")</f>
        <v>#N/A</v>
      </c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</row>
    <row r="154">
      <c r="A154" s="103"/>
      <c r="B154" s="106"/>
      <c r="C154" s="104"/>
      <c r="D154" s="100" t="str">
        <f>IFERROR(__xludf.DUMMYFUNCTION("importrange(C154,Sheet3!D$1)"),"#N/A")</f>
        <v>#N/A</v>
      </c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</row>
    <row r="155">
      <c r="A155" s="103"/>
      <c r="B155" s="103"/>
      <c r="C155" s="104"/>
      <c r="D155" s="100" t="str">
        <f>IFERROR(__xludf.DUMMYFUNCTION("importrange(C155,Sheet3!D$1)"),"#N/A")</f>
        <v>#N/A</v>
      </c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</row>
    <row r="156">
      <c r="A156" s="103"/>
      <c r="B156" s="103"/>
      <c r="C156" s="104"/>
      <c r="D156" s="100" t="str">
        <f>IFERROR(__xludf.DUMMYFUNCTION("importrange(C156,Sheet3!D$1)"),"#N/A")</f>
        <v>#N/A</v>
      </c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</row>
    <row r="157">
      <c r="A157" s="103"/>
      <c r="B157" s="103"/>
      <c r="C157" s="104"/>
      <c r="D157" s="100" t="str">
        <f>IFERROR(__xludf.DUMMYFUNCTION("importrange(C157,Sheet3!D$1)"),"#N/A")</f>
        <v>#N/A</v>
      </c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</row>
    <row r="158">
      <c r="A158" s="103"/>
      <c r="B158" s="103"/>
      <c r="C158" s="104"/>
      <c r="D158" s="100" t="str">
        <f>IFERROR(__xludf.DUMMYFUNCTION("importrange(C158,Sheet3!D$1)"),"#N/A")</f>
        <v>#N/A</v>
      </c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</row>
    <row r="159">
      <c r="A159" s="103"/>
      <c r="B159" s="103"/>
      <c r="C159" s="104"/>
      <c r="D159" s="100" t="str">
        <f>IFERROR(__xludf.DUMMYFUNCTION("importrange(C159,Sheet3!D$1)"),"#N/A")</f>
        <v>#N/A</v>
      </c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</row>
    <row r="160">
      <c r="A160" s="103"/>
      <c r="B160" s="106"/>
      <c r="C160" s="104"/>
      <c r="D160" s="100" t="str">
        <f>IFERROR(__xludf.DUMMYFUNCTION("importrange(C160,Sheet3!D$1)"),"#N/A")</f>
        <v>#N/A</v>
      </c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</row>
    <row r="161">
      <c r="A161" s="103"/>
      <c r="B161" s="103"/>
      <c r="C161" s="104"/>
      <c r="D161" s="100" t="str">
        <f>IFERROR(__xludf.DUMMYFUNCTION("importrange(C161,Sheet3!D$1)"),"#N/A")</f>
        <v>#N/A</v>
      </c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</row>
    <row r="162">
      <c r="A162" s="103"/>
      <c r="B162" s="103"/>
      <c r="C162" s="104"/>
      <c r="D162" s="100" t="str">
        <f>IFERROR(__xludf.DUMMYFUNCTION("importrange(C162,Sheet3!D$1)"),"#N/A")</f>
        <v>#N/A</v>
      </c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</row>
    <row r="163">
      <c r="A163" s="103"/>
      <c r="B163" s="103"/>
      <c r="C163" s="104"/>
      <c r="D163" s="100" t="str">
        <f>IFERROR(__xludf.DUMMYFUNCTION("importrange(C163,Sheet3!D$1)"),"#N/A")</f>
        <v>#N/A</v>
      </c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</row>
    <row r="164">
      <c r="A164" s="103"/>
      <c r="B164" s="103"/>
      <c r="C164" s="104"/>
      <c r="D164" s="100" t="str">
        <f>IFERROR(__xludf.DUMMYFUNCTION("importrange(C164,Sheet3!D$1)"),"#N/A")</f>
        <v>#N/A</v>
      </c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</row>
    <row r="165">
      <c r="A165" s="103"/>
      <c r="B165" s="103"/>
      <c r="C165" s="104"/>
      <c r="D165" s="100" t="str">
        <f>IFERROR(__xludf.DUMMYFUNCTION("importrange(C165,Sheet3!D$1)"),"#N/A")</f>
        <v>#N/A</v>
      </c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</row>
    <row r="166">
      <c r="A166" s="103"/>
      <c r="B166" s="110"/>
      <c r="C166" s="104"/>
      <c r="D166" s="100" t="str">
        <f>IFERROR(__xludf.DUMMYFUNCTION("importrange(C166,Sheet3!D$1)"),"#N/A")</f>
        <v>#N/A</v>
      </c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</row>
    <row r="167">
      <c r="A167" s="103"/>
      <c r="B167" s="107"/>
      <c r="C167" s="104"/>
      <c r="D167" s="100" t="str">
        <f>IFERROR(__xludf.DUMMYFUNCTION("importrange(C167,Sheet3!D$1)"),"#N/A")</f>
        <v>#N/A</v>
      </c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</row>
    <row r="168">
      <c r="A168" s="103"/>
      <c r="B168" s="107"/>
      <c r="C168" s="104"/>
      <c r="D168" s="100" t="str">
        <f>IFERROR(__xludf.DUMMYFUNCTION("importrange(C168,Sheet3!D$1)"),"#N/A")</f>
        <v>#N/A</v>
      </c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</row>
    <row r="169">
      <c r="A169" s="103"/>
      <c r="B169" s="103"/>
      <c r="C169" s="104"/>
      <c r="D169" s="100" t="str">
        <f>IFERROR(__xludf.DUMMYFUNCTION("importrange(C169,Sheet3!D$1)"),"#N/A")</f>
        <v>#N/A</v>
      </c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</row>
    <row r="170">
      <c r="A170" s="103"/>
      <c r="B170" s="103"/>
      <c r="C170" s="104"/>
      <c r="D170" s="100" t="str">
        <f>IFERROR(__xludf.DUMMYFUNCTION("importrange(C170,Sheet3!D$1)"),"#N/A")</f>
        <v>#N/A</v>
      </c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</row>
    <row r="171">
      <c r="A171" s="103"/>
      <c r="B171" s="103"/>
      <c r="C171" s="104"/>
      <c r="D171" s="100" t="str">
        <f>IFERROR(__xludf.DUMMYFUNCTION("importrange(C171,Sheet3!D$1)"),"#N/A")</f>
        <v>#N/A</v>
      </c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</row>
    <row r="172">
      <c r="A172" s="103"/>
      <c r="B172" s="103"/>
      <c r="C172" s="104"/>
      <c r="D172" s="100" t="str">
        <f>IFERROR(__xludf.DUMMYFUNCTION("importrange(C172,Sheet3!D$1)"),"#N/A")</f>
        <v>#N/A</v>
      </c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</row>
    <row r="173">
      <c r="A173" s="103"/>
      <c r="B173" s="107"/>
      <c r="C173" s="104"/>
      <c r="D173" s="100" t="str">
        <f>IFERROR(__xludf.DUMMYFUNCTION("importrange(C173,Sheet3!D$1)"),"#N/A")</f>
        <v>#N/A</v>
      </c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</row>
    <row r="174">
      <c r="A174" s="103"/>
      <c r="B174" s="103"/>
      <c r="C174" s="104"/>
      <c r="D174" s="100" t="str">
        <f>IFERROR(__xludf.DUMMYFUNCTION("importrange(C174,Sheet3!D$1)"),"#N/A")</f>
        <v>#N/A</v>
      </c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</row>
    <row r="175">
      <c r="A175" s="103"/>
      <c r="B175" s="107"/>
      <c r="C175" s="104"/>
      <c r="D175" s="100" t="str">
        <f>IFERROR(__xludf.DUMMYFUNCTION("importrange(C175,Sheet3!D$1)"),"#N/A")</f>
        <v>#N/A</v>
      </c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</row>
    <row r="176">
      <c r="A176" s="103"/>
      <c r="B176" s="107"/>
      <c r="C176" s="104"/>
      <c r="D176" s="100" t="str">
        <f>IFERROR(__xludf.DUMMYFUNCTION("importrange(C176,Sheet3!D$1)"),"#N/A")</f>
        <v>#N/A</v>
      </c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</row>
    <row r="177">
      <c r="A177" s="103"/>
      <c r="B177" s="103"/>
      <c r="C177" s="104"/>
      <c r="D177" s="100" t="str">
        <f>IFERROR(__xludf.DUMMYFUNCTION("importrange(C177,Sheet3!D$1)"),"#N/A")</f>
        <v>#N/A</v>
      </c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</row>
    <row r="178">
      <c r="A178" s="103"/>
      <c r="B178" s="107"/>
      <c r="C178" s="104"/>
      <c r="D178" s="100" t="str">
        <f>IFERROR(__xludf.DUMMYFUNCTION("importrange(C178,Sheet3!D$1)"),"#N/A")</f>
        <v>#N/A</v>
      </c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</row>
    <row r="179">
      <c r="A179" s="103"/>
      <c r="B179" s="106"/>
      <c r="C179" s="104"/>
      <c r="D179" s="100" t="str">
        <f>IFERROR(__xludf.DUMMYFUNCTION("importrange(C179,Sheet3!D$1)"),"#N/A")</f>
        <v>#N/A</v>
      </c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</row>
    <row r="180">
      <c r="A180" s="103"/>
      <c r="B180" s="107"/>
      <c r="C180" s="104"/>
      <c r="D180" s="100" t="str">
        <f>IFERROR(__xludf.DUMMYFUNCTION("importrange(C180,Sheet3!D$1)"),"#N/A")</f>
        <v>#N/A</v>
      </c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</row>
    <row r="181">
      <c r="A181" s="103"/>
      <c r="B181" s="107"/>
      <c r="C181" s="104"/>
      <c r="D181" s="100" t="str">
        <f>IFERROR(__xludf.DUMMYFUNCTION("importrange(C181,Sheet3!D$1)"),"#N/A")</f>
        <v>#N/A</v>
      </c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</row>
    <row r="182">
      <c r="A182" s="103"/>
      <c r="B182" s="106"/>
      <c r="C182" s="104"/>
      <c r="D182" s="100" t="str">
        <f>IFERROR(__xludf.DUMMYFUNCTION("importrange(C182,Sheet3!D$1)"),"#N/A")</f>
        <v>#N/A</v>
      </c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</row>
    <row r="183">
      <c r="A183" s="103"/>
      <c r="B183" s="103"/>
      <c r="C183" s="104"/>
      <c r="D183" s="100" t="str">
        <f>IFERROR(__xludf.DUMMYFUNCTION("importrange(C183,Sheet3!D$1)"),"#N/A")</f>
        <v>#N/A</v>
      </c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</row>
    <row r="184">
      <c r="A184" s="103"/>
      <c r="B184" s="106"/>
      <c r="C184" s="104"/>
      <c r="D184" s="100" t="str">
        <f>IFERROR(__xludf.DUMMYFUNCTION("importrange(C184,Sheet3!D$1)"),"#N/A")</f>
        <v>#N/A</v>
      </c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</row>
    <row r="185">
      <c r="A185" s="103"/>
      <c r="B185" s="107"/>
      <c r="C185" s="103"/>
      <c r="D185" s="100" t="str">
        <f>IFERROR(__xludf.DUMMYFUNCTION("importrange(C185,Sheet3!D$1)"),"#N/A")</f>
        <v>#N/A</v>
      </c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</row>
    <row r="186">
      <c r="A186" s="103"/>
      <c r="B186" s="107"/>
      <c r="C186" s="103"/>
      <c r="D186" s="100" t="str">
        <f>IFERROR(__xludf.DUMMYFUNCTION("importrange(C186,Sheet3!D$1)"),"#N/A")</f>
        <v>#N/A</v>
      </c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</row>
    <row r="187">
      <c r="A187" s="103"/>
      <c r="B187" s="107"/>
      <c r="C187" s="103"/>
      <c r="D187" s="100" t="str">
        <f>IFERROR(__xludf.DUMMYFUNCTION("importrange(C187,Sheet3!D$1)"),"#N/A")</f>
        <v>#N/A</v>
      </c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</row>
    <row r="188">
      <c r="A188" s="103"/>
      <c r="B188" s="103"/>
      <c r="C188" s="104"/>
      <c r="D188" s="100" t="str">
        <f>IFERROR(__xludf.DUMMYFUNCTION("importrange(C188,Sheet3!D$1)"),"#N/A")</f>
        <v>#N/A</v>
      </c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</row>
    <row r="189">
      <c r="A189" s="103"/>
      <c r="B189" s="107"/>
      <c r="C189" s="103"/>
      <c r="D189" s="100" t="str">
        <f>IFERROR(__xludf.DUMMYFUNCTION("importrange(C189,Sheet3!D$1)"),"#N/A")</f>
        <v>#N/A</v>
      </c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</row>
    <row r="190">
      <c r="A190" s="103"/>
      <c r="B190" s="103"/>
      <c r="C190" s="104"/>
      <c r="D190" s="100" t="str">
        <f>IFERROR(__xludf.DUMMYFUNCTION("importrange(C190,Sheet3!D$1)"),"#N/A")</f>
        <v>#N/A</v>
      </c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</row>
    <row r="191">
      <c r="A191" s="103"/>
      <c r="B191" s="103"/>
      <c r="C191" s="104"/>
      <c r="D191" s="100" t="str">
        <f>IFERROR(__xludf.DUMMYFUNCTION("importrange(C191,Sheet3!D$1)"),"#N/A")</f>
        <v>#N/A</v>
      </c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</row>
    <row r="192">
      <c r="A192" s="103"/>
      <c r="B192" s="103"/>
      <c r="C192" s="104"/>
      <c r="D192" s="100" t="str">
        <f>IFERROR(__xludf.DUMMYFUNCTION("importrange(C192,Sheet3!D$1)"),"#N/A")</f>
        <v>#N/A</v>
      </c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</row>
    <row r="193">
      <c r="A193" s="103"/>
      <c r="B193" s="103"/>
      <c r="C193" s="104"/>
      <c r="D193" s="100" t="str">
        <f>IFERROR(__xludf.DUMMYFUNCTION("importrange(C193,Sheet3!D$1)"),"#N/A")</f>
        <v>#N/A</v>
      </c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</row>
    <row r="194">
      <c r="A194" s="103"/>
      <c r="B194" s="107"/>
      <c r="C194" s="103"/>
      <c r="D194" s="100" t="str">
        <f>IFERROR(__xludf.DUMMYFUNCTION("importrange(C194,Sheet3!D$1)"),"#N/A")</f>
        <v>#N/A</v>
      </c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</row>
    <row r="195">
      <c r="A195" s="103"/>
      <c r="B195" s="106"/>
      <c r="C195" s="104"/>
      <c r="D195" s="100" t="str">
        <f>IFERROR(__xludf.DUMMYFUNCTION("importrange(C195,Sheet3!D$1)"),"#N/A")</f>
        <v>#N/A</v>
      </c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</row>
    <row r="196">
      <c r="A196" s="103"/>
      <c r="B196" s="103"/>
      <c r="C196" s="104"/>
      <c r="D196" s="100" t="str">
        <f>IFERROR(__xludf.DUMMYFUNCTION("importrange(C196,Sheet3!D$1)"),"#N/A")</f>
        <v>#N/A</v>
      </c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</row>
    <row r="197">
      <c r="A197" s="103"/>
      <c r="B197" s="103"/>
      <c r="C197" s="104"/>
      <c r="D197" s="100" t="str">
        <f>IFERROR(__xludf.DUMMYFUNCTION("importrange(C197,Sheet3!D$1)"),"#N/A")</f>
        <v>#N/A</v>
      </c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</row>
    <row r="198">
      <c r="A198" s="103"/>
      <c r="B198" s="103"/>
      <c r="C198" s="104"/>
      <c r="D198" s="100" t="str">
        <f>IFERROR(__xludf.DUMMYFUNCTION("importrange(C198,Sheet3!D$1)"),"#N/A")</f>
        <v>#N/A</v>
      </c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</row>
    <row r="199">
      <c r="A199" s="103"/>
      <c r="B199" s="103"/>
      <c r="C199" s="104"/>
      <c r="D199" s="100" t="str">
        <f>IFERROR(__xludf.DUMMYFUNCTION("importrange(C199,Sheet3!D$1)"),"#N/A")</f>
        <v>#N/A</v>
      </c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</row>
    <row r="200">
      <c r="A200" s="103"/>
      <c r="B200" s="103"/>
      <c r="C200" s="104"/>
      <c r="D200" s="100" t="str">
        <f>IFERROR(__xludf.DUMMYFUNCTION("importrange(C200,Sheet3!D$1)"),"#N/A")</f>
        <v>#N/A</v>
      </c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</row>
    <row r="201">
      <c r="A201" s="103"/>
      <c r="B201" s="103"/>
      <c r="C201" s="104"/>
      <c r="D201" s="100" t="str">
        <f>IFERROR(__xludf.DUMMYFUNCTION("importrange(C201,Sheet3!D$1)"),"#N/A")</f>
        <v>#N/A</v>
      </c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</row>
    <row r="202">
      <c r="A202" s="103"/>
      <c r="B202" s="103"/>
      <c r="C202" s="104"/>
      <c r="D202" s="100" t="str">
        <f>IFERROR(__xludf.DUMMYFUNCTION("importrange(C202,Sheet3!D$1)"),"#N/A")</f>
        <v>#N/A</v>
      </c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</row>
    <row r="203">
      <c r="A203" s="103"/>
      <c r="B203" s="103"/>
      <c r="C203" s="104"/>
      <c r="D203" s="100" t="str">
        <f>IFERROR(__xludf.DUMMYFUNCTION("importrange(C203,Sheet3!D$1)"),"#N/A")</f>
        <v>#N/A</v>
      </c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</row>
    <row r="204">
      <c r="A204" s="103"/>
      <c r="B204" s="103"/>
      <c r="C204" s="104"/>
      <c r="D204" s="100" t="str">
        <f>IFERROR(__xludf.DUMMYFUNCTION("importrange(C204,Sheet3!D$1)"),"#N/A")</f>
        <v>#N/A</v>
      </c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</row>
    <row r="205">
      <c r="A205" s="103"/>
      <c r="B205" s="103"/>
      <c r="C205" s="104"/>
      <c r="D205" s="100" t="str">
        <f>IFERROR(__xludf.DUMMYFUNCTION("importrange(C205,Sheet3!D$1)"),"#N/A")</f>
        <v>#N/A</v>
      </c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</row>
    <row r="206">
      <c r="A206" s="103"/>
      <c r="B206" s="103"/>
      <c r="C206" s="104"/>
      <c r="D206" s="100" t="str">
        <f>IFERROR(__xludf.DUMMYFUNCTION("importrange(C206,Sheet3!D$1)"),"#N/A")</f>
        <v>#N/A</v>
      </c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</row>
    <row r="207">
      <c r="A207" s="103"/>
      <c r="B207" s="103"/>
      <c r="C207" s="104"/>
      <c r="D207" s="100" t="str">
        <f>IFERROR(__xludf.DUMMYFUNCTION("importrange(C207,Sheet3!D$1)"),"#N/A")</f>
        <v>#N/A</v>
      </c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</row>
    <row r="208">
      <c r="A208" s="103"/>
      <c r="B208" s="103"/>
      <c r="C208" s="104"/>
      <c r="D208" s="100" t="str">
        <f>IFERROR(__xludf.DUMMYFUNCTION("importrange(C208,Sheet3!D$1)"),"#N/A")</f>
        <v>#N/A</v>
      </c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</row>
    <row r="209">
      <c r="A209" s="103"/>
      <c r="B209" s="103"/>
      <c r="C209" s="104"/>
      <c r="D209" s="100" t="str">
        <f>IFERROR(__xludf.DUMMYFUNCTION("importrange(C209,Sheet3!D$1)"),"#N/A")</f>
        <v>#N/A</v>
      </c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</row>
    <row r="210">
      <c r="A210" s="103"/>
      <c r="B210" s="103"/>
      <c r="C210" s="104"/>
      <c r="D210" s="100" t="str">
        <f>IFERROR(__xludf.DUMMYFUNCTION("importrange(C210,Sheet3!D$1)"),"#N/A")</f>
        <v>#N/A</v>
      </c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</row>
    <row r="211">
      <c r="A211" s="103"/>
      <c r="B211" s="107"/>
      <c r="C211" s="103"/>
      <c r="D211" s="100" t="str">
        <f>IFERROR(__xludf.DUMMYFUNCTION("importrange(C211,Sheet3!D$1)"),"#N/A")</f>
        <v>#N/A</v>
      </c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</row>
    <row r="212">
      <c r="A212" s="103"/>
      <c r="B212" s="103"/>
      <c r="C212" s="104"/>
      <c r="D212" s="100" t="str">
        <f>IFERROR(__xludf.DUMMYFUNCTION("importrange(C212,Sheet3!D$1)"),"#N/A")</f>
        <v>#N/A</v>
      </c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</row>
    <row r="213">
      <c r="A213" s="103"/>
      <c r="B213" s="103"/>
      <c r="C213" s="104"/>
      <c r="D213" s="100" t="str">
        <f>IFERROR(__xludf.DUMMYFUNCTION("importrange(C213,Sheet3!D$1)"),"#N/A")</f>
        <v>#N/A</v>
      </c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</row>
    <row r="214">
      <c r="A214" s="103"/>
      <c r="B214" s="103"/>
      <c r="C214" s="104"/>
      <c r="D214" s="100" t="str">
        <f>IFERROR(__xludf.DUMMYFUNCTION("importrange(C214,Sheet3!D$1)"),"#N/A")</f>
        <v>#N/A</v>
      </c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</row>
    <row r="215">
      <c r="A215" s="103"/>
      <c r="B215" s="103"/>
      <c r="C215" s="104"/>
      <c r="D215" s="100" t="str">
        <f>IFERROR(__xludf.DUMMYFUNCTION("importrange(C215,Sheet3!D$1)"),"#N/A")</f>
        <v>#N/A</v>
      </c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</row>
    <row r="216">
      <c r="A216" s="103"/>
      <c r="B216" s="103"/>
      <c r="C216" s="104"/>
      <c r="D216" s="100" t="str">
        <f>IFERROR(__xludf.DUMMYFUNCTION("importrange(C216,Sheet3!D$1)"),"#N/A")</f>
        <v>#N/A</v>
      </c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</row>
    <row r="217">
      <c r="A217" s="103"/>
      <c r="B217" s="103"/>
      <c r="C217" s="104"/>
      <c r="D217" s="100" t="str">
        <f>IFERROR(__xludf.DUMMYFUNCTION("importrange(C217,Sheet3!D$1)"),"#N/A")</f>
        <v>#N/A</v>
      </c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</row>
    <row r="218">
      <c r="A218" s="103"/>
      <c r="B218" s="103"/>
      <c r="C218" s="104"/>
      <c r="D218" s="100" t="str">
        <f>IFERROR(__xludf.DUMMYFUNCTION("importrange(C218,Sheet3!D$1)"),"#N/A")</f>
        <v>#N/A</v>
      </c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</row>
    <row r="219">
      <c r="A219" s="103"/>
      <c r="B219" s="103"/>
      <c r="C219" s="104"/>
      <c r="D219" s="100" t="str">
        <f>IFERROR(__xludf.DUMMYFUNCTION("importrange(C219,Sheet3!D$1)"),"#N/A")</f>
        <v>#N/A</v>
      </c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</row>
    <row r="220">
      <c r="A220" s="103"/>
      <c r="B220" s="103"/>
      <c r="C220" s="104"/>
      <c r="D220" s="100" t="str">
        <f>IFERROR(__xludf.DUMMYFUNCTION("importrange(C220,Sheet3!D$1)"),"#N/A")</f>
        <v>#N/A</v>
      </c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</row>
    <row r="221">
      <c r="A221" s="103"/>
      <c r="B221" s="103"/>
      <c r="C221" s="104"/>
      <c r="D221" s="100" t="str">
        <f>IFERROR(__xludf.DUMMYFUNCTION("importrange(C221,Sheet3!D$1)"),"#N/A")</f>
        <v>#N/A</v>
      </c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</row>
    <row r="222">
      <c r="A222" s="103"/>
      <c r="B222" s="103"/>
      <c r="C222" s="104"/>
      <c r="D222" s="100" t="str">
        <f>IFERROR(__xludf.DUMMYFUNCTION("importrange(C222,Sheet3!D$1)"),"#N/A")</f>
        <v>#N/A</v>
      </c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</row>
    <row r="223">
      <c r="A223" s="103"/>
      <c r="B223" s="103"/>
      <c r="C223" s="104"/>
      <c r="D223" s="100" t="str">
        <f>IFERROR(__xludf.DUMMYFUNCTION("importrange(C223,Sheet3!D$1)"),"#N/A")</f>
        <v>#N/A</v>
      </c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</row>
    <row r="224">
      <c r="A224" s="103"/>
      <c r="B224" s="103"/>
      <c r="C224" s="104"/>
      <c r="D224" s="100" t="str">
        <f>IFERROR(__xludf.DUMMYFUNCTION("importrange(C224,Sheet3!D$1)"),"#N/A")</f>
        <v>#N/A</v>
      </c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</row>
    <row r="225">
      <c r="A225" s="103"/>
      <c r="B225" s="103"/>
      <c r="C225" s="104"/>
      <c r="D225" s="100" t="str">
        <f>IFERROR(__xludf.DUMMYFUNCTION("importrange(C225,Sheet3!D$1)"),"#N/A")</f>
        <v>#N/A</v>
      </c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</row>
    <row r="226">
      <c r="A226" s="103"/>
      <c r="B226" s="103"/>
      <c r="C226" s="104"/>
      <c r="D226" s="100" t="str">
        <f>IFERROR(__xludf.DUMMYFUNCTION("importrange(C226,Sheet3!D$1)"),"#N/A")</f>
        <v>#N/A</v>
      </c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</row>
    <row r="227">
      <c r="A227" s="103"/>
      <c r="B227" s="103"/>
      <c r="C227" s="104"/>
      <c r="D227" s="100" t="str">
        <f>IFERROR(__xludf.DUMMYFUNCTION("importrange(C227,Sheet3!D$1)"),"#N/A")</f>
        <v>#N/A</v>
      </c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</row>
    <row r="228">
      <c r="A228" s="103"/>
      <c r="B228" s="103"/>
      <c r="C228" s="104"/>
      <c r="D228" s="100" t="str">
        <f>IFERROR(__xludf.DUMMYFUNCTION("importrange(C228,Sheet3!D$1)"),"#N/A")</f>
        <v>#N/A</v>
      </c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</row>
    <row r="229">
      <c r="A229" s="103"/>
      <c r="B229" s="103"/>
      <c r="C229" s="104"/>
      <c r="D229" s="100" t="str">
        <f>IFERROR(__xludf.DUMMYFUNCTION("importrange(C229,Sheet3!D$1)"),"#N/A")</f>
        <v>#N/A</v>
      </c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</row>
    <row r="230">
      <c r="A230" s="103"/>
      <c r="B230" s="103"/>
      <c r="C230" s="104"/>
      <c r="D230" s="100" t="str">
        <f>IFERROR(__xludf.DUMMYFUNCTION("importrange(C230,Sheet3!D$1)"),"#N/A")</f>
        <v>#N/A</v>
      </c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</row>
    <row r="231">
      <c r="A231" s="103"/>
      <c r="B231" s="107"/>
      <c r="C231" s="104"/>
      <c r="D231" s="100" t="str">
        <f>IFERROR(__xludf.DUMMYFUNCTION("importrange(C231,Sheet3!D$1)"),"#N/A")</f>
        <v>#N/A</v>
      </c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</row>
    <row r="232">
      <c r="A232" s="103"/>
      <c r="B232" s="103"/>
      <c r="C232" s="104"/>
      <c r="D232" s="100" t="str">
        <f>IFERROR(__xludf.DUMMYFUNCTION("importrange(C232,Sheet3!D$1)"),"#N/A")</f>
        <v>#N/A</v>
      </c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</row>
    <row r="233">
      <c r="A233" s="103"/>
      <c r="B233" s="103"/>
      <c r="C233" s="104"/>
      <c r="D233" s="100" t="str">
        <f>IFERROR(__xludf.DUMMYFUNCTION("importrange(C233,Sheet3!D$1)"),"#N/A")</f>
        <v>#N/A</v>
      </c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</row>
    <row r="234">
      <c r="A234" s="103"/>
      <c r="B234" s="106"/>
      <c r="C234" s="104"/>
      <c r="D234" s="100" t="str">
        <f>IFERROR(__xludf.DUMMYFUNCTION("importrange(C234,Sheet3!D$1)"),"#N/A")</f>
        <v>#N/A</v>
      </c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</row>
    <row r="235">
      <c r="A235" s="103"/>
      <c r="B235" s="103"/>
      <c r="C235" s="104"/>
      <c r="D235" s="100" t="str">
        <f>IFERROR(__xludf.DUMMYFUNCTION("importrange(C235,Sheet3!D$1)"),"#N/A")</f>
        <v>#N/A</v>
      </c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</row>
    <row r="236">
      <c r="A236" s="103"/>
      <c r="B236" s="103"/>
      <c r="C236" s="104"/>
      <c r="D236" s="100" t="str">
        <f>IFERROR(__xludf.DUMMYFUNCTION("importrange(C236,Sheet3!D$1)"),"#N/A")</f>
        <v>#N/A</v>
      </c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</row>
    <row r="237">
      <c r="A237" s="103"/>
      <c r="B237" s="103"/>
      <c r="C237" s="104"/>
      <c r="D237" s="100" t="str">
        <f>IFERROR(__xludf.DUMMYFUNCTION("importrange(C237,Sheet3!D$1)"),"#N/A")</f>
        <v>#N/A</v>
      </c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</row>
    <row r="238">
      <c r="A238" s="103"/>
      <c r="B238" s="103"/>
      <c r="C238" s="104"/>
      <c r="D238" s="100" t="str">
        <f>IFERROR(__xludf.DUMMYFUNCTION("importrange(C238,Sheet3!D$1)"),"#N/A")</f>
        <v>#N/A</v>
      </c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</row>
    <row r="239">
      <c r="A239" s="103"/>
      <c r="B239" s="103"/>
      <c r="C239" s="104"/>
      <c r="D239" s="100" t="str">
        <f>IFERROR(__xludf.DUMMYFUNCTION("importrange(C239,Sheet3!D$1)"),"#N/A")</f>
        <v>#N/A</v>
      </c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</row>
    <row r="240">
      <c r="A240" s="103"/>
      <c r="B240" s="103"/>
      <c r="C240" s="104"/>
      <c r="D240" s="100" t="str">
        <f>IFERROR(__xludf.DUMMYFUNCTION("importrange(C240,Sheet3!D$1)"),"#N/A")</f>
        <v>#N/A</v>
      </c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</row>
    <row r="241">
      <c r="A241" s="103"/>
      <c r="B241" s="103"/>
      <c r="C241" s="104"/>
      <c r="D241" s="100" t="str">
        <f>IFERROR(__xludf.DUMMYFUNCTION("importrange(C241,Sheet3!D$1)"),"#N/A")</f>
        <v>#N/A</v>
      </c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</row>
    <row r="242">
      <c r="A242" s="103"/>
      <c r="B242" s="103"/>
      <c r="C242" s="104"/>
      <c r="D242" s="100" t="str">
        <f>IFERROR(__xludf.DUMMYFUNCTION("importrange(C242,Sheet3!D$1)"),"#N/A")</f>
        <v>#N/A</v>
      </c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</row>
    <row r="243">
      <c r="A243" s="103"/>
      <c r="B243" s="103"/>
      <c r="C243" s="104"/>
      <c r="D243" s="100" t="str">
        <f>IFERROR(__xludf.DUMMYFUNCTION("importrange(C243,Sheet3!D$1)"),"#N/A")</f>
        <v>#N/A</v>
      </c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</row>
    <row r="244">
      <c r="A244" s="103"/>
      <c r="B244" s="103"/>
      <c r="C244" s="104"/>
      <c r="D244" s="100" t="str">
        <f>IFERROR(__xludf.DUMMYFUNCTION("importrange(C244,Sheet3!D$1)"),"#N/A")</f>
        <v>#N/A</v>
      </c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</row>
    <row r="245">
      <c r="A245" s="103"/>
      <c r="B245" s="103"/>
      <c r="C245" s="104"/>
      <c r="D245" s="100" t="str">
        <f>IFERROR(__xludf.DUMMYFUNCTION("importrange(C245,Sheet3!D$1)"),"#N/A")</f>
        <v>#N/A</v>
      </c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</row>
    <row r="246">
      <c r="A246" s="103"/>
      <c r="B246" s="103"/>
      <c r="C246" s="104"/>
      <c r="D246" s="100" t="str">
        <f>IFERROR(__xludf.DUMMYFUNCTION("importrange(C246,Sheet3!D$1)"),"#N/A")</f>
        <v>#N/A</v>
      </c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</row>
    <row r="247">
      <c r="A247" s="103"/>
      <c r="B247" s="103"/>
      <c r="C247" s="104"/>
      <c r="D247" s="100" t="str">
        <f>IFERROR(__xludf.DUMMYFUNCTION("importrange(C247,Sheet3!D$1)"),"#N/A")</f>
        <v>#N/A</v>
      </c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</row>
    <row r="248">
      <c r="A248" s="103"/>
      <c r="B248" s="103"/>
      <c r="C248" s="104"/>
      <c r="D248" s="100" t="str">
        <f>IFERROR(__xludf.DUMMYFUNCTION("importrange(C248,Sheet3!D$1)"),"#N/A")</f>
        <v>#N/A</v>
      </c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</row>
    <row r="249">
      <c r="A249" s="103"/>
      <c r="B249" s="103"/>
      <c r="C249" s="104"/>
      <c r="D249" s="100" t="str">
        <f>IFERROR(__xludf.DUMMYFUNCTION("importrange(C249,Sheet3!D$1)"),"#N/A")</f>
        <v>#N/A</v>
      </c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</row>
    <row r="250">
      <c r="A250" s="103"/>
      <c r="B250" s="103"/>
      <c r="C250" s="104"/>
      <c r="D250" s="100" t="str">
        <f>IFERROR(__xludf.DUMMYFUNCTION("importrange(C250,Sheet3!D$1)"),"#N/A")</f>
        <v>#N/A</v>
      </c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</row>
    <row r="251">
      <c r="A251" s="103"/>
      <c r="B251" s="103"/>
      <c r="C251" s="104"/>
      <c r="D251" s="100" t="str">
        <f>IFERROR(__xludf.DUMMYFUNCTION("importrange(C251,Sheet3!D$1)"),"#N/A")</f>
        <v>#N/A</v>
      </c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</row>
    <row r="252">
      <c r="A252" s="103"/>
      <c r="B252" s="103"/>
      <c r="C252" s="104"/>
      <c r="D252" s="100" t="str">
        <f>IFERROR(__xludf.DUMMYFUNCTION("importrange(C252,Sheet3!D$1)"),"#N/A")</f>
        <v>#N/A</v>
      </c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</row>
    <row r="253">
      <c r="A253" s="103"/>
      <c r="B253" s="103"/>
      <c r="C253" s="104"/>
      <c r="D253" s="100" t="str">
        <f>IFERROR(__xludf.DUMMYFUNCTION("importrange(C253,Sheet3!D$1)"),"#N/A")</f>
        <v>#N/A</v>
      </c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</row>
    <row r="254">
      <c r="A254" s="103"/>
      <c r="B254" s="103"/>
      <c r="C254" s="104"/>
      <c r="D254" s="100" t="str">
        <f>IFERROR(__xludf.DUMMYFUNCTION("importrange(C254,Sheet3!D$1)"),"#N/A")</f>
        <v>#N/A</v>
      </c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</row>
    <row r="255">
      <c r="A255" s="103"/>
      <c r="B255" s="103"/>
      <c r="C255" s="104"/>
      <c r="D255" s="100" t="str">
        <f>IFERROR(__xludf.DUMMYFUNCTION("importrange(C255,Sheet3!D$1)"),"#N/A")</f>
        <v>#N/A</v>
      </c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</row>
    <row r="256">
      <c r="A256" s="103"/>
      <c r="B256" s="103"/>
      <c r="C256" s="104"/>
      <c r="D256" s="100" t="str">
        <f>IFERROR(__xludf.DUMMYFUNCTION("importrange(C256,Sheet3!D$1)"),"#N/A")</f>
        <v>#N/A</v>
      </c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</row>
    <row r="257">
      <c r="A257" s="103"/>
      <c r="B257" s="103"/>
      <c r="C257" s="104"/>
      <c r="D257" s="100" t="str">
        <f>IFERROR(__xludf.DUMMYFUNCTION("importrange(C257,Sheet3!D$1)"),"#N/A")</f>
        <v>#N/A</v>
      </c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</row>
    <row r="258">
      <c r="A258" s="103"/>
      <c r="B258" s="107"/>
      <c r="C258" s="103"/>
      <c r="D258" s="100" t="str">
        <f>IFERROR(__xludf.DUMMYFUNCTION("importrange(C258,Sheet3!D$1)"),"#N/A")</f>
        <v>#N/A</v>
      </c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</row>
    <row r="259">
      <c r="A259" s="103"/>
      <c r="B259" s="107"/>
      <c r="C259" s="103"/>
      <c r="D259" s="100" t="str">
        <f>IFERROR(__xludf.DUMMYFUNCTION("importrange(C259,Sheet3!D$1)"),"#N/A")</f>
        <v>#N/A</v>
      </c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</row>
    <row r="260">
      <c r="A260" s="103"/>
      <c r="B260" s="107"/>
      <c r="C260" s="103"/>
      <c r="D260" s="100" t="str">
        <f>IFERROR(__xludf.DUMMYFUNCTION("importrange(C260,Sheet3!D$1)"),"#N/A")</f>
        <v>#N/A</v>
      </c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</row>
    <row r="261">
      <c r="A261" s="103"/>
      <c r="B261" s="103"/>
      <c r="C261" s="104"/>
      <c r="D261" s="100" t="str">
        <f>IFERROR(__xludf.DUMMYFUNCTION("importrange(C261,Sheet3!D$1)"),"#N/A")</f>
        <v>#N/A</v>
      </c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</row>
    <row r="262">
      <c r="A262" s="103"/>
      <c r="B262" s="103"/>
      <c r="C262" s="104"/>
      <c r="D262" s="100" t="str">
        <f>IFERROR(__xludf.DUMMYFUNCTION("importrange(C262,Sheet3!D$1)"),"#N/A")</f>
        <v>#N/A</v>
      </c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</row>
    <row r="263">
      <c r="A263" s="103"/>
      <c r="B263" s="111"/>
      <c r="C263" s="104"/>
      <c r="D263" s="100" t="str">
        <f>IFERROR(__xludf.DUMMYFUNCTION("importrange(C263,Sheet3!D$1)"),"#N/A")</f>
        <v>#N/A</v>
      </c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</row>
    <row r="264">
      <c r="A264" s="103"/>
      <c r="B264" s="103"/>
      <c r="C264" s="104"/>
      <c r="D264" s="100" t="str">
        <f>IFERROR(__xludf.DUMMYFUNCTION("importrange(C264,Sheet3!D$1)"),"#N/A")</f>
        <v>#N/A</v>
      </c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</row>
    <row r="265">
      <c r="A265" s="103"/>
      <c r="B265" s="107"/>
      <c r="C265" s="103"/>
      <c r="D265" s="100" t="str">
        <f>IFERROR(__xludf.DUMMYFUNCTION("importrange(C265,Sheet3!D$1)"),"#N/A")</f>
        <v>#N/A</v>
      </c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</row>
    <row r="266">
      <c r="A266" s="103"/>
      <c r="B266" s="103"/>
      <c r="C266" s="104"/>
      <c r="D266" s="100" t="str">
        <f>IFERROR(__xludf.DUMMYFUNCTION("importrange(C266,Sheet3!D$1)"),"#N/A")</f>
        <v>#N/A</v>
      </c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</row>
    <row r="267">
      <c r="A267" s="103"/>
      <c r="B267" s="103"/>
      <c r="C267" s="104"/>
      <c r="D267" s="100" t="str">
        <f>IFERROR(__xludf.DUMMYFUNCTION("importrange(C267,Sheet3!D$1)"),"#N/A")</f>
        <v>#N/A</v>
      </c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</row>
    <row r="268">
      <c r="A268" s="103"/>
      <c r="B268" s="103"/>
      <c r="C268" s="104"/>
      <c r="D268" s="100" t="str">
        <f>IFERROR(__xludf.DUMMYFUNCTION("importrange(C268,Sheet3!D$1)"),"#N/A")</f>
        <v>#N/A</v>
      </c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</row>
    <row r="269">
      <c r="A269" s="103"/>
      <c r="B269" s="103"/>
      <c r="C269" s="104"/>
      <c r="D269" s="100" t="str">
        <f>IFERROR(__xludf.DUMMYFUNCTION("importrange(C269,Sheet3!D$1)"),"#N/A")</f>
        <v>#N/A</v>
      </c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</row>
    <row r="270">
      <c r="A270" s="103"/>
      <c r="B270" s="103"/>
      <c r="C270" s="104"/>
      <c r="D270" s="100" t="str">
        <f>IFERROR(__xludf.DUMMYFUNCTION("importrange(C270,Sheet3!D$1)"),"#N/A")</f>
        <v>#N/A</v>
      </c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</row>
    <row r="271">
      <c r="A271" s="103"/>
      <c r="B271" s="103"/>
      <c r="C271" s="104"/>
      <c r="D271" s="100" t="str">
        <f>IFERROR(__xludf.DUMMYFUNCTION("importrange(C271,Sheet3!D$1)"),"#N/A")</f>
        <v>#N/A</v>
      </c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</row>
    <row r="272">
      <c r="A272" s="103"/>
      <c r="B272" s="103"/>
      <c r="C272" s="104"/>
      <c r="D272" s="100" t="str">
        <f>IFERROR(__xludf.DUMMYFUNCTION("importrange(C272,Sheet3!D$1)"),"#N/A")</f>
        <v>#N/A</v>
      </c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</row>
    <row r="273">
      <c r="A273" s="103"/>
      <c r="B273" s="107"/>
      <c r="C273" s="104"/>
      <c r="D273" s="100" t="str">
        <f>IFERROR(__xludf.DUMMYFUNCTION("importrange(C273,Sheet3!D$1)"),"#N/A")</f>
        <v>#N/A</v>
      </c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</row>
    <row r="274">
      <c r="A274" s="103"/>
      <c r="B274" s="103"/>
      <c r="C274" s="104"/>
      <c r="D274" s="100" t="str">
        <f>IFERROR(__xludf.DUMMYFUNCTION("importrange(C274,Sheet3!D$1)"),"#N/A")</f>
        <v>#N/A</v>
      </c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</row>
    <row r="275">
      <c r="A275" s="103"/>
      <c r="B275" s="103"/>
      <c r="C275" s="104"/>
      <c r="D275" s="100" t="str">
        <f>IFERROR(__xludf.DUMMYFUNCTION("importrange(C275,Sheet3!D$1)"),"#N/A")</f>
        <v>#N/A</v>
      </c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</row>
    <row r="276">
      <c r="A276" s="103"/>
      <c r="B276" s="103"/>
      <c r="C276" s="104"/>
      <c r="D276" s="100" t="str">
        <f>IFERROR(__xludf.DUMMYFUNCTION("importrange(C276,Sheet3!D$1)"),"#N/A")</f>
        <v>#N/A</v>
      </c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</row>
    <row r="277">
      <c r="A277" s="103"/>
      <c r="B277" s="107"/>
      <c r="C277" s="104"/>
      <c r="D277" s="100" t="str">
        <f>IFERROR(__xludf.DUMMYFUNCTION("importrange(C277,Sheet3!D$1)"),"#N/A")</f>
        <v>#N/A</v>
      </c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</row>
    <row r="278">
      <c r="A278" s="103"/>
      <c r="B278" s="103"/>
      <c r="C278" s="104"/>
      <c r="D278" s="100" t="str">
        <f>IFERROR(__xludf.DUMMYFUNCTION("importrange(C278,Sheet3!D$1)"),"#N/A")</f>
        <v>#N/A</v>
      </c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</row>
    <row r="279">
      <c r="A279" s="103"/>
      <c r="B279" s="103"/>
      <c r="C279" s="104"/>
      <c r="D279" s="100" t="str">
        <f>IFERROR(__xludf.DUMMYFUNCTION("importrange(C279,Sheet3!D$1)"),"#N/A")</f>
        <v>#N/A</v>
      </c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</row>
    <row r="280">
      <c r="A280" s="103"/>
      <c r="B280" s="103"/>
      <c r="C280" s="104"/>
      <c r="D280" s="100" t="str">
        <f>IFERROR(__xludf.DUMMYFUNCTION("importrange(C280,Sheet3!D$1)"),"#N/A")</f>
        <v>#N/A</v>
      </c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</row>
    <row r="281">
      <c r="A281" s="103"/>
      <c r="B281" s="103"/>
      <c r="C281" s="104"/>
      <c r="D281" s="100" t="str">
        <f>IFERROR(__xludf.DUMMYFUNCTION("importrange(C281,Sheet3!D$1)"),"#N/A")</f>
        <v>#N/A</v>
      </c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</row>
    <row r="282">
      <c r="A282" s="103"/>
      <c r="B282" s="103"/>
      <c r="C282" s="104"/>
      <c r="D282" s="100" t="str">
        <f>IFERROR(__xludf.DUMMYFUNCTION("importrange(C282,Sheet3!D$1)"),"#N/A")</f>
        <v>#N/A</v>
      </c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</row>
    <row r="283">
      <c r="A283" s="103"/>
      <c r="B283" s="103"/>
      <c r="C283" s="104"/>
      <c r="D283" s="100" t="str">
        <f>IFERROR(__xludf.DUMMYFUNCTION("importrange(C283,Sheet3!D$1)"),"#N/A")</f>
        <v>#N/A</v>
      </c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</row>
    <row r="284">
      <c r="A284" s="103"/>
      <c r="B284" s="107"/>
      <c r="C284" s="104"/>
      <c r="D284" s="100" t="str">
        <f>IFERROR(__xludf.DUMMYFUNCTION("importrange(C284,Sheet3!D$1)"),"#N/A")</f>
        <v>#N/A</v>
      </c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</row>
    <row r="285">
      <c r="A285" s="103"/>
      <c r="B285" s="107"/>
      <c r="C285" s="104"/>
      <c r="D285" s="100" t="str">
        <f>IFERROR(__xludf.DUMMYFUNCTION("importrange(C285,Sheet3!D$1)"),"#N/A")</f>
        <v>#N/A</v>
      </c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</row>
    <row r="286">
      <c r="A286" s="103"/>
      <c r="B286" s="107"/>
      <c r="C286" s="103"/>
      <c r="D286" s="100" t="str">
        <f>IFERROR(__xludf.DUMMYFUNCTION("importrange(C286,Sheet3!D$1)"),"#N/A")</f>
        <v>#N/A</v>
      </c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</row>
    <row r="287">
      <c r="A287" s="103"/>
      <c r="B287" s="103"/>
      <c r="C287" s="104"/>
      <c r="D287" s="100" t="str">
        <f>IFERROR(__xludf.DUMMYFUNCTION("importrange(C287,Sheet3!D$1)"),"#N/A")</f>
        <v>#N/A</v>
      </c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</row>
    <row r="288">
      <c r="A288" s="103"/>
      <c r="B288" s="107"/>
      <c r="C288" s="103"/>
      <c r="D288" s="100" t="str">
        <f>IFERROR(__xludf.DUMMYFUNCTION("importrange(C288,Sheet3!D$1)"),"#N/A")</f>
        <v>#N/A</v>
      </c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</row>
    <row r="289">
      <c r="A289" s="103"/>
      <c r="B289" s="106"/>
      <c r="C289" s="104"/>
      <c r="D289" s="100" t="str">
        <f>IFERROR(__xludf.DUMMYFUNCTION("importrange(C289,Sheet3!D$1)"),"#N/A")</f>
        <v>#N/A</v>
      </c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</row>
    <row r="290">
      <c r="A290" s="103"/>
      <c r="B290" s="107"/>
      <c r="C290" s="103"/>
      <c r="D290" s="100" t="str">
        <f>IFERROR(__xludf.DUMMYFUNCTION("importrange(C290,Sheet3!D$1)"),"#N/A")</f>
        <v>#N/A</v>
      </c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</row>
    <row r="291">
      <c r="A291" s="103"/>
      <c r="B291" s="112"/>
      <c r="C291" s="103"/>
      <c r="D291" s="100" t="str">
        <f>IFERROR(__xludf.DUMMYFUNCTION("importrange(C291,Sheet3!D$1)"),"#N/A")</f>
        <v>#N/A</v>
      </c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</row>
    <row r="292">
      <c r="A292" s="103"/>
      <c r="B292" s="112"/>
      <c r="C292" s="104"/>
      <c r="D292" s="100" t="str">
        <f>IFERROR(__xludf.DUMMYFUNCTION("importrange(C292,Sheet3!D$1)"),"#N/A")</f>
        <v>#N/A</v>
      </c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</row>
    <row r="293">
      <c r="A293" s="103"/>
      <c r="B293" s="112"/>
      <c r="C293" s="104"/>
      <c r="D293" s="100" t="str">
        <f>IFERROR(__xludf.DUMMYFUNCTION("importrange(C293,Sheet3!D$1)"),"#N/A")</f>
        <v>#N/A</v>
      </c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</row>
    <row r="294">
      <c r="A294" s="103"/>
      <c r="B294" s="112"/>
      <c r="C294" s="104"/>
      <c r="D294" s="100" t="str">
        <f>IFERROR(__xludf.DUMMYFUNCTION("importrange(C294,Sheet3!D$1)"),"#N/A")</f>
        <v>#N/A</v>
      </c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</row>
    <row r="295">
      <c r="A295" s="103"/>
      <c r="B295" s="112"/>
      <c r="C295" s="103"/>
      <c r="D295" s="100" t="str">
        <f>IFERROR(__xludf.DUMMYFUNCTION("importrange(C295,Sheet3!D$1)"),"#N/A")</f>
        <v>#N/A</v>
      </c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</row>
    <row r="296">
      <c r="A296" s="103"/>
      <c r="B296" s="112"/>
      <c r="C296" s="103"/>
      <c r="D296" s="100" t="str">
        <f>IFERROR(__xludf.DUMMYFUNCTION("importrange(C296,Sheet3!D$1)"),"#N/A")</f>
        <v>#N/A</v>
      </c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</row>
    <row r="297">
      <c r="A297" s="103"/>
      <c r="B297" s="113"/>
      <c r="C297" s="103"/>
      <c r="D297" s="100" t="str">
        <f>IFERROR(__xludf.DUMMYFUNCTION("importrange(C297,Sheet3!D$1)"),"#N/A")</f>
        <v>#N/A</v>
      </c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</row>
    <row r="298">
      <c r="A298" s="103"/>
      <c r="B298" s="112"/>
      <c r="C298" s="103"/>
      <c r="D298" s="100" t="str">
        <f>IFERROR(__xludf.DUMMYFUNCTION("importrange(C298,Sheet3!D$1)"),"#N/A")</f>
        <v>#N/A</v>
      </c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</row>
    <row r="299">
      <c r="A299" s="103"/>
      <c r="B299" s="112"/>
      <c r="C299" s="103"/>
      <c r="D299" s="100" t="str">
        <f>IFERROR(__xludf.DUMMYFUNCTION("importrange(C299,Sheet3!D$1)"),"#N/A")</f>
        <v>#N/A</v>
      </c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</row>
    <row r="300">
      <c r="A300" s="103"/>
      <c r="B300" s="112"/>
      <c r="C300" s="103"/>
      <c r="D300" s="100" t="str">
        <f>IFERROR(__xludf.DUMMYFUNCTION("importrange(C300,Sheet3!D$1)"),"#N/A")</f>
        <v>#N/A</v>
      </c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</row>
    <row r="301">
      <c r="A301" s="103"/>
      <c r="B301" s="114"/>
      <c r="C301" s="104"/>
      <c r="D301" s="100" t="str">
        <f>IFERROR(__xludf.DUMMYFUNCTION("importrange(C301,Sheet3!D$1)"),"#N/A")</f>
        <v>#N/A</v>
      </c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</row>
    <row r="302">
      <c r="A302" s="103"/>
      <c r="B302" s="114"/>
      <c r="C302" s="104"/>
      <c r="D302" s="100" t="str">
        <f>IFERROR(__xludf.DUMMYFUNCTION("importrange(C302,Sheet3!D$1)"),"#N/A")</f>
        <v>#N/A</v>
      </c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</row>
    <row r="303">
      <c r="A303" s="103"/>
      <c r="B303" s="107"/>
      <c r="C303" s="104"/>
      <c r="D303" s="100" t="str">
        <f>IFERROR(__xludf.DUMMYFUNCTION("importrange(C303,Sheet3!D$1)"),"#N/A")</f>
        <v>#N/A</v>
      </c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</row>
    <row r="304">
      <c r="A304" s="103"/>
      <c r="B304" s="107"/>
      <c r="C304" s="104"/>
      <c r="D304" s="100" t="str">
        <f>IFERROR(__xludf.DUMMYFUNCTION("importrange(C304,Sheet3!D$1)"),"#N/A")</f>
        <v>#N/A</v>
      </c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</row>
    <row r="305">
      <c r="A305" s="103"/>
      <c r="B305" s="107"/>
      <c r="C305" s="104"/>
      <c r="D305" s="100" t="str">
        <f>IFERROR(__xludf.DUMMYFUNCTION("importrange(C305,Sheet3!D$1)"),"#N/A")</f>
        <v>#N/A</v>
      </c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</row>
    <row r="306">
      <c r="A306" s="103"/>
      <c r="B306" s="107"/>
      <c r="C306" s="103"/>
      <c r="D306" s="100" t="str">
        <f>IFERROR(__xludf.DUMMYFUNCTION("importrange(C306,Sheet3!D$1)"),"#N/A")</f>
        <v>#N/A</v>
      </c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</row>
    <row r="307">
      <c r="A307" s="103"/>
      <c r="B307" s="107"/>
      <c r="C307" s="103"/>
      <c r="D307" s="100" t="str">
        <f>IFERROR(__xludf.DUMMYFUNCTION("importrange(C307,Sheet3!D$1)"),"#N/A")</f>
        <v>#N/A</v>
      </c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</row>
    <row r="308">
      <c r="A308" s="103"/>
      <c r="B308" s="107"/>
      <c r="C308" s="103"/>
      <c r="D308" s="100" t="str">
        <f>IFERROR(__xludf.DUMMYFUNCTION("importrange(C308,Sheet3!D$1)"),"#N/A")</f>
        <v>#N/A</v>
      </c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</row>
    <row r="309">
      <c r="A309" s="103"/>
      <c r="B309" s="107"/>
      <c r="C309" s="103"/>
      <c r="D309" s="100" t="str">
        <f>IFERROR(__xludf.DUMMYFUNCTION("importrange(C309,Sheet3!D$1)"),"#N/A")</f>
        <v>#N/A</v>
      </c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</row>
    <row r="310">
      <c r="A310" s="103"/>
      <c r="B310" s="103"/>
      <c r="C310" s="104"/>
      <c r="D310" s="100" t="str">
        <f>IFERROR(__xludf.DUMMYFUNCTION("importrange(C310,Sheet3!D$1)"),"#N/A")</f>
        <v>#N/A</v>
      </c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</row>
    <row r="311">
      <c r="A311" s="103"/>
      <c r="B311" s="103"/>
      <c r="C311" s="104"/>
      <c r="D311" s="100" t="str">
        <f>IFERROR(__xludf.DUMMYFUNCTION("importrange(C311,Sheet3!D$1)"),"#N/A")</f>
        <v>#N/A</v>
      </c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</row>
    <row r="312">
      <c r="A312" s="103"/>
      <c r="B312" s="107"/>
      <c r="C312" s="103"/>
      <c r="D312" s="100" t="str">
        <f>IFERROR(__xludf.DUMMYFUNCTION("importrange(C312,Sheet3!D$1)"),"#N/A")</f>
        <v>#N/A</v>
      </c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</row>
    <row r="313">
      <c r="A313" s="103"/>
      <c r="B313" s="107"/>
      <c r="C313" s="103"/>
      <c r="D313" s="100" t="str">
        <f>IFERROR(__xludf.DUMMYFUNCTION("importrange(C313,Sheet3!D$1)"),"#N/A")</f>
        <v>#N/A</v>
      </c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</row>
    <row r="314">
      <c r="A314" s="103"/>
      <c r="B314" s="103"/>
      <c r="C314" s="104"/>
      <c r="D314" s="100" t="str">
        <f>IFERROR(__xludf.DUMMYFUNCTION("importrange(C314,Sheet3!D$1)"),"#N/A")</f>
        <v>#N/A</v>
      </c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</row>
    <row r="315">
      <c r="A315" s="103"/>
      <c r="B315" s="103"/>
      <c r="C315" s="104"/>
      <c r="D315" s="100" t="str">
        <f>IFERROR(__xludf.DUMMYFUNCTION("importrange(C315,Sheet3!D$1)"),"#N/A")</f>
        <v>#N/A</v>
      </c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</row>
    <row r="316">
      <c r="A316" s="103"/>
      <c r="B316" s="106"/>
      <c r="C316" s="104"/>
      <c r="D316" s="100" t="str">
        <f>IFERROR(__xludf.DUMMYFUNCTION("importrange(C316,Sheet3!D$1)"),"#N/A")</f>
        <v>#N/A</v>
      </c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</row>
    <row r="317">
      <c r="A317" s="103"/>
      <c r="B317" s="107"/>
      <c r="C317" s="95"/>
      <c r="D317" s="100" t="str">
        <f>IFERROR(__xludf.DUMMYFUNCTION("importrange(C317,Sheet3!D$1)"),"#N/A")</f>
        <v>#N/A</v>
      </c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</row>
    <row r="318">
      <c r="A318" s="103"/>
      <c r="B318" s="107"/>
      <c r="C318" s="95"/>
      <c r="D318" s="100" t="str">
        <f>IFERROR(__xludf.DUMMYFUNCTION("importrange(C318,Sheet3!D$1)"),"#N/A")</f>
        <v>#N/A</v>
      </c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</row>
    <row r="319">
      <c r="A319" s="103"/>
      <c r="B319" s="107"/>
      <c r="C319" s="95"/>
      <c r="D319" s="100" t="str">
        <f>IFERROR(__xludf.DUMMYFUNCTION("importrange(C319,Sheet3!D$1)"),"#N/A")</f>
        <v>#N/A</v>
      </c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</row>
    <row r="320">
      <c r="A320" s="103"/>
      <c r="B320" s="107"/>
      <c r="C320" s="95"/>
      <c r="D320" s="100" t="str">
        <f>IFERROR(__xludf.DUMMYFUNCTION("importrange(C320,Sheet3!D$1)"),"#N/A")</f>
        <v>#N/A</v>
      </c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</row>
    <row r="321">
      <c r="A321" s="103"/>
      <c r="B321" s="103"/>
      <c r="C321" s="104"/>
      <c r="D321" s="100" t="str">
        <f>IFERROR(__xludf.DUMMYFUNCTION("importrange(C321,Sheet3!D$1)"),"#N/A")</f>
        <v>#N/A</v>
      </c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</row>
    <row r="322">
      <c r="A322" s="103"/>
      <c r="B322" s="107"/>
      <c r="C322" s="95"/>
      <c r="D322" s="100" t="str">
        <f>IFERROR(__xludf.DUMMYFUNCTION("importrange(C322,Sheet3!D$1)"),"#N/A")</f>
        <v>#N/A</v>
      </c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</row>
    <row r="323">
      <c r="A323" s="103"/>
      <c r="B323" s="107"/>
      <c r="C323" s="95"/>
      <c r="D323" s="100" t="str">
        <f>IFERROR(__xludf.DUMMYFUNCTION("importrange(C323,Sheet3!D$1)"),"#N/A")</f>
        <v>#N/A</v>
      </c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</row>
    <row r="324">
      <c r="A324" s="103"/>
      <c r="B324" s="107"/>
      <c r="C324" s="95"/>
      <c r="D324" s="100" t="str">
        <f>IFERROR(__xludf.DUMMYFUNCTION("importrange(C324,Sheet3!D$1)"),"#N/A")</f>
        <v>#N/A</v>
      </c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</row>
    <row r="325">
      <c r="A325" s="103"/>
      <c r="B325" s="103"/>
      <c r="C325" s="104"/>
      <c r="D325" s="100" t="str">
        <f>IFERROR(__xludf.DUMMYFUNCTION("importrange(C325,Sheet3!D$1)"),"#N/A")</f>
        <v>#N/A</v>
      </c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</row>
    <row r="326">
      <c r="A326" s="103"/>
      <c r="B326" s="103"/>
      <c r="C326" s="104"/>
      <c r="D326" s="100" t="str">
        <f>IFERROR(__xludf.DUMMYFUNCTION("importrange(C326,Sheet3!D$1)"),"#N/A")</f>
        <v>#N/A</v>
      </c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</row>
    <row r="327">
      <c r="A327" s="103"/>
      <c r="B327" s="103"/>
      <c r="C327" s="104"/>
      <c r="D327" s="100" t="str">
        <f>IFERROR(__xludf.DUMMYFUNCTION("importrange(C327,Sheet3!D$1)"),"#N/A")</f>
        <v>#N/A</v>
      </c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</row>
    <row r="328">
      <c r="A328" s="103"/>
      <c r="B328" s="103"/>
      <c r="C328" s="104"/>
      <c r="D328" s="100" t="str">
        <f>IFERROR(__xludf.DUMMYFUNCTION("importrange(C328,Sheet3!D$1)"),"#N/A")</f>
        <v>#N/A</v>
      </c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</row>
    <row r="329">
      <c r="A329" s="103"/>
      <c r="B329" s="103"/>
      <c r="C329" s="104"/>
      <c r="D329" s="100" t="str">
        <f>IFERROR(__xludf.DUMMYFUNCTION("importrange(C329,Sheet3!D$1)"),"#N/A")</f>
        <v>#N/A</v>
      </c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</row>
    <row r="330">
      <c r="A330" s="103"/>
      <c r="B330" s="103"/>
      <c r="C330" s="104"/>
      <c r="D330" s="100" t="str">
        <f>IFERROR(__xludf.DUMMYFUNCTION("importrange(C330,Sheet3!D$1)"),"#N/A")</f>
        <v>#N/A</v>
      </c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</row>
    <row r="331">
      <c r="A331" s="103"/>
      <c r="B331" s="106"/>
      <c r="C331" s="104"/>
      <c r="D331" s="100" t="str">
        <f>IFERROR(__xludf.DUMMYFUNCTION("importrange(C331,Sheet3!D$1)"),"#N/A")</f>
        <v>#N/A</v>
      </c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</row>
    <row r="332">
      <c r="A332" s="103"/>
      <c r="B332" s="103"/>
      <c r="C332" s="104"/>
      <c r="D332" s="100" t="str">
        <f>IFERROR(__xludf.DUMMYFUNCTION("importrange(C332,Sheet3!D$1)"),"#N/A")</f>
        <v>#N/A</v>
      </c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</row>
    <row r="333">
      <c r="A333" s="103"/>
      <c r="B333" s="103"/>
      <c r="C333" s="104"/>
      <c r="D333" s="100" t="str">
        <f>IFERROR(__xludf.DUMMYFUNCTION("importrange(C333,Sheet3!D$1)"),"#N/A")</f>
        <v>#N/A</v>
      </c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</row>
    <row r="334">
      <c r="A334" s="103"/>
      <c r="B334" s="103"/>
      <c r="C334" s="104"/>
      <c r="D334" s="100" t="str">
        <f>IFERROR(__xludf.DUMMYFUNCTION("importrange(C334,Sheet3!D$1)"),"#N/A")</f>
        <v>#N/A</v>
      </c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</row>
    <row r="335">
      <c r="A335" s="103"/>
      <c r="B335" s="103"/>
      <c r="C335" s="104"/>
      <c r="D335" s="100" t="str">
        <f>IFERROR(__xludf.DUMMYFUNCTION("importrange(C335,Sheet3!D$1)"),"#N/A")</f>
        <v>#N/A</v>
      </c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</row>
    <row r="336">
      <c r="A336" s="103"/>
      <c r="B336" s="103"/>
      <c r="C336" s="104"/>
      <c r="D336" s="100" t="str">
        <f>IFERROR(__xludf.DUMMYFUNCTION("importrange(C336,Sheet3!D$1)"),"#N/A")</f>
        <v>#N/A</v>
      </c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</row>
    <row r="337">
      <c r="A337" s="103"/>
      <c r="B337" s="103"/>
      <c r="C337" s="104"/>
      <c r="D337" s="100" t="str">
        <f>IFERROR(__xludf.DUMMYFUNCTION("importrange(C337,Sheet3!D$1)"),"#N/A")</f>
        <v>#N/A</v>
      </c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</row>
    <row r="338">
      <c r="A338" s="103"/>
      <c r="B338" s="106"/>
      <c r="C338" s="104"/>
      <c r="D338" s="100" t="str">
        <f>IFERROR(__xludf.DUMMYFUNCTION("importrange(C338,Sheet3!D$1)"),"#N/A")</f>
        <v>#N/A</v>
      </c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</row>
    <row r="339">
      <c r="A339" s="103"/>
      <c r="B339" s="103"/>
      <c r="C339" s="104"/>
      <c r="D339" s="100" t="str">
        <f>IFERROR(__xludf.DUMMYFUNCTION("importrange(C339,Sheet3!D$1)"),"#N/A")</f>
        <v>#N/A</v>
      </c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</row>
    <row r="340">
      <c r="A340" s="103"/>
      <c r="B340" s="103"/>
      <c r="C340" s="104"/>
      <c r="D340" s="100" t="str">
        <f>IFERROR(__xludf.DUMMYFUNCTION("importrange(C340,Sheet3!D$1)"),"#N/A")</f>
        <v>#N/A</v>
      </c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</row>
    <row r="341">
      <c r="A341" s="103"/>
      <c r="B341" s="103"/>
      <c r="C341" s="104"/>
      <c r="D341" s="100" t="str">
        <f>IFERROR(__xludf.DUMMYFUNCTION("importrange(C341,Sheet3!D$1)"),"#N/A")</f>
        <v>#N/A</v>
      </c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</row>
    <row r="342">
      <c r="A342" s="103"/>
      <c r="B342" s="107"/>
      <c r="C342" s="104"/>
      <c r="D342" s="100" t="str">
        <f>IFERROR(__xludf.DUMMYFUNCTION("importrange(C342,Sheet3!D$1)"),"#N/A")</f>
        <v>#N/A</v>
      </c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</row>
    <row r="343">
      <c r="A343" s="103"/>
      <c r="B343" s="106"/>
      <c r="C343" s="104"/>
      <c r="D343" s="100" t="str">
        <f>IFERROR(__xludf.DUMMYFUNCTION("importrange(C343,Sheet3!D$1)"),"#N/A")</f>
        <v>#N/A</v>
      </c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</row>
    <row r="344">
      <c r="A344" s="103"/>
      <c r="B344" s="106"/>
      <c r="C344" s="104"/>
      <c r="D344" s="100" t="str">
        <f>IFERROR(__xludf.DUMMYFUNCTION("importrange(C344,Sheet3!D$1)"),"#N/A")</f>
        <v>#N/A</v>
      </c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</row>
    <row r="345">
      <c r="A345" s="103"/>
      <c r="B345" s="106"/>
      <c r="C345" s="104"/>
      <c r="D345" s="100" t="str">
        <f>IFERROR(__xludf.DUMMYFUNCTION("importrange(C345,Sheet3!D$1)"),"#N/A")</f>
        <v>#N/A</v>
      </c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</row>
    <row r="346">
      <c r="A346" s="103"/>
      <c r="B346" s="103"/>
      <c r="C346" s="104"/>
      <c r="D346" s="100" t="str">
        <f>IFERROR(__xludf.DUMMYFUNCTION("importrange(C346,Sheet3!D$1)"),"#N/A")</f>
        <v>#N/A</v>
      </c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</row>
    <row r="347">
      <c r="A347" s="103"/>
      <c r="B347" s="103"/>
      <c r="C347" s="104"/>
      <c r="D347" s="100" t="str">
        <f>IFERROR(__xludf.DUMMYFUNCTION("importrange(C347,Sheet3!D$1)"),"#N/A")</f>
        <v>#N/A</v>
      </c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</row>
    <row r="348">
      <c r="A348" s="103"/>
      <c r="B348" s="106"/>
      <c r="C348" s="104"/>
      <c r="D348" s="100" t="str">
        <f>IFERROR(__xludf.DUMMYFUNCTION("importrange(C348,Sheet3!D$1)"),"#N/A")</f>
        <v>#N/A</v>
      </c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</row>
    <row r="349">
      <c r="A349" s="103"/>
      <c r="B349" s="107"/>
      <c r="C349" s="104"/>
      <c r="D349" s="100" t="str">
        <f>IFERROR(__xludf.DUMMYFUNCTION("importrange(C349,Sheet3!D$1)"),"#N/A")</f>
        <v>#N/A</v>
      </c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</row>
    <row r="350">
      <c r="A350" s="103"/>
      <c r="B350" s="112"/>
      <c r="C350" s="104"/>
      <c r="D350" s="100" t="str">
        <f>IFERROR(__xludf.DUMMYFUNCTION("importrange(C350,Sheet3!D$1)"),"#N/A")</f>
        <v>#N/A</v>
      </c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</row>
    <row r="351">
      <c r="A351" s="103"/>
      <c r="B351" s="103"/>
      <c r="C351" s="104"/>
      <c r="D351" s="100" t="str">
        <f>IFERROR(__xludf.DUMMYFUNCTION("importrange(C351,Sheet3!D$1)"),"#N/A")</f>
        <v>#N/A</v>
      </c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</row>
    <row r="352">
      <c r="A352" s="103"/>
      <c r="B352" s="107"/>
      <c r="C352" s="104"/>
      <c r="D352" s="100" t="str">
        <f>IFERROR(__xludf.DUMMYFUNCTION("importrange(C352,Sheet3!D$1)"),"#N/A")</f>
        <v>#N/A</v>
      </c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</row>
    <row r="353">
      <c r="A353" s="103"/>
      <c r="B353" s="103"/>
      <c r="C353" s="104"/>
      <c r="D353" s="100" t="str">
        <f>IFERROR(__xludf.DUMMYFUNCTION("importrange(C353,Sheet3!D$1)"),"#N/A")</f>
        <v>#N/A</v>
      </c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</row>
    <row r="354">
      <c r="A354" s="103"/>
      <c r="B354" s="103"/>
      <c r="C354" s="104"/>
      <c r="D354" s="100" t="str">
        <f>IFERROR(__xludf.DUMMYFUNCTION("importrange(C354,Sheet3!D$1)"),"#N/A")</f>
        <v>#N/A</v>
      </c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</row>
    <row r="355">
      <c r="A355" s="103"/>
      <c r="B355" s="106"/>
      <c r="C355" s="104"/>
      <c r="D355" s="100" t="str">
        <f>IFERROR(__xludf.DUMMYFUNCTION("importrange(C355,Sheet3!D$1)"),"#N/A")</f>
        <v>#N/A</v>
      </c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</row>
    <row r="356">
      <c r="A356" s="103"/>
      <c r="B356" s="103"/>
      <c r="C356" s="104"/>
      <c r="D356" s="100" t="str">
        <f>IFERROR(__xludf.DUMMYFUNCTION("importrange(C356,Sheet3!D$1)"),"#N/A")</f>
        <v>#N/A</v>
      </c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</row>
    <row r="357">
      <c r="A357" s="103"/>
      <c r="B357" s="106"/>
      <c r="C357" s="104"/>
      <c r="D357" s="100" t="str">
        <f>IFERROR(__xludf.DUMMYFUNCTION("importrange(C357,Sheet3!D$1)"),"#N/A")</f>
        <v>#N/A</v>
      </c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</row>
    <row r="358">
      <c r="A358" s="103"/>
      <c r="B358" s="106"/>
      <c r="C358" s="104"/>
      <c r="D358" s="100" t="str">
        <f>IFERROR(__xludf.DUMMYFUNCTION("importrange(C358,Sheet3!D$1)"),"#N/A")</f>
        <v>#N/A</v>
      </c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</row>
    <row r="359">
      <c r="A359" s="103"/>
      <c r="B359" s="106"/>
      <c r="C359" s="104"/>
      <c r="D359" s="100" t="str">
        <f>IFERROR(__xludf.DUMMYFUNCTION("importrange(C359,Sheet3!D$1)"),"#N/A")</f>
        <v>#N/A</v>
      </c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</row>
    <row r="360">
      <c r="A360" s="103"/>
      <c r="B360" s="106"/>
      <c r="C360" s="104"/>
      <c r="D360" s="100" t="str">
        <f>IFERROR(__xludf.DUMMYFUNCTION("importrange(C360,Sheet3!D$1)"),"#N/A")</f>
        <v>#N/A</v>
      </c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</row>
    <row r="361">
      <c r="A361" s="103"/>
      <c r="B361" s="103"/>
      <c r="C361" s="104"/>
      <c r="D361" s="100" t="str">
        <f>IFERROR(__xludf.DUMMYFUNCTION("importrange(C361,Sheet3!D$1)"),"#N/A")</f>
        <v>#N/A</v>
      </c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</row>
    <row r="362">
      <c r="A362" s="103"/>
      <c r="B362" s="106"/>
      <c r="C362" s="104"/>
      <c r="D362" s="100" t="str">
        <f>IFERROR(__xludf.DUMMYFUNCTION("importrange(C362,Sheet3!D$1)"),"#N/A")</f>
        <v>#N/A</v>
      </c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</row>
    <row r="363">
      <c r="A363" s="103"/>
      <c r="B363" s="107"/>
      <c r="C363" s="104"/>
      <c r="D363" s="100" t="str">
        <f>IFERROR(__xludf.DUMMYFUNCTION("importrange(C363,Sheet3!D$1)"),"#N/A")</f>
        <v>#N/A</v>
      </c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</row>
    <row r="364">
      <c r="A364" s="103"/>
      <c r="B364" s="106"/>
      <c r="C364" s="104"/>
      <c r="D364" s="100" t="str">
        <f>IFERROR(__xludf.DUMMYFUNCTION("importrange(C364,Sheet3!D$1)"),"#N/A")</f>
        <v>#N/A</v>
      </c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</row>
    <row r="365">
      <c r="A365" s="103"/>
      <c r="B365" s="103"/>
      <c r="C365" s="104"/>
      <c r="D365" s="100" t="str">
        <f>IFERROR(__xludf.DUMMYFUNCTION("importrange(C365,Sheet3!D$1)"),"#N/A")</f>
        <v>#N/A</v>
      </c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</row>
    <row r="366">
      <c r="A366" s="103"/>
      <c r="B366" s="106"/>
      <c r="C366" s="104"/>
      <c r="D366" s="100" t="str">
        <f>IFERROR(__xludf.DUMMYFUNCTION("importrange(C366,Sheet3!D$1)"),"#N/A")</f>
        <v>#N/A</v>
      </c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</row>
    <row r="367">
      <c r="A367" s="103"/>
      <c r="B367" s="106"/>
      <c r="C367" s="104"/>
      <c r="D367" s="100" t="str">
        <f>IFERROR(__xludf.DUMMYFUNCTION("importrange(C367,Sheet3!D$1)"),"#N/A")</f>
        <v>#N/A</v>
      </c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</row>
    <row r="368">
      <c r="A368" s="103"/>
      <c r="B368" s="106"/>
      <c r="C368" s="104"/>
      <c r="D368" s="100" t="str">
        <f>IFERROR(__xludf.DUMMYFUNCTION("importrange(C368,Sheet3!D$1)"),"#N/A")</f>
        <v>#N/A</v>
      </c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</row>
    <row r="369">
      <c r="A369" s="103"/>
      <c r="B369" s="103"/>
      <c r="C369" s="104"/>
      <c r="D369" s="100" t="str">
        <f>IFERROR(__xludf.DUMMYFUNCTION("importrange(C369,Sheet3!D$1)"),"#N/A")</f>
        <v>#N/A</v>
      </c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</row>
    <row r="370">
      <c r="A370" s="103"/>
      <c r="B370" s="106"/>
      <c r="C370" s="104"/>
      <c r="D370" s="100" t="str">
        <f>IFERROR(__xludf.DUMMYFUNCTION("importrange(C370,Sheet3!D$1)"),"#N/A")</f>
        <v>#N/A</v>
      </c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</row>
    <row r="371">
      <c r="A371" s="103"/>
      <c r="B371" s="106"/>
      <c r="C371" s="104"/>
      <c r="D371" s="100" t="str">
        <f>IFERROR(__xludf.DUMMYFUNCTION("importrange(C371,Sheet3!D$1)"),"#N/A")</f>
        <v>#N/A</v>
      </c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</row>
    <row r="372">
      <c r="A372" s="103"/>
      <c r="B372" s="106"/>
      <c r="C372" s="104"/>
      <c r="D372" s="100" t="str">
        <f>IFERROR(__xludf.DUMMYFUNCTION("importrange(C372,Sheet3!D$1)"),"#N/A")</f>
        <v>#N/A</v>
      </c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</row>
    <row r="373">
      <c r="A373" s="103"/>
      <c r="B373" s="106"/>
      <c r="C373" s="104"/>
      <c r="D373" s="100" t="str">
        <f>IFERROR(__xludf.DUMMYFUNCTION("importrange(C373,Sheet3!D$1)"),"#N/A")</f>
        <v>#N/A</v>
      </c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</row>
    <row r="374">
      <c r="A374" s="103"/>
      <c r="B374" s="103"/>
      <c r="C374" s="104"/>
      <c r="D374" s="100" t="str">
        <f>IFERROR(__xludf.DUMMYFUNCTION("importrange(C374,Sheet3!D$1)"),"#N/A")</f>
        <v>#N/A</v>
      </c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</row>
    <row r="375">
      <c r="A375" s="103"/>
      <c r="B375" s="106"/>
      <c r="C375" s="104"/>
      <c r="D375" s="100" t="str">
        <f>IFERROR(__xludf.DUMMYFUNCTION("importrange(C375,Sheet3!D$1)"),"#N/A")</f>
        <v>#N/A</v>
      </c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</row>
    <row r="376">
      <c r="A376" s="103"/>
      <c r="B376" s="106"/>
      <c r="C376" s="104"/>
      <c r="D376" s="100" t="str">
        <f>IFERROR(__xludf.DUMMYFUNCTION("importrange(C376,Sheet3!D$1)"),"#N/A")</f>
        <v>#N/A</v>
      </c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</row>
    <row r="377">
      <c r="A377" s="103"/>
      <c r="B377" s="106"/>
      <c r="C377" s="104"/>
      <c r="D377" s="100" t="str">
        <f>IFERROR(__xludf.DUMMYFUNCTION("importrange(C377,Sheet3!D$1)"),"#N/A")</f>
        <v>#N/A</v>
      </c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</row>
    <row r="378">
      <c r="A378" s="103"/>
      <c r="B378" s="106"/>
      <c r="C378" s="104"/>
      <c r="D378" s="100" t="str">
        <f>IFERROR(__xludf.DUMMYFUNCTION("importrange(C378,Sheet3!D$1)"),"#N/A")</f>
        <v>#N/A</v>
      </c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</row>
    <row r="379">
      <c r="A379" s="103"/>
      <c r="B379" s="106"/>
      <c r="C379" s="104"/>
      <c r="D379" s="100" t="str">
        <f>IFERROR(__xludf.DUMMYFUNCTION("importrange(C379,Sheet3!D$1)"),"#N/A")</f>
        <v>#N/A</v>
      </c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</row>
    <row r="380">
      <c r="A380" s="103"/>
      <c r="B380" s="106"/>
      <c r="C380" s="104"/>
      <c r="D380" s="100" t="str">
        <f>IFERROR(__xludf.DUMMYFUNCTION("importrange(C380,Sheet3!D$1)"),"#N/A")</f>
        <v>#N/A</v>
      </c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</row>
    <row r="381">
      <c r="A381" s="103"/>
      <c r="B381" s="106"/>
      <c r="C381" s="104"/>
      <c r="D381" s="100" t="str">
        <f>IFERROR(__xludf.DUMMYFUNCTION("importrange(C381,Sheet3!D$1)"),"#N/A")</f>
        <v>#N/A</v>
      </c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</row>
    <row r="382">
      <c r="A382" s="103"/>
      <c r="B382" s="106"/>
      <c r="C382" s="104"/>
      <c r="D382" s="100" t="str">
        <f>IFERROR(__xludf.DUMMYFUNCTION("importrange(C382,Sheet3!D$1)"),"#N/A")</f>
        <v>#N/A</v>
      </c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</row>
    <row r="383">
      <c r="A383" s="103"/>
      <c r="B383" s="106"/>
      <c r="C383" s="104"/>
      <c r="D383" s="100" t="str">
        <f>IFERROR(__xludf.DUMMYFUNCTION("importrange(C383,Sheet3!D$1)"),"#N/A")</f>
        <v>#N/A</v>
      </c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</row>
    <row r="384">
      <c r="A384" s="103"/>
      <c r="B384" s="106"/>
      <c r="C384" s="104"/>
      <c r="D384" s="100" t="str">
        <f>IFERROR(__xludf.DUMMYFUNCTION("importrange(C384,Sheet3!D$1)"),"#N/A")</f>
        <v>#N/A</v>
      </c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</row>
    <row r="385">
      <c r="A385" s="103"/>
      <c r="B385" s="107"/>
      <c r="C385" s="104"/>
      <c r="D385" s="100" t="str">
        <f>IFERROR(__xludf.DUMMYFUNCTION("importrange(C385,Sheet3!D$1)"),"#N/A")</f>
        <v>#N/A</v>
      </c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</row>
    <row r="386">
      <c r="A386" s="103"/>
      <c r="B386" s="107"/>
      <c r="C386" s="104"/>
      <c r="D386" s="100" t="str">
        <f>IFERROR(__xludf.DUMMYFUNCTION("importrange(C386,Sheet3!D$1)"),"#N/A")</f>
        <v>#N/A</v>
      </c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</row>
    <row r="387">
      <c r="A387" s="103"/>
      <c r="B387" s="103"/>
      <c r="C387" s="104"/>
      <c r="D387" s="100" t="str">
        <f>IFERROR(__xludf.DUMMYFUNCTION("importrange(C387,Sheet3!D$1)"),"#N/A")</f>
        <v>#N/A</v>
      </c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</row>
    <row r="388">
      <c r="A388" s="103"/>
      <c r="B388" s="106"/>
      <c r="C388" s="104"/>
      <c r="D388" s="100" t="str">
        <f>IFERROR(__xludf.DUMMYFUNCTION("importrange(C388,Sheet3!D$1)"),"#N/A")</f>
        <v>#N/A</v>
      </c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</row>
    <row r="389">
      <c r="A389" s="103"/>
      <c r="B389" s="106"/>
      <c r="C389" s="104"/>
      <c r="D389" s="100" t="str">
        <f>IFERROR(__xludf.DUMMYFUNCTION("importrange(C389,Sheet3!D$1)"),"#N/A")</f>
        <v>#N/A</v>
      </c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</row>
    <row r="390">
      <c r="A390" s="103"/>
      <c r="B390" s="106"/>
      <c r="C390" s="104"/>
      <c r="D390" s="100" t="str">
        <f>IFERROR(__xludf.DUMMYFUNCTION("importrange(C390,Sheet3!D$1)"),"#N/A")</f>
        <v>#N/A</v>
      </c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</row>
    <row r="391">
      <c r="A391" s="103"/>
      <c r="B391" s="106"/>
      <c r="C391" s="104"/>
      <c r="D391" s="100" t="str">
        <f>IFERROR(__xludf.DUMMYFUNCTION("importrange(C391,Sheet3!D$1)"),"#N/A")</f>
        <v>#N/A</v>
      </c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</row>
    <row r="392">
      <c r="A392" s="103"/>
      <c r="B392" s="106"/>
      <c r="C392" s="104"/>
      <c r="D392" s="100" t="str">
        <f>IFERROR(__xludf.DUMMYFUNCTION("importrange(C392,Sheet3!D$1)"),"#N/A")</f>
        <v>#N/A</v>
      </c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</row>
    <row r="393">
      <c r="A393" s="103"/>
      <c r="B393" s="107"/>
      <c r="C393" s="104"/>
      <c r="D393" s="100" t="str">
        <f>IFERROR(__xludf.DUMMYFUNCTION("importrange(C393,Sheet3!D$1)"),"#N/A")</f>
        <v>#N/A</v>
      </c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</row>
    <row r="394">
      <c r="A394" s="103"/>
      <c r="B394" s="103"/>
      <c r="C394" s="104"/>
      <c r="D394" s="100" t="str">
        <f>IFERROR(__xludf.DUMMYFUNCTION("importrange(C394,Sheet3!D$1)"),"#N/A")</f>
        <v>#N/A</v>
      </c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</row>
    <row r="395">
      <c r="A395" s="103"/>
      <c r="B395" s="103"/>
      <c r="C395" s="104"/>
      <c r="D395" s="100" t="str">
        <f>IFERROR(__xludf.DUMMYFUNCTION("importrange(C395,Sheet3!D$1)"),"#N/A")</f>
        <v>#N/A</v>
      </c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</row>
    <row r="396">
      <c r="A396" s="103"/>
      <c r="B396" s="107"/>
      <c r="C396" s="104"/>
      <c r="D396" s="100" t="str">
        <f>IFERROR(__xludf.DUMMYFUNCTION("importrange(C396,Sheet3!D$1)"),"#N/A")</f>
        <v>#N/A</v>
      </c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</row>
    <row r="397">
      <c r="A397" s="103"/>
      <c r="B397" s="107"/>
      <c r="C397" s="104"/>
      <c r="D397" s="100" t="str">
        <f>IFERROR(__xludf.DUMMYFUNCTION("importrange(C397,Sheet3!D$1)"),"#N/A")</f>
        <v>#N/A</v>
      </c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</row>
    <row r="398">
      <c r="A398" s="103"/>
      <c r="B398" s="106"/>
      <c r="C398" s="104"/>
      <c r="D398" s="100" t="str">
        <f>IFERROR(__xludf.DUMMYFUNCTION("importrange(C398,Sheet3!D$1)"),"#N/A")</f>
        <v>#N/A</v>
      </c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</row>
    <row r="399">
      <c r="A399" s="103"/>
      <c r="B399" s="106"/>
      <c r="C399" s="104"/>
      <c r="D399" s="100" t="str">
        <f>IFERROR(__xludf.DUMMYFUNCTION("importrange(C399,Sheet3!D$1)"),"#N/A")</f>
        <v>#N/A</v>
      </c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</row>
    <row r="400">
      <c r="A400" s="103"/>
      <c r="B400" s="106"/>
      <c r="C400" s="104"/>
      <c r="D400" s="100" t="str">
        <f>IFERROR(__xludf.DUMMYFUNCTION("importrange(C400,Sheet3!D$1)"),"#N/A")</f>
        <v>#N/A</v>
      </c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</row>
    <row r="401">
      <c r="A401" s="103"/>
      <c r="B401" s="106"/>
      <c r="C401" s="104"/>
      <c r="D401" s="100" t="str">
        <f>IFERROR(__xludf.DUMMYFUNCTION("importrange(C401,Sheet3!D$1)"),"#N/A")</f>
        <v>#N/A</v>
      </c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</row>
    <row r="402">
      <c r="A402" s="103"/>
      <c r="B402" s="106"/>
      <c r="C402" s="104"/>
      <c r="D402" s="100" t="str">
        <f>IFERROR(__xludf.DUMMYFUNCTION("importrange(C402,Sheet3!D$1)"),"#N/A")</f>
        <v>#N/A</v>
      </c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</row>
    <row r="403">
      <c r="A403" s="103"/>
      <c r="B403" s="103"/>
      <c r="C403" s="104"/>
      <c r="D403" s="100" t="str">
        <f>IFERROR(__xludf.DUMMYFUNCTION("importrange(C403,Sheet3!D$1)"),"#N/A")</f>
        <v>#N/A</v>
      </c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</row>
    <row r="404">
      <c r="A404" s="103"/>
      <c r="B404" s="103"/>
      <c r="C404" s="104"/>
      <c r="D404" s="100" t="str">
        <f>IFERROR(__xludf.DUMMYFUNCTION("importrange(C404,Sheet3!D$1)"),"#N/A")</f>
        <v>#N/A</v>
      </c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</row>
    <row r="405">
      <c r="A405" s="103"/>
      <c r="B405" s="103"/>
      <c r="C405" s="104"/>
      <c r="D405" s="100" t="str">
        <f>IFERROR(__xludf.DUMMYFUNCTION("importrange(C405,Sheet3!D$1)"),"#N/A")</f>
        <v>#N/A</v>
      </c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</row>
    <row r="406">
      <c r="A406" s="103"/>
      <c r="B406" s="107"/>
      <c r="C406" s="103"/>
      <c r="D406" s="100" t="str">
        <f>IFERROR(__xludf.DUMMYFUNCTION("importrange(C406,Sheet3!D$1)"),"#N/A")</f>
        <v>#N/A</v>
      </c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</row>
    <row r="407">
      <c r="A407" s="103"/>
      <c r="B407" s="106"/>
      <c r="C407" s="104"/>
      <c r="D407" s="100" t="str">
        <f>IFERROR(__xludf.DUMMYFUNCTION("importrange(C407,Sheet3!D$1)"),"#N/A")</f>
        <v>#N/A</v>
      </c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</row>
    <row r="408">
      <c r="A408" s="103"/>
      <c r="B408" s="106"/>
      <c r="C408" s="104"/>
      <c r="D408" s="100" t="str">
        <f>IFERROR(__xludf.DUMMYFUNCTION("importrange(C408,Sheet3!D$1)"),"#N/A")</f>
        <v>#N/A</v>
      </c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</row>
    <row r="409">
      <c r="A409" s="103"/>
      <c r="B409" s="106"/>
      <c r="C409" s="104"/>
      <c r="D409" s="100" t="str">
        <f>IFERROR(__xludf.DUMMYFUNCTION("importrange(C409,Sheet3!D$1)"),"#N/A")</f>
        <v>#N/A</v>
      </c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</row>
    <row r="410">
      <c r="A410" s="103"/>
      <c r="B410" s="103"/>
      <c r="C410" s="104"/>
      <c r="D410" s="100" t="str">
        <f>IFERROR(__xludf.DUMMYFUNCTION("importrange(C410,Sheet3!D$1)"),"#N/A")</f>
        <v>#N/A</v>
      </c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</row>
    <row r="411">
      <c r="A411" s="103"/>
      <c r="B411" s="103"/>
      <c r="C411" s="104"/>
      <c r="D411" s="100" t="str">
        <f>IFERROR(__xludf.DUMMYFUNCTION("importrange(C411,Sheet3!D$1)"),"#N/A")</f>
        <v>#N/A</v>
      </c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</row>
    <row r="412">
      <c r="A412" s="103"/>
      <c r="B412" s="103"/>
      <c r="C412" s="104"/>
      <c r="D412" s="100" t="str">
        <f>IFERROR(__xludf.DUMMYFUNCTION("importrange(C412,Sheet3!D$1)"),"#N/A")</f>
        <v>#N/A</v>
      </c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</row>
    <row r="413">
      <c r="A413" s="103"/>
      <c r="B413" s="103"/>
      <c r="C413" s="104"/>
      <c r="D413" s="100" t="str">
        <f>IFERROR(__xludf.DUMMYFUNCTION("importrange(C413,Sheet3!D$1)"),"#N/A")</f>
        <v>#N/A</v>
      </c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</row>
    <row r="414">
      <c r="A414" s="103"/>
      <c r="B414" s="103"/>
      <c r="C414" s="104"/>
      <c r="D414" s="100" t="str">
        <f>IFERROR(__xludf.DUMMYFUNCTION("importrange(C414,Sheet3!D$1)"),"#N/A")</f>
        <v>#N/A</v>
      </c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</row>
    <row r="415">
      <c r="A415" s="103"/>
      <c r="B415" s="103"/>
      <c r="C415" s="104"/>
      <c r="D415" s="100" t="str">
        <f>IFERROR(__xludf.DUMMYFUNCTION("importrange(C415,Sheet3!D$1)"),"#N/A")</f>
        <v>#N/A</v>
      </c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</row>
    <row r="416">
      <c r="A416" s="103"/>
      <c r="B416" s="107"/>
      <c r="C416" s="103"/>
      <c r="D416" s="100" t="str">
        <f>IFERROR(__xludf.DUMMYFUNCTION("importrange(C416,Sheet3!D$1)"),"#N/A")</f>
        <v>#N/A</v>
      </c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</row>
    <row r="417">
      <c r="A417" s="103"/>
      <c r="B417" s="103"/>
      <c r="C417" s="104"/>
      <c r="D417" s="100" t="str">
        <f>IFERROR(__xludf.DUMMYFUNCTION("importrange(C417,Sheet3!D$1)"),"#N/A")</f>
        <v>#N/A</v>
      </c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</row>
    <row r="418">
      <c r="A418" s="103"/>
      <c r="B418" s="103"/>
      <c r="C418" s="104"/>
      <c r="D418" s="100" t="str">
        <f>IFERROR(__xludf.DUMMYFUNCTION("importrange(C418,Sheet3!D$1)"),"#N/A")</f>
        <v>#N/A</v>
      </c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</row>
    <row r="419">
      <c r="A419" s="103"/>
      <c r="B419" s="107"/>
      <c r="C419" s="103"/>
      <c r="D419" s="100" t="str">
        <f>IFERROR(__xludf.DUMMYFUNCTION("importrange(C419,Sheet3!D$1)"),"#N/A")</f>
        <v>#N/A</v>
      </c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</row>
    <row r="420">
      <c r="A420" s="103"/>
      <c r="B420" s="103"/>
      <c r="C420" s="104"/>
      <c r="D420" s="100" t="str">
        <f>IFERROR(__xludf.DUMMYFUNCTION("importrange(C420,Sheet3!D$1)"),"#N/A")</f>
        <v>#N/A</v>
      </c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</row>
    <row r="421">
      <c r="A421" s="103"/>
      <c r="B421" s="103"/>
      <c r="C421" s="104"/>
      <c r="D421" s="100" t="str">
        <f>IFERROR(__xludf.DUMMYFUNCTION("importrange(C421,Sheet3!D$1)"),"#N/A")</f>
        <v>#N/A</v>
      </c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</row>
    <row r="422">
      <c r="A422" s="103"/>
      <c r="B422" s="103"/>
      <c r="C422" s="104"/>
      <c r="D422" s="100" t="str">
        <f>IFERROR(__xludf.DUMMYFUNCTION("importrange(C422,Sheet3!D$1)"),"#N/A")</f>
        <v>#N/A</v>
      </c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</row>
    <row r="423">
      <c r="A423" s="103"/>
      <c r="B423" s="103"/>
      <c r="C423" s="104"/>
      <c r="D423" s="100" t="str">
        <f>IFERROR(__xludf.DUMMYFUNCTION("importrange(C423,Sheet3!D$1)"),"#N/A")</f>
        <v>#N/A</v>
      </c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</row>
    <row r="424">
      <c r="A424" s="103"/>
      <c r="B424" s="103"/>
      <c r="C424" s="104"/>
      <c r="D424" s="100" t="str">
        <f>IFERROR(__xludf.DUMMYFUNCTION("importrange(C424,Sheet3!D$1)"),"#N/A")</f>
        <v>#N/A</v>
      </c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</row>
    <row r="425">
      <c r="A425" s="103"/>
      <c r="B425" s="107"/>
      <c r="C425" s="103"/>
      <c r="D425" s="100" t="str">
        <f>IFERROR(__xludf.DUMMYFUNCTION("importrange(C425,Sheet3!D$1)"),"#N/A")</f>
        <v>#N/A</v>
      </c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</row>
    <row r="426">
      <c r="A426" s="103"/>
      <c r="B426" s="107"/>
      <c r="C426" s="103"/>
      <c r="D426" s="100" t="str">
        <f>IFERROR(__xludf.DUMMYFUNCTION("importrange(C426,Sheet3!D$1)"),"#N/A")</f>
        <v>#N/A</v>
      </c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</row>
    <row r="427">
      <c r="A427" s="103"/>
      <c r="B427" s="107"/>
      <c r="C427" s="103"/>
      <c r="D427" s="100" t="str">
        <f>IFERROR(__xludf.DUMMYFUNCTION("importrange(C427,Sheet3!D$1)"),"#N/A")</f>
        <v>#N/A</v>
      </c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</row>
    <row r="428">
      <c r="A428" s="103"/>
      <c r="B428" s="107"/>
      <c r="C428" s="103"/>
      <c r="D428" s="100" t="str">
        <f>IFERROR(__xludf.DUMMYFUNCTION("importrange(C428,Sheet3!D$1)"),"#N/A")</f>
        <v>#N/A</v>
      </c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</row>
    <row r="429">
      <c r="A429" s="103"/>
      <c r="B429" s="103"/>
      <c r="C429" s="104"/>
      <c r="D429" s="100" t="str">
        <f>IFERROR(__xludf.DUMMYFUNCTION("importrange(C429,Sheet3!D$1)"),"#N/A")</f>
        <v>#N/A</v>
      </c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</row>
    <row r="430">
      <c r="A430" s="103"/>
      <c r="B430" s="103"/>
      <c r="C430" s="104"/>
      <c r="D430" s="100" t="str">
        <f>IFERROR(__xludf.DUMMYFUNCTION("importrange(C430,Sheet3!D$1)"),"#N/A")</f>
        <v>#N/A</v>
      </c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</row>
    <row r="431">
      <c r="A431" s="103"/>
      <c r="B431" s="107"/>
      <c r="C431" s="103"/>
      <c r="D431" s="100" t="str">
        <f>IFERROR(__xludf.DUMMYFUNCTION("importrange(C431,Sheet3!D$1)"),"#N/A")</f>
        <v>#N/A</v>
      </c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</row>
    <row r="432">
      <c r="A432" s="103"/>
      <c r="B432" s="103"/>
      <c r="C432" s="104"/>
      <c r="D432" s="100" t="str">
        <f>IFERROR(__xludf.DUMMYFUNCTION("importrange(C432,Sheet3!D$1)"),"#N/A")</f>
        <v>#N/A</v>
      </c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</row>
    <row r="433">
      <c r="A433" s="103"/>
      <c r="B433" s="103"/>
      <c r="C433" s="104"/>
      <c r="D433" s="100" t="str">
        <f>IFERROR(__xludf.DUMMYFUNCTION("importrange(C433,Sheet3!D$1)"),"#N/A")</f>
        <v>#N/A</v>
      </c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</row>
    <row r="434">
      <c r="A434" s="103"/>
      <c r="B434" s="103"/>
      <c r="C434" s="104"/>
      <c r="D434" s="100" t="str">
        <f>IFERROR(__xludf.DUMMYFUNCTION("importrange(C434,Sheet3!D$1)"),"#N/A")</f>
        <v>#N/A</v>
      </c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</row>
    <row r="435">
      <c r="A435" s="103"/>
      <c r="B435" s="103"/>
      <c r="C435" s="104"/>
      <c r="D435" s="100" t="str">
        <f>IFERROR(__xludf.DUMMYFUNCTION("importrange(C435,Sheet3!D$1)"),"#N/A")</f>
        <v>#N/A</v>
      </c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</row>
    <row r="436">
      <c r="A436" s="103"/>
      <c r="B436" s="103"/>
      <c r="C436" s="104"/>
      <c r="D436" s="100" t="str">
        <f>IFERROR(__xludf.DUMMYFUNCTION("importrange(C436,Sheet3!D$1)"),"#N/A")</f>
        <v>#N/A</v>
      </c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</row>
    <row r="437">
      <c r="A437" s="103"/>
      <c r="B437" s="103"/>
      <c r="C437" s="104"/>
      <c r="D437" s="100" t="str">
        <f>IFERROR(__xludf.DUMMYFUNCTION("importrange(C437,Sheet3!D$1)"),"#N/A")</f>
        <v>#N/A</v>
      </c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</row>
    <row r="438">
      <c r="A438" s="103"/>
      <c r="B438" s="105"/>
      <c r="C438" s="104"/>
      <c r="D438" s="100" t="str">
        <f>IFERROR(__xludf.DUMMYFUNCTION("importrange(C438,Sheet3!D$1)"),"#N/A")</f>
        <v>#N/A</v>
      </c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</row>
    <row r="439">
      <c r="A439" s="103"/>
      <c r="B439" s="103"/>
      <c r="C439" s="104"/>
      <c r="D439" s="100" t="str">
        <f>IFERROR(__xludf.DUMMYFUNCTION("importrange(C439,Sheet3!D$1)"),"#N/A")</f>
        <v>#N/A</v>
      </c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</row>
    <row r="440">
      <c r="A440" s="103"/>
      <c r="B440" s="103"/>
      <c r="C440" s="104"/>
      <c r="D440" s="100" t="str">
        <f>IFERROR(__xludf.DUMMYFUNCTION("importrange(C440,Sheet3!D$1)"),"#N/A")</f>
        <v>#N/A</v>
      </c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</row>
    <row r="441">
      <c r="A441" s="103"/>
      <c r="B441" s="103"/>
      <c r="C441" s="104"/>
      <c r="D441" s="100" t="str">
        <f>IFERROR(__xludf.DUMMYFUNCTION("importrange(C441,Sheet3!D$1)"),"#N/A")</f>
        <v>#N/A</v>
      </c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</row>
    <row r="442">
      <c r="A442" s="103"/>
      <c r="B442" s="107"/>
      <c r="C442" s="104"/>
      <c r="D442" s="100" t="str">
        <f>IFERROR(__xludf.DUMMYFUNCTION("importrange(C442,Sheet3!D$1)"),"#N/A")</f>
        <v>#N/A</v>
      </c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</row>
    <row r="443">
      <c r="A443" s="103"/>
      <c r="B443" s="107"/>
      <c r="C443" s="103"/>
      <c r="D443" s="100" t="str">
        <f>IFERROR(__xludf.DUMMYFUNCTION("importrange(C443,Sheet3!D$1)"),"#N/A")</f>
        <v>#N/A</v>
      </c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</row>
    <row r="444">
      <c r="A444" s="103"/>
      <c r="B444" s="103"/>
      <c r="C444" s="104"/>
      <c r="D444" s="100" t="str">
        <f>IFERROR(__xludf.DUMMYFUNCTION("importrange(C444,Sheet3!D$1)"),"#N/A")</f>
        <v>#N/A</v>
      </c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</row>
    <row r="445">
      <c r="A445" s="103"/>
      <c r="B445" s="103"/>
      <c r="C445" s="104"/>
      <c r="D445" s="100" t="str">
        <f>IFERROR(__xludf.DUMMYFUNCTION("importrange(C445,Sheet3!D$1)"),"#N/A")</f>
        <v>#N/A</v>
      </c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</row>
    <row r="446">
      <c r="A446" s="103"/>
      <c r="B446" s="103"/>
      <c r="C446" s="104"/>
      <c r="D446" s="100" t="str">
        <f>IFERROR(__xludf.DUMMYFUNCTION("importrange(C446,Sheet3!D$1)"),"#N/A")</f>
        <v>#N/A</v>
      </c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</row>
    <row r="447">
      <c r="A447" s="103"/>
      <c r="B447" s="110"/>
      <c r="C447" s="104"/>
      <c r="D447" s="100" t="str">
        <f>IFERROR(__xludf.DUMMYFUNCTION("importrange(C447,Sheet3!D$1)"),"#N/A")</f>
        <v>#N/A</v>
      </c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</row>
    <row r="448">
      <c r="A448" s="103"/>
      <c r="B448" s="103"/>
      <c r="C448" s="104"/>
      <c r="D448" s="100" t="str">
        <f>IFERROR(__xludf.DUMMYFUNCTION("importrange(C448,Sheet3!D$1)"),"#N/A")</f>
        <v>#N/A</v>
      </c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</row>
    <row r="449">
      <c r="A449" s="103"/>
      <c r="B449" s="106"/>
      <c r="C449" s="104"/>
      <c r="D449" s="100" t="str">
        <f>IFERROR(__xludf.DUMMYFUNCTION("importrange(C449,Sheet3!D$1)"),"#N/A")</f>
        <v>#N/A</v>
      </c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</row>
    <row r="450">
      <c r="A450" s="103"/>
      <c r="B450" s="103"/>
      <c r="C450" s="104"/>
      <c r="D450" s="100" t="str">
        <f>IFERROR(__xludf.DUMMYFUNCTION("importrange(C450,Sheet3!D$1)"),"#N/A")</f>
        <v>#N/A</v>
      </c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</row>
    <row r="451">
      <c r="A451" s="103"/>
      <c r="B451" s="103"/>
      <c r="C451" s="104"/>
      <c r="D451" s="100" t="str">
        <f>IFERROR(__xludf.DUMMYFUNCTION("importrange(C451,Sheet3!D$1)"),"#N/A")</f>
        <v>#N/A</v>
      </c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</row>
    <row r="452">
      <c r="A452" s="103"/>
      <c r="B452" s="107"/>
      <c r="C452" s="103"/>
      <c r="D452" s="100" t="str">
        <f>IFERROR(__xludf.DUMMYFUNCTION("importrange(C452,Sheet3!D$1)"),"#N/A")</f>
        <v>#N/A</v>
      </c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</row>
    <row r="453">
      <c r="A453" s="103"/>
      <c r="B453" s="106"/>
      <c r="C453" s="104"/>
      <c r="D453" s="100" t="str">
        <f>IFERROR(__xludf.DUMMYFUNCTION("importrange(C453,Sheet3!D$1)"),"#N/A")</f>
        <v>#N/A</v>
      </c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</row>
    <row r="454">
      <c r="A454" s="103"/>
      <c r="B454" s="103"/>
      <c r="C454" s="104"/>
      <c r="D454" s="100" t="str">
        <f>IFERROR(__xludf.DUMMYFUNCTION("importrange(C454,Sheet3!D$1)"),"#N/A")</f>
        <v>#N/A</v>
      </c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</row>
    <row r="455">
      <c r="A455" s="103"/>
      <c r="B455" s="103"/>
      <c r="C455" s="104"/>
      <c r="D455" s="100" t="str">
        <f>IFERROR(__xludf.DUMMYFUNCTION("importrange(C455,Sheet3!D$1)"),"#N/A")</f>
        <v>#N/A</v>
      </c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</row>
    <row r="456">
      <c r="A456" s="103"/>
      <c r="B456" s="103"/>
      <c r="C456" s="104"/>
      <c r="D456" s="100" t="str">
        <f>IFERROR(__xludf.DUMMYFUNCTION("importrange(C456,Sheet3!D$1)"),"#N/A")</f>
        <v>#N/A</v>
      </c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</row>
    <row r="457">
      <c r="A457" s="103"/>
      <c r="B457" s="106"/>
      <c r="C457" s="104"/>
      <c r="D457" s="100" t="str">
        <f>IFERROR(__xludf.DUMMYFUNCTION("importrange(C457,Sheet3!D$1)"),"#N/A")</f>
        <v>#N/A</v>
      </c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</row>
    <row r="458">
      <c r="A458" s="103"/>
      <c r="B458" s="106"/>
      <c r="C458" s="104"/>
      <c r="D458" s="100" t="str">
        <f>IFERROR(__xludf.DUMMYFUNCTION("importrange(C458,Sheet3!D$1)"),"#N/A")</f>
        <v>#N/A</v>
      </c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</row>
    <row r="459">
      <c r="A459" s="103"/>
      <c r="B459" s="106"/>
      <c r="C459" s="104"/>
      <c r="D459" s="100" t="str">
        <f>IFERROR(__xludf.DUMMYFUNCTION("importrange(C459,Sheet3!D$1)"),"#N/A")</f>
        <v>#N/A</v>
      </c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</row>
    <row r="460">
      <c r="A460" s="103"/>
      <c r="B460" s="106"/>
      <c r="C460" s="104"/>
      <c r="D460" s="100" t="str">
        <f>IFERROR(__xludf.DUMMYFUNCTION("importrange(C460,Sheet3!D$1)"),"#N/A")</f>
        <v>#N/A</v>
      </c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</row>
    <row r="461">
      <c r="A461" s="103"/>
      <c r="B461" s="106"/>
      <c r="C461" s="104"/>
      <c r="D461" s="100" t="str">
        <f>IFERROR(__xludf.DUMMYFUNCTION("importrange(C461,Sheet3!D$1)"),"#N/A")</f>
        <v>#N/A</v>
      </c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</row>
    <row r="462">
      <c r="A462" s="103"/>
      <c r="B462" s="107"/>
      <c r="C462" s="104"/>
      <c r="D462" s="100" t="str">
        <f>IFERROR(__xludf.DUMMYFUNCTION("importrange(C462,Sheet3!D$1)"),"#N/A")</f>
        <v>#N/A</v>
      </c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</row>
    <row r="463">
      <c r="A463" s="103"/>
      <c r="B463" s="103"/>
      <c r="C463" s="104"/>
      <c r="D463" s="100" t="str">
        <f>IFERROR(__xludf.DUMMYFUNCTION("importrange(C463,Sheet3!D$1)"),"#N/A")</f>
        <v>#N/A</v>
      </c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</row>
    <row r="464">
      <c r="A464" s="103"/>
      <c r="B464" s="103"/>
      <c r="C464" s="104"/>
      <c r="D464" s="100" t="str">
        <f>IFERROR(__xludf.DUMMYFUNCTION("importrange(C464,Sheet3!D$1)"),"#N/A")</f>
        <v>#N/A</v>
      </c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</row>
    <row r="465">
      <c r="A465" s="103"/>
      <c r="B465" s="103"/>
      <c r="C465" s="104"/>
      <c r="D465" s="100" t="str">
        <f>IFERROR(__xludf.DUMMYFUNCTION("importrange(C465,Sheet3!D$1)"),"#N/A")</f>
        <v>#N/A</v>
      </c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</row>
    <row r="466">
      <c r="A466" s="103"/>
      <c r="B466" s="103"/>
      <c r="C466" s="104"/>
      <c r="D466" s="100" t="str">
        <f>IFERROR(__xludf.DUMMYFUNCTION("importrange(C466,Sheet3!D$1)"),"#N/A")</f>
        <v>#N/A</v>
      </c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</row>
    <row r="467">
      <c r="A467" s="103"/>
      <c r="B467" s="103"/>
      <c r="C467" s="104"/>
      <c r="D467" s="100" t="str">
        <f>IFERROR(__xludf.DUMMYFUNCTION("importrange(C467,Sheet3!D$1)"),"#N/A")</f>
        <v>#N/A</v>
      </c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</row>
    <row r="468">
      <c r="A468" s="103"/>
      <c r="B468" s="103"/>
      <c r="C468" s="104"/>
      <c r="D468" s="100" t="str">
        <f>IFERROR(__xludf.DUMMYFUNCTION("importrange(C468,Sheet3!D$1)"),"#N/A")</f>
        <v>#N/A</v>
      </c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</row>
    <row r="469">
      <c r="A469" s="103"/>
      <c r="B469" s="103"/>
      <c r="C469" s="104"/>
      <c r="D469" s="100" t="str">
        <f>IFERROR(__xludf.DUMMYFUNCTION("importrange(C469,Sheet3!D$1)"),"#N/A")</f>
        <v>#N/A</v>
      </c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</row>
    <row r="470">
      <c r="A470" s="103"/>
      <c r="B470" s="103"/>
      <c r="C470" s="104"/>
      <c r="D470" s="100" t="str">
        <f>IFERROR(__xludf.DUMMYFUNCTION("importrange(C470,Sheet3!D$1)"),"#N/A")</f>
        <v>#N/A</v>
      </c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</row>
    <row r="471">
      <c r="A471" s="103"/>
      <c r="B471" s="103"/>
      <c r="C471" s="104"/>
      <c r="D471" s="100" t="str">
        <f>IFERROR(__xludf.DUMMYFUNCTION("importrange(C471,Sheet3!D$1)"),"#N/A")</f>
        <v>#N/A</v>
      </c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</row>
    <row r="472">
      <c r="A472" s="103"/>
      <c r="B472" s="103"/>
      <c r="C472" s="104"/>
      <c r="D472" s="100" t="str">
        <f>IFERROR(__xludf.DUMMYFUNCTION("importrange(C472,Sheet3!D$1)"),"#N/A")</f>
        <v>#N/A</v>
      </c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</row>
    <row r="473">
      <c r="A473" s="103"/>
      <c r="B473" s="107"/>
      <c r="C473" s="103"/>
      <c r="D473" s="100" t="str">
        <f>IFERROR(__xludf.DUMMYFUNCTION("importrange(C473,Sheet3!D$1)"),"#N/A")</f>
        <v>#N/A</v>
      </c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</row>
    <row r="474">
      <c r="A474" s="103"/>
      <c r="B474" s="103"/>
      <c r="C474" s="104"/>
      <c r="D474" s="100" t="str">
        <f>IFERROR(__xludf.DUMMYFUNCTION("importrange(C474,Sheet3!D$1)"),"#N/A")</f>
        <v>#N/A</v>
      </c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</row>
    <row r="475">
      <c r="A475" s="103"/>
      <c r="B475" s="103"/>
      <c r="C475" s="104"/>
      <c r="D475" s="100" t="str">
        <f>IFERROR(__xludf.DUMMYFUNCTION("importrange(C475,Sheet3!D$1)"),"#N/A")</f>
        <v>#N/A</v>
      </c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</row>
    <row r="476">
      <c r="A476" s="103"/>
      <c r="B476" s="106"/>
      <c r="C476" s="104"/>
      <c r="D476" s="100" t="str">
        <f>IFERROR(__xludf.DUMMYFUNCTION("importrange(C476,Sheet3!D$1)"),"#N/A")</f>
        <v>#N/A</v>
      </c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</row>
    <row r="477">
      <c r="A477" s="103"/>
      <c r="B477" s="103"/>
      <c r="C477" s="104"/>
      <c r="D477" s="100" t="str">
        <f>IFERROR(__xludf.DUMMYFUNCTION("importrange(C477,Sheet3!D$1)"),"#N/A")</f>
        <v>#N/A</v>
      </c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</row>
    <row r="478">
      <c r="A478" s="103"/>
      <c r="B478" s="103"/>
      <c r="C478" s="104"/>
      <c r="D478" s="100" t="str">
        <f>IFERROR(__xludf.DUMMYFUNCTION("importrange(C478,Sheet3!D$1)"),"#N/A")</f>
        <v>#N/A</v>
      </c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</row>
    <row r="479">
      <c r="A479" s="103"/>
      <c r="B479" s="103"/>
      <c r="C479" s="104"/>
      <c r="D479" s="100" t="str">
        <f>IFERROR(__xludf.DUMMYFUNCTION("importrange(C479,Sheet3!D$1)"),"#N/A")</f>
        <v>#N/A</v>
      </c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</row>
    <row r="480">
      <c r="A480" s="103"/>
      <c r="B480" s="103"/>
      <c r="C480" s="104"/>
      <c r="D480" s="100" t="str">
        <f>IFERROR(__xludf.DUMMYFUNCTION("importrange(C480,Sheet3!D$1)"),"#N/A")</f>
        <v>#N/A</v>
      </c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</row>
    <row r="481">
      <c r="A481" s="103"/>
      <c r="B481" s="103"/>
      <c r="C481" s="104"/>
      <c r="D481" s="100" t="str">
        <f>IFERROR(__xludf.DUMMYFUNCTION("importrange(C481,Sheet3!D$1)"),"#N/A")</f>
        <v>#N/A</v>
      </c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</row>
    <row r="482">
      <c r="A482" s="103"/>
      <c r="B482" s="103"/>
      <c r="C482" s="104"/>
      <c r="D482" s="100" t="str">
        <f>IFERROR(__xludf.DUMMYFUNCTION("importrange(C482,Sheet3!D$1)"),"#N/A")</f>
        <v>#N/A</v>
      </c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</row>
    <row r="483">
      <c r="A483" s="103"/>
      <c r="B483" s="103"/>
      <c r="C483" s="104"/>
      <c r="D483" s="100" t="str">
        <f>IFERROR(__xludf.DUMMYFUNCTION("importrange(C483,Sheet3!D$1)"),"#N/A")</f>
        <v>#N/A</v>
      </c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</row>
    <row r="484">
      <c r="A484" s="103"/>
      <c r="B484" s="103"/>
      <c r="C484" s="104"/>
      <c r="D484" s="100" t="str">
        <f>IFERROR(__xludf.DUMMYFUNCTION("importrange(C484,Sheet3!D$1)"),"#N/A")</f>
        <v>#N/A</v>
      </c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</row>
    <row r="485">
      <c r="A485" s="103"/>
      <c r="B485" s="103"/>
      <c r="C485" s="104"/>
      <c r="D485" s="100" t="str">
        <f>IFERROR(__xludf.DUMMYFUNCTION("importrange(C485,Sheet3!D$1)"),"#N/A")</f>
        <v>#N/A</v>
      </c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</row>
    <row r="486">
      <c r="A486" s="103"/>
      <c r="B486" s="106"/>
      <c r="C486" s="104"/>
      <c r="D486" s="100" t="str">
        <f>IFERROR(__xludf.DUMMYFUNCTION("importrange(C486,Sheet3!D$1)"),"#N/A")</f>
        <v>#N/A</v>
      </c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</row>
    <row r="487">
      <c r="A487" s="103"/>
      <c r="B487" s="107"/>
      <c r="C487" s="104"/>
      <c r="D487" s="100" t="str">
        <f>IFERROR(__xludf.DUMMYFUNCTION("importrange(C487,Sheet3!D$1)"),"#N/A")</f>
        <v>#N/A</v>
      </c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</row>
    <row r="488">
      <c r="A488" s="103"/>
      <c r="B488" s="106"/>
      <c r="C488" s="104"/>
      <c r="D488" s="100" t="str">
        <f>IFERROR(__xludf.DUMMYFUNCTION("importrange(C488,Sheet3!D$1)"),"#N/A")</f>
        <v>#N/A</v>
      </c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</row>
    <row r="489">
      <c r="A489" s="103"/>
      <c r="B489" s="107"/>
      <c r="C489" s="103"/>
      <c r="D489" s="100" t="str">
        <f>IFERROR(__xludf.DUMMYFUNCTION("importrange(C489,Sheet3!D$1)"),"#N/A")</f>
        <v>#N/A</v>
      </c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</row>
    <row r="490">
      <c r="A490" s="103"/>
      <c r="B490" s="107"/>
      <c r="C490" s="103"/>
      <c r="D490" s="100" t="str">
        <f>IFERROR(__xludf.DUMMYFUNCTION("importrange(C490,Sheet3!D$1)"),"#N/A")</f>
        <v>#N/A</v>
      </c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</row>
    <row r="491">
      <c r="A491" s="103"/>
      <c r="B491" s="106"/>
      <c r="C491" s="103"/>
      <c r="D491" s="100" t="str">
        <f>IFERROR(__xludf.DUMMYFUNCTION("importrange(C491,Sheet3!D$1)"),"#N/A")</f>
        <v>#N/A</v>
      </c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</row>
    <row r="492">
      <c r="A492" s="103"/>
      <c r="B492" s="107"/>
      <c r="C492" s="103"/>
      <c r="D492" s="100" t="str">
        <f>IFERROR(__xludf.DUMMYFUNCTION("importrange(C492,Sheet3!D$1)"),"#N/A")</f>
        <v>#N/A</v>
      </c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</row>
    <row r="493">
      <c r="A493" s="103"/>
      <c r="B493" s="107"/>
      <c r="C493" s="103"/>
      <c r="D493" s="100" t="str">
        <f>IFERROR(__xludf.DUMMYFUNCTION("importrange(C493,Sheet3!D$1)"),"#N/A")</f>
        <v>#N/A</v>
      </c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</row>
    <row r="494">
      <c r="A494" s="103"/>
      <c r="B494" s="106"/>
      <c r="C494" s="104"/>
      <c r="D494" s="100" t="str">
        <f>IFERROR(__xludf.DUMMYFUNCTION("importrange(C494,Sheet3!D$1)"),"#N/A")</f>
        <v>#N/A</v>
      </c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</row>
    <row r="495">
      <c r="A495" s="103"/>
      <c r="B495" s="106"/>
      <c r="C495" s="104"/>
      <c r="D495" s="100" t="str">
        <f>IFERROR(__xludf.DUMMYFUNCTION("importrange(C495,Sheet3!D$1)"),"#N/A")</f>
        <v>#N/A</v>
      </c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</row>
    <row r="496">
      <c r="A496" s="103"/>
      <c r="B496" s="103"/>
      <c r="C496" s="104"/>
      <c r="D496" s="100" t="str">
        <f>IFERROR(__xludf.DUMMYFUNCTION("importrange(C496,Sheet3!D$1)"),"#N/A")</f>
        <v>#N/A</v>
      </c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</row>
    <row r="497">
      <c r="A497" s="103"/>
      <c r="B497" s="103"/>
      <c r="C497" s="104"/>
      <c r="D497" s="100" t="str">
        <f>IFERROR(__xludf.DUMMYFUNCTION("importrange(C497,Sheet3!D$1)"),"#N/A")</f>
        <v>#N/A</v>
      </c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</row>
    <row r="498">
      <c r="A498" s="103"/>
      <c r="B498" s="103"/>
      <c r="C498" s="104"/>
      <c r="D498" s="100" t="str">
        <f>IFERROR(__xludf.DUMMYFUNCTION("importrange(C498,Sheet3!D$1)"),"#N/A")</f>
        <v>#N/A</v>
      </c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</row>
    <row r="499">
      <c r="A499" s="103"/>
      <c r="B499" s="113"/>
      <c r="C499" s="103"/>
      <c r="D499" s="100" t="str">
        <f>IFERROR(__xludf.DUMMYFUNCTION("importrange(C499,Sheet3!D$1)"),"#N/A")</f>
        <v>#N/A</v>
      </c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</row>
    <row r="500">
      <c r="A500" s="103"/>
      <c r="B500" s="113"/>
      <c r="C500" s="103"/>
      <c r="D500" s="100" t="str">
        <f>IFERROR(__xludf.DUMMYFUNCTION("importrange(C500,Sheet3!D$1)"),"#N/A")</f>
        <v>#N/A</v>
      </c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</row>
    <row r="501">
      <c r="A501" s="103"/>
      <c r="B501" s="113"/>
      <c r="C501" s="103"/>
      <c r="D501" s="100" t="str">
        <f>IFERROR(__xludf.DUMMYFUNCTION("importrange(C501,Sheet3!D$1)"),"#N/A")</f>
        <v>#N/A</v>
      </c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</row>
    <row r="502">
      <c r="A502" s="103"/>
      <c r="B502" s="103"/>
      <c r="C502" s="104"/>
      <c r="D502" s="100" t="str">
        <f>IFERROR(__xludf.DUMMYFUNCTION("importrange(C502,Sheet3!D$1)"),"#N/A")</f>
        <v>#N/A</v>
      </c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</row>
    <row r="503">
      <c r="A503" s="103"/>
      <c r="B503" s="103"/>
      <c r="C503" s="104"/>
      <c r="D503" s="100" t="str">
        <f>IFERROR(__xludf.DUMMYFUNCTION("importrange(C503,Sheet3!D$1)"),"#N/A")</f>
        <v>#N/A</v>
      </c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</row>
    <row r="504">
      <c r="A504" s="103"/>
      <c r="B504" s="103"/>
      <c r="C504" s="104"/>
      <c r="D504" s="100" t="str">
        <f>IFERROR(__xludf.DUMMYFUNCTION("importrange(C504,Sheet3!D$1)"),"#N/A")</f>
        <v>#N/A</v>
      </c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</row>
    <row r="505">
      <c r="A505" s="103"/>
      <c r="B505" s="103"/>
      <c r="C505" s="104"/>
      <c r="D505" s="100" t="str">
        <f>IFERROR(__xludf.DUMMYFUNCTION("importrange(C505,Sheet3!D$1)"),"#N/A")</f>
        <v>#N/A</v>
      </c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</row>
    <row r="506">
      <c r="A506" s="103"/>
      <c r="B506" s="103"/>
      <c r="C506" s="104"/>
      <c r="D506" s="100" t="str">
        <f>IFERROR(__xludf.DUMMYFUNCTION("importrange(C506,Sheet3!D$1)"),"#N/A")</f>
        <v>#N/A</v>
      </c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</row>
    <row r="507">
      <c r="A507" s="103"/>
      <c r="B507" s="103"/>
      <c r="C507" s="104"/>
      <c r="D507" s="100" t="str">
        <f>IFERROR(__xludf.DUMMYFUNCTION("importrange(C507,Sheet3!D$1)"),"#N/A")</f>
        <v>#N/A</v>
      </c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</row>
    <row r="508">
      <c r="A508" s="103"/>
      <c r="B508" s="103"/>
      <c r="C508" s="104"/>
      <c r="D508" s="100" t="str">
        <f>IFERROR(__xludf.DUMMYFUNCTION("importrange(C508,Sheet3!D$1)"),"#N/A")</f>
        <v>#N/A</v>
      </c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</row>
    <row r="509">
      <c r="A509" s="103"/>
      <c r="B509" s="103"/>
      <c r="C509" s="104"/>
      <c r="D509" s="100" t="str">
        <f>IFERROR(__xludf.DUMMYFUNCTION("importrange(C509,Sheet3!D$1)"),"#N/A")</f>
        <v>#N/A</v>
      </c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</row>
    <row r="510">
      <c r="A510" s="103"/>
      <c r="B510" s="103"/>
      <c r="C510" s="104"/>
      <c r="D510" s="100" t="str">
        <f>IFERROR(__xludf.DUMMYFUNCTION("importrange(C510,Sheet3!D$1)"),"#N/A")</f>
        <v>#N/A</v>
      </c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</row>
    <row r="511">
      <c r="A511" s="103"/>
      <c r="B511" s="103"/>
      <c r="C511" s="104"/>
      <c r="D511" s="100" t="str">
        <f>IFERROR(__xludf.DUMMYFUNCTION("importrange(C511,Sheet3!D$1)"),"#N/A")</f>
        <v>#N/A</v>
      </c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</row>
    <row r="512">
      <c r="A512" s="103"/>
      <c r="B512" s="103"/>
      <c r="C512" s="104"/>
      <c r="D512" s="100" t="str">
        <f>IFERROR(__xludf.DUMMYFUNCTION("importrange(C512,Sheet3!D$1)"),"#N/A")</f>
        <v>#N/A</v>
      </c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</row>
    <row r="513">
      <c r="A513" s="103"/>
      <c r="B513" s="103"/>
      <c r="C513" s="104"/>
      <c r="D513" s="100" t="str">
        <f>IFERROR(__xludf.DUMMYFUNCTION("importrange(C513,Sheet3!D$1)"),"#N/A")</f>
        <v>#N/A</v>
      </c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</row>
    <row r="514">
      <c r="A514" s="103"/>
      <c r="B514" s="103"/>
      <c r="C514" s="104"/>
      <c r="D514" s="100" t="str">
        <f>IFERROR(__xludf.DUMMYFUNCTION("importrange(C514,Sheet3!D$1)"),"#N/A")</f>
        <v>#N/A</v>
      </c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</row>
    <row r="515">
      <c r="A515" s="103"/>
      <c r="B515" s="103"/>
      <c r="C515" s="104"/>
      <c r="D515" s="100" t="str">
        <f>IFERROR(__xludf.DUMMYFUNCTION("importrange(C515,Sheet3!D$1)"),"#N/A")</f>
        <v>#N/A</v>
      </c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</row>
    <row r="516">
      <c r="A516" s="103"/>
      <c r="B516" s="103"/>
      <c r="C516" s="104"/>
      <c r="D516" s="100" t="str">
        <f>IFERROR(__xludf.DUMMYFUNCTION("importrange(C516,Sheet3!D$1)"),"#N/A")</f>
        <v>#N/A</v>
      </c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</row>
    <row r="517">
      <c r="A517" s="103"/>
      <c r="B517" s="103"/>
      <c r="C517" s="104"/>
      <c r="D517" s="100" t="str">
        <f>IFERROR(__xludf.DUMMYFUNCTION("importrange(C517,Sheet3!D$1)"),"#N/A")</f>
        <v>#N/A</v>
      </c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</row>
    <row r="518">
      <c r="A518" s="103"/>
      <c r="B518" s="103"/>
      <c r="C518" s="104"/>
      <c r="D518" s="100" t="str">
        <f>IFERROR(__xludf.DUMMYFUNCTION("importrange(C518,Sheet3!D$1)"),"#N/A")</f>
        <v>#N/A</v>
      </c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</row>
    <row r="519">
      <c r="A519" s="103"/>
      <c r="B519" s="103"/>
      <c r="C519" s="104"/>
      <c r="D519" s="100" t="str">
        <f>IFERROR(__xludf.DUMMYFUNCTION("importrange(C519,Sheet3!D$1)"),"#N/A")</f>
        <v>#N/A</v>
      </c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</row>
    <row r="520">
      <c r="A520" s="103"/>
      <c r="B520" s="103"/>
      <c r="C520" s="104"/>
      <c r="D520" s="100" t="str">
        <f>IFERROR(__xludf.DUMMYFUNCTION("importrange(C520,Sheet3!D$1)"),"#N/A")</f>
        <v>#N/A</v>
      </c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</row>
    <row r="521">
      <c r="A521" s="103"/>
      <c r="B521" s="103"/>
      <c r="C521" s="104"/>
      <c r="D521" s="100" t="str">
        <f>IFERROR(__xludf.DUMMYFUNCTION("importrange(C521,Sheet3!D$1)"),"#N/A")</f>
        <v>#N/A</v>
      </c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</row>
    <row r="522">
      <c r="A522" s="103"/>
      <c r="B522" s="103"/>
      <c r="C522" s="104"/>
      <c r="D522" s="100" t="str">
        <f>IFERROR(__xludf.DUMMYFUNCTION("importrange(C522,Sheet3!D$1)"),"#N/A")</f>
        <v>#N/A</v>
      </c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</row>
    <row r="523">
      <c r="A523" s="103"/>
      <c r="B523" s="103"/>
      <c r="C523" s="103"/>
      <c r="D523" s="100" t="str">
        <f>IFERROR(__xludf.DUMMYFUNCTION("importrange(C523,Sheet3!D$1)"),"#N/A")</f>
        <v>#N/A</v>
      </c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</row>
    <row r="524">
      <c r="A524" s="103"/>
      <c r="B524" s="103"/>
      <c r="C524" s="103"/>
      <c r="D524" s="100" t="str">
        <f>IFERROR(__xludf.DUMMYFUNCTION("importrange(C524,Sheet3!D$1)"),"#N/A")</f>
        <v>#N/A</v>
      </c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</row>
    <row r="525">
      <c r="A525" s="103"/>
      <c r="B525" s="103"/>
      <c r="C525" s="103"/>
      <c r="D525" s="100" t="str">
        <f>IFERROR(__xludf.DUMMYFUNCTION("importrange(C525,Sheet3!D$1)"),"#N/A")</f>
        <v>#N/A</v>
      </c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</row>
    <row r="526">
      <c r="A526" s="103"/>
      <c r="B526" s="103"/>
      <c r="C526" s="103"/>
      <c r="D526" s="100" t="str">
        <f>IFERROR(__xludf.DUMMYFUNCTION("importrange(C526,Sheet3!D$1)"),"#N/A")</f>
        <v>#N/A</v>
      </c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</row>
    <row r="527">
      <c r="A527" s="103"/>
      <c r="B527" s="103"/>
      <c r="C527" s="103"/>
      <c r="D527" s="100" t="str">
        <f>IFERROR(__xludf.DUMMYFUNCTION("importrange(C527,Sheet3!D$1)"),"#N/A")</f>
        <v>#N/A</v>
      </c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</row>
    <row r="528">
      <c r="A528" s="103"/>
      <c r="B528" s="103"/>
      <c r="C528" s="103"/>
      <c r="D528" s="100" t="str">
        <f>IFERROR(__xludf.DUMMYFUNCTION("importrange(C528,Sheet3!D$1)"),"#N/A")</f>
        <v>#N/A</v>
      </c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</row>
    <row r="529">
      <c r="A529" s="103"/>
      <c r="B529" s="103"/>
      <c r="C529" s="103"/>
      <c r="D529" s="100" t="str">
        <f>IFERROR(__xludf.DUMMYFUNCTION("importrange(C529,Sheet3!D$1)"),"#N/A")</f>
        <v>#N/A</v>
      </c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</row>
    <row r="530">
      <c r="A530" s="103"/>
      <c r="B530" s="103"/>
      <c r="C530" s="103"/>
      <c r="D530" s="100" t="str">
        <f>IFERROR(__xludf.DUMMYFUNCTION("importrange(C530,Sheet3!D$1)"),"#N/A")</f>
        <v>#N/A</v>
      </c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</row>
    <row r="531">
      <c r="A531" s="103"/>
      <c r="B531" s="103"/>
      <c r="C531" s="103"/>
      <c r="D531" s="100" t="str">
        <f>IFERROR(__xludf.DUMMYFUNCTION("importrange(C531,Sheet3!D$1)"),"#N/A")</f>
        <v>#N/A</v>
      </c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</row>
    <row r="532">
      <c r="A532" s="103"/>
      <c r="B532" s="103"/>
      <c r="C532" s="103"/>
      <c r="D532" s="100" t="str">
        <f>IFERROR(__xludf.DUMMYFUNCTION("importrange(C532,Sheet3!D$1)"),"#N/A")</f>
        <v>#N/A</v>
      </c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</row>
    <row r="533">
      <c r="A533" s="103"/>
      <c r="B533" s="103"/>
      <c r="C533" s="103"/>
      <c r="D533" s="100" t="str">
        <f>IFERROR(__xludf.DUMMYFUNCTION("importrange(C533,Sheet3!D$1)"),"#N/A")</f>
        <v>#N/A</v>
      </c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</row>
    <row r="534">
      <c r="A534" s="103"/>
      <c r="B534" s="103"/>
      <c r="C534" s="103"/>
      <c r="D534" s="100" t="str">
        <f>IFERROR(__xludf.DUMMYFUNCTION("importrange(C534,Sheet3!D$1)"),"#N/A")</f>
        <v>#N/A</v>
      </c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</row>
    <row r="535">
      <c r="A535" s="103"/>
      <c r="B535" s="103"/>
      <c r="C535" s="103"/>
      <c r="D535" s="100" t="str">
        <f>IFERROR(__xludf.DUMMYFUNCTION("importrange(C535,Sheet3!D$1)"),"#N/A")</f>
        <v>#N/A</v>
      </c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</row>
    <row r="536">
      <c r="A536" s="103"/>
      <c r="B536" s="103"/>
      <c r="C536" s="103"/>
      <c r="D536" s="100" t="str">
        <f>IFERROR(__xludf.DUMMYFUNCTION("importrange(C536,Sheet3!D$1)"),"#N/A")</f>
        <v>#N/A</v>
      </c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</row>
    <row r="537">
      <c r="A537" s="103"/>
      <c r="B537" s="103"/>
      <c r="C537" s="103"/>
      <c r="D537" s="100" t="str">
        <f>IFERROR(__xludf.DUMMYFUNCTION("importrange(C537,Sheet3!D$1)"),"#N/A")</f>
        <v>#N/A</v>
      </c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</row>
    <row r="538">
      <c r="A538" s="103"/>
      <c r="B538" s="103"/>
      <c r="C538" s="103"/>
      <c r="D538" s="100" t="str">
        <f>IFERROR(__xludf.DUMMYFUNCTION("importrange(C538,Sheet3!D$1)"),"#N/A")</f>
        <v>#N/A</v>
      </c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</row>
    <row r="539">
      <c r="A539" s="103"/>
      <c r="B539" s="103"/>
      <c r="C539" s="103"/>
      <c r="D539" s="100" t="str">
        <f>IFERROR(__xludf.DUMMYFUNCTION("importrange(C539,Sheet3!D$1)"),"#N/A")</f>
        <v>#N/A</v>
      </c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</row>
    <row r="540">
      <c r="A540" s="103"/>
      <c r="B540" s="103"/>
      <c r="C540" s="103"/>
      <c r="D540" s="100" t="str">
        <f>IFERROR(__xludf.DUMMYFUNCTION("importrange(C540,Sheet3!D$1)"),"#N/A")</f>
        <v>#N/A</v>
      </c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</row>
    <row r="541">
      <c r="A541" s="103"/>
      <c r="B541" s="104"/>
      <c r="C541" s="103"/>
      <c r="D541" s="100" t="str">
        <f>IFERROR(__xludf.DUMMYFUNCTION("importrange(C541,Sheet3!D$1)"),"#N/A")</f>
        <v>#N/A</v>
      </c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</row>
    <row r="542">
      <c r="A542" s="103"/>
      <c r="B542" s="103"/>
      <c r="C542" s="103"/>
      <c r="D542" s="100" t="str">
        <f>IFERROR(__xludf.DUMMYFUNCTION("importrange(C542,Sheet3!D$1)"),"#N/A")</f>
        <v>#N/A</v>
      </c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</row>
    <row r="543">
      <c r="A543" s="103"/>
      <c r="B543" s="103"/>
      <c r="C543" s="103"/>
      <c r="D543" s="100" t="str">
        <f>IFERROR(__xludf.DUMMYFUNCTION("importrange(C543,Sheet3!D$1)"),"#N/A")</f>
        <v>#N/A</v>
      </c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</row>
    <row r="544">
      <c r="A544" s="103"/>
      <c r="B544" s="103"/>
      <c r="C544" s="103"/>
      <c r="D544" s="100" t="str">
        <f>IFERROR(__xludf.DUMMYFUNCTION("importrange(C544,Sheet3!D$1)"),"#N/A")</f>
        <v>#N/A</v>
      </c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</row>
    <row r="545">
      <c r="A545" s="103"/>
      <c r="B545" s="103"/>
      <c r="C545" s="104"/>
      <c r="D545" s="100" t="str">
        <f>IFERROR(__xludf.DUMMYFUNCTION("importrange(C545,Sheet3!D$1)"),"#N/A")</f>
        <v>#N/A</v>
      </c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</row>
    <row r="546">
      <c r="A546" s="103"/>
      <c r="B546" s="103"/>
      <c r="C546" s="103"/>
      <c r="D546" s="100" t="str">
        <f>IFERROR(__xludf.DUMMYFUNCTION("importrange(C546,Sheet3!D$1)"),"#N/A")</f>
        <v>#N/A</v>
      </c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</row>
    <row r="547">
      <c r="A547" s="103"/>
      <c r="B547" s="103"/>
      <c r="C547" s="103"/>
      <c r="D547" s="100" t="str">
        <f>IFERROR(__xludf.DUMMYFUNCTION("importrange(C547,Sheet3!D$1)"),"#N/A")</f>
        <v>#N/A</v>
      </c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</row>
    <row r="548">
      <c r="A548" s="103"/>
      <c r="B548" s="113"/>
      <c r="C548" s="103"/>
      <c r="D548" s="100" t="str">
        <f>IFERROR(__xludf.DUMMYFUNCTION("importrange(C548,Sheet3!D$1)"),"#N/A")</f>
        <v>#N/A</v>
      </c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</row>
    <row r="549">
      <c r="A549" s="103"/>
      <c r="B549" s="103"/>
      <c r="C549" s="104"/>
      <c r="D549" s="100" t="str">
        <f>IFERROR(__xludf.DUMMYFUNCTION("importrange(C549,Sheet3!D$1)"),"#N/A")</f>
        <v>#N/A</v>
      </c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</row>
    <row r="550">
      <c r="A550" s="103"/>
      <c r="B550" s="103"/>
      <c r="C550" s="103"/>
      <c r="D550" s="100" t="str">
        <f>IFERROR(__xludf.DUMMYFUNCTION("importrange(C550,Sheet3!D$1)"),"#N/A")</f>
        <v>#N/A</v>
      </c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</row>
    <row r="551">
      <c r="A551" s="103"/>
      <c r="B551" s="103"/>
      <c r="C551" s="103"/>
      <c r="D551" s="100" t="str">
        <f>IFERROR(__xludf.DUMMYFUNCTION("importrange(C551,Sheet3!D$1)"),"#N/A")</f>
        <v>#N/A</v>
      </c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</row>
    <row r="552">
      <c r="A552" s="103"/>
      <c r="B552" s="103"/>
      <c r="C552" s="104"/>
      <c r="D552" s="100" t="str">
        <f>IFERROR(__xludf.DUMMYFUNCTION("importrange(C552,Sheet3!D$1)"),"#N/A")</f>
        <v>#N/A</v>
      </c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</row>
    <row r="553">
      <c r="A553" s="103"/>
      <c r="B553" s="110"/>
      <c r="C553" s="104"/>
      <c r="D553" s="100" t="str">
        <f>IFERROR(__xludf.DUMMYFUNCTION("importrange(C553,Sheet3!D$1)"),"#N/A")</f>
        <v>#N/A</v>
      </c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</row>
    <row r="554">
      <c r="A554" s="103"/>
      <c r="B554" s="110"/>
      <c r="C554" s="104"/>
      <c r="D554" s="100" t="str">
        <f>IFERROR(__xludf.DUMMYFUNCTION("importrange(C554,Sheet3!D$1)"),"#N/A")</f>
        <v>#N/A</v>
      </c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</row>
    <row r="555">
      <c r="A555" s="103"/>
      <c r="B555" s="110"/>
      <c r="C555" s="104"/>
      <c r="D555" s="100" t="str">
        <f>IFERROR(__xludf.DUMMYFUNCTION("importrange(C555,Sheet3!D$1)"),"#N/A")</f>
        <v>#N/A</v>
      </c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</row>
    <row r="556">
      <c r="A556" s="103"/>
      <c r="B556" s="110"/>
      <c r="C556" s="104"/>
      <c r="D556" s="100" t="str">
        <f>IFERROR(__xludf.DUMMYFUNCTION("importrange(C556,Sheet3!D$1)"),"#N/A")</f>
        <v>#N/A</v>
      </c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</row>
    <row r="557">
      <c r="A557" s="103"/>
      <c r="B557" s="110"/>
      <c r="C557" s="104"/>
      <c r="D557" s="100" t="str">
        <f>IFERROR(__xludf.DUMMYFUNCTION("importrange(C557,Sheet3!D$1)"),"#N/A")</f>
        <v>#N/A</v>
      </c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</row>
    <row r="558">
      <c r="A558" s="103"/>
      <c r="B558" s="110"/>
      <c r="C558" s="104"/>
      <c r="D558" s="100" t="str">
        <f>IFERROR(__xludf.DUMMYFUNCTION("importrange(C558,Sheet3!D$1)"),"#N/A")</f>
        <v>#N/A</v>
      </c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</row>
    <row r="559">
      <c r="A559" s="103"/>
      <c r="B559" s="110"/>
      <c r="C559" s="104"/>
      <c r="D559" s="100" t="str">
        <f>IFERROR(__xludf.DUMMYFUNCTION("importrange(C559,Sheet3!D$1)"),"#N/A")</f>
        <v>#N/A</v>
      </c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</row>
    <row r="560">
      <c r="A560" s="103"/>
      <c r="B560" s="103"/>
      <c r="C560" s="104"/>
      <c r="D560" s="100" t="str">
        <f>IFERROR(__xludf.DUMMYFUNCTION("importrange(C560,Sheet3!D$1)"),"#N/A")</f>
        <v>#N/A</v>
      </c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</row>
    <row r="561">
      <c r="A561" s="103"/>
      <c r="B561" s="103"/>
      <c r="C561" s="104"/>
      <c r="D561" s="100" t="str">
        <f>IFERROR(__xludf.DUMMYFUNCTION("importrange(C561,Sheet3!D$1)"),"#N/A")</f>
        <v>#N/A</v>
      </c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</row>
    <row r="562">
      <c r="A562" s="103"/>
      <c r="B562" s="103"/>
      <c r="C562" s="104"/>
      <c r="D562" s="100" t="str">
        <f>IFERROR(__xludf.DUMMYFUNCTION("importrange(C562,Sheet3!D$1)"),"#N/A")</f>
        <v>#N/A</v>
      </c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</row>
    <row r="563">
      <c r="A563" s="103"/>
      <c r="B563" s="103"/>
      <c r="C563" s="104"/>
      <c r="D563" s="100" t="str">
        <f>IFERROR(__xludf.DUMMYFUNCTION("importrange(C563,Sheet3!D$1)"),"#N/A")</f>
        <v>#N/A</v>
      </c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</row>
    <row r="564">
      <c r="A564" s="103"/>
      <c r="B564" s="103"/>
      <c r="C564" s="104"/>
      <c r="D564" s="100" t="str">
        <f>IFERROR(__xludf.DUMMYFUNCTION("importrange(C564,Sheet3!D$1)"),"#N/A")</f>
        <v>#N/A</v>
      </c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</row>
    <row r="565">
      <c r="A565" s="103"/>
      <c r="B565" s="103"/>
      <c r="C565" s="104"/>
      <c r="D565" s="100" t="str">
        <f>IFERROR(__xludf.DUMMYFUNCTION("importrange(C565,Sheet3!D$1)"),"#N/A")</f>
        <v>#N/A</v>
      </c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</row>
    <row r="566">
      <c r="A566" s="103"/>
      <c r="B566" s="103"/>
      <c r="C566" s="104"/>
      <c r="D566" s="100" t="str">
        <f>IFERROR(__xludf.DUMMYFUNCTION("importrange(C566,Sheet3!D$1)"),"#N/A")</f>
        <v>#N/A</v>
      </c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</row>
    <row r="567">
      <c r="A567" s="103"/>
      <c r="B567" s="103"/>
      <c r="C567" s="104"/>
      <c r="D567" s="100" t="str">
        <f>IFERROR(__xludf.DUMMYFUNCTION("importrange(C567,Sheet3!D$1)"),"#N/A")</f>
        <v>#N/A</v>
      </c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</row>
    <row r="568">
      <c r="A568" s="103"/>
      <c r="B568" s="103"/>
      <c r="C568" s="104"/>
      <c r="D568" s="100" t="str">
        <f>IFERROR(__xludf.DUMMYFUNCTION("importrange(C568,Sheet3!D$1)"),"#N/A")</f>
        <v>#N/A</v>
      </c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</row>
    <row r="569">
      <c r="A569" s="103"/>
      <c r="B569" s="103"/>
      <c r="C569" s="104"/>
      <c r="D569" s="100" t="str">
        <f>IFERROR(__xludf.DUMMYFUNCTION("importrange(C569,Sheet3!D$1)"),"#N/A")</f>
        <v>#N/A</v>
      </c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</row>
    <row r="570">
      <c r="A570" s="103"/>
      <c r="B570" s="103"/>
      <c r="C570" s="104"/>
      <c r="D570" s="100" t="str">
        <f>IFERROR(__xludf.DUMMYFUNCTION("importrange(C570,Sheet3!D$1)"),"#N/A")</f>
        <v>#N/A</v>
      </c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</row>
    <row r="571">
      <c r="A571" s="103"/>
      <c r="B571" s="103"/>
      <c r="C571" s="104"/>
      <c r="D571" s="100" t="str">
        <f>IFERROR(__xludf.DUMMYFUNCTION("importrange(C571,Sheet3!D$1)"),"#N/A")</f>
        <v>#N/A</v>
      </c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</row>
    <row r="572">
      <c r="A572" s="103"/>
      <c r="B572" s="103"/>
      <c r="C572" s="104"/>
      <c r="D572" s="100" t="str">
        <f>IFERROR(__xludf.DUMMYFUNCTION("importrange(C572,Sheet3!D$1)"),"#N/A")</f>
        <v>#N/A</v>
      </c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</row>
    <row r="573">
      <c r="A573" s="103"/>
      <c r="B573" s="103"/>
      <c r="C573" s="104"/>
      <c r="D573" s="100" t="str">
        <f>IFERROR(__xludf.DUMMYFUNCTION("importrange(C573,Sheet3!D$1)"),"#N/A")</f>
        <v>#N/A</v>
      </c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</row>
    <row r="574">
      <c r="A574" s="103"/>
      <c r="B574" s="103"/>
      <c r="C574" s="104"/>
      <c r="D574" s="100" t="str">
        <f>IFERROR(__xludf.DUMMYFUNCTION("importrange(C574,Sheet3!D$1)"),"#N/A")</f>
        <v>#N/A</v>
      </c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</row>
    <row r="575">
      <c r="A575" s="103"/>
      <c r="B575" s="103"/>
      <c r="C575" s="104"/>
      <c r="D575" s="100" t="str">
        <f>IFERROR(__xludf.DUMMYFUNCTION("importrange(C575,Sheet3!D$1)"),"#N/A")</f>
        <v>#N/A</v>
      </c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</row>
    <row r="576">
      <c r="A576" s="103"/>
      <c r="B576" s="103"/>
      <c r="C576" s="104"/>
      <c r="D576" s="100" t="str">
        <f>IFERROR(__xludf.DUMMYFUNCTION("importrange(C576,Sheet3!D$1)"),"#N/A")</f>
        <v>#N/A</v>
      </c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</row>
    <row r="577">
      <c r="A577" s="103"/>
      <c r="B577" s="103"/>
      <c r="C577" s="104"/>
      <c r="D577" s="100" t="str">
        <f>IFERROR(__xludf.DUMMYFUNCTION("importrange(C577,Sheet3!D$1)"),"#N/A")</f>
        <v>#N/A</v>
      </c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</row>
    <row r="578">
      <c r="A578" s="103"/>
      <c r="B578" s="108"/>
      <c r="C578" s="104"/>
      <c r="D578" s="100" t="str">
        <f>IFERROR(__xludf.DUMMYFUNCTION("importrange(C578,Sheet3!D$1)"),"#N/A")</f>
        <v>#N/A</v>
      </c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</row>
    <row r="579">
      <c r="A579" s="103"/>
      <c r="B579" s="108"/>
      <c r="C579" s="104"/>
      <c r="D579" s="100" t="str">
        <f>IFERROR(__xludf.DUMMYFUNCTION("importrange(C579,Sheet3!D$1)"),"#N/A")</f>
        <v>#N/A</v>
      </c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</row>
    <row r="580">
      <c r="A580" s="103"/>
      <c r="B580" s="108"/>
      <c r="C580" s="104"/>
      <c r="D580" s="100" t="str">
        <f>IFERROR(__xludf.DUMMYFUNCTION("importrange(C580,Sheet3!D$1)"),"#N/A")</f>
        <v>#N/A</v>
      </c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</row>
    <row r="581">
      <c r="A581" s="103"/>
      <c r="B581" s="103"/>
      <c r="C581" s="104"/>
      <c r="D581" s="100" t="str">
        <f>IFERROR(__xludf.DUMMYFUNCTION("importrange(C581,Sheet3!D$1)"),"#N/A")</f>
        <v>#N/A</v>
      </c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</row>
    <row r="582">
      <c r="A582" s="103"/>
      <c r="B582" s="108"/>
      <c r="C582" s="104"/>
      <c r="D582" s="100" t="str">
        <f>IFERROR(__xludf.DUMMYFUNCTION("importrange(C582,Sheet3!D$1)"),"#N/A")</f>
        <v>#N/A</v>
      </c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</row>
    <row r="583">
      <c r="A583" s="103"/>
      <c r="B583" s="103"/>
      <c r="C583" s="104"/>
      <c r="D583" s="100" t="str">
        <f>IFERROR(__xludf.DUMMYFUNCTION("importrange(C583,Sheet3!D$1)"),"#N/A")</f>
        <v>#N/A</v>
      </c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</row>
    <row r="584">
      <c r="A584" s="103"/>
      <c r="B584" s="108"/>
      <c r="C584" s="104"/>
      <c r="D584" s="100" t="str">
        <f>IFERROR(__xludf.DUMMYFUNCTION("importrange(C584,Sheet3!D$1)"),"#N/A")</f>
        <v>#N/A</v>
      </c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</row>
    <row r="585">
      <c r="A585" s="103"/>
      <c r="B585" s="103"/>
      <c r="C585" s="104"/>
      <c r="D585" s="100" t="str">
        <f>IFERROR(__xludf.DUMMYFUNCTION("importrange(C585,Sheet3!D$1)"),"#N/A")</f>
        <v>#N/A</v>
      </c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</row>
    <row r="586">
      <c r="A586" s="103"/>
      <c r="B586" s="103"/>
      <c r="C586" s="104"/>
      <c r="D586" s="100" t="str">
        <f>IFERROR(__xludf.DUMMYFUNCTION("importrange(C586,Sheet3!D$1)"),"#N/A")</f>
        <v>#N/A</v>
      </c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</row>
    <row r="587">
      <c r="A587" s="103"/>
      <c r="B587" s="103"/>
      <c r="C587" s="104"/>
      <c r="D587" s="100" t="str">
        <f>IFERROR(__xludf.DUMMYFUNCTION("importrange(C587,Sheet3!D$1)"),"#N/A")</f>
        <v>#N/A</v>
      </c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</row>
    <row r="588">
      <c r="A588" s="103"/>
      <c r="B588" s="108"/>
      <c r="C588" s="104"/>
      <c r="D588" s="100" t="str">
        <f>IFERROR(__xludf.DUMMYFUNCTION("importrange(C588,Sheet3!D$1)"),"#N/A")</f>
        <v>#N/A</v>
      </c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</row>
    <row r="589">
      <c r="A589" s="103"/>
      <c r="B589" s="103"/>
      <c r="C589" s="104"/>
      <c r="D589" s="100" t="str">
        <f>IFERROR(__xludf.DUMMYFUNCTION("importrange(C589,Sheet3!D$1)"),"#N/A")</f>
        <v>#N/A</v>
      </c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</row>
    <row r="590">
      <c r="A590" s="103"/>
      <c r="B590" s="103"/>
      <c r="C590" s="104"/>
      <c r="D590" s="100" t="str">
        <f>IFERROR(__xludf.DUMMYFUNCTION("importrange(C590,Sheet3!D$1)"),"#N/A")</f>
        <v>#N/A</v>
      </c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</row>
    <row r="591">
      <c r="A591" s="103"/>
      <c r="B591" s="103"/>
      <c r="C591" s="104"/>
      <c r="D591" s="100" t="str">
        <f>IFERROR(__xludf.DUMMYFUNCTION("importrange(C591,Sheet3!D$1)"),"#N/A")</f>
        <v>#N/A</v>
      </c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</row>
    <row r="592">
      <c r="A592" s="103"/>
      <c r="B592" s="108"/>
      <c r="C592" s="104"/>
      <c r="D592" s="100" t="str">
        <f>IFERROR(__xludf.DUMMYFUNCTION("importrange(C592,Sheet3!D$1)"),"#N/A")</f>
        <v>#N/A</v>
      </c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</row>
    <row r="593">
      <c r="A593" s="103"/>
      <c r="B593" s="103"/>
      <c r="C593" s="104"/>
      <c r="D593" s="100" t="str">
        <f>IFERROR(__xludf.DUMMYFUNCTION("importrange(C593,Sheet3!D$1)"),"#N/A")</f>
        <v>#N/A</v>
      </c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</row>
    <row r="594">
      <c r="A594" s="103"/>
      <c r="B594" s="103"/>
      <c r="C594" s="104"/>
      <c r="D594" s="100" t="str">
        <f>IFERROR(__xludf.DUMMYFUNCTION("importrange(C594,Sheet3!D$1)"),"#N/A")</f>
        <v>#N/A</v>
      </c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</row>
    <row r="595">
      <c r="A595" s="103"/>
      <c r="B595" s="103"/>
      <c r="C595" s="104"/>
      <c r="D595" s="100" t="str">
        <f>IFERROR(__xludf.DUMMYFUNCTION("importrange(C595,Sheet3!D$1)"),"#N/A")</f>
        <v>#N/A</v>
      </c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</row>
    <row r="596">
      <c r="A596" s="103"/>
      <c r="B596" s="103"/>
      <c r="C596" s="104"/>
      <c r="D596" s="100" t="str">
        <f>IFERROR(__xludf.DUMMYFUNCTION("importrange(C596,Sheet3!D$1)"),"#N/A")</f>
        <v>#N/A</v>
      </c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</row>
    <row r="597">
      <c r="A597" s="103"/>
      <c r="B597" s="103"/>
      <c r="C597" s="104"/>
      <c r="D597" s="100" t="str">
        <f>IFERROR(__xludf.DUMMYFUNCTION("importrange(C597,Sheet3!D$1)"),"#N/A")</f>
        <v>#N/A</v>
      </c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</row>
    <row r="598">
      <c r="A598" s="103"/>
      <c r="B598" s="108"/>
      <c r="C598" s="104"/>
      <c r="D598" s="100" t="str">
        <f>IFERROR(__xludf.DUMMYFUNCTION("importrange(C598,Sheet3!D$1)"),"#N/A")</f>
        <v>#N/A</v>
      </c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</row>
    <row r="599">
      <c r="A599" s="103"/>
      <c r="B599" s="103"/>
      <c r="C599" s="104"/>
      <c r="D599" s="100" t="str">
        <f>IFERROR(__xludf.DUMMYFUNCTION("importrange(C599,Sheet3!D$1)"),"#N/A")</f>
        <v>#N/A</v>
      </c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</row>
    <row r="600">
      <c r="A600" s="103"/>
      <c r="B600" s="103"/>
      <c r="C600" s="104"/>
      <c r="D600" s="100" t="str">
        <f>IFERROR(__xludf.DUMMYFUNCTION("importrange(C600,Sheet3!D$1)"),"#N/A")</f>
        <v>#N/A</v>
      </c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</row>
    <row r="601">
      <c r="A601" s="103"/>
      <c r="B601" s="103"/>
      <c r="C601" s="104"/>
      <c r="D601" s="100" t="str">
        <f>IFERROR(__xludf.DUMMYFUNCTION("importrange(C601,Sheet3!D$1)"),"#N/A")</f>
        <v>#N/A</v>
      </c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</row>
    <row r="602">
      <c r="A602" s="103"/>
      <c r="B602" s="103"/>
      <c r="C602" s="104"/>
      <c r="D602" s="100" t="str">
        <f>IFERROR(__xludf.DUMMYFUNCTION("importrange(C602,Sheet3!D$1)"),"#N/A")</f>
        <v>#N/A</v>
      </c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</row>
    <row r="603">
      <c r="A603" s="95"/>
      <c r="B603" s="95"/>
      <c r="C603" s="95"/>
      <c r="D603" s="100" t="str">
        <f>IFERROR(__xludf.DUMMYFUNCTION("importrange(C603,Sheet3!D$1)"),"#N/A")</f>
        <v>#N/A</v>
      </c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</row>
    <row r="604">
      <c r="A604" s="95"/>
      <c r="B604" s="95"/>
      <c r="C604" s="95"/>
      <c r="D604" s="100" t="str">
        <f>IFERROR(__xludf.DUMMYFUNCTION("importrange(C604,Sheet3!D$1)"),"#N/A")</f>
        <v>#N/A</v>
      </c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</row>
    <row r="605">
      <c r="A605" s="95"/>
      <c r="B605" s="95"/>
      <c r="C605" s="95"/>
      <c r="D605" s="100" t="str">
        <f>IFERROR(__xludf.DUMMYFUNCTION("importrange(C605,Sheet3!D$1)"),"#N/A")</f>
        <v>#N/A</v>
      </c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</row>
    <row r="606">
      <c r="A606" s="95"/>
      <c r="B606" s="95"/>
      <c r="C606" s="95"/>
      <c r="D606" s="100" t="str">
        <f>IFERROR(__xludf.DUMMYFUNCTION("importrange(C606,Sheet3!D$1)"),"#N/A")</f>
        <v>#N/A</v>
      </c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</row>
    <row r="607">
      <c r="A607" s="95"/>
      <c r="B607" s="103"/>
      <c r="C607" s="95"/>
      <c r="D607" s="100" t="str">
        <f>IFERROR(__xludf.DUMMYFUNCTION("importrange(C607,Sheet3!D$1)"),"#N/A")</f>
        <v>#N/A</v>
      </c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</row>
    <row r="608">
      <c r="A608" s="95"/>
      <c r="B608" s="95"/>
      <c r="C608" s="95"/>
      <c r="D608" s="100" t="str">
        <f>IFERROR(__xludf.DUMMYFUNCTION("importrange(C608,Sheet3!D$1)"),"#N/A")</f>
        <v>#N/A</v>
      </c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</row>
    <row r="609">
      <c r="A609" s="95"/>
      <c r="B609" s="95"/>
      <c r="C609" s="95"/>
      <c r="D609" s="100" t="str">
        <f>IFERROR(__xludf.DUMMYFUNCTION("importrange(C609,Sheet3!D$1)"),"#N/A")</f>
        <v>#N/A</v>
      </c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</row>
    <row r="610">
      <c r="A610" s="95"/>
      <c r="B610" s="95"/>
      <c r="C610" s="95"/>
      <c r="D610" s="100" t="str">
        <f>IFERROR(__xludf.DUMMYFUNCTION("importrange(C610,Sheet3!D$1)"),"#N/A")</f>
        <v>#N/A</v>
      </c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</row>
    <row r="611">
      <c r="A611" s="95"/>
      <c r="B611" s="95"/>
      <c r="C611" s="95"/>
      <c r="D611" s="100" t="str">
        <f>IFERROR(__xludf.DUMMYFUNCTION("importrange(C611,Sheet3!D$1)"),"#N/A")</f>
        <v>#N/A</v>
      </c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</row>
    <row r="612">
      <c r="A612" s="95"/>
      <c r="B612" s="95"/>
      <c r="C612" s="95"/>
      <c r="D612" s="100" t="str">
        <f>IFERROR(__xludf.DUMMYFUNCTION("importrange(C612,Sheet3!D$1)"),"#N/A")</f>
        <v>#N/A</v>
      </c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</row>
    <row r="613">
      <c r="A613" s="95"/>
      <c r="B613" s="95"/>
      <c r="C613" s="95"/>
      <c r="D613" s="100" t="str">
        <f>IFERROR(__xludf.DUMMYFUNCTION("importrange(C613,Sheet3!D$1)"),"#N/A")</f>
        <v>#N/A</v>
      </c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</row>
    <row r="614">
      <c r="A614" s="95"/>
      <c r="B614" s="95"/>
      <c r="C614" s="95"/>
      <c r="D614" s="100" t="str">
        <f>IFERROR(__xludf.DUMMYFUNCTION("importrange(C614,Sheet3!D$1)"),"#N/A")</f>
        <v>#N/A</v>
      </c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</row>
    <row r="615">
      <c r="A615" s="95"/>
      <c r="B615" s="95"/>
      <c r="C615" s="95"/>
      <c r="D615" s="100" t="str">
        <f>IFERROR(__xludf.DUMMYFUNCTION("importrange(C615,Sheet3!D$1)"),"#N/A")</f>
        <v>#N/A</v>
      </c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</row>
    <row r="616">
      <c r="A616" s="95"/>
      <c r="B616" s="95"/>
      <c r="C616" s="95"/>
      <c r="D616" s="100" t="str">
        <f>IFERROR(__xludf.DUMMYFUNCTION("importrange(C616,Sheet3!D$1)"),"#N/A")</f>
        <v>#N/A</v>
      </c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</row>
    <row r="617">
      <c r="A617" s="95"/>
      <c r="B617" s="95"/>
      <c r="C617" s="95"/>
      <c r="D617" s="100" t="str">
        <f>IFERROR(__xludf.DUMMYFUNCTION("importrange(C617,Sheet3!D$1)"),"#N/A")</f>
        <v>#N/A</v>
      </c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</row>
    <row r="618">
      <c r="A618" s="95"/>
      <c r="B618" s="95"/>
      <c r="C618" s="95"/>
      <c r="D618" s="100" t="str">
        <f>IFERROR(__xludf.DUMMYFUNCTION("importrange(C618,Sheet3!D$1)"),"#N/A")</f>
        <v>#N/A</v>
      </c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</row>
    <row r="619">
      <c r="A619" s="95"/>
      <c r="B619" s="95"/>
      <c r="C619" s="95"/>
      <c r="D619" s="100" t="str">
        <f>IFERROR(__xludf.DUMMYFUNCTION("importrange(C619,Sheet3!D$1)"),"#N/A")</f>
        <v>#N/A</v>
      </c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</row>
    <row r="620">
      <c r="A620" s="95"/>
      <c r="B620" s="95"/>
      <c r="C620" s="95"/>
      <c r="D620" s="100" t="str">
        <f>IFERROR(__xludf.DUMMYFUNCTION("importrange(C620,Sheet3!D$1)"),"#N/A")</f>
        <v>#N/A</v>
      </c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</row>
    <row r="621">
      <c r="A621" s="95"/>
      <c r="B621" s="102"/>
      <c r="C621" s="95"/>
      <c r="D621" s="100" t="str">
        <f>IFERROR(__xludf.DUMMYFUNCTION("importrange(C621,Sheet3!D$1)"),"#N/A")</f>
        <v>#N/A</v>
      </c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</row>
    <row r="622">
      <c r="A622" s="95"/>
      <c r="B622" s="95"/>
      <c r="C622" s="95"/>
      <c r="D622" s="100" t="str">
        <f>IFERROR(__xludf.DUMMYFUNCTION("importrange(C622,Sheet3!D$1)"),"#N/A")</f>
        <v>#N/A</v>
      </c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</row>
    <row r="623">
      <c r="A623" s="95"/>
      <c r="B623" s="95"/>
      <c r="C623" s="95"/>
      <c r="D623" s="100" t="str">
        <f>IFERROR(__xludf.DUMMYFUNCTION("importrange(C623,Sheet3!D$1)"),"#N/A")</f>
        <v>#N/A</v>
      </c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</row>
    <row r="624">
      <c r="A624" s="95"/>
      <c r="B624" s="95"/>
      <c r="C624" s="95"/>
      <c r="D624" s="100" t="str">
        <f>IFERROR(__xludf.DUMMYFUNCTION("importrange(C624,Sheet3!D$1)"),"#N/A")</f>
        <v>#N/A</v>
      </c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</row>
    <row r="625">
      <c r="A625" s="95"/>
      <c r="B625" s="95"/>
      <c r="C625" s="95"/>
      <c r="D625" s="100" t="str">
        <f>IFERROR(__xludf.DUMMYFUNCTION("importrange(C625,Sheet3!D$1)"),"#N/A")</f>
        <v>#N/A</v>
      </c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</row>
    <row r="626">
      <c r="A626" s="95"/>
      <c r="B626" s="95"/>
      <c r="C626" s="95"/>
      <c r="D626" s="100" t="str">
        <f>IFERROR(__xludf.DUMMYFUNCTION("importrange(C626,Sheet3!D$1)"),"#N/A")</f>
        <v>#N/A</v>
      </c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</row>
    <row r="627">
      <c r="A627" s="95"/>
      <c r="B627" s="95"/>
      <c r="C627" s="95"/>
      <c r="D627" s="100" t="str">
        <f>IFERROR(__xludf.DUMMYFUNCTION("importrange(C627,Sheet3!D$1)"),"#N/A")</f>
        <v>#N/A</v>
      </c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</row>
    <row r="628">
      <c r="A628" s="95"/>
      <c r="B628" s="95"/>
      <c r="C628" s="95"/>
      <c r="D628" s="100" t="str">
        <f>IFERROR(__xludf.DUMMYFUNCTION("importrange(C628,Sheet3!D$1)"),"#N/A")</f>
        <v>#N/A</v>
      </c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</row>
    <row r="629">
      <c r="A629" s="95"/>
      <c r="B629" s="95"/>
      <c r="C629" s="95"/>
      <c r="D629" s="100" t="str">
        <f>IFERROR(__xludf.DUMMYFUNCTION("importrange(C629,Sheet3!D$1)"),"#N/A")</f>
        <v>#N/A</v>
      </c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</row>
    <row r="630">
      <c r="A630" s="95"/>
      <c r="B630" s="115"/>
      <c r="C630" s="95"/>
      <c r="D630" s="100" t="str">
        <f>IFERROR(__xludf.DUMMYFUNCTION("importrange(C630,Sheet3!D$1)"),"#N/A")</f>
        <v>#N/A</v>
      </c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</row>
    <row r="631">
      <c r="A631" s="95"/>
      <c r="B631" s="108"/>
      <c r="C631" s="95"/>
      <c r="D631" s="100" t="str">
        <f>IFERROR(__xludf.DUMMYFUNCTION("importrange(C631,Sheet3!D$1)"),"#N/A")</f>
        <v>#N/A</v>
      </c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</row>
    <row r="632">
      <c r="A632" s="95"/>
      <c r="B632" s="102"/>
      <c r="C632" s="95"/>
      <c r="D632" s="100" t="str">
        <f>IFERROR(__xludf.DUMMYFUNCTION("importrange(C632,Sheet3!D$1)"),"#N/A")</f>
        <v>#N/A</v>
      </c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</row>
    <row r="633">
      <c r="A633" s="95"/>
      <c r="B633" s="116"/>
      <c r="C633" s="95"/>
      <c r="D633" s="100" t="str">
        <f>IFERROR(__xludf.DUMMYFUNCTION("importrange(C633,Sheet3!D$1)"),"#N/A")</f>
        <v>#N/A</v>
      </c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</row>
    <row r="634">
      <c r="A634" s="95"/>
      <c r="B634" s="95"/>
      <c r="C634" s="95"/>
      <c r="D634" s="100" t="str">
        <f>IFERROR(__xludf.DUMMYFUNCTION("importrange(C634,Sheet3!D$1)"),"#N/A")</f>
        <v>#N/A</v>
      </c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</row>
    <row r="635">
      <c r="A635" s="95"/>
      <c r="B635" s="102"/>
      <c r="C635" s="95"/>
      <c r="D635" s="100" t="str">
        <f>IFERROR(__xludf.DUMMYFUNCTION("importrange(C635,Sheet3!D$1)"),"#N/A")</f>
        <v>#N/A</v>
      </c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</row>
    <row r="636">
      <c r="A636" s="95"/>
      <c r="B636" s="115"/>
      <c r="C636" s="95"/>
      <c r="D636" s="100" t="str">
        <f>IFERROR(__xludf.DUMMYFUNCTION("importrange(C636,Sheet3!D$1)"),"#N/A")</f>
        <v>#N/A</v>
      </c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</row>
    <row r="637">
      <c r="A637" s="95"/>
      <c r="B637" s="102"/>
      <c r="C637" s="95"/>
      <c r="D637" s="100" t="str">
        <f>IFERROR(__xludf.DUMMYFUNCTION("importrange(C637,Sheet3!D$1)"),"#N/A")</f>
        <v>#N/A</v>
      </c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</row>
    <row r="638">
      <c r="A638" s="95"/>
      <c r="B638" s="102"/>
      <c r="C638" s="95"/>
      <c r="D638" s="100" t="str">
        <f>IFERROR(__xludf.DUMMYFUNCTION("importrange(C638,Sheet3!D$1)"),"#N/A")</f>
        <v>#N/A</v>
      </c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</row>
    <row r="639">
      <c r="A639" s="95"/>
      <c r="B639" s="102"/>
      <c r="C639" s="95"/>
      <c r="D639" s="100" t="str">
        <f>IFERROR(__xludf.DUMMYFUNCTION("importrange(C639,Sheet3!D$1)"),"#N/A")</f>
        <v>#N/A</v>
      </c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</row>
    <row r="640">
      <c r="A640" s="95"/>
      <c r="B640" s="102"/>
      <c r="C640" s="95"/>
      <c r="D640" s="100" t="str">
        <f>IFERROR(__xludf.DUMMYFUNCTION("importrange(C640,Sheet3!D$1)"),"#N/A")</f>
        <v>#N/A</v>
      </c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</row>
    <row r="641">
      <c r="A641" s="95"/>
      <c r="B641" s="102"/>
      <c r="C641" s="95"/>
      <c r="D641" s="100" t="str">
        <f>IFERROR(__xludf.DUMMYFUNCTION("importrange(C641,Sheet3!D$1)"),"#N/A")</f>
        <v>#N/A</v>
      </c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</row>
    <row r="642">
      <c r="A642" s="95"/>
      <c r="B642" s="102"/>
      <c r="C642" s="95"/>
      <c r="D642" s="100" t="str">
        <f>IFERROR(__xludf.DUMMYFUNCTION("importrange(C642,Sheet3!D$1)"),"#N/A")</f>
        <v>#N/A</v>
      </c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</row>
    <row r="643">
      <c r="A643" s="95"/>
      <c r="B643" s="102"/>
      <c r="C643" s="95"/>
      <c r="D643" s="100" t="str">
        <f>IFERROR(__xludf.DUMMYFUNCTION("importrange(C643,Sheet3!D$1)"),"#N/A")</f>
        <v>#N/A</v>
      </c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</row>
    <row r="644">
      <c r="A644" s="95"/>
      <c r="B644" s="102"/>
      <c r="C644" s="95"/>
      <c r="D644" s="100" t="str">
        <f>IFERROR(__xludf.DUMMYFUNCTION("importrange(C644,Sheet3!D$1)"),"#N/A")</f>
        <v>#N/A</v>
      </c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</row>
    <row r="645">
      <c r="A645" s="95"/>
      <c r="B645" s="115"/>
      <c r="C645" s="95"/>
      <c r="D645" s="100" t="str">
        <f>IFERROR(__xludf.DUMMYFUNCTION("importrange(C645,Sheet3!D$1)"),"#N/A")</f>
        <v>#N/A</v>
      </c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</row>
    <row r="646">
      <c r="A646" s="95"/>
      <c r="B646" s="115"/>
      <c r="C646" s="95"/>
      <c r="D646" s="100" t="str">
        <f>IFERROR(__xludf.DUMMYFUNCTION("importrange(C646,Sheet3!D$1)"),"#N/A")</f>
        <v>#N/A</v>
      </c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</row>
    <row r="647">
      <c r="A647" s="95"/>
      <c r="B647" s="102"/>
      <c r="C647" s="95"/>
      <c r="D647" s="100" t="str">
        <f>IFERROR(__xludf.DUMMYFUNCTION("importrange(C647,Sheet3!D$1)"),"#N/A")</f>
        <v>#N/A</v>
      </c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</row>
    <row r="648">
      <c r="A648" s="95"/>
      <c r="B648" s="102"/>
      <c r="C648" s="95"/>
      <c r="D648" s="100" t="str">
        <f>IFERROR(__xludf.DUMMYFUNCTION("importrange(C648,Sheet3!D$1)"),"#N/A")</f>
        <v>#N/A</v>
      </c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</row>
    <row r="649">
      <c r="A649" s="95"/>
      <c r="B649" s="102"/>
      <c r="C649" s="95"/>
      <c r="D649" s="100" t="str">
        <f>IFERROR(__xludf.DUMMYFUNCTION("importrange(C649,Sheet3!D$1)"),"#N/A")</f>
        <v>#N/A</v>
      </c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</row>
    <row r="650">
      <c r="A650" s="95"/>
      <c r="B650" s="102"/>
      <c r="C650" s="95"/>
      <c r="D650" s="100" t="str">
        <f>IFERROR(__xludf.DUMMYFUNCTION("importrange(C650,Sheet3!D$1)"),"#N/A")</f>
        <v>#N/A</v>
      </c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</row>
    <row r="651">
      <c r="A651" s="95"/>
      <c r="B651" s="95"/>
      <c r="C651" s="95"/>
      <c r="D651" s="100" t="str">
        <f>IFERROR(__xludf.DUMMYFUNCTION("importrange(C651,Sheet3!D$1)"),"#N/A")</f>
        <v>#N/A</v>
      </c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</row>
    <row r="652">
      <c r="A652" s="95"/>
      <c r="B652" s="95"/>
      <c r="C652" s="95"/>
      <c r="D652" s="100" t="str">
        <f>IFERROR(__xludf.DUMMYFUNCTION("importrange(C652,Sheet3!D$1)"),"#N/A")</f>
        <v>#N/A</v>
      </c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</row>
    <row r="653">
      <c r="A653" s="95"/>
      <c r="B653" s="95"/>
      <c r="C653" s="104"/>
      <c r="D653" s="100" t="str">
        <f>IFERROR(__xludf.DUMMYFUNCTION("importrange(C653,Sheet3!D$1)"),"#N/A")</f>
        <v>#N/A</v>
      </c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</row>
    <row r="654">
      <c r="A654" s="95"/>
      <c r="B654" s="95"/>
      <c r="C654" s="104"/>
      <c r="D654" s="100" t="str">
        <f>IFERROR(__xludf.DUMMYFUNCTION("importrange(C654,Sheet3!D$1)"),"#N/A")</f>
        <v>#N/A</v>
      </c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</row>
    <row r="655">
      <c r="A655" s="95"/>
      <c r="B655" s="95"/>
      <c r="C655" s="104"/>
      <c r="D655" s="100" t="str">
        <f>IFERROR(__xludf.DUMMYFUNCTION("importrange(C655,Sheet3!D$1)"),"#N/A")</f>
        <v>#N/A</v>
      </c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</row>
    <row r="656">
      <c r="A656" s="95"/>
      <c r="B656" s="95"/>
      <c r="C656" s="104"/>
      <c r="D656" s="100" t="str">
        <f>IFERROR(__xludf.DUMMYFUNCTION("importrange(C656,Sheet3!D$1)"),"#N/A")</f>
        <v>#N/A</v>
      </c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</row>
    <row r="657">
      <c r="A657" s="95"/>
      <c r="B657" s="95"/>
      <c r="C657" s="104"/>
      <c r="D657" s="100" t="str">
        <f>IFERROR(__xludf.DUMMYFUNCTION("importrange(C657,Sheet3!D$1)"),"#N/A")</f>
        <v>#N/A</v>
      </c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</row>
    <row r="658">
      <c r="A658" s="95"/>
      <c r="B658" s="95"/>
      <c r="C658" s="104"/>
      <c r="D658" s="100" t="str">
        <f>IFERROR(__xludf.DUMMYFUNCTION("importrange(C658,Sheet3!D$1)"),"#N/A")</f>
        <v>#N/A</v>
      </c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</row>
    <row r="659">
      <c r="A659" s="95"/>
      <c r="B659" s="95"/>
      <c r="C659" s="104"/>
      <c r="D659" s="100" t="str">
        <f>IFERROR(__xludf.DUMMYFUNCTION("importrange(C659,Sheet3!D$1)"),"#N/A")</f>
        <v>#N/A</v>
      </c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</row>
    <row r="660">
      <c r="A660" s="95"/>
      <c r="B660" s="95"/>
      <c r="C660" s="104"/>
      <c r="D660" s="100" t="str">
        <f>IFERROR(__xludf.DUMMYFUNCTION("importrange(C660,Sheet3!D$1)"),"#N/A")</f>
        <v>#N/A</v>
      </c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</row>
    <row r="661">
      <c r="A661" s="95"/>
      <c r="B661" s="95"/>
      <c r="C661" s="104"/>
      <c r="D661" s="100" t="str">
        <f>IFERROR(__xludf.DUMMYFUNCTION("importrange(C661,Sheet3!D$1)"),"#N/A")</f>
        <v>#N/A</v>
      </c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</row>
    <row r="662">
      <c r="A662" s="95"/>
      <c r="B662" s="95"/>
      <c r="C662" s="104"/>
      <c r="D662" s="100" t="str">
        <f>IFERROR(__xludf.DUMMYFUNCTION("importrange(C662,Sheet3!D$1)"),"#N/A")</f>
        <v>#N/A</v>
      </c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</row>
    <row r="663">
      <c r="A663" s="95"/>
      <c r="B663" s="95"/>
      <c r="C663" s="104"/>
      <c r="D663" s="100" t="str">
        <f>IFERROR(__xludf.DUMMYFUNCTION("importrange(C663,Sheet3!D$1)"),"#N/A")</f>
        <v>#N/A</v>
      </c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</row>
    <row r="664">
      <c r="A664" s="95"/>
      <c r="B664" s="95"/>
      <c r="C664" s="104"/>
      <c r="D664" s="100" t="str">
        <f>IFERROR(__xludf.DUMMYFUNCTION("importrange(C664,Sheet3!D$1)"),"#N/A")</f>
        <v>#N/A</v>
      </c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</row>
    <row r="665">
      <c r="A665" s="95"/>
      <c r="B665" s="95"/>
      <c r="C665" s="104"/>
      <c r="D665" s="100" t="str">
        <f>IFERROR(__xludf.DUMMYFUNCTION("importrange(C665,Sheet3!D$1)"),"#N/A")</f>
        <v>#N/A</v>
      </c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</row>
    <row r="666">
      <c r="A666" s="95"/>
      <c r="B666" s="95"/>
      <c r="C666" s="104"/>
      <c r="D666" s="100" t="str">
        <f>IFERROR(__xludf.DUMMYFUNCTION("importrange(C666,Sheet3!D$1)"),"#N/A")</f>
        <v>#N/A</v>
      </c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</row>
    <row r="667">
      <c r="A667" s="95"/>
      <c r="B667" s="95"/>
      <c r="C667" s="104"/>
      <c r="D667" s="100" t="str">
        <f>IFERROR(__xludf.DUMMYFUNCTION("importrange(C667,Sheet3!D$1)"),"#N/A")</f>
        <v>#N/A</v>
      </c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</row>
    <row r="668">
      <c r="A668" s="95"/>
      <c r="B668" s="95"/>
      <c r="C668" s="104"/>
      <c r="D668" s="100" t="str">
        <f>IFERROR(__xludf.DUMMYFUNCTION("importrange(C668,Sheet3!D$1)"),"#N/A")</f>
        <v>#N/A</v>
      </c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</row>
    <row r="669">
      <c r="A669" s="95"/>
      <c r="B669" s="95"/>
      <c r="C669" s="104"/>
      <c r="D669" s="100" t="str">
        <f>IFERROR(__xludf.DUMMYFUNCTION("importrange(C669,Sheet3!D$1)"),"#N/A")</f>
        <v>#N/A</v>
      </c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</row>
    <row r="670">
      <c r="A670" s="95"/>
      <c r="B670" s="95"/>
      <c r="C670" s="104"/>
      <c r="D670" s="100" t="str">
        <f>IFERROR(__xludf.DUMMYFUNCTION("importrange(C670,Sheet3!D$1)"),"#N/A")</f>
        <v>#N/A</v>
      </c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</row>
    <row r="671">
      <c r="A671" s="95"/>
      <c r="B671" s="95"/>
      <c r="C671" s="104"/>
      <c r="D671" s="100" t="str">
        <f>IFERROR(__xludf.DUMMYFUNCTION("importrange(C671,Sheet3!D$1)"),"#N/A")</f>
        <v>#N/A</v>
      </c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</row>
    <row r="672">
      <c r="A672" s="95"/>
      <c r="B672" s="117"/>
      <c r="C672" s="104"/>
      <c r="D672" s="100" t="str">
        <f>IFERROR(__xludf.DUMMYFUNCTION("importrange(C672,Sheet3!D$1)"),"#N/A")</f>
        <v>#N/A</v>
      </c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</row>
    <row r="673">
      <c r="A673" s="95"/>
      <c r="B673" s="95"/>
      <c r="C673" s="104"/>
      <c r="D673" s="100" t="str">
        <f>IFERROR(__xludf.DUMMYFUNCTION("importrange(C673,Sheet3!D$1)"),"#N/A")</f>
        <v>#N/A</v>
      </c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</row>
    <row r="674">
      <c r="A674" s="95"/>
      <c r="B674" s="95"/>
      <c r="C674" s="104"/>
      <c r="D674" s="100" t="str">
        <f>IFERROR(__xludf.DUMMYFUNCTION("importrange(C674,Sheet3!D$1)"),"#N/A")</f>
        <v>#N/A</v>
      </c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</row>
    <row r="675">
      <c r="A675" s="95"/>
      <c r="B675" s="95"/>
      <c r="C675" s="104"/>
      <c r="D675" s="100" t="str">
        <f>IFERROR(__xludf.DUMMYFUNCTION("importrange(C675,Sheet3!D$1)"),"#N/A")</f>
        <v>#N/A</v>
      </c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</row>
    <row r="676">
      <c r="A676" s="95"/>
      <c r="B676" s="95"/>
      <c r="C676" s="104"/>
      <c r="D676" s="100" t="str">
        <f>IFERROR(__xludf.DUMMYFUNCTION("importrange(C676,Sheet3!D$1)"),"#N/A")</f>
        <v>#N/A</v>
      </c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</row>
    <row r="677">
      <c r="A677" s="95"/>
      <c r="B677" s="95"/>
      <c r="C677" s="104"/>
      <c r="D677" s="100" t="str">
        <f>IFERROR(__xludf.DUMMYFUNCTION("importrange(C677,Sheet3!D$1)"),"#N/A")</f>
        <v>#N/A</v>
      </c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</row>
    <row r="678">
      <c r="A678" s="95"/>
      <c r="B678" s="95"/>
      <c r="C678" s="104"/>
      <c r="D678" s="100" t="str">
        <f>IFERROR(__xludf.DUMMYFUNCTION("importrange(C678,Sheet3!D$1)"),"#N/A")</f>
        <v>#N/A</v>
      </c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</row>
    <row r="679">
      <c r="A679" s="95"/>
      <c r="B679" s="103"/>
      <c r="C679" s="104"/>
      <c r="D679" s="100" t="str">
        <f>IFERROR(__xludf.DUMMYFUNCTION("importrange(C679,Sheet3!D$1)"),"#N/A")</f>
        <v>#N/A</v>
      </c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</row>
    <row r="680">
      <c r="A680" s="95"/>
      <c r="B680" s="95"/>
      <c r="C680" s="104"/>
      <c r="D680" s="100" t="str">
        <f>IFERROR(__xludf.DUMMYFUNCTION("importrange(C680,Sheet3!D$1)"),"#N/A")</f>
        <v>#N/A</v>
      </c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</row>
    <row r="681">
      <c r="A681" s="95"/>
      <c r="B681" s="103"/>
      <c r="C681" s="104"/>
      <c r="D681" s="100" t="str">
        <f>IFERROR(__xludf.DUMMYFUNCTION("importrange(C681,Sheet3!D$1)"),"#N/A")</f>
        <v>#N/A</v>
      </c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</row>
    <row r="682">
      <c r="A682" s="95"/>
      <c r="B682" s="102"/>
      <c r="C682" s="104"/>
      <c r="D682" s="100" t="str">
        <f>IFERROR(__xludf.DUMMYFUNCTION("importrange(C682,Sheet3!D$1)"),"#N/A")</f>
        <v>#N/A</v>
      </c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</row>
    <row r="683">
      <c r="A683" s="95"/>
      <c r="B683" s="95"/>
      <c r="C683" s="104"/>
      <c r="D683" s="100" t="str">
        <f>IFERROR(__xludf.DUMMYFUNCTION("importrange(C683,Sheet3!D$1)"),"#N/A")</f>
        <v>#N/A</v>
      </c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</row>
    <row r="684">
      <c r="A684" s="95"/>
      <c r="B684" s="102"/>
      <c r="C684" s="104"/>
      <c r="D684" s="100" t="str">
        <f>IFERROR(__xludf.DUMMYFUNCTION("importrange(C684,Sheet3!D$1)"),"#N/A")</f>
        <v>#N/A</v>
      </c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</row>
    <row r="685">
      <c r="A685" s="95"/>
      <c r="B685" s="102"/>
      <c r="C685" s="104"/>
      <c r="D685" s="100" t="str">
        <f>IFERROR(__xludf.DUMMYFUNCTION("importrange(C685,Sheet3!D$1)"),"#N/A")</f>
        <v>#N/A</v>
      </c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</row>
    <row r="686">
      <c r="A686" s="95"/>
      <c r="B686" s="102"/>
      <c r="C686" s="104"/>
      <c r="D686" s="100" t="str">
        <f>IFERROR(__xludf.DUMMYFUNCTION("importrange(C686,Sheet3!D$1)"),"#N/A")</f>
        <v>#N/A</v>
      </c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</row>
    <row r="687">
      <c r="A687" s="95"/>
      <c r="B687" s="102"/>
      <c r="C687" s="104"/>
      <c r="D687" s="100" t="str">
        <f>IFERROR(__xludf.DUMMYFUNCTION("importrange(C687,Sheet3!D$1)"),"#N/A")</f>
        <v>#N/A</v>
      </c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</row>
    <row r="688">
      <c r="A688" s="95"/>
      <c r="B688" s="102"/>
      <c r="C688" s="104"/>
      <c r="D688" s="100" t="str">
        <f>IFERROR(__xludf.DUMMYFUNCTION("importrange(C688,Sheet3!D$1)"),"#N/A")</f>
        <v>#N/A</v>
      </c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</row>
    <row r="689">
      <c r="A689" s="95"/>
      <c r="B689" s="102"/>
      <c r="C689" s="104"/>
      <c r="D689" s="100" t="str">
        <f>IFERROR(__xludf.DUMMYFUNCTION("importrange(C689,Sheet3!D$1)"),"#N/A")</f>
        <v>#N/A</v>
      </c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</row>
    <row r="690">
      <c r="A690" s="95"/>
      <c r="B690" s="102"/>
      <c r="C690" s="104"/>
      <c r="D690" s="100" t="str">
        <f>IFERROR(__xludf.DUMMYFUNCTION("importrange(C690,Sheet3!D$1)"),"#N/A")</f>
        <v>#N/A</v>
      </c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</row>
    <row r="691">
      <c r="A691" s="95"/>
      <c r="B691" s="102"/>
      <c r="C691" s="104"/>
      <c r="D691" s="100" t="str">
        <f>IFERROR(__xludf.DUMMYFUNCTION("importrange(C691,Sheet3!D$1)"),"#N/A")</f>
        <v>#N/A</v>
      </c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</row>
    <row r="692">
      <c r="A692" s="95"/>
      <c r="B692" s="102"/>
      <c r="C692" s="104"/>
      <c r="D692" s="100" t="str">
        <f>IFERROR(__xludf.DUMMYFUNCTION("importrange(C692,Sheet3!D$1)"),"#N/A")</f>
        <v>#N/A</v>
      </c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</row>
    <row r="693">
      <c r="A693" s="95"/>
      <c r="B693" s="102"/>
      <c r="C693" s="104"/>
      <c r="D693" s="100" t="str">
        <f>IFERROR(__xludf.DUMMYFUNCTION("importrange(C693,Sheet3!D$1)"),"#N/A")</f>
        <v>#N/A</v>
      </c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</row>
    <row r="694">
      <c r="A694" s="95"/>
      <c r="B694" s="102"/>
      <c r="C694" s="104"/>
      <c r="D694" s="100" t="str">
        <f>IFERROR(__xludf.DUMMYFUNCTION("importrange(C694,Sheet3!D$1)"),"#N/A")</f>
        <v>#N/A</v>
      </c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</row>
    <row r="695">
      <c r="A695" s="95"/>
      <c r="B695" s="102"/>
      <c r="C695" s="104"/>
      <c r="D695" s="100" t="str">
        <f>IFERROR(__xludf.DUMMYFUNCTION("importrange(C695,Sheet3!D$1)"),"#N/A")</f>
        <v>#N/A</v>
      </c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</row>
    <row r="696">
      <c r="A696" s="95"/>
      <c r="B696" s="102"/>
      <c r="C696" s="104"/>
      <c r="D696" s="100" t="str">
        <f>IFERROR(__xludf.DUMMYFUNCTION("importrange(C696,Sheet3!D$1)"),"#N/A")</f>
        <v>#N/A</v>
      </c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</row>
    <row r="697">
      <c r="A697" s="95"/>
      <c r="B697" s="102"/>
      <c r="C697" s="104"/>
      <c r="D697" s="100" t="str">
        <f>IFERROR(__xludf.DUMMYFUNCTION("importrange(C697,Sheet3!D$1)"),"#N/A")</f>
        <v>#N/A</v>
      </c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</row>
    <row r="698">
      <c r="A698" s="95"/>
      <c r="B698" s="102"/>
      <c r="C698" s="104"/>
      <c r="D698" s="100" t="str">
        <f>IFERROR(__xludf.DUMMYFUNCTION("importrange(C698,Sheet3!D$1)"),"#N/A")</f>
        <v>#N/A</v>
      </c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</row>
    <row r="699">
      <c r="A699" s="95"/>
      <c r="B699" s="95"/>
      <c r="C699" s="104"/>
      <c r="D699" s="100" t="str">
        <f>IFERROR(__xludf.DUMMYFUNCTION("importrange(C699,Sheet3!D$1)"),"#N/A")</f>
        <v>#N/A</v>
      </c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</row>
    <row r="700">
      <c r="A700" s="95"/>
      <c r="B700" s="95"/>
      <c r="C700" s="104"/>
      <c r="D700" s="100" t="str">
        <f>IFERROR(__xludf.DUMMYFUNCTION("importrange(C700,Sheet3!D$1)"),"#N/A")</f>
        <v>#N/A</v>
      </c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</row>
    <row r="701">
      <c r="A701" s="95"/>
      <c r="B701" s="95"/>
      <c r="C701" s="104"/>
      <c r="D701" s="100" t="str">
        <f>IFERROR(__xludf.DUMMYFUNCTION("importrange(C701,Sheet3!D$1)"),"#N/A")</f>
        <v>#N/A</v>
      </c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</row>
    <row r="702">
      <c r="A702" s="95"/>
      <c r="B702" s="95"/>
      <c r="C702" s="104"/>
      <c r="D702" s="100" t="str">
        <f>IFERROR(__xludf.DUMMYFUNCTION("importrange(C702,Sheet3!D$1)"),"#N/A")</f>
        <v>#N/A</v>
      </c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</row>
    <row r="703">
      <c r="A703" s="95"/>
      <c r="B703" s="108"/>
      <c r="C703" s="95"/>
      <c r="D703" s="100" t="str">
        <f>IFERROR(__xludf.DUMMYFUNCTION("importrange(C703,Sheet3!D$1)"),"#N/A")</f>
        <v>#N/A</v>
      </c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</row>
    <row r="704">
      <c r="A704" s="95"/>
      <c r="B704" s="108"/>
      <c r="C704" s="95"/>
      <c r="D704" s="100" t="str">
        <f>IFERROR(__xludf.DUMMYFUNCTION("importrange(C704,Sheet3!D$1)"),"#N/A")</f>
        <v>#N/A</v>
      </c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</row>
    <row r="705">
      <c r="A705" s="95"/>
      <c r="B705" s="95"/>
      <c r="C705" s="95"/>
      <c r="D705" s="100" t="str">
        <f>IFERROR(__xludf.DUMMYFUNCTION("importrange(C705,Sheet3!D$1)"),"#N/A")</f>
        <v>#N/A</v>
      </c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</row>
    <row r="706">
      <c r="A706" s="95"/>
      <c r="B706" s="95"/>
      <c r="C706" s="95"/>
      <c r="D706" s="100" t="str">
        <f>IFERROR(__xludf.DUMMYFUNCTION("importrange(C706,Sheet3!D$1)"),"#N/A")</f>
        <v>#N/A</v>
      </c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</row>
    <row r="707">
      <c r="A707" s="95"/>
      <c r="B707" s="95"/>
      <c r="C707" s="95"/>
      <c r="D707" s="100" t="str">
        <f>IFERROR(__xludf.DUMMYFUNCTION("importrange(C707,Sheet3!D$1)"),"#N/A")</f>
        <v>#N/A</v>
      </c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</row>
    <row r="708">
      <c r="A708" s="95"/>
      <c r="B708" s="95"/>
      <c r="C708" s="95"/>
      <c r="D708" s="100" t="str">
        <f>IFERROR(__xludf.DUMMYFUNCTION("importrange(C708,Sheet3!D$1)"),"#N/A")</f>
        <v>#N/A</v>
      </c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</row>
    <row r="709">
      <c r="A709" s="95"/>
      <c r="B709" s="95"/>
      <c r="C709" s="95"/>
      <c r="D709" s="100" t="str">
        <f>IFERROR(__xludf.DUMMYFUNCTION("importrange(C709,Sheet3!D$1)"),"#N/A")</f>
        <v>#N/A</v>
      </c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</row>
    <row r="710">
      <c r="A710" s="95"/>
      <c r="B710" s="95"/>
      <c r="C710" s="95"/>
      <c r="D710" s="100" t="str">
        <f>IFERROR(__xludf.DUMMYFUNCTION("importrange(C710,Sheet3!D$1)"),"#N/A")</f>
        <v>#N/A</v>
      </c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</row>
    <row r="711">
      <c r="A711" s="95"/>
      <c r="B711" s="95"/>
      <c r="C711" s="95"/>
      <c r="D711" s="100" t="str">
        <f>IFERROR(__xludf.DUMMYFUNCTION("importrange(C711,Sheet3!D$1)"),"#N/A")</f>
        <v>#N/A</v>
      </c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</row>
    <row r="712">
      <c r="A712" s="95"/>
      <c r="B712" s="95"/>
      <c r="C712" s="95"/>
      <c r="D712" s="100" t="str">
        <f>IFERROR(__xludf.DUMMYFUNCTION("importrange(C712,Sheet3!D$1)"),"#N/A")</f>
        <v>#N/A</v>
      </c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</row>
    <row r="713">
      <c r="A713" s="95"/>
      <c r="B713" s="95"/>
      <c r="C713" s="95"/>
      <c r="D713" s="100" t="str">
        <f>IFERROR(__xludf.DUMMYFUNCTION("importrange(C713,Sheet3!D$1)"),"#N/A")</f>
        <v>#N/A</v>
      </c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</row>
    <row r="714">
      <c r="A714" s="95"/>
      <c r="B714" s="95"/>
      <c r="C714" s="95"/>
      <c r="D714" s="100" t="str">
        <f>IFERROR(__xludf.DUMMYFUNCTION("importrange(C714,Sheet3!D$1)"),"#N/A")</f>
        <v>#N/A</v>
      </c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</row>
    <row r="715">
      <c r="A715" s="95"/>
      <c r="B715" s="95"/>
      <c r="C715" s="95"/>
      <c r="D715" s="100" t="str">
        <f>IFERROR(__xludf.DUMMYFUNCTION("importrange(C715,Sheet3!D$1)"),"#N/A")</f>
        <v>#N/A</v>
      </c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</row>
    <row r="716">
      <c r="A716" s="95"/>
      <c r="B716" s="95"/>
      <c r="C716" s="95"/>
      <c r="D716" s="100" t="str">
        <f>IFERROR(__xludf.DUMMYFUNCTION("importrange(C716,Sheet3!D$1)"),"#N/A")</f>
        <v>#N/A</v>
      </c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</row>
    <row r="717">
      <c r="A717" s="95"/>
      <c r="B717" s="95"/>
      <c r="C717" s="95"/>
      <c r="D717" s="100" t="str">
        <f>IFERROR(__xludf.DUMMYFUNCTION("importrange(C717,Sheet3!D$1)"),"#N/A")</f>
        <v>#N/A</v>
      </c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</row>
    <row r="718">
      <c r="A718" s="95"/>
      <c r="B718" s="95"/>
      <c r="C718" s="95"/>
      <c r="D718" s="100" t="str">
        <f>IFERROR(__xludf.DUMMYFUNCTION("importrange(C718,Sheet3!D$1)"),"#N/A")</f>
        <v>#N/A</v>
      </c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</row>
    <row r="719">
      <c r="A719" s="95"/>
      <c r="B719" s="95"/>
      <c r="C719" s="95"/>
      <c r="D719" s="100" t="str">
        <f>IFERROR(__xludf.DUMMYFUNCTION("importrange(C719,Sheet3!D$1)"),"#N/A")</f>
        <v>#N/A</v>
      </c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</row>
    <row r="720">
      <c r="A720" s="95"/>
      <c r="B720" s="95"/>
      <c r="C720" s="95"/>
      <c r="D720" s="100" t="str">
        <f>IFERROR(__xludf.DUMMYFUNCTION("importrange(C720,Sheet3!D$1)"),"#N/A")</f>
        <v>#N/A</v>
      </c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</row>
    <row r="721">
      <c r="A721" s="95"/>
      <c r="B721" s="95"/>
      <c r="C721" s="95"/>
      <c r="D721" s="100" t="str">
        <f>IFERROR(__xludf.DUMMYFUNCTION("importrange(C721,Sheet3!D$1)"),"#N/A")</f>
        <v>#N/A</v>
      </c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</row>
    <row r="722">
      <c r="A722" s="95"/>
      <c r="B722" s="104"/>
      <c r="C722" s="95"/>
      <c r="D722" s="100" t="str">
        <f>IFERROR(__xludf.DUMMYFUNCTION("importrange(C722,Sheet3!D$1)"),"#N/A")</f>
        <v>#N/A</v>
      </c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</row>
    <row r="723">
      <c r="A723" s="95"/>
      <c r="B723" s="104"/>
      <c r="C723" s="95"/>
      <c r="D723" s="100" t="str">
        <f>IFERROR(__xludf.DUMMYFUNCTION("importrange(C723,Sheet3!D$1)"),"#N/A")</f>
        <v>#N/A</v>
      </c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</row>
    <row r="724">
      <c r="A724" s="95"/>
      <c r="B724" s="104"/>
      <c r="C724" s="95"/>
      <c r="D724" s="100" t="str">
        <f>IFERROR(__xludf.DUMMYFUNCTION("importrange(C724,Sheet3!D$1)"),"#N/A")</f>
        <v>#N/A</v>
      </c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</row>
    <row r="725">
      <c r="A725" s="95"/>
      <c r="B725" s="104"/>
      <c r="C725" s="95"/>
      <c r="D725" s="100" t="str">
        <f>IFERROR(__xludf.DUMMYFUNCTION("importrange(C725,Sheet3!D$1)"),"#N/A")</f>
        <v>#N/A</v>
      </c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</row>
    <row r="726">
      <c r="A726" s="95"/>
      <c r="B726" s="104"/>
      <c r="C726" s="95"/>
      <c r="D726" s="100" t="str">
        <f>IFERROR(__xludf.DUMMYFUNCTION("importrange(C726,Sheet3!D$1)"),"#N/A")</f>
        <v>#N/A</v>
      </c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</row>
    <row r="727">
      <c r="A727" s="95"/>
      <c r="B727" s="104"/>
      <c r="C727" s="95"/>
      <c r="D727" s="100" t="str">
        <f>IFERROR(__xludf.DUMMYFUNCTION("importrange(C727,Sheet3!D$1)"),"#N/A")</f>
        <v>#N/A</v>
      </c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</row>
    <row r="728">
      <c r="A728" s="95"/>
      <c r="B728" s="104"/>
      <c r="C728" s="95"/>
      <c r="D728" s="100" t="str">
        <f>IFERROR(__xludf.DUMMYFUNCTION("importrange(C728,Sheet3!D$1)"),"#N/A")</f>
        <v>#N/A</v>
      </c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</row>
    <row r="729">
      <c r="A729" s="95"/>
      <c r="B729" s="104"/>
      <c r="C729" s="95"/>
      <c r="D729" s="100" t="str">
        <f>IFERROR(__xludf.DUMMYFUNCTION("importrange(C729,Sheet3!D$1)"),"#N/A")</f>
        <v>#N/A</v>
      </c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</row>
    <row r="730">
      <c r="A730" s="95"/>
      <c r="B730" s="104"/>
      <c r="C730" s="95"/>
      <c r="D730" s="100" t="str">
        <f>IFERROR(__xludf.DUMMYFUNCTION("importrange(C730,Sheet3!D$1)"),"#N/A")</f>
        <v>#N/A</v>
      </c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</row>
    <row r="731">
      <c r="A731" s="95"/>
      <c r="B731" s="118"/>
      <c r="C731" s="95"/>
      <c r="D731" s="100" t="str">
        <f>IFERROR(__xludf.DUMMYFUNCTION("importrange(C731,Sheet3!D$1)"),"#N/A")</f>
        <v>#N/A</v>
      </c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</row>
    <row r="732">
      <c r="A732" s="95"/>
      <c r="B732" s="104"/>
      <c r="C732" s="95"/>
      <c r="D732" s="100" t="str">
        <f>IFERROR(__xludf.DUMMYFUNCTION("importrange(C732,Sheet3!D$1)"),"#N/A")</f>
        <v>#N/A</v>
      </c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</row>
    <row r="733">
      <c r="A733" s="95"/>
      <c r="B733" s="104"/>
      <c r="C733" s="95"/>
      <c r="D733" s="100" t="str">
        <f>IFERROR(__xludf.DUMMYFUNCTION("importrange(C733,Sheet3!D$1)"),"#N/A")</f>
        <v>#N/A</v>
      </c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</row>
    <row r="734">
      <c r="A734" s="95"/>
      <c r="B734" s="104"/>
      <c r="C734" s="95"/>
      <c r="D734" s="100" t="str">
        <f>IFERROR(__xludf.DUMMYFUNCTION("importrange(C734,Sheet3!D$1)"),"#N/A")</f>
        <v>#N/A</v>
      </c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</row>
    <row r="735">
      <c r="A735" s="95"/>
      <c r="B735" s="104"/>
      <c r="C735" s="95"/>
      <c r="D735" s="100" t="str">
        <f>IFERROR(__xludf.DUMMYFUNCTION("importrange(C735,Sheet3!D$1)"),"#N/A")</f>
        <v>#N/A</v>
      </c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</row>
    <row r="736">
      <c r="A736" s="95"/>
      <c r="B736" s="119"/>
      <c r="C736" s="95"/>
      <c r="D736" s="100" t="str">
        <f>IFERROR(__xludf.DUMMYFUNCTION("importrange(C736,Sheet3!D$1)"),"#N/A")</f>
        <v>#N/A</v>
      </c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</row>
    <row r="737">
      <c r="A737" s="95"/>
      <c r="B737" s="119"/>
      <c r="C737" s="95"/>
      <c r="D737" s="100" t="str">
        <f>IFERROR(__xludf.DUMMYFUNCTION("importrange(C737,Sheet3!D$1)"),"#N/A")</f>
        <v>#N/A</v>
      </c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</row>
    <row r="738">
      <c r="A738" s="95"/>
      <c r="B738" s="119"/>
      <c r="C738" s="95"/>
      <c r="D738" s="100" t="str">
        <f>IFERROR(__xludf.DUMMYFUNCTION("importrange(C738,Sheet3!D$1)"),"#N/A")</f>
        <v>#N/A</v>
      </c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</row>
    <row r="739">
      <c r="A739" s="95"/>
      <c r="B739" s="119"/>
      <c r="C739" s="95"/>
      <c r="D739" s="100" t="str">
        <f>IFERROR(__xludf.DUMMYFUNCTION("importrange(C739,Sheet3!D$1)"),"#N/A")</f>
        <v>#N/A</v>
      </c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</row>
    <row r="740">
      <c r="A740" s="95"/>
      <c r="B740" s="119"/>
      <c r="C740" s="95"/>
      <c r="D740" s="100" t="str">
        <f>IFERROR(__xludf.DUMMYFUNCTION("importrange(C740,Sheet3!D$1)"),"#N/A")</f>
        <v>#N/A</v>
      </c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</row>
    <row r="741">
      <c r="A741" s="95"/>
      <c r="B741" s="119"/>
      <c r="C741" s="95"/>
      <c r="D741" s="100" t="str">
        <f>IFERROR(__xludf.DUMMYFUNCTION("importrange(C741,Sheet3!D$1)"),"#N/A")</f>
        <v>#N/A</v>
      </c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</row>
    <row r="742">
      <c r="A742" s="95"/>
      <c r="B742" s="119"/>
      <c r="C742" s="95"/>
      <c r="D742" s="100" t="str">
        <f>IFERROR(__xludf.DUMMYFUNCTION("importrange(C742,Sheet3!D$1)"),"#N/A")</f>
        <v>#N/A</v>
      </c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</row>
    <row r="743">
      <c r="A743" s="95"/>
      <c r="B743" s="119"/>
      <c r="C743" s="95"/>
      <c r="D743" s="100" t="str">
        <f>IFERROR(__xludf.DUMMYFUNCTION("importrange(C743,Sheet3!D$1)"),"#N/A")</f>
        <v>#N/A</v>
      </c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</row>
    <row r="744">
      <c r="A744" s="95"/>
      <c r="B744" s="119"/>
      <c r="C744" s="95"/>
      <c r="D744" s="100" t="str">
        <f>IFERROR(__xludf.DUMMYFUNCTION("importrange(C744,Sheet3!D$1)"),"#N/A")</f>
        <v>#N/A</v>
      </c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</row>
    <row r="745">
      <c r="A745" s="95"/>
      <c r="B745" s="119"/>
      <c r="C745" s="95"/>
      <c r="D745" s="100" t="str">
        <f>IFERROR(__xludf.DUMMYFUNCTION("importrange(C745,Sheet3!D$1)"),"#N/A")</f>
        <v>#N/A</v>
      </c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</row>
    <row r="746">
      <c r="A746" s="95"/>
      <c r="B746" s="119"/>
      <c r="C746" s="95"/>
      <c r="D746" s="100" t="str">
        <f>IFERROR(__xludf.DUMMYFUNCTION("importrange(C746,Sheet3!D$1)"),"#N/A")</f>
        <v>#N/A</v>
      </c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</row>
    <row r="747">
      <c r="A747" s="95"/>
      <c r="B747" s="119"/>
      <c r="C747" s="95"/>
      <c r="D747" s="100" t="str">
        <f>IFERROR(__xludf.DUMMYFUNCTION("importrange(C747,Sheet3!D$1)"),"#N/A")</f>
        <v>#N/A</v>
      </c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</row>
    <row r="748">
      <c r="A748" s="95"/>
      <c r="B748" s="119"/>
      <c r="C748" s="95"/>
      <c r="D748" s="100" t="str">
        <f>IFERROR(__xludf.DUMMYFUNCTION("importrange(C748,Sheet3!D$1)"),"#N/A")</f>
        <v>#N/A</v>
      </c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</row>
    <row r="749">
      <c r="A749" s="95"/>
      <c r="B749" s="119"/>
      <c r="C749" s="95"/>
      <c r="D749" s="100" t="str">
        <f>IFERROR(__xludf.DUMMYFUNCTION("importrange(C749,Sheet3!D$1)"),"#N/A")</f>
        <v>#N/A</v>
      </c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</row>
    <row r="750">
      <c r="A750" s="95"/>
      <c r="B750" s="119"/>
      <c r="C750" s="95"/>
      <c r="D750" s="100" t="str">
        <f>IFERROR(__xludf.DUMMYFUNCTION("importrange(C750,Sheet3!D$1)"),"#N/A")</f>
        <v>#N/A</v>
      </c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</row>
    <row r="751">
      <c r="A751" s="95"/>
      <c r="B751" s="119"/>
      <c r="C751" s="95"/>
      <c r="D751" s="100" t="str">
        <f>IFERROR(__xludf.DUMMYFUNCTION("importrange(C751,Sheet3!D$1)"),"#N/A")</f>
        <v>#N/A</v>
      </c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</row>
    <row r="752">
      <c r="A752" s="95"/>
      <c r="B752" s="119"/>
      <c r="C752" s="95"/>
      <c r="D752" s="100" t="str">
        <f>IFERROR(__xludf.DUMMYFUNCTION("importrange(C752,Sheet3!D$1)"),"#N/A")</f>
        <v>#N/A</v>
      </c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</row>
    <row r="753">
      <c r="A753" s="95"/>
      <c r="B753" s="119"/>
      <c r="C753" s="95"/>
      <c r="D753" s="100" t="str">
        <f>IFERROR(__xludf.DUMMYFUNCTION("importrange(C753,Sheet3!D$1)"),"#N/A")</f>
        <v>#N/A</v>
      </c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</row>
    <row r="754">
      <c r="A754" s="95"/>
      <c r="B754" s="119"/>
      <c r="C754" s="95"/>
      <c r="D754" s="100" t="str">
        <f>IFERROR(__xludf.DUMMYFUNCTION("importrange(C754,Sheet3!D$1)"),"#N/A")</f>
        <v>#N/A</v>
      </c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</row>
    <row r="755">
      <c r="A755" s="95"/>
      <c r="B755" s="119"/>
      <c r="C755" s="95"/>
      <c r="D755" s="100" t="str">
        <f>IFERROR(__xludf.DUMMYFUNCTION("importrange(C755,Sheet3!D$1)"),"#N/A")</f>
        <v>#N/A</v>
      </c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</row>
    <row r="756">
      <c r="A756" s="95"/>
      <c r="B756" s="119"/>
      <c r="C756" s="95"/>
      <c r="D756" s="100" t="str">
        <f>IFERROR(__xludf.DUMMYFUNCTION("importrange(C756,Sheet3!D$1)"),"#N/A")</f>
        <v>#N/A</v>
      </c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</row>
    <row r="757">
      <c r="A757" s="95"/>
      <c r="B757" s="119"/>
      <c r="C757" s="95"/>
      <c r="D757" s="100" t="str">
        <f>IFERROR(__xludf.DUMMYFUNCTION("importrange(C757,Sheet3!D$1)"),"#N/A")</f>
        <v>#N/A</v>
      </c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</row>
    <row r="758">
      <c r="A758" s="95"/>
      <c r="B758" s="119"/>
      <c r="C758" s="95"/>
      <c r="D758" s="100" t="str">
        <f>IFERROR(__xludf.DUMMYFUNCTION("importrange(C758,Sheet3!D$1)"),"#N/A")</f>
        <v>#N/A</v>
      </c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</row>
    <row r="759">
      <c r="A759" s="95"/>
      <c r="B759" s="119"/>
      <c r="C759" s="95"/>
      <c r="D759" s="100" t="str">
        <f>IFERROR(__xludf.DUMMYFUNCTION("importrange(C759,Sheet3!D$1)"),"#N/A")</f>
        <v>#N/A</v>
      </c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</row>
    <row r="760">
      <c r="A760" s="95"/>
      <c r="B760" s="119"/>
      <c r="C760" s="95"/>
      <c r="D760" s="100" t="str">
        <f>IFERROR(__xludf.DUMMYFUNCTION("importrange(C760,Sheet3!D$1)"),"#N/A")</f>
        <v>#N/A</v>
      </c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</row>
    <row r="761">
      <c r="A761" s="95"/>
      <c r="B761" s="119"/>
      <c r="C761" s="95"/>
      <c r="D761" s="100" t="str">
        <f>IFERROR(__xludf.DUMMYFUNCTION("importrange(C761,Sheet3!D$1)"),"#N/A")</f>
        <v>#N/A</v>
      </c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</row>
    <row r="762">
      <c r="A762" s="95"/>
      <c r="B762" s="104"/>
      <c r="C762" s="95"/>
      <c r="D762" s="100" t="str">
        <f>IFERROR(__xludf.DUMMYFUNCTION("importrange(C762,Sheet3!D$1)"),"#N/A")</f>
        <v>#N/A</v>
      </c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</row>
    <row r="763">
      <c r="A763" s="95"/>
      <c r="B763" s="104"/>
      <c r="C763" s="95"/>
      <c r="D763" s="100" t="str">
        <f>IFERROR(__xludf.DUMMYFUNCTION("importrange(C763,Sheet3!D$1)"),"#N/A")</f>
        <v>#N/A</v>
      </c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</row>
    <row r="764">
      <c r="A764" s="95"/>
      <c r="B764" s="104"/>
      <c r="C764" s="95"/>
      <c r="D764" s="100" t="str">
        <f>IFERROR(__xludf.DUMMYFUNCTION("importrange(C764,Sheet3!D$1)"),"#N/A")</f>
        <v>#N/A</v>
      </c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</row>
    <row r="765">
      <c r="A765" s="95"/>
      <c r="B765" s="104"/>
      <c r="C765" s="95"/>
      <c r="D765" s="100" t="str">
        <f>IFERROR(__xludf.DUMMYFUNCTION("importrange(C765,Sheet3!D$1)"),"#N/A")</f>
        <v>#N/A</v>
      </c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</row>
    <row r="766">
      <c r="A766" s="95"/>
      <c r="B766" s="104"/>
      <c r="C766" s="95"/>
      <c r="D766" s="100" t="str">
        <f>IFERROR(__xludf.DUMMYFUNCTION("importrange(C766,Sheet3!D$1)"),"#N/A")</f>
        <v>#N/A</v>
      </c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</row>
    <row r="767">
      <c r="A767" s="95"/>
      <c r="B767" s="104"/>
      <c r="C767" s="95"/>
      <c r="D767" s="100" t="str">
        <f>IFERROR(__xludf.DUMMYFUNCTION("importrange(C767,Sheet3!D$1)"),"#N/A")</f>
        <v>#N/A</v>
      </c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</row>
    <row r="768">
      <c r="A768" s="95"/>
      <c r="B768" s="104"/>
      <c r="C768" s="95"/>
      <c r="D768" s="100" t="str">
        <f>IFERROR(__xludf.DUMMYFUNCTION("importrange(C768,Sheet3!D$1)"),"#N/A")</f>
        <v>#N/A</v>
      </c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</row>
    <row r="769">
      <c r="A769" s="95"/>
      <c r="B769" s="104"/>
      <c r="C769" s="95"/>
      <c r="D769" s="100" t="str">
        <f>IFERROR(__xludf.DUMMYFUNCTION("importrange(C769,Sheet3!D$1)"),"#N/A")</f>
        <v>#N/A</v>
      </c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</row>
    <row r="770">
      <c r="A770" s="95"/>
      <c r="B770" s="104"/>
      <c r="C770" s="95"/>
      <c r="D770" s="100" t="str">
        <f>IFERROR(__xludf.DUMMYFUNCTION("importrange(C770,Sheet3!D$1)"),"#N/A")</f>
        <v>#N/A</v>
      </c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</row>
    <row r="771">
      <c r="A771" s="95"/>
      <c r="B771" s="104"/>
      <c r="C771" s="95"/>
      <c r="D771" s="100" t="str">
        <f>IFERROR(__xludf.DUMMYFUNCTION("importrange(C771,Sheet3!D$1)"),"#N/A")</f>
        <v>#N/A</v>
      </c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</row>
    <row r="772">
      <c r="A772" s="95"/>
      <c r="B772" s="104"/>
      <c r="C772" s="95"/>
      <c r="D772" s="100" t="str">
        <f>IFERROR(__xludf.DUMMYFUNCTION("importrange(C772,Sheet3!D$1)"),"#N/A")</f>
        <v>#N/A</v>
      </c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</row>
    <row r="773">
      <c r="A773" s="95"/>
      <c r="B773" s="104"/>
      <c r="C773" s="95"/>
      <c r="D773" s="100" t="str">
        <f>IFERROR(__xludf.DUMMYFUNCTION("importrange(C773,Sheet3!D$1)"),"#N/A")</f>
        <v>#N/A</v>
      </c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</row>
    <row r="774">
      <c r="A774" s="95"/>
      <c r="B774" s="104"/>
      <c r="C774" s="95"/>
      <c r="D774" s="100" t="str">
        <f>IFERROR(__xludf.DUMMYFUNCTION("importrange(C774,Sheet3!D$1)"),"#N/A")</f>
        <v>#N/A</v>
      </c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</row>
    <row r="775">
      <c r="A775" s="95"/>
      <c r="B775" s="104"/>
      <c r="C775" s="95"/>
      <c r="D775" s="100" t="str">
        <f>IFERROR(__xludf.DUMMYFUNCTION("importrange(C775,Sheet3!D$1)"),"#N/A")</f>
        <v>#N/A</v>
      </c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</row>
    <row r="776">
      <c r="A776" s="95"/>
      <c r="B776" s="104"/>
      <c r="C776" s="95"/>
      <c r="D776" s="100" t="str">
        <f>IFERROR(__xludf.DUMMYFUNCTION("importrange(C776,Sheet3!D$1)"),"#N/A")</f>
        <v>#N/A</v>
      </c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</row>
    <row r="777">
      <c r="A777" s="95"/>
      <c r="B777" s="104"/>
      <c r="C777" s="95"/>
      <c r="D777" s="100" t="str">
        <f>IFERROR(__xludf.DUMMYFUNCTION("importrange(C777,Sheet3!D$1)"),"#N/A")</f>
        <v>#N/A</v>
      </c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</row>
    <row r="778">
      <c r="A778" s="95"/>
      <c r="B778" s="104"/>
      <c r="C778" s="95"/>
      <c r="D778" s="100" t="str">
        <f>IFERROR(__xludf.DUMMYFUNCTION("importrange(C778,Sheet3!D$1)"),"#N/A")</f>
        <v>#N/A</v>
      </c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</row>
    <row r="779">
      <c r="A779" s="95"/>
      <c r="B779" s="104"/>
      <c r="C779" s="95"/>
      <c r="D779" s="100" t="str">
        <f>IFERROR(__xludf.DUMMYFUNCTION("importrange(C779,Sheet3!D$1)"),"#N/A")</f>
        <v>#N/A</v>
      </c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</row>
    <row r="780">
      <c r="A780" s="95"/>
      <c r="B780" s="104"/>
      <c r="C780" s="95"/>
      <c r="D780" s="100" t="str">
        <f>IFERROR(__xludf.DUMMYFUNCTION("importrange(C780,Sheet3!D$1)"),"#N/A")</f>
        <v>#N/A</v>
      </c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</row>
    <row r="781">
      <c r="A781" s="95"/>
      <c r="B781" s="104"/>
      <c r="C781" s="95"/>
      <c r="D781" s="100" t="str">
        <f>IFERROR(__xludf.DUMMYFUNCTION("importrange(C781,Sheet3!D$1)"),"#N/A")</f>
        <v>#N/A</v>
      </c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</row>
    <row r="782">
      <c r="A782" s="95"/>
      <c r="B782" s="104"/>
      <c r="C782" s="95"/>
      <c r="D782" s="100" t="str">
        <f>IFERROR(__xludf.DUMMYFUNCTION("importrange(C782,Sheet3!D$1)"),"#N/A")</f>
        <v>#N/A</v>
      </c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</row>
    <row r="783">
      <c r="A783" s="95"/>
      <c r="B783" s="104"/>
      <c r="C783" s="95"/>
      <c r="D783" s="100" t="str">
        <f>IFERROR(__xludf.DUMMYFUNCTION("importrange(C783,Sheet3!D$1)"),"#N/A")</f>
        <v>#N/A</v>
      </c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</row>
    <row r="784">
      <c r="A784" s="95"/>
      <c r="B784" s="120"/>
      <c r="C784" s="95"/>
      <c r="D784" s="100" t="str">
        <f>IFERROR(__xludf.DUMMYFUNCTION("importrange(C784,Sheet3!D$1)"),"#N/A")</f>
        <v>#N/A</v>
      </c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</row>
    <row r="785">
      <c r="A785" s="95"/>
      <c r="B785" s="119"/>
      <c r="C785" s="95"/>
      <c r="D785" s="100" t="str">
        <f>IFERROR(__xludf.DUMMYFUNCTION("importrange(C785,Sheet3!D$1)"),"#N/A")</f>
        <v>#N/A</v>
      </c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</row>
    <row r="786">
      <c r="A786" s="95"/>
      <c r="B786" s="119"/>
      <c r="C786" s="95"/>
      <c r="D786" s="100" t="str">
        <f>IFERROR(__xludf.DUMMYFUNCTION("importrange(C786,Sheet3!D$1)"),"#N/A")</f>
        <v>#N/A</v>
      </c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</row>
    <row r="787">
      <c r="A787" s="95"/>
      <c r="B787" s="104"/>
      <c r="C787" s="95"/>
      <c r="D787" s="100" t="str">
        <f>IFERROR(__xludf.DUMMYFUNCTION("importrange(C787,Sheet3!D$1)"),"#N/A")</f>
        <v>#N/A</v>
      </c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</row>
    <row r="788">
      <c r="A788" s="95"/>
      <c r="B788" s="119"/>
      <c r="C788" s="95"/>
      <c r="D788" s="100" t="str">
        <f>IFERROR(__xludf.DUMMYFUNCTION("importrange(C788,Sheet3!D$1)"),"#N/A")</f>
        <v>#N/A</v>
      </c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</row>
    <row r="789">
      <c r="A789" s="95"/>
      <c r="B789" s="119"/>
      <c r="C789" s="95"/>
      <c r="D789" s="100" t="str">
        <f>IFERROR(__xludf.DUMMYFUNCTION("importrange(C789,Sheet3!D$1)"),"#N/A")</f>
        <v>#N/A</v>
      </c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</row>
    <row r="790">
      <c r="A790" s="95"/>
      <c r="B790" s="119"/>
      <c r="C790" s="95"/>
      <c r="D790" s="100" t="str">
        <f>IFERROR(__xludf.DUMMYFUNCTION("importrange(C790,Sheet3!D$1)"),"#N/A")</f>
        <v>#N/A</v>
      </c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</row>
    <row r="791">
      <c r="A791" s="95"/>
      <c r="B791" s="119"/>
      <c r="C791" s="95"/>
      <c r="D791" s="100" t="str">
        <f>IFERROR(__xludf.DUMMYFUNCTION("importrange(C791,Sheet3!D$1)"),"#N/A")</f>
        <v>#N/A</v>
      </c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</row>
    <row r="792">
      <c r="A792" s="95"/>
      <c r="B792" s="119"/>
      <c r="C792" s="95"/>
      <c r="D792" s="100" t="str">
        <f>IFERROR(__xludf.DUMMYFUNCTION("importrange(C792,Sheet3!D$1)"),"#N/A")</f>
        <v>#N/A</v>
      </c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</row>
    <row r="793">
      <c r="A793" s="95"/>
      <c r="B793" s="119"/>
      <c r="C793" s="95"/>
      <c r="D793" s="100" t="str">
        <f>IFERROR(__xludf.DUMMYFUNCTION("importrange(C793,Sheet3!D$1)"),"#N/A")</f>
        <v>#N/A</v>
      </c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</row>
    <row r="794">
      <c r="A794" s="95"/>
      <c r="B794" s="119"/>
      <c r="C794" s="95"/>
      <c r="D794" s="100" t="str">
        <f>IFERROR(__xludf.DUMMYFUNCTION("importrange(C794,Sheet3!D$1)"),"#N/A")</f>
        <v>#N/A</v>
      </c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</row>
    <row r="795">
      <c r="A795" s="95"/>
      <c r="B795" s="119"/>
      <c r="C795" s="95"/>
      <c r="D795" s="100" t="str">
        <f>IFERROR(__xludf.DUMMYFUNCTION("importrange(C795,Sheet3!D$1)"),"#N/A")</f>
        <v>#N/A</v>
      </c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</row>
    <row r="796">
      <c r="A796" s="95"/>
      <c r="B796" s="119"/>
      <c r="C796" s="95"/>
      <c r="D796" s="100" t="str">
        <f>IFERROR(__xludf.DUMMYFUNCTION("importrange(C796,Sheet3!D$1)"),"#N/A")</f>
        <v>#N/A</v>
      </c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</row>
    <row r="797">
      <c r="A797" s="95"/>
      <c r="B797" s="119"/>
      <c r="C797" s="95"/>
      <c r="D797" s="100" t="str">
        <f>IFERROR(__xludf.DUMMYFUNCTION("importrange(C797,Sheet3!D$1)"),"#N/A")</f>
        <v>#N/A</v>
      </c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</row>
    <row r="798">
      <c r="A798" s="95"/>
      <c r="B798" s="119"/>
      <c r="C798" s="95"/>
      <c r="D798" s="100" t="str">
        <f>IFERROR(__xludf.DUMMYFUNCTION("importrange(C798,Sheet3!D$1)"),"#N/A")</f>
        <v>#N/A</v>
      </c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</row>
    <row r="799">
      <c r="A799" s="95"/>
      <c r="B799" s="119"/>
      <c r="C799" s="95"/>
      <c r="D799" s="100" t="str">
        <f>IFERROR(__xludf.DUMMYFUNCTION("importrange(C799,Sheet3!D$1)"),"#N/A")</f>
        <v>#N/A</v>
      </c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</row>
    <row r="800">
      <c r="A800" s="95"/>
      <c r="B800" s="119"/>
      <c r="C800" s="95"/>
      <c r="D800" s="100" t="str">
        <f>IFERROR(__xludf.DUMMYFUNCTION("importrange(C800,Sheet3!D$1)"),"#N/A")</f>
        <v>#N/A</v>
      </c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</row>
    <row r="801">
      <c r="A801" s="95"/>
      <c r="B801" s="104"/>
      <c r="C801" s="95"/>
      <c r="D801" s="100" t="str">
        <f>IFERROR(__xludf.DUMMYFUNCTION("importrange(C801,Sheet3!D$1)"),"#N/A")</f>
        <v>#N/A</v>
      </c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</row>
    <row r="802">
      <c r="A802" s="95"/>
      <c r="B802" s="104"/>
      <c r="C802" s="95"/>
      <c r="D802" s="100" t="str">
        <f>IFERROR(__xludf.DUMMYFUNCTION("importrange(C802,Sheet3!D$1)"),"#N/A")</f>
        <v>#N/A</v>
      </c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</row>
    <row r="803">
      <c r="A803" s="95"/>
      <c r="B803" s="104"/>
      <c r="C803" s="95"/>
      <c r="D803" s="100" t="str">
        <f>IFERROR(__xludf.DUMMYFUNCTION("importrange(C803,Sheet3!D$1)"),"#N/A")</f>
        <v>#N/A</v>
      </c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</row>
    <row r="804">
      <c r="A804" s="95"/>
      <c r="B804" s="104"/>
      <c r="C804" s="95"/>
      <c r="D804" s="100" t="str">
        <f>IFERROR(__xludf.DUMMYFUNCTION("importrange(C804,Sheet3!D$1)"),"#N/A")</f>
        <v>#N/A</v>
      </c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</row>
    <row r="805">
      <c r="A805" s="95"/>
      <c r="B805" s="119"/>
      <c r="C805" s="95"/>
      <c r="D805" s="100" t="str">
        <f>IFERROR(__xludf.DUMMYFUNCTION("importrange(C805,Sheet3!D$1)"),"#N/A")</f>
        <v>#N/A</v>
      </c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</row>
    <row r="806">
      <c r="A806" s="95"/>
      <c r="B806" s="119"/>
      <c r="C806" s="95"/>
      <c r="D806" s="100" t="str">
        <f>IFERROR(__xludf.DUMMYFUNCTION("importrange(C806,Sheet3!D$1)"),"#N/A")</f>
        <v>#N/A</v>
      </c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</row>
    <row r="807">
      <c r="A807" s="95"/>
      <c r="B807" s="95"/>
      <c r="C807" s="95"/>
      <c r="D807" s="100" t="str">
        <f>IFERROR(__xludf.DUMMYFUNCTION("importrange(C807,Sheet3!D$1)"),"#N/A")</f>
        <v>#N/A</v>
      </c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</row>
    <row r="808">
      <c r="A808" s="95"/>
      <c r="B808" s="95"/>
      <c r="C808" s="95"/>
      <c r="D808" s="100" t="str">
        <f>IFERROR(__xludf.DUMMYFUNCTION("importrange(C808,Sheet3!D$1)"),"#N/A")</f>
        <v>#N/A</v>
      </c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</row>
    <row r="809">
      <c r="A809" s="95"/>
      <c r="B809" s="104"/>
      <c r="C809" s="95"/>
      <c r="D809" s="100" t="str">
        <f>IFERROR(__xludf.DUMMYFUNCTION("importrange(C809,Sheet3!D$1)"),"#N/A")</f>
        <v>#N/A</v>
      </c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</row>
    <row r="810">
      <c r="A810" s="95"/>
      <c r="B810" s="104"/>
      <c r="C810" s="95"/>
      <c r="D810" s="100" t="str">
        <f>IFERROR(__xludf.DUMMYFUNCTION("importrange(C810,Sheet3!D$1)"),"#N/A")</f>
        <v>#N/A</v>
      </c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</row>
    <row r="811">
      <c r="A811" s="95"/>
      <c r="B811" s="104"/>
      <c r="C811" s="95"/>
      <c r="D811" s="100" t="str">
        <f>IFERROR(__xludf.DUMMYFUNCTION("importrange(C811,Sheet3!D$1)"),"#N/A")</f>
        <v>#N/A</v>
      </c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</row>
    <row r="812">
      <c r="A812" s="95"/>
      <c r="B812" s="104"/>
      <c r="C812" s="95"/>
      <c r="D812" s="100" t="str">
        <f>IFERROR(__xludf.DUMMYFUNCTION("importrange(C812,Sheet3!D$1)"),"#N/A")</f>
        <v>#N/A</v>
      </c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</row>
    <row r="813">
      <c r="A813" s="95"/>
      <c r="B813" s="121"/>
      <c r="C813" s="95"/>
      <c r="D813" s="100" t="str">
        <f>IFERROR(__xludf.DUMMYFUNCTION("importrange(C813,Sheet3!D$1)"),"#N/A")</f>
        <v>#N/A</v>
      </c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</row>
    <row r="814">
      <c r="A814" s="95"/>
      <c r="B814" s="121"/>
      <c r="C814" s="95"/>
      <c r="D814" s="100" t="str">
        <f>IFERROR(__xludf.DUMMYFUNCTION("importrange(C814,Sheet3!D$1)"),"#N/A")</f>
        <v>#N/A</v>
      </c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</row>
    <row r="815">
      <c r="A815" s="95"/>
      <c r="B815" s="121"/>
      <c r="C815" s="95"/>
      <c r="D815" s="100" t="str">
        <f>IFERROR(__xludf.DUMMYFUNCTION("importrange(C815,Sheet3!D$1)"),"#N/A")</f>
        <v>#N/A</v>
      </c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</row>
    <row r="816">
      <c r="A816" s="95"/>
      <c r="B816" s="119"/>
      <c r="C816" s="95"/>
      <c r="D816" s="100" t="str">
        <f>IFERROR(__xludf.DUMMYFUNCTION("importrange(C816,Sheet3!D$1)"),"#N/A")</f>
        <v>#N/A</v>
      </c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</row>
    <row r="817">
      <c r="A817" s="95"/>
      <c r="B817" s="119"/>
      <c r="C817" s="95"/>
      <c r="D817" s="100" t="str">
        <f>IFERROR(__xludf.DUMMYFUNCTION("importrange(C817,Sheet3!D$1)"),"#N/A")</f>
        <v>#N/A</v>
      </c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</row>
    <row r="818">
      <c r="A818" s="95"/>
      <c r="B818" s="119"/>
      <c r="C818" s="95"/>
      <c r="D818" s="100" t="str">
        <f>IFERROR(__xludf.DUMMYFUNCTION("importrange(C818,Sheet3!D$1)"),"#N/A")</f>
        <v>#N/A</v>
      </c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</row>
    <row r="819">
      <c r="A819" s="95"/>
      <c r="B819" s="119"/>
      <c r="C819" s="95"/>
      <c r="D819" s="100" t="str">
        <f>IFERROR(__xludf.DUMMYFUNCTION("importrange(C819,Sheet3!D$1)"),"#N/A")</f>
        <v>#N/A</v>
      </c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</row>
    <row r="820">
      <c r="A820" s="95"/>
      <c r="B820" s="119"/>
      <c r="C820" s="95"/>
      <c r="D820" s="100" t="str">
        <f>IFERROR(__xludf.DUMMYFUNCTION("importrange(C820,Sheet3!D$1)"),"#N/A")</f>
        <v>#N/A</v>
      </c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</row>
    <row r="821">
      <c r="A821" s="95"/>
      <c r="B821" s="119"/>
      <c r="C821" s="95"/>
      <c r="D821" s="100" t="str">
        <f>IFERROR(__xludf.DUMMYFUNCTION("importrange(C821,Sheet3!D$1)"),"#N/A")</f>
        <v>#N/A</v>
      </c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</row>
    <row r="822">
      <c r="A822" s="95"/>
      <c r="B822" s="121"/>
      <c r="C822" s="95"/>
      <c r="D822" s="100" t="str">
        <f>IFERROR(__xludf.DUMMYFUNCTION("importrange(C822,Sheet3!D$1)"),"#N/A")</f>
        <v>#N/A</v>
      </c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</row>
    <row r="823">
      <c r="A823" s="95"/>
      <c r="B823" s="121"/>
      <c r="C823" s="95"/>
      <c r="D823" s="100" t="str">
        <f>IFERROR(__xludf.DUMMYFUNCTION("importrange(C823,Sheet3!D$1)"),"#N/A")</f>
        <v>#N/A</v>
      </c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</row>
    <row r="824">
      <c r="A824" s="95"/>
      <c r="B824" s="121"/>
      <c r="C824" s="95"/>
      <c r="D824" s="100" t="str">
        <f>IFERROR(__xludf.DUMMYFUNCTION("importrange(C824,Sheet3!D$1)"),"#N/A")</f>
        <v>#N/A</v>
      </c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</row>
    <row r="825">
      <c r="A825" s="95"/>
      <c r="B825" s="121"/>
      <c r="C825" s="95"/>
      <c r="D825" s="100" t="str">
        <f>IFERROR(__xludf.DUMMYFUNCTION("importrange(C825,Sheet3!D$1)"),"#N/A")</f>
        <v>#N/A</v>
      </c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</row>
    <row r="826">
      <c r="A826" s="95"/>
      <c r="B826" s="104"/>
      <c r="C826" s="95"/>
      <c r="D826" s="100" t="str">
        <f>IFERROR(__xludf.DUMMYFUNCTION("importrange(C826,Sheet3!D$1)"),"#N/A")</f>
        <v>#N/A</v>
      </c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</row>
    <row r="827">
      <c r="A827" s="95"/>
      <c r="B827" s="104"/>
      <c r="C827" s="95"/>
      <c r="D827" s="100" t="str">
        <f>IFERROR(__xludf.DUMMYFUNCTION("importrange(C827,Sheet3!D$1)"),"#N/A")</f>
        <v>#N/A</v>
      </c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</row>
    <row r="828">
      <c r="A828" s="95"/>
      <c r="B828" s="104"/>
      <c r="C828" s="95"/>
      <c r="D828" s="100" t="str">
        <f>IFERROR(__xludf.DUMMYFUNCTION("importrange(C828,Sheet3!D$1)"),"#N/A")</f>
        <v>#N/A</v>
      </c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</row>
    <row r="829">
      <c r="A829" s="95"/>
      <c r="B829" s="104"/>
      <c r="C829" s="95"/>
      <c r="D829" s="100" t="str">
        <f>IFERROR(__xludf.DUMMYFUNCTION("importrange(C829,Sheet3!D$1)"),"#N/A")</f>
        <v>#N/A</v>
      </c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</row>
    <row r="830">
      <c r="A830" s="95"/>
      <c r="B830" s="104"/>
      <c r="C830" s="95"/>
      <c r="D830" s="100" t="str">
        <f>IFERROR(__xludf.DUMMYFUNCTION("importrange(C830,Sheet3!D$1)"),"#N/A")</f>
        <v>#N/A</v>
      </c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</row>
    <row r="831">
      <c r="A831" s="95"/>
      <c r="B831" s="104"/>
      <c r="C831" s="95"/>
      <c r="D831" s="100" t="str">
        <f>IFERROR(__xludf.DUMMYFUNCTION("importrange(C831,Sheet3!D$1)"),"#N/A")</f>
        <v>#N/A</v>
      </c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</row>
    <row r="832">
      <c r="A832" s="95"/>
      <c r="B832" s="104"/>
      <c r="C832" s="95"/>
      <c r="D832" s="100" t="str">
        <f>IFERROR(__xludf.DUMMYFUNCTION("importrange(C832,Sheet3!D$1)"),"#N/A")</f>
        <v>#N/A</v>
      </c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</row>
    <row r="833">
      <c r="A833" s="95"/>
      <c r="B833" s="103"/>
      <c r="C833" s="122"/>
      <c r="D833" s="100" t="str">
        <f>IFERROR(__xludf.DUMMYFUNCTION("importrange(C833,Sheet3!D$1)"),"#N/A")</f>
        <v>#N/A</v>
      </c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</row>
    <row r="834">
      <c r="A834" s="95"/>
      <c r="B834" s="103"/>
      <c r="C834" s="122"/>
      <c r="D834" s="100" t="str">
        <f>IFERROR(__xludf.DUMMYFUNCTION("importrange(C834,Sheet3!D$1)"),"#N/A")</f>
        <v>#N/A</v>
      </c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</row>
    <row r="835">
      <c r="A835" s="95"/>
      <c r="B835" s="103"/>
      <c r="C835" s="122"/>
      <c r="D835" s="100" t="str">
        <f>IFERROR(__xludf.DUMMYFUNCTION("importrange(C835,Sheet3!D$1)"),"#N/A")</f>
        <v>#N/A</v>
      </c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</row>
    <row r="836">
      <c r="A836" s="95"/>
      <c r="B836" s="103"/>
      <c r="C836" s="122"/>
      <c r="D836" s="100" t="str">
        <f>IFERROR(__xludf.DUMMYFUNCTION("importrange(C836,Sheet3!D$1)"),"#N/A")</f>
        <v>#N/A</v>
      </c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</row>
    <row r="837">
      <c r="A837" s="95"/>
      <c r="B837" s="103"/>
      <c r="C837" s="122"/>
      <c r="D837" s="100" t="str">
        <f>IFERROR(__xludf.DUMMYFUNCTION("importrange(C837,Sheet3!D$1)"),"#N/A")</f>
        <v>#N/A</v>
      </c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</row>
    <row r="838">
      <c r="A838" s="95"/>
      <c r="B838" s="103"/>
      <c r="C838" s="122"/>
      <c r="D838" s="100" t="str">
        <f>IFERROR(__xludf.DUMMYFUNCTION("importrange(C838,Sheet3!D$1)"),"#N/A")</f>
        <v>#N/A</v>
      </c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</row>
    <row r="839">
      <c r="A839" s="95"/>
      <c r="B839" s="103"/>
      <c r="C839" s="122"/>
      <c r="D839" s="100" t="str">
        <f>IFERROR(__xludf.DUMMYFUNCTION("importrange(C839,Sheet3!D$1)"),"#N/A")</f>
        <v>#N/A</v>
      </c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</row>
    <row r="840">
      <c r="A840" s="95"/>
      <c r="B840" s="103"/>
      <c r="C840" s="122"/>
      <c r="D840" s="100" t="str">
        <f>IFERROR(__xludf.DUMMYFUNCTION("importrange(C840,Sheet3!D$1)"),"#N/A")</f>
        <v>#N/A</v>
      </c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</row>
    <row r="841">
      <c r="A841" s="95"/>
      <c r="B841" s="103"/>
      <c r="C841" s="122"/>
      <c r="D841" s="100" t="str">
        <f>IFERROR(__xludf.DUMMYFUNCTION("importrange(C841,Sheet3!D$1)"),"#N/A")</f>
        <v>#N/A</v>
      </c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</row>
    <row r="842">
      <c r="A842" s="95"/>
      <c r="B842" s="103"/>
      <c r="C842" s="122"/>
      <c r="D842" s="100" t="str">
        <f>IFERROR(__xludf.DUMMYFUNCTION("importrange(C842,Sheet3!D$1)"),"#N/A")</f>
        <v>#N/A</v>
      </c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</row>
    <row r="843">
      <c r="A843" s="95"/>
      <c r="B843" s="103"/>
      <c r="C843" s="122"/>
      <c r="D843" s="100" t="str">
        <f>IFERROR(__xludf.DUMMYFUNCTION("importrange(C843,Sheet3!D$1)"),"#N/A")</f>
        <v>#N/A</v>
      </c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</row>
    <row r="844">
      <c r="A844" s="95"/>
      <c r="B844" s="103"/>
      <c r="C844" s="122"/>
      <c r="D844" s="100" t="str">
        <f>IFERROR(__xludf.DUMMYFUNCTION("importrange(C844,Sheet3!D$1)"),"#N/A")</f>
        <v>#N/A</v>
      </c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</row>
    <row r="845">
      <c r="A845" s="95"/>
      <c r="B845" s="103"/>
      <c r="C845" s="122"/>
      <c r="D845" s="100" t="str">
        <f>IFERROR(__xludf.DUMMYFUNCTION("importrange(C845,Sheet3!D$1)"),"#N/A")</f>
        <v>#N/A</v>
      </c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</row>
    <row r="846">
      <c r="A846" s="95"/>
      <c r="B846" s="103"/>
      <c r="C846" s="122"/>
      <c r="D846" s="100" t="str">
        <f>IFERROR(__xludf.DUMMYFUNCTION("importrange(C846,Sheet3!D$1)"),"#N/A")</f>
        <v>#N/A</v>
      </c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</row>
    <row r="847">
      <c r="A847" s="95"/>
      <c r="B847" s="103"/>
      <c r="C847" s="122"/>
      <c r="D847" s="100" t="str">
        <f>IFERROR(__xludf.DUMMYFUNCTION("importrange(C847,Sheet3!D$1)"),"#N/A")</f>
        <v>#N/A</v>
      </c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</row>
    <row r="848">
      <c r="A848" s="95"/>
      <c r="B848" s="103"/>
      <c r="C848" s="122"/>
      <c r="D848" s="100" t="str">
        <f>IFERROR(__xludf.DUMMYFUNCTION("importrange(C848,Sheet3!D$1)"),"#N/A")</f>
        <v>#N/A</v>
      </c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</row>
    <row r="849">
      <c r="A849" s="95"/>
      <c r="B849" s="103"/>
      <c r="C849" s="122"/>
      <c r="D849" s="100" t="str">
        <f>IFERROR(__xludf.DUMMYFUNCTION("importrange(C849,Sheet3!D$1)"),"#N/A")</f>
        <v>#N/A</v>
      </c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</row>
    <row r="850">
      <c r="A850" s="95"/>
      <c r="B850" s="103"/>
      <c r="C850" s="122"/>
      <c r="D850" s="100" t="str">
        <f>IFERROR(__xludf.DUMMYFUNCTION("importrange(C850,Sheet3!D$1)"),"#N/A")</f>
        <v>#N/A</v>
      </c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</row>
    <row r="851">
      <c r="A851" s="95"/>
      <c r="B851" s="103"/>
      <c r="C851" s="122"/>
      <c r="D851" s="100" t="str">
        <f>IFERROR(__xludf.DUMMYFUNCTION("importrange(C851,Sheet3!D$1)"),"#N/A")</f>
        <v>#N/A</v>
      </c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</row>
    <row r="852">
      <c r="A852" s="95"/>
      <c r="B852" s="103"/>
      <c r="C852" s="122"/>
      <c r="D852" s="100" t="str">
        <f>IFERROR(__xludf.DUMMYFUNCTION("importrange(C852,Sheet3!D$1)"),"#N/A")</f>
        <v>#N/A</v>
      </c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</row>
    <row r="853">
      <c r="A853" s="95"/>
      <c r="B853" s="103"/>
      <c r="C853" s="122"/>
      <c r="D853" s="100" t="str">
        <f>IFERROR(__xludf.DUMMYFUNCTION("importrange(C853,Sheet3!D$1)"),"#N/A")</f>
        <v>#N/A</v>
      </c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</row>
    <row r="854">
      <c r="A854" s="95"/>
      <c r="B854" s="103"/>
      <c r="C854" s="122"/>
      <c r="D854" s="100" t="str">
        <f>IFERROR(__xludf.DUMMYFUNCTION("importrange(C854,Sheet3!D$1)"),"#N/A")</f>
        <v>#N/A</v>
      </c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</row>
    <row r="855">
      <c r="A855" s="95"/>
      <c r="B855" s="103"/>
      <c r="C855" s="122"/>
      <c r="D855" s="100" t="str">
        <f>IFERROR(__xludf.DUMMYFUNCTION("importrange(C855,Sheet3!D$1)"),"#N/A")</f>
        <v>#N/A</v>
      </c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</row>
    <row r="856">
      <c r="A856" s="95"/>
      <c r="B856" s="103"/>
      <c r="C856" s="122"/>
      <c r="D856" s="100" t="str">
        <f>IFERROR(__xludf.DUMMYFUNCTION("importrange(C856,Sheet3!D$1)"),"#N/A")</f>
        <v>#N/A</v>
      </c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</row>
    <row r="857">
      <c r="A857" s="95"/>
      <c r="B857" s="103"/>
      <c r="C857" s="122"/>
      <c r="D857" s="100" t="str">
        <f>IFERROR(__xludf.DUMMYFUNCTION("importrange(C857,Sheet3!D$1)"),"#N/A")</f>
        <v>#N/A</v>
      </c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</row>
    <row r="858">
      <c r="A858" s="95"/>
      <c r="B858" s="103"/>
      <c r="C858" s="122"/>
      <c r="D858" s="100" t="str">
        <f>IFERROR(__xludf.DUMMYFUNCTION("importrange(C858,Sheet3!D$1)"),"#N/A")</f>
        <v>#N/A</v>
      </c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</row>
    <row r="859">
      <c r="A859" s="95"/>
      <c r="B859" s="103"/>
      <c r="C859" s="122"/>
      <c r="D859" s="100" t="str">
        <f>IFERROR(__xludf.DUMMYFUNCTION("importrange(C859,Sheet3!D$1)"),"#N/A")</f>
        <v>#N/A</v>
      </c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</row>
    <row r="860">
      <c r="A860" s="95"/>
      <c r="B860" s="103"/>
      <c r="C860" s="122"/>
      <c r="D860" s="100" t="str">
        <f>IFERROR(__xludf.DUMMYFUNCTION("importrange(C860,Sheet3!D$1)"),"#N/A")</f>
        <v>#N/A</v>
      </c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</row>
    <row r="861">
      <c r="A861" s="95"/>
      <c r="B861" s="103"/>
      <c r="C861" s="122"/>
      <c r="D861" s="100" t="str">
        <f>IFERROR(__xludf.DUMMYFUNCTION("importrange(C861,Sheet3!D$1)"),"#N/A")</f>
        <v>#N/A</v>
      </c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</row>
    <row r="862">
      <c r="A862" s="95"/>
      <c r="B862" s="103"/>
      <c r="C862" s="122"/>
      <c r="D862" s="100" t="str">
        <f>IFERROR(__xludf.DUMMYFUNCTION("importrange(C862,Sheet3!D$1)"),"#N/A")</f>
        <v>#N/A</v>
      </c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</row>
    <row r="863">
      <c r="A863" s="95"/>
      <c r="B863" s="103"/>
      <c r="C863" s="122"/>
      <c r="D863" s="100" t="str">
        <f>IFERROR(__xludf.DUMMYFUNCTION("importrange(C863,Sheet3!D$1)"),"#N/A")</f>
        <v>#N/A</v>
      </c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</row>
    <row r="864">
      <c r="A864" s="95"/>
      <c r="B864" s="103"/>
      <c r="C864" s="122"/>
      <c r="D864" s="100" t="str">
        <f>IFERROR(__xludf.DUMMYFUNCTION("importrange(C864,Sheet3!D$1)"),"#N/A")</f>
        <v>#N/A</v>
      </c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</row>
    <row r="865">
      <c r="A865" s="95"/>
      <c r="B865" s="103"/>
      <c r="C865" s="122"/>
      <c r="D865" s="100" t="str">
        <f>IFERROR(__xludf.DUMMYFUNCTION("importrange(C865,Sheet3!D$1)"),"#N/A")</f>
        <v>#N/A</v>
      </c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</row>
    <row r="866">
      <c r="A866" s="95"/>
      <c r="B866" s="103"/>
      <c r="C866" s="122"/>
      <c r="D866" s="100" t="str">
        <f>IFERROR(__xludf.DUMMYFUNCTION("importrange(C866,Sheet3!D$1)"),"#N/A")</f>
        <v>#N/A</v>
      </c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</row>
    <row r="867">
      <c r="A867" s="95"/>
      <c r="B867" s="103"/>
      <c r="C867" s="122"/>
      <c r="D867" s="100" t="str">
        <f>IFERROR(__xludf.DUMMYFUNCTION("importrange(C867,Sheet3!D$1)"),"#N/A")</f>
        <v>#N/A</v>
      </c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</row>
    <row r="868">
      <c r="A868" s="95"/>
      <c r="B868" s="103"/>
      <c r="C868" s="122"/>
      <c r="D868" s="100" t="str">
        <f>IFERROR(__xludf.DUMMYFUNCTION("importrange(C868,Sheet3!D$1)"),"#N/A")</f>
        <v>#N/A</v>
      </c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</row>
    <row r="869">
      <c r="A869" s="95"/>
      <c r="B869" s="103"/>
      <c r="C869" s="122"/>
      <c r="D869" s="100" t="str">
        <f>IFERROR(__xludf.DUMMYFUNCTION("importrange(C869,Sheet3!D$1)"),"#N/A")</f>
        <v>#N/A</v>
      </c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</row>
    <row r="870">
      <c r="A870" s="95"/>
      <c r="B870" s="103"/>
      <c r="C870" s="122"/>
      <c r="D870" s="100" t="str">
        <f>IFERROR(__xludf.DUMMYFUNCTION("importrange(C870,Sheet3!D$1)"),"#N/A")</f>
        <v>#N/A</v>
      </c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</row>
    <row r="871">
      <c r="A871" s="95"/>
      <c r="B871" s="103"/>
      <c r="C871" s="122"/>
      <c r="D871" s="100" t="str">
        <f>IFERROR(__xludf.DUMMYFUNCTION("importrange(C871,Sheet3!D$1)"),"#N/A")</f>
        <v>#N/A</v>
      </c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</row>
    <row r="872">
      <c r="A872" s="95"/>
      <c r="B872" s="103"/>
      <c r="C872" s="122"/>
      <c r="D872" s="100" t="str">
        <f>IFERROR(__xludf.DUMMYFUNCTION("importrange(C872,Sheet3!D$1)"),"#N/A")</f>
        <v>#N/A</v>
      </c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</row>
    <row r="873">
      <c r="A873" s="95"/>
      <c r="B873" s="103"/>
      <c r="C873" s="122"/>
      <c r="D873" s="100" t="str">
        <f>IFERROR(__xludf.DUMMYFUNCTION("importrange(C873,Sheet3!D$1)"),"#N/A")</f>
        <v>#N/A</v>
      </c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</row>
    <row r="874">
      <c r="A874" s="95"/>
      <c r="B874" s="103"/>
      <c r="C874" s="122"/>
      <c r="D874" s="100" t="str">
        <f>IFERROR(__xludf.DUMMYFUNCTION("importrange(C874,Sheet3!D$1)"),"#N/A")</f>
        <v>#N/A</v>
      </c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</row>
    <row r="875">
      <c r="A875" s="95"/>
      <c r="B875" s="103"/>
      <c r="C875" s="122"/>
      <c r="D875" s="100" t="str">
        <f>IFERROR(__xludf.DUMMYFUNCTION("importrange(C875,Sheet3!D$1)"),"#N/A")</f>
        <v>#N/A</v>
      </c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</row>
    <row r="876">
      <c r="A876" s="95"/>
      <c r="B876" s="103"/>
      <c r="C876" s="122"/>
      <c r="D876" s="100" t="str">
        <f>IFERROR(__xludf.DUMMYFUNCTION("importrange(C876,Sheet3!D$1)"),"#N/A")</f>
        <v>#N/A</v>
      </c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</row>
    <row r="877">
      <c r="A877" s="95"/>
      <c r="B877" s="103"/>
      <c r="C877" s="122"/>
      <c r="D877" s="100" t="str">
        <f>IFERROR(__xludf.DUMMYFUNCTION("importrange(C877,Sheet3!D$1)"),"#N/A")</f>
        <v>#N/A</v>
      </c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</row>
    <row r="878">
      <c r="A878" s="95"/>
      <c r="B878" s="103"/>
      <c r="C878" s="122"/>
      <c r="D878" s="100" t="str">
        <f>IFERROR(__xludf.DUMMYFUNCTION("importrange(C878,Sheet3!D$1)"),"#N/A")</f>
        <v>#N/A</v>
      </c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</row>
    <row r="879">
      <c r="A879" s="95"/>
      <c r="B879" s="103"/>
      <c r="C879" s="122"/>
      <c r="D879" s="100" t="str">
        <f>IFERROR(__xludf.DUMMYFUNCTION("importrange(C879,Sheet3!D$1)"),"#N/A")</f>
        <v>#N/A</v>
      </c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</row>
    <row r="880">
      <c r="A880" s="95"/>
      <c r="B880" s="103"/>
      <c r="C880" s="122"/>
      <c r="D880" s="100" t="str">
        <f>IFERROR(__xludf.DUMMYFUNCTION("importrange(C880,Sheet3!D$1)"),"#N/A")</f>
        <v>#N/A</v>
      </c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</row>
    <row r="881">
      <c r="A881" s="95"/>
      <c r="B881" s="103"/>
      <c r="C881" s="122"/>
      <c r="D881" s="100" t="str">
        <f>IFERROR(__xludf.DUMMYFUNCTION("importrange(C881,Sheet3!D$1)"),"#N/A")</f>
        <v>#N/A</v>
      </c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</row>
    <row r="882">
      <c r="A882" s="95"/>
      <c r="B882" s="103"/>
      <c r="C882" s="122"/>
      <c r="D882" s="100" t="str">
        <f>IFERROR(__xludf.DUMMYFUNCTION("importrange(C882,Sheet3!D$1)"),"#N/A")</f>
        <v>#N/A</v>
      </c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</row>
    <row r="883">
      <c r="A883" s="95"/>
      <c r="B883" s="103"/>
      <c r="C883" s="122"/>
      <c r="D883" s="100" t="str">
        <f>IFERROR(__xludf.DUMMYFUNCTION("importrange(C883,Sheet3!D$1)"),"#N/A")</f>
        <v>#N/A</v>
      </c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</row>
    <row r="884">
      <c r="A884" s="95"/>
      <c r="B884" s="103"/>
      <c r="C884" s="122"/>
      <c r="D884" s="100" t="str">
        <f>IFERROR(__xludf.DUMMYFUNCTION("importrange(C884,Sheet3!D$1)"),"#N/A")</f>
        <v>#N/A</v>
      </c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</row>
    <row r="885">
      <c r="A885" s="95"/>
      <c r="B885" s="103"/>
      <c r="C885" s="122"/>
      <c r="D885" s="100" t="str">
        <f>IFERROR(__xludf.DUMMYFUNCTION("importrange(C885,Sheet3!D$1)"),"#N/A")</f>
        <v>#N/A</v>
      </c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</row>
    <row r="886">
      <c r="A886" s="95"/>
      <c r="B886" s="103"/>
      <c r="C886" s="122"/>
      <c r="D886" s="100" t="str">
        <f>IFERROR(__xludf.DUMMYFUNCTION("importrange(C886,Sheet3!D$1)"),"#N/A")</f>
        <v>#N/A</v>
      </c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</row>
    <row r="887">
      <c r="A887" s="95"/>
      <c r="B887" s="103"/>
      <c r="C887" s="122"/>
      <c r="D887" s="100" t="str">
        <f>IFERROR(__xludf.DUMMYFUNCTION("importrange(C887,Sheet3!D$1)"),"#N/A")</f>
        <v>#N/A</v>
      </c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</row>
    <row r="888">
      <c r="A888" s="95"/>
      <c r="B888" s="103"/>
      <c r="C888" s="122"/>
      <c r="D888" s="100" t="str">
        <f>IFERROR(__xludf.DUMMYFUNCTION("importrange(C888,Sheet3!D$1)"),"#N/A")</f>
        <v>#N/A</v>
      </c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</row>
    <row r="889">
      <c r="A889" s="95"/>
      <c r="B889" s="103"/>
      <c r="C889" s="122"/>
      <c r="D889" s="100" t="str">
        <f>IFERROR(__xludf.DUMMYFUNCTION("importrange(C889,Sheet3!D$1)"),"#N/A")</f>
        <v>#N/A</v>
      </c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</row>
    <row r="890">
      <c r="A890" s="95"/>
      <c r="B890" s="103"/>
      <c r="C890" s="122"/>
      <c r="D890" s="100" t="str">
        <f>IFERROR(__xludf.DUMMYFUNCTION("importrange(C890,Sheet3!D$1)"),"#N/A")</f>
        <v>#N/A</v>
      </c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</row>
    <row r="891">
      <c r="A891" s="95"/>
      <c r="B891" s="103"/>
      <c r="C891" s="122"/>
      <c r="D891" s="100" t="str">
        <f>IFERROR(__xludf.DUMMYFUNCTION("importrange(C891,Sheet3!D$1)"),"#N/A")</f>
        <v>#N/A</v>
      </c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</row>
    <row r="892">
      <c r="A892" s="95"/>
      <c r="B892" s="103"/>
      <c r="C892" s="122"/>
      <c r="D892" s="100" t="str">
        <f>IFERROR(__xludf.DUMMYFUNCTION("importrange(C892,Sheet3!D$1)"),"#N/A")</f>
        <v>#N/A</v>
      </c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</row>
    <row r="893">
      <c r="A893" s="95"/>
      <c r="B893" s="103"/>
      <c r="C893" s="122"/>
      <c r="D893" s="100" t="str">
        <f>IFERROR(__xludf.DUMMYFUNCTION("importrange(C893,Sheet3!D$1)"),"#N/A")</f>
        <v>#N/A</v>
      </c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</row>
    <row r="894">
      <c r="A894" s="95"/>
      <c r="B894" s="103"/>
      <c r="C894" s="122"/>
      <c r="D894" s="100" t="str">
        <f>IFERROR(__xludf.DUMMYFUNCTION("importrange(C894,Sheet3!D$1)"),"#N/A")</f>
        <v>#N/A</v>
      </c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</row>
    <row r="895">
      <c r="A895" s="95"/>
      <c r="B895" s="103"/>
      <c r="C895" s="122"/>
      <c r="D895" s="100" t="str">
        <f>IFERROR(__xludf.DUMMYFUNCTION("importrange(C895,Sheet3!D$1)"),"#N/A")</f>
        <v>#N/A</v>
      </c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</row>
    <row r="896">
      <c r="A896" s="95"/>
      <c r="B896" s="103"/>
      <c r="C896" s="122"/>
      <c r="D896" s="100" t="str">
        <f>IFERROR(__xludf.DUMMYFUNCTION("importrange(C896,Sheet3!D$1)"),"#N/A")</f>
        <v>#N/A</v>
      </c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</row>
    <row r="897">
      <c r="A897" s="95"/>
      <c r="B897" s="103"/>
      <c r="C897" s="122"/>
      <c r="D897" s="100" t="str">
        <f>IFERROR(__xludf.DUMMYFUNCTION("importrange(C897,Sheet3!D$1)"),"#N/A")</f>
        <v>#N/A</v>
      </c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</row>
    <row r="898">
      <c r="A898" s="95"/>
      <c r="B898" s="103"/>
      <c r="C898" s="122"/>
      <c r="D898" s="100" t="str">
        <f>IFERROR(__xludf.DUMMYFUNCTION("importrange(C898,Sheet3!D$1)"),"#N/A")</f>
        <v>#N/A</v>
      </c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</row>
    <row r="899">
      <c r="A899" s="95"/>
      <c r="B899" s="103"/>
      <c r="C899" s="122"/>
      <c r="D899" s="100" t="str">
        <f>IFERROR(__xludf.DUMMYFUNCTION("importrange(C899,Sheet3!D$1)"),"#N/A")</f>
        <v>#N/A</v>
      </c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</row>
    <row r="900">
      <c r="A900" s="95"/>
      <c r="B900" s="103"/>
      <c r="C900" s="122"/>
      <c r="D900" s="100" t="str">
        <f>IFERROR(__xludf.DUMMYFUNCTION("importrange(C900,Sheet3!D$1)"),"#N/A")</f>
        <v>#N/A</v>
      </c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</row>
    <row r="901">
      <c r="A901" s="95"/>
      <c r="B901" s="103"/>
      <c r="C901" s="122"/>
      <c r="D901" s="100" t="str">
        <f>IFERROR(__xludf.DUMMYFUNCTION("importrange(C901,Sheet3!D$1)"),"#N/A")</f>
        <v>#N/A</v>
      </c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</row>
    <row r="902">
      <c r="A902" s="95"/>
      <c r="B902" s="103"/>
      <c r="C902" s="122"/>
      <c r="D902" s="100" t="str">
        <f>IFERROR(__xludf.DUMMYFUNCTION("importrange(C902,Sheet3!D$1)"),"#N/A")</f>
        <v>#N/A</v>
      </c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</row>
    <row r="903">
      <c r="A903" s="95"/>
      <c r="B903" s="103"/>
      <c r="C903" s="122"/>
      <c r="D903" s="100" t="str">
        <f>IFERROR(__xludf.DUMMYFUNCTION("importrange(C903,Sheet3!D$1)"),"#N/A")</f>
        <v>#N/A</v>
      </c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</row>
    <row r="904">
      <c r="A904" s="95"/>
      <c r="B904" s="103"/>
      <c r="C904" s="122"/>
      <c r="D904" s="100" t="str">
        <f>IFERROR(__xludf.DUMMYFUNCTION("importrange(C904,Sheet3!D$1)"),"#N/A")</f>
        <v>#N/A</v>
      </c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</row>
    <row r="905">
      <c r="A905" s="95"/>
      <c r="B905" s="103"/>
      <c r="C905" s="122"/>
      <c r="D905" s="100" t="str">
        <f>IFERROR(__xludf.DUMMYFUNCTION("importrange(C905,Sheet3!D$1)"),"#N/A")</f>
        <v>#N/A</v>
      </c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</row>
    <row r="906">
      <c r="A906" s="95"/>
      <c r="B906" s="103"/>
      <c r="C906" s="122"/>
      <c r="D906" s="100" t="str">
        <f>IFERROR(__xludf.DUMMYFUNCTION("importrange(C906,Sheet3!D$1)"),"#N/A")</f>
        <v>#N/A</v>
      </c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</row>
    <row r="907">
      <c r="A907" s="95"/>
      <c r="B907" s="103"/>
      <c r="C907" s="122"/>
      <c r="D907" s="100" t="str">
        <f>IFERROR(__xludf.DUMMYFUNCTION("importrange(C907,Sheet3!D$1)"),"#N/A")</f>
        <v>#N/A</v>
      </c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</row>
    <row r="908">
      <c r="A908" s="95"/>
      <c r="B908" s="103"/>
      <c r="C908" s="122"/>
      <c r="D908" s="100" t="str">
        <f>IFERROR(__xludf.DUMMYFUNCTION("importrange(C908,Sheet3!D$1)"),"#N/A")</f>
        <v>#N/A</v>
      </c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</row>
    <row r="909">
      <c r="A909" s="95"/>
      <c r="B909" s="103"/>
      <c r="C909" s="122"/>
      <c r="D909" s="100" t="str">
        <f>IFERROR(__xludf.DUMMYFUNCTION("importrange(C909,Sheet3!D$1)"),"#N/A")</f>
        <v>#N/A</v>
      </c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</row>
    <row r="910">
      <c r="A910" s="95"/>
      <c r="B910" s="103"/>
      <c r="C910" s="122"/>
      <c r="D910" s="100" t="str">
        <f>IFERROR(__xludf.DUMMYFUNCTION("importrange(C910,Sheet3!D$1)"),"#N/A")</f>
        <v>#N/A</v>
      </c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</row>
    <row r="911">
      <c r="A911" s="95"/>
      <c r="B911" s="103"/>
      <c r="C911" s="122"/>
      <c r="D911" s="100" t="str">
        <f>IFERROR(__xludf.DUMMYFUNCTION("importrange(C911,Sheet3!D$1)"),"#N/A")</f>
        <v>#N/A</v>
      </c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</row>
    <row r="912">
      <c r="A912" s="95"/>
      <c r="B912" s="103"/>
      <c r="C912" s="122"/>
      <c r="D912" s="100" t="str">
        <f>IFERROR(__xludf.DUMMYFUNCTION("importrange(C912,Sheet3!D$1)"),"#N/A")</f>
        <v>#N/A</v>
      </c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</row>
    <row r="913">
      <c r="A913" s="95"/>
      <c r="B913" s="103"/>
      <c r="C913" s="122"/>
      <c r="D913" s="100" t="str">
        <f>IFERROR(__xludf.DUMMYFUNCTION("importrange(C913,Sheet3!D$1)"),"#N/A")</f>
        <v>#N/A</v>
      </c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</row>
    <row r="914">
      <c r="A914" s="95"/>
      <c r="B914" s="103"/>
      <c r="C914" s="122"/>
      <c r="D914" s="100" t="str">
        <f>IFERROR(__xludf.DUMMYFUNCTION("importrange(C914,Sheet3!D$1)"),"#N/A")</f>
        <v>#N/A</v>
      </c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</row>
    <row r="915">
      <c r="A915" s="95"/>
      <c r="B915" s="103"/>
      <c r="C915" s="122"/>
      <c r="D915" s="100" t="str">
        <f>IFERROR(__xludf.DUMMYFUNCTION("importrange(C915,Sheet3!D$1)"),"#N/A")</f>
        <v>#N/A</v>
      </c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</row>
    <row r="916">
      <c r="A916" s="95"/>
      <c r="B916" s="103"/>
      <c r="C916" s="122"/>
      <c r="D916" s="100" t="str">
        <f>IFERROR(__xludf.DUMMYFUNCTION("importrange(C916,Sheet3!D$1)"),"#N/A")</f>
        <v>#N/A</v>
      </c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</row>
    <row r="917">
      <c r="A917" s="95"/>
      <c r="B917" s="103"/>
      <c r="C917" s="122"/>
      <c r="D917" s="100" t="str">
        <f>IFERROR(__xludf.DUMMYFUNCTION("importrange(C917,Sheet3!D$1)"),"#N/A")</f>
        <v>#N/A</v>
      </c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</row>
    <row r="918">
      <c r="A918" s="95"/>
      <c r="B918" s="103"/>
      <c r="C918" s="122"/>
      <c r="D918" s="100" t="str">
        <f>IFERROR(__xludf.DUMMYFUNCTION("importrange(C918,Sheet3!D$1)"),"#N/A")</f>
        <v>#N/A</v>
      </c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</row>
    <row r="919">
      <c r="A919" s="95"/>
      <c r="B919" s="103"/>
      <c r="C919" s="122"/>
      <c r="D919" s="100" t="str">
        <f>IFERROR(__xludf.DUMMYFUNCTION("importrange(C919,Sheet3!D$1)"),"#N/A")</f>
        <v>#N/A</v>
      </c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</row>
    <row r="920">
      <c r="A920" s="95"/>
      <c r="B920" s="103"/>
      <c r="C920" s="122"/>
      <c r="D920" s="100" t="str">
        <f>IFERROR(__xludf.DUMMYFUNCTION("importrange(C920,Sheet3!D$1)"),"#N/A")</f>
        <v>#N/A</v>
      </c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</row>
    <row r="921">
      <c r="A921" s="95"/>
      <c r="B921" s="103"/>
      <c r="C921" s="122"/>
      <c r="D921" s="100" t="str">
        <f>IFERROR(__xludf.DUMMYFUNCTION("importrange(C921,Sheet3!D$1)"),"#N/A")</f>
        <v>#N/A</v>
      </c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</row>
    <row r="922">
      <c r="A922" s="95"/>
      <c r="B922" s="103"/>
      <c r="C922" s="122"/>
      <c r="D922" s="100" t="str">
        <f>IFERROR(__xludf.DUMMYFUNCTION("importrange(C922,Sheet3!D$1)"),"#N/A")</f>
        <v>#N/A</v>
      </c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</row>
    <row r="923">
      <c r="A923" s="95"/>
      <c r="B923" s="103"/>
      <c r="C923" s="122"/>
      <c r="D923" s="100" t="str">
        <f>IFERROR(__xludf.DUMMYFUNCTION("importrange(C923,Sheet3!D$1)"),"#N/A")</f>
        <v>#N/A</v>
      </c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</row>
    <row r="924">
      <c r="A924" s="95"/>
      <c r="B924" s="103"/>
      <c r="C924" s="122"/>
      <c r="D924" s="100" t="str">
        <f>IFERROR(__xludf.DUMMYFUNCTION("importrange(C924,Sheet3!D$1)"),"#N/A")</f>
        <v>#N/A</v>
      </c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</row>
    <row r="925">
      <c r="A925" s="95"/>
      <c r="B925" s="103"/>
      <c r="C925" s="122"/>
      <c r="D925" s="100" t="str">
        <f>IFERROR(__xludf.DUMMYFUNCTION("importrange(C925,Sheet3!D$1)"),"#N/A")</f>
        <v>#N/A</v>
      </c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</row>
    <row r="926">
      <c r="A926" s="95"/>
      <c r="B926" s="103"/>
      <c r="C926" s="122"/>
      <c r="D926" s="100" t="str">
        <f>IFERROR(__xludf.DUMMYFUNCTION("importrange(C926,Sheet3!D$1)"),"#N/A")</f>
        <v>#N/A</v>
      </c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</row>
    <row r="927">
      <c r="A927" s="95"/>
      <c r="B927" s="103"/>
      <c r="C927" s="122"/>
      <c r="D927" s="100" t="str">
        <f>IFERROR(__xludf.DUMMYFUNCTION("importrange(C927,Sheet3!D$1)"),"#N/A")</f>
        <v>#N/A</v>
      </c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</row>
    <row r="928">
      <c r="A928" s="95"/>
      <c r="B928" s="103"/>
      <c r="C928" s="122"/>
      <c r="D928" s="100" t="str">
        <f>IFERROR(__xludf.DUMMYFUNCTION("importrange(C928,Sheet3!D$1)"),"#N/A")</f>
        <v>#N/A</v>
      </c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</row>
    <row r="929">
      <c r="A929" s="95"/>
      <c r="B929" s="103"/>
      <c r="C929" s="122"/>
      <c r="D929" s="100" t="str">
        <f>IFERROR(__xludf.DUMMYFUNCTION("importrange(C929,Sheet3!D$1)"),"#N/A")</f>
        <v>#N/A</v>
      </c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</row>
    <row r="930">
      <c r="A930" s="95"/>
      <c r="B930" s="103"/>
      <c r="C930" s="122"/>
      <c r="D930" s="100" t="str">
        <f>IFERROR(__xludf.DUMMYFUNCTION("importrange(C930,Sheet3!D$1)"),"#N/A")</f>
        <v>#N/A</v>
      </c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</row>
    <row r="931">
      <c r="A931" s="95"/>
      <c r="B931" s="103"/>
      <c r="C931" s="122"/>
      <c r="D931" s="100" t="str">
        <f>IFERROR(__xludf.DUMMYFUNCTION("importrange(C931,Sheet3!D$1)"),"#N/A")</f>
        <v>#N/A</v>
      </c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</row>
    <row r="932">
      <c r="A932" s="95"/>
      <c r="B932" s="103"/>
      <c r="C932" s="122"/>
      <c r="D932" s="100" t="str">
        <f>IFERROR(__xludf.DUMMYFUNCTION("importrange(C932,Sheet3!D$1)"),"#N/A")</f>
        <v>#N/A</v>
      </c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</row>
    <row r="933">
      <c r="A933" s="95"/>
      <c r="B933" s="103"/>
      <c r="C933" s="122"/>
      <c r="D933" s="100" t="str">
        <f>IFERROR(__xludf.DUMMYFUNCTION("importrange(C933,Sheet3!D$1)"),"#N/A")</f>
        <v>#N/A</v>
      </c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</row>
    <row r="934">
      <c r="A934" s="95"/>
      <c r="B934" s="103"/>
      <c r="C934" s="122"/>
      <c r="D934" s="100" t="str">
        <f>IFERROR(__xludf.DUMMYFUNCTION("importrange(C934,Sheet3!D$1)"),"#N/A")</f>
        <v>#N/A</v>
      </c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</row>
    <row r="935">
      <c r="A935" s="95"/>
      <c r="B935" s="103"/>
      <c r="C935" s="122"/>
      <c r="D935" s="100" t="str">
        <f>IFERROR(__xludf.DUMMYFUNCTION("importrange(C935,Sheet3!D$1)"),"#N/A")</f>
        <v>#N/A</v>
      </c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</row>
    <row r="936">
      <c r="A936" s="95"/>
      <c r="B936" s="103"/>
      <c r="C936" s="122"/>
      <c r="D936" s="100" t="str">
        <f>IFERROR(__xludf.DUMMYFUNCTION("importrange(C936,Sheet3!D$1)"),"#N/A")</f>
        <v>#N/A</v>
      </c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</row>
    <row r="937">
      <c r="A937" s="95"/>
      <c r="B937" s="103"/>
      <c r="C937" s="122"/>
      <c r="D937" s="100" t="str">
        <f>IFERROR(__xludf.DUMMYFUNCTION("importrange(C937,Sheet3!D$1)"),"#N/A")</f>
        <v>#N/A</v>
      </c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</row>
    <row r="938">
      <c r="A938" s="95"/>
      <c r="B938" s="103"/>
      <c r="C938" s="122"/>
      <c r="D938" s="100" t="str">
        <f>IFERROR(__xludf.DUMMYFUNCTION("importrange(C938,Sheet3!D$1)"),"#N/A")</f>
        <v>#N/A</v>
      </c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</row>
    <row r="939">
      <c r="A939" s="95"/>
      <c r="B939" s="103"/>
      <c r="C939" s="122"/>
      <c r="D939" s="100" t="str">
        <f>IFERROR(__xludf.DUMMYFUNCTION("importrange(C939,Sheet3!D$1)"),"#N/A")</f>
        <v>#N/A</v>
      </c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</row>
    <row r="940">
      <c r="A940" s="95"/>
      <c r="B940" s="103"/>
      <c r="C940" s="122"/>
      <c r="D940" s="100" t="str">
        <f>IFERROR(__xludf.DUMMYFUNCTION("importrange(C940,Sheet3!D$1)"),"#N/A")</f>
        <v>#N/A</v>
      </c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</row>
    <row r="941">
      <c r="A941" s="95"/>
      <c r="B941" s="103"/>
      <c r="C941" s="122"/>
      <c r="D941" s="100" t="str">
        <f>IFERROR(__xludf.DUMMYFUNCTION("importrange(C941,Sheet3!D$1)"),"#N/A")</f>
        <v>#N/A</v>
      </c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</row>
    <row r="942">
      <c r="A942" s="95"/>
      <c r="B942" s="103"/>
      <c r="C942" s="122"/>
      <c r="D942" s="100" t="str">
        <f>IFERROR(__xludf.DUMMYFUNCTION("importrange(C942,Sheet3!D$1)"),"#N/A")</f>
        <v>#N/A</v>
      </c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</row>
    <row r="943">
      <c r="A943" s="95"/>
      <c r="B943" s="103"/>
      <c r="C943" s="122"/>
      <c r="D943" s="100" t="str">
        <f>IFERROR(__xludf.DUMMYFUNCTION("importrange(C943,Sheet3!D$1)"),"#N/A")</f>
        <v>#N/A</v>
      </c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</row>
    <row r="944">
      <c r="A944" s="95"/>
      <c r="B944" s="103"/>
      <c r="C944" s="122"/>
      <c r="D944" s="100" t="str">
        <f>IFERROR(__xludf.DUMMYFUNCTION("importrange(C944,Sheet3!D$1)"),"#N/A")</f>
        <v>#N/A</v>
      </c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</row>
    <row r="945">
      <c r="A945" s="95"/>
      <c r="B945" s="103"/>
      <c r="C945" s="122"/>
      <c r="D945" s="100" t="str">
        <f>IFERROR(__xludf.DUMMYFUNCTION("importrange(C945,Sheet3!D$1)"),"#N/A")</f>
        <v>#N/A</v>
      </c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</row>
    <row r="946">
      <c r="A946" s="95"/>
      <c r="B946" s="103"/>
      <c r="C946" s="122"/>
      <c r="D946" s="100" t="str">
        <f>IFERROR(__xludf.DUMMYFUNCTION("importrange(C946,Sheet3!D$1)"),"#N/A")</f>
        <v>#N/A</v>
      </c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</row>
    <row r="947">
      <c r="A947" s="95"/>
      <c r="B947" s="103"/>
      <c r="C947" s="122"/>
      <c r="D947" s="100" t="str">
        <f>IFERROR(__xludf.DUMMYFUNCTION("importrange(C947,Sheet3!D$1)"),"#N/A")</f>
        <v>#N/A</v>
      </c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</row>
    <row r="948">
      <c r="A948" s="95"/>
      <c r="B948" s="103"/>
      <c r="C948" s="122"/>
      <c r="D948" s="100" t="str">
        <f>IFERROR(__xludf.DUMMYFUNCTION("importrange(C948,Sheet3!D$1)"),"#N/A")</f>
        <v>#N/A</v>
      </c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</row>
    <row r="949">
      <c r="A949" s="95"/>
      <c r="B949" s="103"/>
      <c r="C949" s="122"/>
      <c r="D949" s="100" t="str">
        <f>IFERROR(__xludf.DUMMYFUNCTION("importrange(C949,Sheet3!D$1)"),"#N/A")</f>
        <v>#N/A</v>
      </c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</row>
    <row r="950">
      <c r="A950" s="95"/>
      <c r="B950" s="103"/>
      <c r="C950" s="122"/>
      <c r="D950" s="100" t="str">
        <f>IFERROR(__xludf.DUMMYFUNCTION("importrange(C950,Sheet3!D$1)"),"#N/A")</f>
        <v>#N/A</v>
      </c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</row>
    <row r="951">
      <c r="A951" s="95"/>
      <c r="B951" s="103"/>
      <c r="C951" s="122"/>
      <c r="D951" s="100" t="str">
        <f>IFERROR(__xludf.DUMMYFUNCTION("importrange(C951,Sheet3!D$1)"),"#N/A")</f>
        <v>#N/A</v>
      </c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</row>
    <row r="952">
      <c r="A952" s="95"/>
      <c r="B952" s="103"/>
      <c r="C952" s="122"/>
      <c r="D952" s="100" t="str">
        <f>IFERROR(__xludf.DUMMYFUNCTION("importrange(C952,Sheet3!D$1)"),"#N/A")</f>
        <v>#N/A</v>
      </c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</row>
    <row r="953">
      <c r="A953" s="95"/>
      <c r="B953" s="103"/>
      <c r="C953" s="122"/>
      <c r="D953" s="100" t="str">
        <f>IFERROR(__xludf.DUMMYFUNCTION("importrange(C953,Sheet3!D$1)"),"#N/A")</f>
        <v>#N/A</v>
      </c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</row>
    <row r="954">
      <c r="A954" s="95"/>
      <c r="B954" s="103"/>
      <c r="C954" s="122"/>
      <c r="D954" s="100" t="str">
        <f>IFERROR(__xludf.DUMMYFUNCTION("importrange(C954,Sheet3!D$1)"),"#N/A")</f>
        <v>#N/A</v>
      </c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</row>
    <row r="955">
      <c r="A955" s="95"/>
      <c r="B955" s="103"/>
      <c r="C955" s="122"/>
      <c r="D955" s="100" t="str">
        <f>IFERROR(__xludf.DUMMYFUNCTION("importrange(C955,Sheet3!D$1)"),"#N/A")</f>
        <v>#N/A</v>
      </c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</row>
    <row r="956">
      <c r="A956" s="95"/>
      <c r="B956" s="103"/>
      <c r="C956" s="122"/>
      <c r="D956" s="100" t="str">
        <f>IFERROR(__xludf.DUMMYFUNCTION("importrange(C956,Sheet3!D$1)"),"#N/A")</f>
        <v>#N/A</v>
      </c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</row>
    <row r="957">
      <c r="A957" s="95"/>
      <c r="B957" s="103"/>
      <c r="C957" s="122"/>
      <c r="D957" s="100" t="str">
        <f>IFERROR(__xludf.DUMMYFUNCTION("importrange(C957,Sheet3!D$1)"),"#N/A")</f>
        <v>#N/A</v>
      </c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</row>
    <row r="958">
      <c r="A958" s="95"/>
      <c r="B958" s="103"/>
      <c r="C958" s="122"/>
      <c r="D958" s="100" t="str">
        <f>IFERROR(__xludf.DUMMYFUNCTION("importrange(C958,Sheet3!D$1)"),"#N/A")</f>
        <v>#N/A</v>
      </c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</row>
    <row r="959">
      <c r="A959" s="95"/>
      <c r="B959" s="103"/>
      <c r="C959" s="122"/>
      <c r="D959" s="100" t="str">
        <f>IFERROR(__xludf.DUMMYFUNCTION("importrange(C959,Sheet3!D$1)"),"#N/A")</f>
        <v>#N/A</v>
      </c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</row>
    <row r="960">
      <c r="A960" s="95"/>
      <c r="B960" s="103"/>
      <c r="C960" s="122"/>
      <c r="D960" s="100" t="str">
        <f>IFERROR(__xludf.DUMMYFUNCTION("importrange(C960,Sheet3!D$1)"),"#N/A")</f>
        <v>#N/A</v>
      </c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</row>
    <row r="961">
      <c r="A961" s="95"/>
      <c r="B961" s="103"/>
      <c r="C961" s="122"/>
      <c r="D961" s="100" t="str">
        <f>IFERROR(__xludf.DUMMYFUNCTION("importrange(C961,Sheet3!D$1)"),"#N/A")</f>
        <v>#N/A</v>
      </c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</row>
    <row r="962">
      <c r="A962" s="95"/>
      <c r="B962" s="103"/>
      <c r="C962" s="122"/>
      <c r="D962" s="100" t="str">
        <f>IFERROR(__xludf.DUMMYFUNCTION("importrange(C962,Sheet3!D$1)"),"#N/A")</f>
        <v>#N/A</v>
      </c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</row>
    <row r="963">
      <c r="A963" s="95"/>
      <c r="B963" s="103"/>
      <c r="C963" s="122"/>
      <c r="D963" s="100" t="str">
        <f>IFERROR(__xludf.DUMMYFUNCTION("importrange(C963,Sheet3!D$1)"),"#N/A")</f>
        <v>#N/A</v>
      </c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</row>
    <row r="964">
      <c r="A964" s="95"/>
      <c r="B964" s="103"/>
      <c r="C964" s="122"/>
      <c r="D964" s="100" t="str">
        <f>IFERROR(__xludf.DUMMYFUNCTION("importrange(C964,Sheet3!D$1)"),"#N/A")</f>
        <v>#N/A</v>
      </c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</row>
    <row r="965">
      <c r="A965" s="95"/>
      <c r="B965" s="103"/>
      <c r="C965" s="122"/>
      <c r="D965" s="100" t="str">
        <f>IFERROR(__xludf.DUMMYFUNCTION("importrange(C965,Sheet3!D$1)"),"#N/A")</f>
        <v>#N/A</v>
      </c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</row>
    <row r="966">
      <c r="A966" s="95"/>
      <c r="B966" s="103"/>
      <c r="C966" s="122"/>
      <c r="D966" s="100" t="str">
        <f>IFERROR(__xludf.DUMMYFUNCTION("importrange(C966,Sheet3!D$1)"),"#N/A")</f>
        <v>#N/A</v>
      </c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</row>
    <row r="967">
      <c r="A967" s="95"/>
      <c r="B967" s="103"/>
      <c r="C967" s="122"/>
      <c r="D967" s="100" t="str">
        <f>IFERROR(__xludf.DUMMYFUNCTION("importrange(C967,Sheet3!D$1)"),"#N/A")</f>
        <v>#N/A</v>
      </c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</row>
    <row r="968">
      <c r="A968" s="95"/>
      <c r="B968" s="103"/>
      <c r="C968" s="122"/>
      <c r="D968" s="100" t="str">
        <f>IFERROR(__xludf.DUMMYFUNCTION("importrange(C968,Sheet3!D$1)"),"#N/A")</f>
        <v>#N/A</v>
      </c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</row>
    <row r="969">
      <c r="A969" s="95"/>
      <c r="B969" s="103"/>
      <c r="C969" s="122"/>
      <c r="D969" s="100" t="str">
        <f>IFERROR(__xludf.DUMMYFUNCTION("importrange(C969,Sheet3!D$1)"),"#N/A")</f>
        <v>#N/A</v>
      </c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</row>
    <row r="970">
      <c r="A970" s="95"/>
      <c r="B970" s="103"/>
      <c r="C970" s="122"/>
      <c r="D970" s="100" t="str">
        <f>IFERROR(__xludf.DUMMYFUNCTION("importrange(C970,Sheet3!D$1)"),"#N/A")</f>
        <v>#N/A</v>
      </c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</row>
    <row r="971">
      <c r="A971" s="95"/>
      <c r="B971" s="103"/>
      <c r="C971" s="122"/>
      <c r="D971" s="100" t="str">
        <f>IFERROR(__xludf.DUMMYFUNCTION("importrange(C971,Sheet3!D$1)"),"#N/A")</f>
        <v>#N/A</v>
      </c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</row>
    <row r="972">
      <c r="A972" s="95"/>
      <c r="B972" s="103"/>
      <c r="C972" s="122"/>
      <c r="D972" s="100" t="str">
        <f>IFERROR(__xludf.DUMMYFUNCTION("importrange(C972,Sheet3!D$1)"),"#N/A")</f>
        <v>#N/A</v>
      </c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</row>
    <row r="973">
      <c r="A973" s="95"/>
      <c r="B973" s="103"/>
      <c r="C973" s="122"/>
      <c r="D973" s="100" t="str">
        <f>IFERROR(__xludf.DUMMYFUNCTION("importrange(C973,Sheet3!D$1)"),"#N/A")</f>
        <v>#N/A</v>
      </c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</row>
    <row r="974">
      <c r="A974" s="95"/>
      <c r="B974" s="103"/>
      <c r="C974" s="122"/>
      <c r="D974" s="100" t="str">
        <f>IFERROR(__xludf.DUMMYFUNCTION("importrange(C974,Sheet3!D$1)"),"#N/A")</f>
        <v>#N/A</v>
      </c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</row>
    <row r="975">
      <c r="A975" s="95"/>
      <c r="B975" s="103"/>
      <c r="C975" s="122"/>
      <c r="D975" s="100" t="str">
        <f>IFERROR(__xludf.DUMMYFUNCTION("importrange(C975,Sheet3!D$1)"),"#N/A")</f>
        <v>#N/A</v>
      </c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</row>
    <row r="976">
      <c r="A976" s="95"/>
      <c r="B976" s="103"/>
      <c r="C976" s="122"/>
      <c r="D976" s="100" t="str">
        <f>IFERROR(__xludf.DUMMYFUNCTION("importrange(C976,Sheet3!D$1)"),"#N/A")</f>
        <v>#N/A</v>
      </c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</row>
    <row r="977">
      <c r="A977" s="95"/>
      <c r="B977" s="103"/>
      <c r="C977" s="122"/>
      <c r="D977" s="100" t="str">
        <f>IFERROR(__xludf.DUMMYFUNCTION("importrange(C977,Sheet3!D$1)"),"#N/A")</f>
        <v>#N/A</v>
      </c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</row>
    <row r="978">
      <c r="A978" s="95"/>
      <c r="B978" s="103"/>
      <c r="C978" s="122"/>
      <c r="D978" s="100" t="str">
        <f>IFERROR(__xludf.DUMMYFUNCTION("importrange(C978,Sheet3!D$1)"),"#N/A")</f>
        <v>#N/A</v>
      </c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</row>
    <row r="979">
      <c r="A979" s="95"/>
      <c r="B979" s="103"/>
      <c r="C979" s="122"/>
      <c r="D979" s="100" t="str">
        <f>IFERROR(__xludf.DUMMYFUNCTION("importrange(C979,Sheet3!D$1)"),"#N/A")</f>
        <v>#N/A</v>
      </c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</row>
    <row r="980">
      <c r="A980" s="95"/>
      <c r="B980" s="103"/>
      <c r="C980" s="122"/>
      <c r="D980" s="100" t="str">
        <f>IFERROR(__xludf.DUMMYFUNCTION("importrange(C980,Sheet3!D$1)"),"#N/A")</f>
        <v>#N/A</v>
      </c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</row>
    <row r="981">
      <c r="A981" s="95"/>
      <c r="B981" s="103"/>
      <c r="C981" s="122"/>
      <c r="D981" s="100" t="str">
        <f>IFERROR(__xludf.DUMMYFUNCTION("importrange(C981,Sheet3!D$1)"),"#N/A")</f>
        <v>#N/A</v>
      </c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</row>
    <row r="982">
      <c r="A982" s="95"/>
      <c r="B982" s="103"/>
      <c r="C982" s="122"/>
      <c r="D982" s="100" t="str">
        <f>IFERROR(__xludf.DUMMYFUNCTION("importrange(C982,Sheet3!D$1)"),"#N/A")</f>
        <v>#N/A</v>
      </c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</row>
    <row r="983">
      <c r="A983" s="95"/>
      <c r="B983" s="103"/>
      <c r="C983" s="122"/>
      <c r="D983" s="100" t="str">
        <f>IFERROR(__xludf.DUMMYFUNCTION("importrange(C983,Sheet3!D$1)"),"#N/A")</f>
        <v>#N/A</v>
      </c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</row>
    <row r="984">
      <c r="A984" s="95"/>
      <c r="B984" s="103"/>
      <c r="C984" s="122"/>
      <c r="D984" s="100" t="str">
        <f>IFERROR(__xludf.DUMMYFUNCTION("importrange(C984,Sheet3!D$1)"),"#N/A")</f>
        <v>#N/A</v>
      </c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</row>
    <row r="985">
      <c r="A985" s="95"/>
      <c r="B985" s="103"/>
      <c r="C985" s="122"/>
      <c r="D985" s="100" t="str">
        <f>IFERROR(__xludf.DUMMYFUNCTION("importrange(C985,Sheet3!D$1)"),"#N/A")</f>
        <v>#N/A</v>
      </c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</row>
    <row r="986">
      <c r="A986" s="95"/>
      <c r="B986" s="103"/>
      <c r="C986" s="122"/>
      <c r="D986" s="100" t="str">
        <f>IFERROR(__xludf.DUMMYFUNCTION("importrange(C986,Sheet3!D$1)"),"#N/A")</f>
        <v>#N/A</v>
      </c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</row>
    <row r="987">
      <c r="A987" s="95"/>
      <c r="B987" s="103"/>
      <c r="C987" s="122"/>
      <c r="D987" s="100" t="str">
        <f>IFERROR(__xludf.DUMMYFUNCTION("importrange(C987,Sheet3!D$1)"),"#N/A")</f>
        <v>#N/A</v>
      </c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</row>
    <row r="988">
      <c r="A988" s="95"/>
      <c r="B988" s="103"/>
      <c r="C988" s="122"/>
      <c r="D988" s="100" t="str">
        <f>IFERROR(__xludf.DUMMYFUNCTION("importrange(C988,Sheet3!D$1)"),"#N/A")</f>
        <v>#N/A</v>
      </c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</row>
    <row r="989">
      <c r="A989" s="95"/>
      <c r="B989" s="103"/>
      <c r="C989" s="122"/>
      <c r="D989" s="100" t="str">
        <f>IFERROR(__xludf.DUMMYFUNCTION("importrange(C989,Sheet3!D$1)"),"#N/A")</f>
        <v>#N/A</v>
      </c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</row>
    <row r="990">
      <c r="A990" s="95"/>
      <c r="B990" s="103"/>
      <c r="C990" s="122"/>
      <c r="D990" s="100" t="str">
        <f>IFERROR(__xludf.DUMMYFUNCTION("importrange(C990,Sheet3!D$1)"),"#N/A")</f>
        <v>#N/A</v>
      </c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</row>
    <row r="991">
      <c r="A991" s="95"/>
      <c r="B991" s="103"/>
      <c r="C991" s="122"/>
      <c r="D991" s="100" t="str">
        <f>IFERROR(__xludf.DUMMYFUNCTION("importrange(C991,Sheet3!D$1)"),"#N/A")</f>
        <v>#N/A</v>
      </c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</row>
    <row r="992">
      <c r="A992" s="95"/>
      <c r="B992" s="103"/>
      <c r="C992" s="122"/>
      <c r="D992" s="100" t="str">
        <f>IFERROR(__xludf.DUMMYFUNCTION("importrange(C992,Sheet3!D$1)"),"#N/A")</f>
        <v>#N/A</v>
      </c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</row>
    <row r="993">
      <c r="A993" s="95"/>
      <c r="B993" s="103"/>
      <c r="C993" s="122"/>
      <c r="D993" s="100" t="str">
        <f>IFERROR(__xludf.DUMMYFUNCTION("importrange(C993,Sheet3!D$1)"),"#N/A")</f>
        <v>#N/A</v>
      </c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</row>
    <row r="994">
      <c r="A994" s="95"/>
      <c r="B994" s="103"/>
      <c r="C994" s="122"/>
      <c r="D994" s="100" t="str">
        <f>IFERROR(__xludf.DUMMYFUNCTION("importrange(C994,Sheet3!D$1)"),"#N/A")</f>
        <v>#N/A</v>
      </c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</row>
    <row r="995">
      <c r="A995" s="95"/>
      <c r="B995" s="103"/>
      <c r="C995" s="122"/>
      <c r="D995" s="100" t="str">
        <f>IFERROR(__xludf.DUMMYFUNCTION("importrange(C995,Sheet3!D$1)"),"#N/A")</f>
        <v>#N/A</v>
      </c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</row>
    <row r="996">
      <c r="A996" s="95"/>
      <c r="B996" s="103"/>
      <c r="C996" s="122"/>
      <c r="D996" s="100" t="str">
        <f>IFERROR(__xludf.DUMMYFUNCTION("importrange(C996,Sheet3!D$1)"),"#N/A")</f>
        <v>#N/A</v>
      </c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</row>
    <row r="997">
      <c r="A997" s="95"/>
      <c r="B997" s="103"/>
      <c r="C997" s="122"/>
      <c r="D997" s="100" t="str">
        <f>IFERROR(__xludf.DUMMYFUNCTION("importrange(C997,Sheet3!D$1)"),"#N/A")</f>
        <v>#N/A</v>
      </c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</row>
    <row r="998">
      <c r="A998" s="95"/>
      <c r="B998" s="103"/>
      <c r="C998" s="122"/>
      <c r="D998" s="100" t="str">
        <f>IFERROR(__xludf.DUMMYFUNCTION("importrange(C998,Sheet3!D$1)"),"#N/A")</f>
        <v>#N/A</v>
      </c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</row>
    <row r="999">
      <c r="A999" s="95"/>
      <c r="B999" s="103"/>
      <c r="C999" s="122"/>
      <c r="D999" s="100" t="str">
        <f>IFERROR(__xludf.DUMMYFUNCTION("importrange(C999,Sheet3!D$1)"),"#N/A")</f>
        <v>#N/A</v>
      </c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</row>
    <row r="1000">
      <c r="A1000" s="95"/>
      <c r="B1000" s="103"/>
      <c r="C1000" s="123"/>
      <c r="D1000" s="100" t="str">
        <f>IFERROR(__xludf.DUMMYFUNCTION("importrange(C1000,Sheet3!D$1)"),"#N/A")</f>
        <v>#N/A</v>
      </c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</row>
    <row r="1001">
      <c r="A1001" s="95"/>
      <c r="B1001" s="103"/>
      <c r="C1001" s="123"/>
      <c r="D1001" s="100" t="str">
        <f>IFERROR(__xludf.DUMMYFUNCTION("importrange(C1001,Sheet3!D$1)"),"#N/A")</f>
        <v>#N/A</v>
      </c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</row>
    <row r="1002">
      <c r="A1002" s="95"/>
      <c r="B1002" s="103"/>
      <c r="C1002" s="123"/>
      <c r="D1002" s="100" t="str">
        <f>IFERROR(__xludf.DUMMYFUNCTION("importrange(C1002,Sheet3!D$1)"),"#N/A")</f>
        <v>#N/A</v>
      </c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</row>
    <row r="1003">
      <c r="A1003" s="95"/>
      <c r="B1003" s="103"/>
      <c r="C1003" s="123"/>
      <c r="D1003" s="100" t="str">
        <f>IFERROR(__xludf.DUMMYFUNCTION("importrange(C1003,Sheet3!D$1)"),"#N/A")</f>
        <v>#N/A</v>
      </c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</row>
    <row r="1004">
      <c r="A1004" s="95"/>
      <c r="B1004" s="103"/>
      <c r="C1004" s="123"/>
      <c r="D1004" s="100" t="str">
        <f>IFERROR(__xludf.DUMMYFUNCTION("importrange(C1004,Sheet3!D$1)"),"#N/A")</f>
        <v>#N/A</v>
      </c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</row>
    <row r="1005">
      <c r="A1005" s="95"/>
      <c r="B1005" s="103"/>
      <c r="C1005" s="123"/>
      <c r="D1005" s="100" t="str">
        <f>IFERROR(__xludf.DUMMYFUNCTION("importrange(C1005,Sheet3!D$1)"),"#N/A")</f>
        <v>#N/A</v>
      </c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</row>
    <row r="1006">
      <c r="A1006" s="95"/>
      <c r="B1006" s="103"/>
      <c r="C1006" s="123"/>
      <c r="D1006" s="100" t="str">
        <f>IFERROR(__xludf.DUMMYFUNCTION("importrange(C1006,Sheet3!D$1)"),"#N/A")</f>
        <v>#N/A</v>
      </c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</row>
    <row r="1007">
      <c r="A1007" s="95"/>
      <c r="B1007" s="103"/>
      <c r="C1007" s="123"/>
      <c r="D1007" s="100" t="str">
        <f>IFERROR(__xludf.DUMMYFUNCTION("importrange(C1007,Sheet3!D$1)"),"#N/A")</f>
        <v>#N/A</v>
      </c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</row>
    <row r="1008">
      <c r="A1008" s="95"/>
      <c r="B1008" s="103"/>
      <c r="C1008" s="123"/>
      <c r="D1008" s="100" t="str">
        <f>IFERROR(__xludf.DUMMYFUNCTION("importrange(C1008,Sheet3!D$1)"),"#N/A")</f>
        <v>#N/A</v>
      </c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</row>
    <row r="1009">
      <c r="A1009" s="95"/>
      <c r="B1009" s="103"/>
      <c r="C1009" s="123"/>
      <c r="D1009" s="100" t="str">
        <f>IFERROR(__xludf.DUMMYFUNCTION("importrange(C1009,Sheet3!D$1)"),"#N/A")</f>
        <v>#N/A</v>
      </c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</row>
    <row r="1010">
      <c r="A1010" s="95"/>
      <c r="B1010" s="103"/>
      <c r="C1010" s="123"/>
      <c r="D1010" s="100" t="str">
        <f>IFERROR(__xludf.DUMMYFUNCTION("importrange(C1010,Sheet3!D$1)"),"#N/A")</f>
        <v>#N/A</v>
      </c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</row>
    <row r="1011">
      <c r="A1011" s="95"/>
      <c r="B1011" s="103"/>
      <c r="C1011" s="123"/>
      <c r="D1011" s="100" t="str">
        <f>IFERROR(__xludf.DUMMYFUNCTION("importrange(C1011,Sheet3!D$1)"),"#N/A")</f>
        <v>#N/A</v>
      </c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</row>
    <row r="1012">
      <c r="A1012" s="95"/>
      <c r="B1012" s="103"/>
      <c r="C1012" s="123"/>
      <c r="D1012" s="100" t="str">
        <f>IFERROR(__xludf.DUMMYFUNCTION("importrange(C1012,Sheet3!D$1)"),"#N/A")</f>
        <v>#N/A</v>
      </c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</row>
    <row r="1013">
      <c r="A1013" s="95"/>
      <c r="B1013" s="103"/>
      <c r="C1013" s="123"/>
      <c r="D1013" s="100" t="str">
        <f>IFERROR(__xludf.DUMMYFUNCTION("importrange(C1013,Sheet3!D$1)"),"#N/A")</f>
        <v>#N/A</v>
      </c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</row>
    <row r="1014">
      <c r="A1014" s="95"/>
      <c r="B1014" s="103"/>
      <c r="C1014" s="123"/>
      <c r="D1014" s="100" t="str">
        <f>IFERROR(__xludf.DUMMYFUNCTION("importrange(C1014,Sheet3!D$1)"),"#N/A")</f>
        <v>#N/A</v>
      </c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</row>
    <row r="1015">
      <c r="A1015" s="95"/>
      <c r="B1015" s="103"/>
      <c r="C1015" s="123"/>
      <c r="D1015" s="100" t="str">
        <f>IFERROR(__xludf.DUMMYFUNCTION("importrange(C1015,Sheet3!D$1)"),"#N/A")</f>
        <v>#N/A</v>
      </c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</row>
    <row r="1016">
      <c r="A1016" s="95"/>
      <c r="B1016" s="103"/>
      <c r="C1016" s="123"/>
      <c r="D1016" s="100" t="str">
        <f>IFERROR(__xludf.DUMMYFUNCTION("importrange(C1016,Sheet3!D$1)"),"#N/A")</f>
        <v>#N/A</v>
      </c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</row>
    <row r="1017">
      <c r="A1017" s="95"/>
      <c r="B1017" s="103"/>
      <c r="C1017" s="123"/>
      <c r="D1017" s="100" t="str">
        <f>IFERROR(__xludf.DUMMYFUNCTION("importrange(C1017,Sheet3!D$1)"),"#N/A")</f>
        <v>#N/A</v>
      </c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</row>
    <row r="1018">
      <c r="A1018" s="95"/>
      <c r="B1018" s="103"/>
      <c r="C1018" s="123"/>
      <c r="D1018" s="100" t="str">
        <f>IFERROR(__xludf.DUMMYFUNCTION("importrange(C1018,Sheet3!D$1)"),"#N/A")</f>
        <v>#N/A</v>
      </c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</row>
    <row r="1019">
      <c r="A1019" s="95"/>
      <c r="B1019" s="103"/>
      <c r="C1019" s="123"/>
      <c r="D1019" s="100" t="str">
        <f>IFERROR(__xludf.DUMMYFUNCTION("importrange(C1019,Sheet3!D$1)"),"#N/A")</f>
        <v>#N/A</v>
      </c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</row>
    <row r="1020">
      <c r="A1020" s="95"/>
      <c r="B1020" s="103"/>
      <c r="C1020" s="123"/>
      <c r="D1020" s="100" t="str">
        <f>IFERROR(__xludf.DUMMYFUNCTION("importrange(C1020,Sheet3!D$1)"),"#N/A")</f>
        <v>#N/A</v>
      </c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</row>
    <row r="1021">
      <c r="A1021" s="95"/>
      <c r="B1021" s="103"/>
      <c r="C1021" s="123"/>
      <c r="D1021" s="100" t="str">
        <f>IFERROR(__xludf.DUMMYFUNCTION("importrange(C1021,Sheet3!D$1)"),"#N/A")</f>
        <v>#N/A</v>
      </c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</row>
    <row r="1022">
      <c r="A1022" s="95"/>
      <c r="B1022" s="103"/>
      <c r="C1022" s="123"/>
      <c r="D1022" s="100" t="str">
        <f>IFERROR(__xludf.DUMMYFUNCTION("importrange(C1022,Sheet3!D$1)"),"#N/A")</f>
        <v>#N/A</v>
      </c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</row>
    <row r="1023">
      <c r="A1023" s="95"/>
      <c r="B1023" s="103"/>
      <c r="C1023" s="123"/>
      <c r="D1023" s="100" t="str">
        <f>IFERROR(__xludf.DUMMYFUNCTION("importrange(C1023,Sheet3!D$1)"),"#N/A")</f>
        <v>#N/A</v>
      </c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</row>
    <row r="1024">
      <c r="A1024" s="95"/>
      <c r="B1024" s="103"/>
      <c r="C1024" s="123"/>
      <c r="D1024" s="100" t="str">
        <f>IFERROR(__xludf.DUMMYFUNCTION("importrange(C1024,Sheet3!D$1)"),"#N/A")</f>
        <v>#N/A</v>
      </c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</row>
    <row r="1025">
      <c r="A1025" s="95"/>
      <c r="B1025" s="103"/>
      <c r="C1025" s="123"/>
      <c r="D1025" s="100" t="str">
        <f>IFERROR(__xludf.DUMMYFUNCTION("importrange(C1025,Sheet3!D$1)"),"#N/A")</f>
        <v>#N/A</v>
      </c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</row>
    <row r="1026">
      <c r="A1026" s="95"/>
      <c r="B1026" s="103"/>
      <c r="C1026" s="123"/>
      <c r="D1026" s="100" t="str">
        <f>IFERROR(__xludf.DUMMYFUNCTION("importrange(C1026,Sheet3!D$1)"),"#N/A")</f>
        <v>#N/A</v>
      </c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</row>
    <row r="1027">
      <c r="A1027" s="95"/>
      <c r="B1027" s="103"/>
      <c r="C1027" s="123"/>
      <c r="D1027" s="100" t="str">
        <f>IFERROR(__xludf.DUMMYFUNCTION("importrange(C1027,Sheet3!D$1)"),"#N/A")</f>
        <v>#N/A</v>
      </c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</row>
    <row r="1028">
      <c r="A1028" s="95"/>
      <c r="B1028" s="103"/>
      <c r="C1028" s="123"/>
      <c r="D1028" s="100" t="str">
        <f>IFERROR(__xludf.DUMMYFUNCTION("importrange(C1028,Sheet3!D$1)"),"#N/A")</f>
        <v>#N/A</v>
      </c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</row>
    <row r="1029">
      <c r="A1029" s="95"/>
      <c r="B1029" s="103"/>
      <c r="C1029" s="123"/>
      <c r="D1029" s="100" t="str">
        <f>IFERROR(__xludf.DUMMYFUNCTION("importrange(C1029,Sheet3!D$1)"),"#N/A")</f>
        <v>#N/A</v>
      </c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</row>
    <row r="1030">
      <c r="A1030" s="95"/>
      <c r="B1030" s="103"/>
      <c r="C1030" s="123"/>
      <c r="D1030" s="100" t="str">
        <f>IFERROR(__xludf.DUMMYFUNCTION("importrange(C1030,Sheet3!D$1)"),"#N/A")</f>
        <v>#N/A</v>
      </c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</row>
    <row r="1031">
      <c r="A1031" s="95"/>
      <c r="B1031" s="103"/>
      <c r="C1031" s="123"/>
      <c r="D1031" s="100" t="str">
        <f>IFERROR(__xludf.DUMMYFUNCTION("importrange(C1031,Sheet3!D$1)"),"#N/A")</f>
        <v>#N/A</v>
      </c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</row>
    <row r="1032">
      <c r="A1032" s="95"/>
      <c r="B1032" s="103"/>
      <c r="C1032" s="123"/>
      <c r="D1032" s="100" t="str">
        <f>IFERROR(__xludf.DUMMYFUNCTION("importrange(C1032,Sheet3!D$1)"),"#N/A")</f>
        <v>#N/A</v>
      </c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</row>
    <row r="1033">
      <c r="A1033" s="95"/>
      <c r="B1033" s="103"/>
      <c r="C1033" s="123"/>
      <c r="D1033" s="100" t="str">
        <f>IFERROR(__xludf.DUMMYFUNCTION("importrange(C1033,Sheet3!D$1)"),"#N/A")</f>
        <v>#N/A</v>
      </c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</row>
    <row r="1034">
      <c r="A1034" s="95"/>
      <c r="B1034" s="103"/>
      <c r="C1034" s="123"/>
      <c r="D1034" s="100" t="str">
        <f>IFERROR(__xludf.DUMMYFUNCTION("importrange(C1034,Sheet3!D$1)"),"#N/A")</f>
        <v>#N/A</v>
      </c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</row>
    <row r="1035">
      <c r="A1035" s="95"/>
      <c r="B1035" s="103"/>
      <c r="C1035" s="123"/>
      <c r="D1035" s="100" t="str">
        <f>IFERROR(__xludf.DUMMYFUNCTION("importrange(C1035,Sheet3!D$1)"),"#N/A")</f>
        <v>#N/A</v>
      </c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</row>
    <row r="1036">
      <c r="A1036" s="95"/>
      <c r="B1036" s="103"/>
      <c r="C1036" s="123"/>
      <c r="D1036" s="100" t="str">
        <f>IFERROR(__xludf.DUMMYFUNCTION("importrange(C1036,Sheet3!D$1)"),"#N/A")</f>
        <v>#N/A</v>
      </c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</row>
    <row r="1037">
      <c r="A1037" s="95"/>
      <c r="B1037" s="103"/>
      <c r="C1037" s="123"/>
      <c r="D1037" s="100" t="str">
        <f>IFERROR(__xludf.DUMMYFUNCTION("importrange(C1037,Sheet3!D$1)"),"#N/A")</f>
        <v>#N/A</v>
      </c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</row>
    <row r="1038">
      <c r="A1038" s="95"/>
      <c r="B1038" s="103"/>
      <c r="C1038" s="123"/>
      <c r="D1038" s="100" t="str">
        <f>IFERROR(__xludf.DUMMYFUNCTION("importrange(C1038,Sheet3!D$1)"),"#N/A")</f>
        <v>#N/A</v>
      </c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</row>
    <row r="1039">
      <c r="A1039" s="95"/>
      <c r="B1039" s="103"/>
      <c r="C1039" s="123"/>
      <c r="D1039" s="100" t="str">
        <f>IFERROR(__xludf.DUMMYFUNCTION("importrange(C1039,Sheet3!D$1)"),"#N/A")</f>
        <v>#N/A</v>
      </c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</row>
    <row r="1040">
      <c r="A1040" s="95"/>
      <c r="B1040" s="103"/>
      <c r="C1040" s="123"/>
      <c r="D1040" s="100" t="str">
        <f>IFERROR(__xludf.DUMMYFUNCTION("importrange(C1040,Sheet3!D$1)"),"#N/A")</f>
        <v>#N/A</v>
      </c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</row>
    <row r="1041">
      <c r="A1041" s="95"/>
      <c r="B1041" s="103"/>
      <c r="C1041" s="123"/>
      <c r="D1041" s="100" t="str">
        <f>IFERROR(__xludf.DUMMYFUNCTION("importrange(C1041,Sheet3!D$1)"),"#N/A")</f>
        <v>#N/A</v>
      </c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</row>
    <row r="1042">
      <c r="A1042" s="95"/>
      <c r="B1042" s="103"/>
      <c r="C1042" s="123"/>
      <c r="D1042" s="100" t="str">
        <f>IFERROR(__xludf.DUMMYFUNCTION("importrange(C1042,Sheet3!D$1)"),"#N/A")</f>
        <v>#N/A</v>
      </c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</row>
    <row r="1043">
      <c r="A1043" s="95"/>
      <c r="B1043" s="103"/>
      <c r="C1043" s="123"/>
      <c r="D1043" s="100" t="str">
        <f>IFERROR(__xludf.DUMMYFUNCTION("importrange(C1043,Sheet3!D$1)"),"#N/A")</f>
        <v>#N/A</v>
      </c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</row>
    <row r="1044">
      <c r="A1044" s="95"/>
      <c r="B1044" s="103"/>
      <c r="C1044" s="123"/>
      <c r="D1044" s="100" t="str">
        <f>IFERROR(__xludf.DUMMYFUNCTION("importrange(C1044,Sheet3!D$1)"),"#N/A")</f>
        <v>#N/A</v>
      </c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</row>
    <row r="1045">
      <c r="A1045" s="95"/>
      <c r="B1045" s="103"/>
      <c r="C1045" s="123"/>
      <c r="D1045" s="100" t="str">
        <f>IFERROR(__xludf.DUMMYFUNCTION("importrange(C1045,Sheet3!D$1)"),"#N/A")</f>
        <v>#N/A</v>
      </c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</row>
    <row r="1046">
      <c r="A1046" s="95"/>
      <c r="B1046" s="103"/>
      <c r="C1046" s="123"/>
      <c r="D1046" s="100" t="str">
        <f>IFERROR(__xludf.DUMMYFUNCTION("importrange(C1046,Sheet3!D$1)"),"#N/A")</f>
        <v>#N/A</v>
      </c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</row>
    <row r="1047">
      <c r="A1047" s="95"/>
      <c r="B1047" s="103"/>
      <c r="C1047" s="123"/>
      <c r="D1047" s="100" t="str">
        <f>IFERROR(__xludf.DUMMYFUNCTION("importrange(C1047,Sheet3!D$1)"),"#N/A")</f>
        <v>#N/A</v>
      </c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</row>
    <row r="1048">
      <c r="A1048" s="95"/>
      <c r="B1048" s="103"/>
      <c r="C1048" s="123"/>
      <c r="D1048" s="100" t="str">
        <f>IFERROR(__xludf.DUMMYFUNCTION("importrange(C1048,Sheet3!D$1)"),"#N/A")</f>
        <v>#N/A</v>
      </c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</row>
    <row r="1049">
      <c r="A1049" s="95"/>
      <c r="B1049" s="103"/>
      <c r="C1049" s="123"/>
      <c r="D1049" s="100" t="str">
        <f>IFERROR(__xludf.DUMMYFUNCTION("importrange(C1049,Sheet3!D$1)"),"#N/A")</f>
        <v>#N/A</v>
      </c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</row>
    <row r="1050">
      <c r="A1050" s="95"/>
      <c r="B1050" s="103"/>
      <c r="C1050" s="123"/>
      <c r="D1050" s="100" t="str">
        <f>IFERROR(__xludf.DUMMYFUNCTION("importrange(C1050,Sheet3!D$1)"),"#N/A")</f>
        <v>#N/A</v>
      </c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</row>
    <row r="1051">
      <c r="A1051" s="95"/>
      <c r="B1051" s="103"/>
      <c r="C1051" s="123"/>
      <c r="D1051" s="100" t="str">
        <f>IFERROR(__xludf.DUMMYFUNCTION("importrange(C1051,Sheet3!D$1)"),"#N/A")</f>
        <v>#N/A</v>
      </c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</row>
    <row r="1052">
      <c r="A1052" s="95"/>
      <c r="B1052" s="103"/>
      <c r="C1052" s="123"/>
      <c r="D1052" s="100" t="str">
        <f>IFERROR(__xludf.DUMMYFUNCTION("importrange(C1052,Sheet3!D$1)"),"#N/A")</f>
        <v>#N/A</v>
      </c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</row>
    <row r="1053">
      <c r="A1053" s="95"/>
      <c r="B1053" s="103"/>
      <c r="C1053" s="123"/>
      <c r="D1053" s="100" t="str">
        <f>IFERROR(__xludf.DUMMYFUNCTION("importrange(C1053,Sheet3!D$1)"),"#N/A")</f>
        <v>#N/A</v>
      </c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</row>
    <row r="1054">
      <c r="A1054" s="95"/>
      <c r="B1054" s="103"/>
      <c r="C1054" s="123"/>
      <c r="D1054" s="100" t="str">
        <f>IFERROR(__xludf.DUMMYFUNCTION("importrange(C1054,Sheet3!D$1)"),"#N/A")</f>
        <v>#N/A</v>
      </c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</row>
    <row r="1055">
      <c r="A1055" s="95"/>
      <c r="B1055" s="103"/>
      <c r="C1055" s="123"/>
      <c r="D1055" s="100" t="str">
        <f>IFERROR(__xludf.DUMMYFUNCTION("importrange(C1055,Sheet3!D$1)"),"#N/A")</f>
        <v>#N/A</v>
      </c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</row>
    <row r="1056">
      <c r="A1056" s="95"/>
      <c r="B1056" s="103"/>
      <c r="C1056" s="123"/>
      <c r="D1056" s="100" t="str">
        <f>IFERROR(__xludf.DUMMYFUNCTION("importrange(C1056,Sheet3!D$1)"),"#N/A")</f>
        <v>#N/A</v>
      </c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</row>
    <row r="1057">
      <c r="A1057" s="95"/>
      <c r="B1057" s="103"/>
      <c r="C1057" s="123"/>
      <c r="D1057" s="100" t="str">
        <f>IFERROR(__xludf.DUMMYFUNCTION("importrange(C1057,Sheet3!D$1)"),"#N/A")</f>
        <v>#N/A</v>
      </c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</row>
    <row r="1058">
      <c r="A1058" s="95"/>
      <c r="B1058" s="103"/>
      <c r="C1058" s="123"/>
      <c r="D1058" s="100" t="str">
        <f>IFERROR(__xludf.DUMMYFUNCTION("importrange(C1058,Sheet3!D$1)"),"#N/A")</f>
        <v>#N/A</v>
      </c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</row>
    <row r="1059">
      <c r="A1059" s="95"/>
      <c r="B1059" s="103"/>
      <c r="C1059" s="123"/>
      <c r="D1059" s="100" t="str">
        <f>IFERROR(__xludf.DUMMYFUNCTION("importrange(C1059,Sheet3!D$1)"),"#N/A")</f>
        <v>#N/A</v>
      </c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</row>
    <row r="1060">
      <c r="A1060" s="95"/>
      <c r="B1060" s="103"/>
      <c r="C1060" s="123"/>
      <c r="D1060" s="100" t="str">
        <f>IFERROR(__xludf.DUMMYFUNCTION("importrange(C1060,Sheet3!D$1)"),"#N/A")</f>
        <v>#N/A</v>
      </c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</row>
    <row r="1061">
      <c r="A1061" s="95"/>
      <c r="B1061" s="103"/>
      <c r="C1061" s="123"/>
      <c r="D1061" s="100" t="str">
        <f>IFERROR(__xludf.DUMMYFUNCTION("importrange(C1061,Sheet3!D$1)"),"#N/A")</f>
        <v>#N/A</v>
      </c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</row>
    <row r="1062">
      <c r="A1062" s="95"/>
      <c r="B1062" s="103"/>
      <c r="C1062" s="123"/>
      <c r="D1062" s="100" t="str">
        <f>IFERROR(__xludf.DUMMYFUNCTION("importrange(C1062,Sheet3!D$1)"),"#N/A")</f>
        <v>#N/A</v>
      </c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</row>
    <row r="1063">
      <c r="A1063" s="95"/>
      <c r="B1063" s="103"/>
      <c r="C1063" s="123"/>
      <c r="D1063" s="100" t="str">
        <f>IFERROR(__xludf.DUMMYFUNCTION("importrange(C1063,Sheet3!D$1)"),"#N/A")</f>
        <v>#N/A</v>
      </c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</row>
    <row r="1064">
      <c r="A1064" s="95"/>
      <c r="B1064" s="103"/>
      <c r="C1064" s="123"/>
      <c r="D1064" s="100" t="str">
        <f>IFERROR(__xludf.DUMMYFUNCTION("importrange(C1064,Sheet3!D$1)"),"#N/A")</f>
        <v>#N/A</v>
      </c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</row>
    <row r="1065">
      <c r="A1065" s="95"/>
      <c r="B1065" s="103"/>
      <c r="C1065" s="123"/>
      <c r="D1065" s="100" t="str">
        <f>IFERROR(__xludf.DUMMYFUNCTION("importrange(C1065,Sheet3!D$1)"),"#N/A")</f>
        <v>#N/A</v>
      </c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</row>
    <row r="1066">
      <c r="A1066" s="95"/>
      <c r="B1066" s="103"/>
      <c r="C1066" s="123"/>
      <c r="D1066" s="100" t="str">
        <f>IFERROR(__xludf.DUMMYFUNCTION("importrange(C1066,Sheet3!D$1)"),"#N/A")</f>
        <v>#N/A</v>
      </c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</row>
    <row r="1067">
      <c r="A1067" s="95"/>
      <c r="B1067" s="103"/>
      <c r="C1067" s="123"/>
      <c r="D1067" s="100" t="str">
        <f>IFERROR(__xludf.DUMMYFUNCTION("importrange(C1067,Sheet3!D$1)"),"#N/A")</f>
        <v>#N/A</v>
      </c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</row>
    <row r="1068">
      <c r="A1068" s="95"/>
      <c r="B1068" s="103"/>
      <c r="C1068" s="123"/>
      <c r="D1068" s="100" t="str">
        <f>IFERROR(__xludf.DUMMYFUNCTION("importrange(C1068,Sheet3!D$1)"),"#N/A")</f>
        <v>#N/A</v>
      </c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</row>
    <row r="1069">
      <c r="A1069" s="95"/>
      <c r="B1069" s="103"/>
      <c r="C1069" s="123"/>
      <c r="D1069" s="100" t="str">
        <f>IFERROR(__xludf.DUMMYFUNCTION("importrange(C1069,Sheet3!D$1)"),"#N/A")</f>
        <v>#N/A</v>
      </c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</row>
    <row r="1070">
      <c r="A1070" s="95"/>
      <c r="B1070" s="103"/>
      <c r="C1070" s="123"/>
      <c r="D1070" s="100" t="str">
        <f>IFERROR(__xludf.DUMMYFUNCTION("importrange(C1070,Sheet3!D$1)"),"#N/A")</f>
        <v>#N/A</v>
      </c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</row>
    <row r="1071">
      <c r="A1071" s="95"/>
      <c r="B1071" s="103"/>
      <c r="C1071" s="123"/>
      <c r="D1071" s="100" t="str">
        <f>IFERROR(__xludf.DUMMYFUNCTION("importrange(C1071,Sheet3!D$1)"),"#N/A")</f>
        <v>#N/A</v>
      </c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</row>
    <row r="1072">
      <c r="A1072" s="95"/>
      <c r="B1072" s="103"/>
      <c r="C1072" s="123"/>
      <c r="D1072" s="100" t="str">
        <f>IFERROR(__xludf.DUMMYFUNCTION("importrange(C1072,Sheet3!D$1)"),"#N/A")</f>
        <v>#N/A</v>
      </c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</row>
    <row r="1073">
      <c r="A1073" s="95"/>
      <c r="B1073" s="103"/>
      <c r="C1073" s="123"/>
      <c r="D1073" s="100" t="str">
        <f>IFERROR(__xludf.DUMMYFUNCTION("importrange(C1073,Sheet3!D$1)"),"#N/A")</f>
        <v>#N/A</v>
      </c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</row>
    <row r="1074">
      <c r="A1074" s="95"/>
      <c r="B1074" s="103"/>
      <c r="C1074" s="123"/>
      <c r="D1074" s="100" t="str">
        <f>IFERROR(__xludf.DUMMYFUNCTION("importrange(C1074,Sheet3!D$1)"),"#N/A")</f>
        <v>#N/A</v>
      </c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</row>
    <row r="1075">
      <c r="A1075" s="95"/>
      <c r="B1075" s="103"/>
      <c r="C1075" s="123"/>
      <c r="D1075" s="100" t="str">
        <f>IFERROR(__xludf.DUMMYFUNCTION("importrange(C1075,Sheet3!D$1)"),"#N/A")</f>
        <v>#N/A</v>
      </c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</row>
    <row r="1076">
      <c r="A1076" s="95"/>
      <c r="B1076" s="103"/>
      <c r="C1076" s="123"/>
      <c r="D1076" s="100" t="str">
        <f>IFERROR(__xludf.DUMMYFUNCTION("importrange(C1076,Sheet3!D$1)"),"#N/A")</f>
        <v>#N/A</v>
      </c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</row>
    <row r="1077">
      <c r="A1077" s="95"/>
      <c r="B1077" s="103"/>
      <c r="C1077" s="123"/>
      <c r="D1077" s="100" t="str">
        <f>IFERROR(__xludf.DUMMYFUNCTION("importrange(C1077,Sheet3!D$1)"),"#N/A")</f>
        <v>#N/A</v>
      </c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</row>
    <row r="1078">
      <c r="A1078" s="95"/>
      <c r="B1078" s="103"/>
      <c r="C1078" s="123"/>
      <c r="D1078" s="100" t="str">
        <f>IFERROR(__xludf.DUMMYFUNCTION("importrange(C1078,Sheet3!D$1)"),"#N/A")</f>
        <v>#N/A</v>
      </c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</row>
    <row r="1079">
      <c r="A1079" s="95"/>
      <c r="B1079" s="103"/>
      <c r="C1079" s="123"/>
      <c r="D1079" s="100" t="str">
        <f>IFERROR(__xludf.DUMMYFUNCTION("importrange(C1079,Sheet3!D$1)"),"#N/A")</f>
        <v>#N/A</v>
      </c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</row>
    <row r="1080">
      <c r="A1080" s="95"/>
      <c r="B1080" s="103"/>
      <c r="C1080" s="123"/>
      <c r="D1080" s="100" t="str">
        <f>IFERROR(__xludf.DUMMYFUNCTION("importrange(C1080,Sheet3!D$1)"),"#N/A")</f>
        <v>#N/A</v>
      </c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</row>
    <row r="1081">
      <c r="A1081" s="95"/>
      <c r="B1081" s="103"/>
      <c r="C1081" s="123"/>
      <c r="D1081" s="100" t="str">
        <f>IFERROR(__xludf.DUMMYFUNCTION("importrange(C1081,Sheet3!D$1)"),"#N/A")</f>
        <v>#N/A</v>
      </c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</row>
    <row r="1082">
      <c r="A1082" s="95"/>
      <c r="B1082" s="103"/>
      <c r="C1082" s="123"/>
      <c r="D1082" s="100" t="str">
        <f>IFERROR(__xludf.DUMMYFUNCTION("importrange(C1082,Sheet3!D$1)"),"#N/A")</f>
        <v>#N/A</v>
      </c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</row>
    <row r="1083">
      <c r="A1083" s="95"/>
      <c r="B1083" s="103"/>
      <c r="C1083" s="123"/>
      <c r="D1083" s="100" t="str">
        <f>IFERROR(__xludf.DUMMYFUNCTION("importrange(C1083,Sheet3!D$1)"),"#N/A")</f>
        <v>#N/A</v>
      </c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</row>
    <row r="1084">
      <c r="A1084" s="95"/>
      <c r="B1084" s="103"/>
      <c r="C1084" s="123"/>
      <c r="D1084" s="100" t="str">
        <f>IFERROR(__xludf.DUMMYFUNCTION("importrange(C1084,Sheet3!D$1)"),"#N/A")</f>
        <v>#N/A</v>
      </c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</row>
    <row r="1085">
      <c r="A1085" s="95"/>
      <c r="B1085" s="103"/>
      <c r="C1085" s="123"/>
      <c r="D1085" s="100" t="str">
        <f>IFERROR(__xludf.DUMMYFUNCTION("importrange(C1085,Sheet3!D$1)"),"#N/A")</f>
        <v>#N/A</v>
      </c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</row>
    <row r="1086">
      <c r="A1086" s="95"/>
      <c r="B1086" s="103"/>
      <c r="C1086" s="123"/>
      <c r="D1086" s="100" t="str">
        <f>IFERROR(__xludf.DUMMYFUNCTION("importrange(C1086,Sheet3!D$1)"),"#N/A")</f>
        <v>#N/A</v>
      </c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</row>
    <row r="1087">
      <c r="A1087" s="95"/>
      <c r="B1087" s="103"/>
      <c r="C1087" s="123"/>
      <c r="D1087" s="100" t="str">
        <f>IFERROR(__xludf.DUMMYFUNCTION("importrange(C1087,Sheet3!D$1)"),"#N/A")</f>
        <v>#N/A</v>
      </c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</row>
    <row r="1088">
      <c r="A1088" s="95"/>
      <c r="B1088" s="103"/>
      <c r="C1088" s="123"/>
      <c r="D1088" s="100" t="str">
        <f>IFERROR(__xludf.DUMMYFUNCTION("importrange(C1088,Sheet3!D$1)"),"#N/A")</f>
        <v>#N/A</v>
      </c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</row>
    <row r="1089">
      <c r="A1089" s="95"/>
      <c r="B1089" s="103"/>
      <c r="C1089" s="123"/>
      <c r="D1089" s="100" t="str">
        <f>IFERROR(__xludf.DUMMYFUNCTION("importrange(C1089,Sheet3!D$1)"),"#N/A")</f>
        <v>#N/A</v>
      </c>
      <c r="E1089" s="124"/>
      <c r="F1089" s="124"/>
      <c r="G1089" s="124"/>
      <c r="H1089" s="124"/>
      <c r="I1089" s="124"/>
      <c r="J1089" s="124"/>
      <c r="K1089" s="124"/>
      <c r="L1089" s="124"/>
      <c r="M1089" s="124"/>
      <c r="N1089" s="124"/>
      <c r="O1089" s="124"/>
      <c r="P1089" s="124"/>
      <c r="Q1089" s="124"/>
      <c r="R1089" s="124"/>
      <c r="S1089" s="124"/>
      <c r="T1089" s="124"/>
      <c r="U1089" s="124"/>
      <c r="V1089" s="124"/>
      <c r="W1089" s="124"/>
      <c r="X1089" s="124"/>
      <c r="Y1089" s="124"/>
    </row>
    <row r="1090">
      <c r="A1090" s="95"/>
      <c r="B1090" s="103"/>
      <c r="C1090" s="123"/>
      <c r="D1090" s="100" t="str">
        <f>IFERROR(__xludf.DUMMYFUNCTION("importrange(C1090,Sheet3!D$1)"),"#N/A")</f>
        <v>#N/A</v>
      </c>
      <c r="E1090" s="124"/>
      <c r="F1090" s="124"/>
      <c r="G1090" s="124"/>
      <c r="H1090" s="124"/>
      <c r="I1090" s="124"/>
      <c r="J1090" s="124"/>
      <c r="K1090" s="124"/>
      <c r="L1090" s="124"/>
      <c r="M1090" s="124"/>
      <c r="N1090" s="124"/>
      <c r="O1090" s="124"/>
      <c r="P1090" s="124"/>
      <c r="Q1090" s="124"/>
      <c r="R1090" s="124"/>
      <c r="S1090" s="124"/>
      <c r="T1090" s="124"/>
      <c r="U1090" s="124"/>
      <c r="V1090" s="124"/>
      <c r="W1090" s="124"/>
      <c r="X1090" s="124"/>
      <c r="Y1090" s="124"/>
    </row>
    <row r="1091">
      <c r="A1091" s="95"/>
      <c r="B1091" s="103"/>
      <c r="C1091" s="123"/>
      <c r="D1091" s="100" t="str">
        <f>IFERROR(__xludf.DUMMYFUNCTION("importrange(C1091,Sheet3!D$1)"),"#N/A")</f>
        <v>#N/A</v>
      </c>
      <c r="E1091" s="124"/>
      <c r="F1091" s="124"/>
      <c r="G1091" s="124"/>
      <c r="H1091" s="124"/>
      <c r="I1091" s="124"/>
      <c r="J1091" s="124"/>
      <c r="K1091" s="124"/>
      <c r="L1091" s="124"/>
      <c r="M1091" s="124"/>
      <c r="N1091" s="124"/>
      <c r="O1091" s="124"/>
      <c r="P1091" s="124"/>
      <c r="Q1091" s="124"/>
      <c r="R1091" s="124"/>
      <c r="S1091" s="124"/>
      <c r="T1091" s="124"/>
      <c r="U1091" s="124"/>
      <c r="V1091" s="124"/>
      <c r="W1091" s="124"/>
      <c r="X1091" s="124"/>
      <c r="Y1091" s="124"/>
    </row>
    <row r="1092">
      <c r="A1092" s="95"/>
      <c r="B1092" s="103"/>
      <c r="C1092" s="123"/>
      <c r="D1092" s="100" t="str">
        <f>IFERROR(__xludf.DUMMYFUNCTION("importrange(C1092,Sheet3!D$1)"),"#N/A")</f>
        <v>#N/A</v>
      </c>
      <c r="E1092" s="124"/>
      <c r="F1092" s="124"/>
      <c r="G1092" s="124"/>
      <c r="H1092" s="124"/>
      <c r="I1092" s="124"/>
      <c r="J1092" s="124"/>
      <c r="K1092" s="124"/>
      <c r="L1092" s="124"/>
      <c r="M1092" s="124"/>
      <c r="N1092" s="124"/>
      <c r="O1092" s="124"/>
      <c r="P1092" s="124"/>
      <c r="Q1092" s="124"/>
      <c r="R1092" s="124"/>
      <c r="S1092" s="124"/>
      <c r="T1092" s="124"/>
      <c r="U1092" s="124"/>
      <c r="V1092" s="124"/>
      <c r="W1092" s="124"/>
      <c r="X1092" s="124"/>
      <c r="Y1092" s="124"/>
    </row>
    <row r="1093">
      <c r="A1093" s="95"/>
      <c r="B1093" s="103"/>
      <c r="C1093" s="123"/>
      <c r="D1093" s="100" t="str">
        <f>IFERROR(__xludf.DUMMYFUNCTION("importrange(C1093,Sheet3!D$1)"),"#N/A")</f>
        <v>#N/A</v>
      </c>
      <c r="E1093" s="124"/>
      <c r="F1093" s="124"/>
      <c r="G1093" s="124"/>
      <c r="H1093" s="124"/>
      <c r="I1093" s="124"/>
      <c r="J1093" s="124"/>
      <c r="K1093" s="124"/>
      <c r="L1093" s="124"/>
      <c r="M1093" s="124"/>
      <c r="N1093" s="124"/>
      <c r="O1093" s="124"/>
      <c r="P1093" s="124"/>
      <c r="Q1093" s="124"/>
      <c r="R1093" s="124"/>
      <c r="S1093" s="124"/>
      <c r="T1093" s="124"/>
      <c r="U1093" s="124"/>
      <c r="V1093" s="124"/>
      <c r="W1093" s="124"/>
      <c r="X1093" s="124"/>
      <c r="Y1093" s="124"/>
    </row>
    <row r="1094">
      <c r="A1094" s="95"/>
      <c r="B1094" s="103"/>
      <c r="C1094" s="123"/>
      <c r="D1094" s="100" t="str">
        <f>IFERROR(__xludf.DUMMYFUNCTION("importrange(C1094,Sheet3!D$1)"),"#N/A")</f>
        <v>#N/A</v>
      </c>
      <c r="E1094" s="124"/>
      <c r="F1094" s="124"/>
      <c r="G1094" s="124"/>
      <c r="H1094" s="124"/>
      <c r="I1094" s="124"/>
      <c r="J1094" s="124"/>
      <c r="K1094" s="124"/>
      <c r="L1094" s="124"/>
      <c r="M1094" s="124"/>
      <c r="N1094" s="124"/>
      <c r="O1094" s="124"/>
      <c r="P1094" s="124"/>
      <c r="Q1094" s="124"/>
      <c r="R1094" s="124"/>
      <c r="S1094" s="124"/>
      <c r="T1094" s="124"/>
      <c r="U1094" s="124"/>
      <c r="V1094" s="124"/>
      <c r="W1094" s="124"/>
      <c r="X1094" s="124"/>
      <c r="Y1094" s="124"/>
    </row>
    <row r="1095">
      <c r="A1095" s="95"/>
      <c r="B1095" s="103"/>
      <c r="C1095" s="123"/>
      <c r="D1095" s="100" t="str">
        <f>IFERROR(__xludf.DUMMYFUNCTION("importrange(C1095,Sheet3!D$1)"),"#N/A")</f>
        <v>#N/A</v>
      </c>
      <c r="E1095" s="124"/>
      <c r="F1095" s="124"/>
      <c r="G1095" s="124"/>
      <c r="H1095" s="124"/>
      <c r="I1095" s="124"/>
      <c r="J1095" s="124"/>
      <c r="K1095" s="124"/>
      <c r="L1095" s="124"/>
      <c r="M1095" s="124"/>
      <c r="N1095" s="124"/>
      <c r="O1095" s="124"/>
      <c r="P1095" s="124"/>
      <c r="Q1095" s="124"/>
      <c r="R1095" s="124"/>
      <c r="S1095" s="124"/>
      <c r="T1095" s="124"/>
      <c r="U1095" s="124"/>
      <c r="V1095" s="124"/>
      <c r="W1095" s="124"/>
      <c r="X1095" s="124"/>
      <c r="Y1095" s="124"/>
    </row>
    <row r="1096">
      <c r="A1096" s="95"/>
      <c r="B1096" s="103"/>
      <c r="C1096" s="123"/>
      <c r="D1096" s="100" t="str">
        <f>IFERROR(__xludf.DUMMYFUNCTION("importrange(C1096,Sheet3!D$1)"),"#N/A")</f>
        <v>#N/A</v>
      </c>
      <c r="E1096" s="124"/>
      <c r="F1096" s="124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4"/>
      <c r="V1096" s="124"/>
      <c r="W1096" s="124"/>
      <c r="X1096" s="124"/>
      <c r="Y1096" s="124"/>
    </row>
    <row r="1097">
      <c r="A1097" s="95"/>
      <c r="B1097" s="103"/>
      <c r="C1097" s="123"/>
      <c r="D1097" s="100" t="str">
        <f>IFERROR(__xludf.DUMMYFUNCTION("importrange(C1097,Sheet3!D$1)"),"#N/A")</f>
        <v>#N/A</v>
      </c>
      <c r="E1097" s="124"/>
      <c r="F1097" s="124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</row>
    <row r="1098">
      <c r="A1098" s="95"/>
      <c r="B1098" s="103"/>
      <c r="C1098" s="123"/>
      <c r="D1098" s="100" t="str">
        <f>IFERROR(__xludf.DUMMYFUNCTION("importrange(C1098,Sheet3!D$1)"),"#N/A")</f>
        <v>#N/A</v>
      </c>
      <c r="E1098" s="124"/>
      <c r="F1098" s="124"/>
      <c r="G1098" s="124"/>
      <c r="H1098" s="124"/>
      <c r="I1098" s="124"/>
      <c r="J1098" s="124"/>
      <c r="K1098" s="124"/>
      <c r="L1098" s="124"/>
      <c r="M1098" s="124"/>
      <c r="N1098" s="124"/>
      <c r="O1098" s="124"/>
      <c r="P1098" s="124"/>
      <c r="Q1098" s="124"/>
      <c r="R1098" s="124"/>
      <c r="S1098" s="124"/>
      <c r="T1098" s="124"/>
      <c r="U1098" s="124"/>
      <c r="V1098" s="124"/>
      <c r="W1098" s="124"/>
      <c r="X1098" s="124"/>
      <c r="Y1098" s="124"/>
    </row>
    <row r="1099">
      <c r="A1099" s="95"/>
      <c r="B1099" s="103"/>
      <c r="C1099" s="123"/>
      <c r="D1099" s="100" t="str">
        <f>IFERROR(__xludf.DUMMYFUNCTION("importrange(C1099,Sheet3!D$1)"),"#N/A")</f>
        <v>#N/A</v>
      </c>
      <c r="E1099" s="124"/>
      <c r="F1099" s="124"/>
      <c r="G1099" s="124"/>
      <c r="H1099" s="124"/>
      <c r="I1099" s="124"/>
      <c r="J1099" s="124"/>
      <c r="K1099" s="124"/>
      <c r="L1099" s="124"/>
      <c r="M1099" s="124"/>
      <c r="N1099" s="124"/>
      <c r="O1099" s="124"/>
      <c r="P1099" s="124"/>
      <c r="Q1099" s="124"/>
      <c r="R1099" s="124"/>
      <c r="S1099" s="124"/>
      <c r="T1099" s="124"/>
      <c r="U1099" s="124"/>
      <c r="V1099" s="124"/>
      <c r="W1099" s="124"/>
      <c r="X1099" s="124"/>
      <c r="Y1099" s="124"/>
    </row>
    <row r="1100">
      <c r="A1100" s="95"/>
      <c r="B1100" s="103"/>
      <c r="C1100" s="123"/>
      <c r="D1100" s="100" t="str">
        <f>IFERROR(__xludf.DUMMYFUNCTION("importrange(C1100,Sheet3!D$1)"),"#N/A")</f>
        <v>#N/A</v>
      </c>
      <c r="E1100" s="124"/>
      <c r="F1100" s="124"/>
      <c r="G1100" s="124"/>
      <c r="H1100" s="124"/>
      <c r="I1100" s="124"/>
      <c r="J1100" s="124"/>
      <c r="K1100" s="124"/>
      <c r="L1100" s="124"/>
      <c r="M1100" s="124"/>
      <c r="N1100" s="124"/>
      <c r="O1100" s="124"/>
      <c r="P1100" s="124"/>
      <c r="Q1100" s="124"/>
      <c r="R1100" s="124"/>
      <c r="S1100" s="124"/>
      <c r="T1100" s="124"/>
      <c r="U1100" s="124"/>
      <c r="V1100" s="124"/>
      <c r="W1100" s="124"/>
      <c r="X1100" s="124"/>
      <c r="Y1100" s="124"/>
    </row>
    <row r="1101">
      <c r="A1101" s="95"/>
      <c r="B1101" s="103"/>
      <c r="C1101" s="123"/>
      <c r="D1101" s="100" t="str">
        <f>IFERROR(__xludf.DUMMYFUNCTION("importrange(C1101,Sheet3!D$1)"),"#N/A")</f>
        <v>#N/A</v>
      </c>
      <c r="E1101" s="124"/>
      <c r="F1101" s="124"/>
      <c r="G1101" s="124"/>
      <c r="H1101" s="124"/>
      <c r="I1101" s="124"/>
      <c r="J1101" s="124"/>
      <c r="K1101" s="124"/>
      <c r="L1101" s="124"/>
      <c r="M1101" s="124"/>
      <c r="N1101" s="124"/>
      <c r="O1101" s="124"/>
      <c r="P1101" s="124"/>
      <c r="Q1101" s="124"/>
      <c r="R1101" s="124"/>
      <c r="S1101" s="124"/>
      <c r="T1101" s="124"/>
      <c r="U1101" s="124"/>
      <c r="V1101" s="124"/>
      <c r="W1101" s="124"/>
      <c r="X1101" s="124"/>
      <c r="Y1101" s="124"/>
    </row>
    <row r="1102">
      <c r="A1102" s="95"/>
      <c r="B1102" s="103"/>
      <c r="C1102" s="123"/>
      <c r="D1102" s="100" t="str">
        <f>IFERROR(__xludf.DUMMYFUNCTION("importrange(C1102,Sheet3!D$1)"),"#N/A")</f>
        <v>#N/A</v>
      </c>
      <c r="E1102" s="124"/>
      <c r="F1102" s="124"/>
      <c r="G1102" s="124"/>
      <c r="H1102" s="124"/>
      <c r="I1102" s="124"/>
      <c r="J1102" s="124"/>
      <c r="K1102" s="124"/>
      <c r="L1102" s="124"/>
      <c r="M1102" s="124"/>
      <c r="N1102" s="124"/>
      <c r="O1102" s="124"/>
      <c r="P1102" s="124"/>
      <c r="Q1102" s="124"/>
      <c r="R1102" s="124"/>
      <c r="S1102" s="124"/>
      <c r="T1102" s="124"/>
      <c r="U1102" s="124"/>
      <c r="V1102" s="124"/>
      <c r="W1102" s="124"/>
      <c r="X1102" s="124"/>
      <c r="Y1102" s="124"/>
    </row>
    <row r="1103">
      <c r="A1103" s="95"/>
      <c r="B1103" s="103"/>
      <c r="C1103" s="123"/>
      <c r="D1103" s="100" t="str">
        <f>IFERROR(__xludf.DUMMYFUNCTION("importrange(C1103,Sheet3!D$1)"),"#N/A")</f>
        <v>#N/A</v>
      </c>
      <c r="E1103" s="124"/>
      <c r="F1103" s="124"/>
      <c r="G1103" s="124"/>
      <c r="H1103" s="124"/>
      <c r="I1103" s="124"/>
      <c r="J1103" s="124"/>
      <c r="K1103" s="124"/>
      <c r="L1103" s="124"/>
      <c r="M1103" s="124"/>
      <c r="N1103" s="124"/>
      <c r="O1103" s="124"/>
      <c r="P1103" s="124"/>
      <c r="Q1103" s="124"/>
      <c r="R1103" s="124"/>
      <c r="S1103" s="124"/>
      <c r="T1103" s="124"/>
      <c r="U1103" s="124"/>
      <c r="V1103" s="124"/>
      <c r="W1103" s="124"/>
      <c r="X1103" s="124"/>
      <c r="Y1103" s="124"/>
    </row>
    <row r="1104">
      <c r="A1104" s="95"/>
      <c r="B1104" s="103"/>
      <c r="C1104" s="123"/>
      <c r="D1104" s="100" t="str">
        <f>IFERROR(__xludf.DUMMYFUNCTION("importrange(C1104,Sheet3!D$1)"),"#N/A")</f>
        <v>#N/A</v>
      </c>
      <c r="E1104" s="124"/>
      <c r="F1104" s="124"/>
      <c r="G1104" s="124"/>
      <c r="H1104" s="124"/>
      <c r="I1104" s="124"/>
      <c r="J1104" s="124"/>
      <c r="K1104" s="124"/>
      <c r="L1104" s="124"/>
      <c r="M1104" s="124"/>
      <c r="N1104" s="124"/>
      <c r="O1104" s="124"/>
      <c r="P1104" s="124"/>
      <c r="Q1104" s="124"/>
      <c r="R1104" s="124"/>
      <c r="S1104" s="124"/>
      <c r="T1104" s="124"/>
      <c r="U1104" s="124"/>
      <c r="V1104" s="124"/>
      <c r="W1104" s="124"/>
      <c r="X1104" s="124"/>
      <c r="Y1104" s="124"/>
    </row>
    <row r="1105">
      <c r="A1105" s="95"/>
      <c r="B1105" s="103"/>
      <c r="C1105" s="123"/>
      <c r="D1105" s="100" t="str">
        <f>IFERROR(__xludf.DUMMYFUNCTION("importrange(C1105,Sheet3!D$1)"),"#N/A")</f>
        <v>#N/A</v>
      </c>
      <c r="E1105" s="124"/>
      <c r="F1105" s="124"/>
      <c r="G1105" s="124"/>
      <c r="H1105" s="124"/>
      <c r="I1105" s="124"/>
      <c r="J1105" s="124"/>
      <c r="K1105" s="124"/>
      <c r="L1105" s="124"/>
      <c r="M1105" s="124"/>
      <c r="N1105" s="124"/>
      <c r="O1105" s="124"/>
      <c r="P1105" s="124"/>
      <c r="Q1105" s="124"/>
      <c r="R1105" s="124"/>
      <c r="S1105" s="124"/>
      <c r="T1105" s="124"/>
      <c r="U1105" s="124"/>
      <c r="V1105" s="124"/>
      <c r="W1105" s="124"/>
      <c r="X1105" s="124"/>
      <c r="Y1105" s="124"/>
    </row>
    <row r="1106">
      <c r="A1106" s="95"/>
      <c r="B1106" s="103"/>
      <c r="C1106" s="123"/>
      <c r="D1106" s="100" t="str">
        <f>IFERROR(__xludf.DUMMYFUNCTION("importrange(C1106,Sheet3!D$1)"),"#N/A")</f>
        <v>#N/A</v>
      </c>
      <c r="E1106" s="124"/>
      <c r="F1106" s="124"/>
      <c r="G1106" s="124"/>
      <c r="H1106" s="124"/>
      <c r="I1106" s="124"/>
      <c r="J1106" s="124"/>
      <c r="K1106" s="124"/>
      <c r="L1106" s="124"/>
      <c r="M1106" s="124"/>
      <c r="N1106" s="124"/>
      <c r="O1106" s="124"/>
      <c r="P1106" s="124"/>
      <c r="Q1106" s="124"/>
      <c r="R1106" s="124"/>
      <c r="S1106" s="124"/>
      <c r="T1106" s="124"/>
      <c r="U1106" s="124"/>
      <c r="V1106" s="124"/>
      <c r="W1106" s="124"/>
      <c r="X1106" s="124"/>
      <c r="Y1106" s="124"/>
    </row>
    <row r="1107">
      <c r="A1107" s="95"/>
      <c r="B1107" s="103"/>
      <c r="C1107" s="123"/>
      <c r="D1107" s="100" t="str">
        <f>IFERROR(__xludf.DUMMYFUNCTION("importrange(C1107,Sheet3!D$1)"),"#N/A")</f>
        <v>#N/A</v>
      </c>
      <c r="E1107" s="124"/>
      <c r="F1107" s="124"/>
      <c r="G1107" s="124"/>
      <c r="H1107" s="124"/>
      <c r="I1107" s="124"/>
      <c r="J1107" s="124"/>
      <c r="K1107" s="124"/>
      <c r="L1107" s="124"/>
      <c r="M1107" s="124"/>
      <c r="N1107" s="124"/>
      <c r="O1107" s="124"/>
      <c r="P1107" s="124"/>
      <c r="Q1107" s="124"/>
      <c r="R1107" s="124"/>
      <c r="S1107" s="124"/>
      <c r="T1107" s="124"/>
      <c r="U1107" s="124"/>
      <c r="V1107" s="124"/>
      <c r="W1107" s="124"/>
      <c r="X1107" s="124"/>
      <c r="Y1107" s="124"/>
    </row>
    <row r="1108">
      <c r="A1108" s="95"/>
      <c r="B1108" s="103"/>
      <c r="C1108" s="123"/>
      <c r="D1108" s="100" t="str">
        <f>IFERROR(__xludf.DUMMYFUNCTION("importrange(C1108,Sheet3!D$1)"),"#N/A")</f>
        <v>#N/A</v>
      </c>
      <c r="E1108" s="124"/>
      <c r="F1108" s="124"/>
      <c r="G1108" s="124"/>
      <c r="H1108" s="124"/>
      <c r="I1108" s="124"/>
      <c r="J1108" s="124"/>
      <c r="K1108" s="124"/>
      <c r="L1108" s="124"/>
      <c r="M1108" s="124"/>
      <c r="N1108" s="124"/>
      <c r="O1108" s="124"/>
      <c r="P1108" s="124"/>
      <c r="Q1108" s="124"/>
      <c r="R1108" s="124"/>
      <c r="S1108" s="124"/>
      <c r="T1108" s="124"/>
      <c r="U1108" s="124"/>
      <c r="V1108" s="124"/>
      <c r="W1108" s="124"/>
      <c r="X1108" s="124"/>
      <c r="Y1108" s="124"/>
    </row>
    <row r="1109">
      <c r="A1109" s="95"/>
      <c r="B1109" s="103"/>
      <c r="C1109" s="123"/>
      <c r="D1109" s="100" t="str">
        <f>IFERROR(__xludf.DUMMYFUNCTION("importrange(C1109,Sheet3!D$1)"),"#N/A")</f>
        <v>#N/A</v>
      </c>
      <c r="E1109" s="124"/>
      <c r="F1109" s="124"/>
      <c r="G1109" s="124"/>
      <c r="H1109" s="124"/>
      <c r="I1109" s="124"/>
      <c r="J1109" s="124"/>
      <c r="K1109" s="124"/>
      <c r="L1109" s="124"/>
      <c r="M1109" s="124"/>
      <c r="N1109" s="124"/>
      <c r="O1109" s="124"/>
      <c r="P1109" s="124"/>
      <c r="Q1109" s="124"/>
      <c r="R1109" s="124"/>
      <c r="S1109" s="124"/>
      <c r="T1109" s="124"/>
      <c r="U1109" s="124"/>
      <c r="V1109" s="124"/>
      <c r="W1109" s="124"/>
      <c r="X1109" s="124"/>
      <c r="Y1109" s="124"/>
    </row>
    <row r="1110">
      <c r="A1110" s="95"/>
      <c r="B1110" s="103"/>
      <c r="C1110" s="123"/>
      <c r="D1110" s="100" t="str">
        <f>IFERROR(__xludf.DUMMYFUNCTION("importrange(C1110,Sheet3!D$1)"),"#N/A")</f>
        <v>#N/A</v>
      </c>
      <c r="E1110" s="124"/>
      <c r="F1110" s="124"/>
      <c r="G1110" s="124"/>
      <c r="H1110" s="124"/>
      <c r="I1110" s="124"/>
      <c r="J1110" s="124"/>
      <c r="K1110" s="124"/>
      <c r="L1110" s="124"/>
      <c r="M1110" s="124"/>
      <c r="N1110" s="124"/>
      <c r="O1110" s="124"/>
      <c r="P1110" s="124"/>
      <c r="Q1110" s="124"/>
      <c r="R1110" s="124"/>
      <c r="S1110" s="124"/>
      <c r="T1110" s="124"/>
      <c r="U1110" s="124"/>
      <c r="V1110" s="124"/>
      <c r="W1110" s="124"/>
      <c r="X1110" s="124"/>
      <c r="Y1110" s="124"/>
    </row>
    <row r="1111">
      <c r="A1111" s="95"/>
      <c r="B1111" s="103"/>
      <c r="C1111" s="123"/>
      <c r="D1111" s="100" t="str">
        <f>IFERROR(__xludf.DUMMYFUNCTION("importrange(C1111,Sheet3!D$1)"),"#N/A")</f>
        <v>#N/A</v>
      </c>
      <c r="E1111" s="124"/>
      <c r="F1111" s="124"/>
      <c r="G1111" s="124"/>
      <c r="H1111" s="124"/>
      <c r="I1111" s="124"/>
      <c r="J1111" s="124"/>
      <c r="K1111" s="124"/>
      <c r="L1111" s="124"/>
      <c r="M1111" s="124"/>
      <c r="N1111" s="124"/>
      <c r="O1111" s="124"/>
      <c r="P1111" s="124"/>
      <c r="Q1111" s="124"/>
      <c r="R1111" s="124"/>
      <c r="S1111" s="124"/>
      <c r="T1111" s="124"/>
      <c r="U1111" s="124"/>
      <c r="V1111" s="124"/>
      <c r="W1111" s="124"/>
      <c r="X1111" s="124"/>
      <c r="Y1111" s="124"/>
    </row>
    <row r="1112">
      <c r="A1112" s="95"/>
      <c r="B1112" s="103"/>
      <c r="C1112" s="123"/>
      <c r="D1112" s="100" t="str">
        <f>IFERROR(__xludf.DUMMYFUNCTION("importrange(C1112,Sheet3!D$1)"),"#N/A")</f>
        <v>#N/A</v>
      </c>
      <c r="E1112" s="124"/>
      <c r="F1112" s="124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</row>
    <row r="1113">
      <c r="A1113" s="95"/>
      <c r="B1113" s="103"/>
      <c r="C1113" s="123"/>
      <c r="D1113" s="100" t="str">
        <f>IFERROR(__xludf.DUMMYFUNCTION("importrange(C1113,Sheet3!D$1)"),"#N/A")</f>
        <v>#N/A</v>
      </c>
      <c r="E1113" s="124"/>
      <c r="F1113" s="124"/>
      <c r="G1113" s="124"/>
      <c r="H1113" s="124"/>
      <c r="I1113" s="124"/>
      <c r="J1113" s="124"/>
      <c r="K1113" s="124"/>
      <c r="L1113" s="124"/>
      <c r="M1113" s="124"/>
      <c r="N1113" s="124"/>
      <c r="O1113" s="124"/>
      <c r="P1113" s="124"/>
      <c r="Q1113" s="124"/>
      <c r="R1113" s="124"/>
      <c r="S1113" s="124"/>
      <c r="T1113" s="124"/>
      <c r="U1113" s="124"/>
      <c r="V1113" s="124"/>
      <c r="W1113" s="124"/>
      <c r="X1113" s="124"/>
      <c r="Y1113" s="124"/>
    </row>
    <row r="1114">
      <c r="A1114" s="95"/>
      <c r="B1114" s="103"/>
      <c r="C1114" s="123"/>
      <c r="D1114" s="100" t="str">
        <f>IFERROR(__xludf.DUMMYFUNCTION("importrange(C1114,Sheet3!D$1)"),"#N/A")</f>
        <v>#N/A</v>
      </c>
      <c r="E1114" s="124"/>
      <c r="F1114" s="124"/>
      <c r="G1114" s="124"/>
      <c r="H1114" s="124"/>
      <c r="I1114" s="124"/>
      <c r="J1114" s="124"/>
      <c r="K1114" s="124"/>
      <c r="L1114" s="124"/>
      <c r="M1114" s="124"/>
      <c r="N1114" s="124"/>
      <c r="O1114" s="124"/>
      <c r="P1114" s="124"/>
      <c r="Q1114" s="124"/>
      <c r="R1114" s="124"/>
      <c r="S1114" s="124"/>
      <c r="T1114" s="124"/>
      <c r="U1114" s="124"/>
      <c r="V1114" s="124"/>
      <c r="W1114" s="124"/>
      <c r="X1114" s="124"/>
      <c r="Y1114" s="124"/>
    </row>
    <row r="1115">
      <c r="A1115" s="95"/>
      <c r="B1115" s="103"/>
      <c r="C1115" s="123"/>
      <c r="D1115" s="100" t="str">
        <f>IFERROR(__xludf.DUMMYFUNCTION("importrange(C1115,Sheet3!D$1)"),"#N/A")</f>
        <v>#N/A</v>
      </c>
      <c r="E1115" s="124"/>
      <c r="F1115" s="124"/>
      <c r="G1115" s="124"/>
      <c r="H1115" s="124"/>
      <c r="I1115" s="124"/>
      <c r="J1115" s="124"/>
      <c r="K1115" s="124"/>
      <c r="L1115" s="124"/>
      <c r="M1115" s="124"/>
      <c r="N1115" s="124"/>
      <c r="O1115" s="124"/>
      <c r="P1115" s="124"/>
      <c r="Q1115" s="124"/>
      <c r="R1115" s="124"/>
      <c r="S1115" s="124"/>
      <c r="T1115" s="124"/>
      <c r="U1115" s="124"/>
      <c r="V1115" s="124"/>
      <c r="W1115" s="124"/>
      <c r="X1115" s="124"/>
      <c r="Y1115" s="124"/>
    </row>
    <row r="1116">
      <c r="A1116" s="95"/>
      <c r="B1116" s="103"/>
      <c r="C1116" s="123"/>
      <c r="D1116" s="100" t="str">
        <f>IFERROR(__xludf.DUMMYFUNCTION("importrange(C1116,Sheet3!D$1)"),"#N/A")</f>
        <v>#N/A</v>
      </c>
      <c r="E1116" s="124"/>
      <c r="F1116" s="124"/>
      <c r="G1116" s="124"/>
      <c r="H1116" s="124"/>
      <c r="I1116" s="124"/>
      <c r="J1116" s="124"/>
      <c r="K1116" s="124"/>
      <c r="L1116" s="124"/>
      <c r="M1116" s="124"/>
      <c r="N1116" s="124"/>
      <c r="O1116" s="124"/>
      <c r="P1116" s="124"/>
      <c r="Q1116" s="124"/>
      <c r="R1116" s="124"/>
      <c r="S1116" s="124"/>
      <c r="T1116" s="124"/>
      <c r="U1116" s="124"/>
      <c r="V1116" s="124"/>
      <c r="W1116" s="124"/>
      <c r="X1116" s="124"/>
      <c r="Y1116" s="124"/>
    </row>
    <row r="1117">
      <c r="A1117" s="95"/>
      <c r="B1117" s="103"/>
      <c r="C1117" s="123"/>
      <c r="D1117" s="100" t="str">
        <f>IFERROR(__xludf.DUMMYFUNCTION("importrange(C1117,Sheet3!D$1)"),"#N/A")</f>
        <v>#N/A</v>
      </c>
      <c r="E1117" s="124"/>
      <c r="F1117" s="124"/>
      <c r="G1117" s="124"/>
      <c r="H1117" s="124"/>
      <c r="I1117" s="124"/>
      <c r="J1117" s="124"/>
      <c r="K1117" s="124"/>
      <c r="L1117" s="124"/>
      <c r="M1117" s="124"/>
      <c r="N1117" s="124"/>
      <c r="O1117" s="124"/>
      <c r="P1117" s="124"/>
      <c r="Q1117" s="124"/>
      <c r="R1117" s="124"/>
      <c r="S1117" s="124"/>
      <c r="T1117" s="124"/>
      <c r="U1117" s="124"/>
      <c r="V1117" s="124"/>
      <c r="W1117" s="124"/>
      <c r="X1117" s="124"/>
      <c r="Y1117" s="124"/>
    </row>
    <row r="1118">
      <c r="A1118" s="95"/>
      <c r="B1118" s="103"/>
      <c r="C1118" s="123"/>
      <c r="D1118" s="100" t="str">
        <f>IFERROR(__xludf.DUMMYFUNCTION("importrange(C1118,Sheet3!D$1)"),"#N/A")</f>
        <v>#N/A</v>
      </c>
      <c r="E1118" s="124"/>
      <c r="F1118" s="124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4"/>
      <c r="V1118" s="124"/>
      <c r="W1118" s="124"/>
      <c r="X1118" s="124"/>
      <c r="Y1118" s="124"/>
    </row>
    <row r="1119">
      <c r="A1119" s="95"/>
      <c r="B1119" s="103"/>
      <c r="C1119" s="123"/>
      <c r="D1119" s="100" t="str">
        <f>IFERROR(__xludf.DUMMYFUNCTION("importrange(C1119,Sheet3!D$1)"),"#N/A")</f>
        <v>#N/A</v>
      </c>
      <c r="E1119" s="124"/>
      <c r="F1119" s="124"/>
      <c r="G1119" s="124"/>
      <c r="H1119" s="124"/>
      <c r="I1119" s="124"/>
      <c r="J1119" s="124"/>
      <c r="K1119" s="124"/>
      <c r="L1119" s="124"/>
      <c r="M1119" s="124"/>
      <c r="N1119" s="124"/>
      <c r="O1119" s="124"/>
      <c r="P1119" s="124"/>
      <c r="Q1119" s="124"/>
      <c r="R1119" s="124"/>
      <c r="S1119" s="124"/>
      <c r="T1119" s="124"/>
      <c r="U1119" s="124"/>
      <c r="V1119" s="124"/>
      <c r="W1119" s="124"/>
      <c r="X1119" s="124"/>
      <c r="Y1119" s="124"/>
    </row>
    <row r="1120">
      <c r="A1120" s="95"/>
      <c r="B1120" s="103"/>
      <c r="C1120" s="123"/>
      <c r="D1120" s="100" t="str">
        <f>IFERROR(__xludf.DUMMYFUNCTION("importrange(C1120,Sheet3!D$1)"),"#N/A")</f>
        <v>#N/A</v>
      </c>
      <c r="E1120" s="124"/>
      <c r="F1120" s="124"/>
      <c r="G1120" s="124"/>
      <c r="H1120" s="124"/>
      <c r="I1120" s="124"/>
      <c r="J1120" s="124"/>
      <c r="K1120" s="124"/>
      <c r="L1120" s="124"/>
      <c r="M1120" s="124"/>
      <c r="N1120" s="124"/>
      <c r="O1120" s="124"/>
      <c r="P1120" s="124"/>
      <c r="Q1120" s="124"/>
      <c r="R1120" s="124"/>
      <c r="S1120" s="124"/>
      <c r="T1120" s="124"/>
      <c r="U1120" s="124"/>
      <c r="V1120" s="124"/>
      <c r="W1120" s="124"/>
      <c r="X1120" s="124"/>
      <c r="Y1120" s="124"/>
    </row>
    <row r="1121">
      <c r="A1121" s="95"/>
      <c r="B1121" s="103"/>
      <c r="C1121" s="123"/>
      <c r="D1121" s="100" t="str">
        <f>IFERROR(__xludf.DUMMYFUNCTION("importrange(C1121,Sheet3!D$1)"),"#N/A")</f>
        <v>#N/A</v>
      </c>
      <c r="E1121" s="124"/>
      <c r="F1121" s="124"/>
      <c r="G1121" s="124"/>
      <c r="H1121" s="124"/>
      <c r="I1121" s="124"/>
      <c r="J1121" s="124"/>
      <c r="K1121" s="124"/>
      <c r="L1121" s="124"/>
      <c r="M1121" s="124"/>
      <c r="N1121" s="124"/>
      <c r="O1121" s="124"/>
      <c r="P1121" s="124"/>
      <c r="Q1121" s="124"/>
      <c r="R1121" s="124"/>
      <c r="S1121" s="124"/>
      <c r="T1121" s="124"/>
      <c r="U1121" s="124"/>
      <c r="V1121" s="124"/>
      <c r="W1121" s="124"/>
      <c r="X1121" s="124"/>
      <c r="Y1121" s="124"/>
    </row>
    <row r="1122">
      <c r="A1122" s="95"/>
      <c r="B1122" s="103"/>
      <c r="C1122" s="123"/>
      <c r="D1122" s="100" t="str">
        <f>IFERROR(__xludf.DUMMYFUNCTION("importrange(C1122,Sheet3!D$1)"),"#N/A")</f>
        <v>#N/A</v>
      </c>
      <c r="E1122" s="124"/>
      <c r="F1122" s="124"/>
      <c r="G1122" s="124"/>
      <c r="H1122" s="124"/>
      <c r="I1122" s="124"/>
      <c r="J1122" s="124"/>
      <c r="K1122" s="124"/>
      <c r="L1122" s="124"/>
      <c r="M1122" s="124"/>
      <c r="N1122" s="124"/>
      <c r="O1122" s="124"/>
      <c r="P1122" s="124"/>
      <c r="Q1122" s="124"/>
      <c r="R1122" s="124"/>
      <c r="S1122" s="124"/>
      <c r="T1122" s="124"/>
      <c r="U1122" s="124"/>
      <c r="V1122" s="124"/>
      <c r="W1122" s="124"/>
      <c r="X1122" s="124"/>
      <c r="Y1122" s="124"/>
    </row>
    <row r="1123">
      <c r="A1123" s="95"/>
      <c r="B1123" s="103"/>
      <c r="C1123" s="123"/>
      <c r="D1123" s="100" t="str">
        <f>IFERROR(__xludf.DUMMYFUNCTION("importrange(C1123,Sheet3!D$1)"),"#N/A")</f>
        <v>#N/A</v>
      </c>
      <c r="E1123" s="124"/>
      <c r="F1123" s="124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4"/>
      <c r="T1123" s="124"/>
      <c r="U1123" s="124"/>
      <c r="V1123" s="124"/>
      <c r="W1123" s="124"/>
      <c r="X1123" s="124"/>
      <c r="Y1123" s="124"/>
    </row>
    <row r="1124">
      <c r="A1124" s="95"/>
      <c r="B1124" s="103"/>
      <c r="C1124" s="123"/>
      <c r="D1124" s="100" t="str">
        <f>IFERROR(__xludf.DUMMYFUNCTION("importrange(C1124,Sheet3!D$1)"),"#N/A")</f>
        <v>#N/A</v>
      </c>
      <c r="E1124" s="124"/>
      <c r="F1124" s="124"/>
      <c r="G1124" s="124"/>
      <c r="H1124" s="124"/>
      <c r="I1124" s="124"/>
      <c r="J1124" s="124"/>
      <c r="K1124" s="124"/>
      <c r="L1124" s="124"/>
      <c r="M1124" s="124"/>
      <c r="N1124" s="124"/>
      <c r="O1124" s="124"/>
      <c r="P1124" s="124"/>
      <c r="Q1124" s="124"/>
      <c r="R1124" s="124"/>
      <c r="S1124" s="124"/>
      <c r="T1124" s="124"/>
      <c r="U1124" s="124"/>
      <c r="V1124" s="124"/>
      <c r="W1124" s="124"/>
      <c r="X1124" s="124"/>
      <c r="Y1124" s="124"/>
    </row>
    <row r="1125">
      <c r="A1125" s="95"/>
      <c r="B1125" s="103"/>
      <c r="C1125" s="123"/>
      <c r="D1125" s="100" t="str">
        <f>IFERROR(__xludf.DUMMYFUNCTION("importrange(C1125,Sheet3!D$1)"),"#N/A")</f>
        <v>#N/A</v>
      </c>
      <c r="E1125" s="124"/>
      <c r="F1125" s="124"/>
      <c r="G1125" s="124"/>
      <c r="H1125" s="124"/>
      <c r="I1125" s="124"/>
      <c r="J1125" s="124"/>
      <c r="K1125" s="124"/>
      <c r="L1125" s="124"/>
      <c r="M1125" s="124"/>
      <c r="N1125" s="124"/>
      <c r="O1125" s="124"/>
      <c r="P1125" s="124"/>
      <c r="Q1125" s="124"/>
      <c r="R1125" s="124"/>
      <c r="S1125" s="124"/>
      <c r="T1125" s="124"/>
      <c r="U1125" s="124"/>
      <c r="V1125" s="124"/>
      <c r="W1125" s="124"/>
      <c r="X1125" s="124"/>
      <c r="Y1125" s="124"/>
    </row>
    <row r="1126">
      <c r="A1126" s="95"/>
      <c r="B1126" s="103"/>
      <c r="C1126" s="123"/>
      <c r="D1126" s="100" t="str">
        <f>IFERROR(__xludf.DUMMYFUNCTION("importrange(C1126,Sheet3!D$1)"),"#N/A")</f>
        <v>#N/A</v>
      </c>
      <c r="E1126" s="124"/>
      <c r="F1126" s="124"/>
      <c r="G1126" s="124"/>
      <c r="H1126" s="124"/>
      <c r="I1126" s="124"/>
      <c r="J1126" s="124"/>
      <c r="K1126" s="124"/>
      <c r="L1126" s="124"/>
      <c r="M1126" s="124"/>
      <c r="N1126" s="124"/>
      <c r="O1126" s="124"/>
      <c r="P1126" s="124"/>
      <c r="Q1126" s="124"/>
      <c r="R1126" s="124"/>
      <c r="S1126" s="124"/>
      <c r="T1126" s="124"/>
      <c r="U1126" s="124"/>
      <c r="V1126" s="124"/>
      <c r="W1126" s="124"/>
      <c r="X1126" s="124"/>
      <c r="Y1126" s="124"/>
    </row>
    <row r="1127">
      <c r="A1127" s="95"/>
      <c r="B1127" s="103"/>
      <c r="C1127" s="123"/>
      <c r="D1127" s="100" t="str">
        <f>IFERROR(__xludf.DUMMYFUNCTION("importrange(C1127,Sheet3!D$1)"),"#N/A")</f>
        <v>#N/A</v>
      </c>
      <c r="E1127" s="124"/>
      <c r="F1127" s="124"/>
      <c r="G1127" s="124"/>
      <c r="H1127" s="124"/>
      <c r="I1127" s="124"/>
      <c r="J1127" s="124"/>
      <c r="K1127" s="124"/>
      <c r="L1127" s="124"/>
      <c r="M1127" s="124"/>
      <c r="N1127" s="124"/>
      <c r="O1127" s="124"/>
      <c r="P1127" s="124"/>
      <c r="Q1127" s="124"/>
      <c r="R1127" s="124"/>
      <c r="S1127" s="124"/>
      <c r="T1127" s="124"/>
      <c r="U1127" s="124"/>
      <c r="V1127" s="124"/>
      <c r="W1127" s="124"/>
      <c r="X1127" s="124"/>
      <c r="Y1127" s="124"/>
    </row>
    <row r="1128">
      <c r="A1128" s="95"/>
      <c r="B1128" s="103"/>
      <c r="C1128" s="123"/>
      <c r="D1128" s="100" t="str">
        <f>IFERROR(__xludf.DUMMYFUNCTION("importrange(C1128,Sheet3!D$1)"),"#N/A")</f>
        <v>#N/A</v>
      </c>
      <c r="E1128" s="124"/>
      <c r="F1128" s="124"/>
      <c r="G1128" s="124"/>
      <c r="H1128" s="124"/>
      <c r="I1128" s="124"/>
      <c r="J1128" s="124"/>
      <c r="K1128" s="124"/>
      <c r="L1128" s="124"/>
      <c r="M1128" s="124"/>
      <c r="N1128" s="124"/>
      <c r="O1128" s="124"/>
      <c r="P1128" s="124"/>
      <c r="Q1128" s="124"/>
      <c r="R1128" s="124"/>
      <c r="S1128" s="124"/>
      <c r="T1128" s="124"/>
      <c r="U1128" s="124"/>
      <c r="V1128" s="124"/>
      <c r="W1128" s="124"/>
      <c r="X1128" s="124"/>
      <c r="Y1128" s="124"/>
    </row>
    <row r="1129">
      <c r="A1129" s="95"/>
      <c r="B1129" s="103"/>
      <c r="C1129" s="123"/>
      <c r="D1129" s="100" t="str">
        <f>IFERROR(__xludf.DUMMYFUNCTION("importrange(C1129,Sheet3!D$1)"),"#N/A")</f>
        <v>#N/A</v>
      </c>
      <c r="E1129" s="124"/>
      <c r="F1129" s="124"/>
      <c r="G1129" s="124"/>
      <c r="H1129" s="124"/>
      <c r="I1129" s="124"/>
      <c r="J1129" s="124"/>
      <c r="K1129" s="124"/>
      <c r="L1129" s="124"/>
      <c r="M1129" s="124"/>
      <c r="N1129" s="124"/>
      <c r="O1129" s="124"/>
      <c r="P1129" s="124"/>
      <c r="Q1129" s="124"/>
      <c r="R1129" s="124"/>
      <c r="S1129" s="124"/>
      <c r="T1129" s="124"/>
      <c r="U1129" s="124"/>
      <c r="V1129" s="124"/>
      <c r="W1129" s="124"/>
      <c r="X1129" s="124"/>
      <c r="Y1129" s="124"/>
    </row>
    <row r="1130">
      <c r="A1130" s="95"/>
      <c r="B1130" s="103"/>
      <c r="C1130" s="123"/>
      <c r="D1130" s="100" t="str">
        <f>IFERROR(__xludf.DUMMYFUNCTION("importrange(C1130,Sheet3!D$1)"),"#N/A")</f>
        <v>#N/A</v>
      </c>
      <c r="E1130" s="124"/>
      <c r="F1130" s="124"/>
      <c r="G1130" s="124"/>
      <c r="H1130" s="124"/>
      <c r="I1130" s="124"/>
      <c r="J1130" s="124"/>
      <c r="K1130" s="124"/>
      <c r="L1130" s="124"/>
      <c r="M1130" s="124"/>
      <c r="N1130" s="124"/>
      <c r="O1130" s="124"/>
      <c r="P1130" s="124"/>
      <c r="Q1130" s="124"/>
      <c r="R1130" s="124"/>
      <c r="S1130" s="124"/>
      <c r="T1130" s="124"/>
      <c r="U1130" s="124"/>
      <c r="V1130" s="124"/>
      <c r="W1130" s="124"/>
      <c r="X1130" s="124"/>
      <c r="Y1130" s="124"/>
    </row>
    <row r="1131">
      <c r="A1131" s="95"/>
      <c r="B1131" s="103"/>
      <c r="C1131" s="123"/>
      <c r="D1131" s="100" t="str">
        <f>IFERROR(__xludf.DUMMYFUNCTION("importrange(C1131,Sheet3!D$1)"),"#N/A")</f>
        <v>#N/A</v>
      </c>
      <c r="E1131" s="124"/>
      <c r="F1131" s="124"/>
      <c r="G1131" s="124"/>
      <c r="H1131" s="124"/>
      <c r="I1131" s="124"/>
      <c r="J1131" s="124"/>
      <c r="K1131" s="124"/>
      <c r="L1131" s="124"/>
      <c r="M1131" s="124"/>
      <c r="N1131" s="124"/>
      <c r="O1131" s="124"/>
      <c r="P1131" s="124"/>
      <c r="Q1131" s="124"/>
      <c r="R1131" s="124"/>
      <c r="S1131" s="124"/>
      <c r="T1131" s="124"/>
      <c r="U1131" s="124"/>
      <c r="V1131" s="124"/>
      <c r="W1131" s="124"/>
      <c r="X1131" s="124"/>
      <c r="Y1131" s="124"/>
    </row>
    <row r="1132">
      <c r="A1132" s="95"/>
      <c r="B1132" s="103"/>
      <c r="C1132" s="123"/>
      <c r="D1132" s="100" t="str">
        <f>IFERROR(__xludf.DUMMYFUNCTION("importrange(C1132,Sheet3!D$1)"),"#N/A")</f>
        <v>#N/A</v>
      </c>
      <c r="E1132" s="124"/>
      <c r="F1132" s="124"/>
      <c r="G1132" s="124"/>
      <c r="H1132" s="124"/>
      <c r="I1132" s="124"/>
      <c r="J1132" s="124"/>
      <c r="K1132" s="124"/>
      <c r="L1132" s="124"/>
      <c r="M1132" s="124"/>
      <c r="N1132" s="124"/>
      <c r="O1132" s="124"/>
      <c r="P1132" s="124"/>
      <c r="Q1132" s="124"/>
      <c r="R1132" s="124"/>
      <c r="S1132" s="124"/>
      <c r="T1132" s="124"/>
      <c r="U1132" s="124"/>
      <c r="V1132" s="124"/>
      <c r="W1132" s="124"/>
      <c r="X1132" s="124"/>
      <c r="Y1132" s="124"/>
    </row>
    <row r="1133">
      <c r="A1133" s="95"/>
      <c r="B1133" s="103"/>
      <c r="C1133" s="123"/>
      <c r="D1133" s="100" t="str">
        <f>IFERROR(__xludf.DUMMYFUNCTION("importrange(C1133,Sheet3!D$1)"),"#N/A")</f>
        <v>#N/A</v>
      </c>
      <c r="E1133" s="124"/>
      <c r="F1133" s="124"/>
      <c r="G1133" s="124"/>
      <c r="H1133" s="124"/>
      <c r="I1133" s="124"/>
      <c r="J1133" s="124"/>
      <c r="K1133" s="124"/>
      <c r="L1133" s="124"/>
      <c r="M1133" s="124"/>
      <c r="N1133" s="124"/>
      <c r="O1133" s="124"/>
      <c r="P1133" s="124"/>
      <c r="Q1133" s="124"/>
      <c r="R1133" s="124"/>
      <c r="S1133" s="124"/>
      <c r="T1133" s="124"/>
      <c r="U1133" s="124"/>
      <c r="V1133" s="124"/>
      <c r="W1133" s="124"/>
      <c r="X1133" s="124"/>
      <c r="Y1133" s="124"/>
    </row>
    <row r="1134">
      <c r="A1134" s="95"/>
      <c r="B1134" s="103"/>
      <c r="C1134" s="123"/>
      <c r="D1134" s="100" t="str">
        <f>IFERROR(__xludf.DUMMYFUNCTION("importrange(C1134,Sheet3!D$1)"),"#N/A")</f>
        <v>#N/A</v>
      </c>
      <c r="E1134" s="124"/>
      <c r="F1134" s="124"/>
      <c r="G1134" s="124"/>
      <c r="H1134" s="124"/>
      <c r="I1134" s="124"/>
      <c r="J1134" s="124"/>
      <c r="K1134" s="124"/>
      <c r="L1134" s="124"/>
      <c r="M1134" s="124"/>
      <c r="N1134" s="124"/>
      <c r="O1134" s="124"/>
      <c r="P1134" s="124"/>
      <c r="Q1134" s="124"/>
      <c r="R1134" s="124"/>
      <c r="S1134" s="124"/>
      <c r="T1134" s="124"/>
      <c r="U1134" s="124"/>
      <c r="V1134" s="124"/>
      <c r="W1134" s="124"/>
      <c r="X1134" s="124"/>
      <c r="Y1134" s="124"/>
    </row>
    <row r="1135">
      <c r="A1135" s="95"/>
      <c r="B1135" s="103"/>
      <c r="C1135" s="123"/>
      <c r="D1135" s="100" t="str">
        <f>IFERROR(__xludf.DUMMYFUNCTION("importrange(C1135,Sheet3!D$1)"),"#N/A")</f>
        <v>#N/A</v>
      </c>
      <c r="E1135" s="124"/>
      <c r="F1135" s="124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4"/>
      <c r="V1135" s="124"/>
      <c r="W1135" s="124"/>
      <c r="X1135" s="124"/>
      <c r="Y1135" s="124"/>
    </row>
    <row r="1136">
      <c r="A1136" s="95"/>
      <c r="B1136" s="103"/>
      <c r="C1136" s="123"/>
      <c r="D1136" s="100" t="str">
        <f>IFERROR(__xludf.DUMMYFUNCTION("importrange(C1136,Sheet3!D$1)"),"#N/A")</f>
        <v>#N/A</v>
      </c>
      <c r="E1136" s="124"/>
      <c r="F1136" s="124"/>
      <c r="G1136" s="124"/>
      <c r="H1136" s="124"/>
      <c r="I1136" s="124"/>
      <c r="J1136" s="124"/>
      <c r="K1136" s="124"/>
      <c r="L1136" s="124"/>
      <c r="M1136" s="124"/>
      <c r="N1136" s="124"/>
      <c r="O1136" s="124"/>
      <c r="P1136" s="124"/>
      <c r="Q1136" s="124"/>
      <c r="R1136" s="124"/>
      <c r="S1136" s="124"/>
      <c r="T1136" s="124"/>
      <c r="U1136" s="124"/>
      <c r="V1136" s="124"/>
      <c r="W1136" s="124"/>
      <c r="X1136" s="124"/>
      <c r="Y1136" s="124"/>
    </row>
    <row r="1137">
      <c r="A1137" s="95"/>
      <c r="B1137" s="103"/>
      <c r="C1137" s="123"/>
      <c r="D1137" s="100" t="str">
        <f>IFERROR(__xludf.DUMMYFUNCTION("importrange(C1137,Sheet3!D$1)"),"#N/A")</f>
        <v>#N/A</v>
      </c>
      <c r="E1137" s="124"/>
      <c r="F1137" s="124"/>
      <c r="G1137" s="124"/>
      <c r="H1137" s="124"/>
      <c r="I1137" s="124"/>
      <c r="J1137" s="124"/>
      <c r="K1137" s="124"/>
      <c r="L1137" s="124"/>
      <c r="M1137" s="124"/>
      <c r="N1137" s="124"/>
      <c r="O1137" s="124"/>
      <c r="P1137" s="124"/>
      <c r="Q1137" s="124"/>
      <c r="R1137" s="124"/>
      <c r="S1137" s="124"/>
      <c r="T1137" s="124"/>
      <c r="U1137" s="124"/>
      <c r="V1137" s="124"/>
      <c r="W1137" s="124"/>
      <c r="X1137" s="124"/>
      <c r="Y1137" s="124"/>
    </row>
    <row r="1138">
      <c r="A1138" s="95"/>
      <c r="B1138" s="103"/>
      <c r="C1138" s="123"/>
      <c r="D1138" s="100" t="str">
        <f>IFERROR(__xludf.DUMMYFUNCTION("importrange(C1138,Sheet3!D$1)"),"#N/A")</f>
        <v>#N/A</v>
      </c>
      <c r="E1138" s="124"/>
      <c r="F1138" s="124"/>
      <c r="G1138" s="124"/>
      <c r="H1138" s="124"/>
      <c r="I1138" s="124"/>
      <c r="J1138" s="124"/>
      <c r="K1138" s="124"/>
      <c r="L1138" s="124"/>
      <c r="M1138" s="124"/>
      <c r="N1138" s="124"/>
      <c r="O1138" s="124"/>
      <c r="P1138" s="124"/>
      <c r="Q1138" s="124"/>
      <c r="R1138" s="124"/>
      <c r="S1138" s="124"/>
      <c r="T1138" s="124"/>
      <c r="U1138" s="124"/>
      <c r="V1138" s="124"/>
      <c r="W1138" s="124"/>
      <c r="X1138" s="124"/>
      <c r="Y1138" s="124"/>
    </row>
    <row r="1139">
      <c r="A1139" s="95"/>
      <c r="B1139" s="103"/>
      <c r="C1139" s="123"/>
      <c r="D1139" s="100" t="str">
        <f>IFERROR(__xludf.DUMMYFUNCTION("importrange(C1139,Sheet3!D$1)"),"#N/A")</f>
        <v>#N/A</v>
      </c>
      <c r="E1139" s="124"/>
      <c r="F1139" s="124"/>
      <c r="G1139" s="124"/>
      <c r="H1139" s="124"/>
      <c r="I1139" s="124"/>
      <c r="J1139" s="124"/>
      <c r="K1139" s="124"/>
      <c r="L1139" s="124"/>
      <c r="M1139" s="124"/>
      <c r="N1139" s="124"/>
      <c r="O1139" s="124"/>
      <c r="P1139" s="124"/>
      <c r="Q1139" s="124"/>
      <c r="R1139" s="124"/>
      <c r="S1139" s="124"/>
      <c r="T1139" s="124"/>
      <c r="U1139" s="124"/>
      <c r="V1139" s="124"/>
      <c r="W1139" s="124"/>
      <c r="X1139" s="124"/>
      <c r="Y1139" s="124"/>
    </row>
    <row r="1140">
      <c r="A1140" s="95"/>
      <c r="B1140" s="103"/>
      <c r="C1140" s="123"/>
      <c r="D1140" s="100" t="str">
        <f>IFERROR(__xludf.DUMMYFUNCTION("importrange(C1140,Sheet3!D$1)"),"#N/A")</f>
        <v>#N/A</v>
      </c>
      <c r="E1140" s="124"/>
      <c r="F1140" s="124"/>
      <c r="G1140" s="124"/>
      <c r="H1140" s="124"/>
      <c r="I1140" s="124"/>
      <c r="J1140" s="124"/>
      <c r="K1140" s="124"/>
      <c r="L1140" s="124"/>
      <c r="M1140" s="124"/>
      <c r="N1140" s="124"/>
      <c r="O1140" s="124"/>
      <c r="P1140" s="124"/>
      <c r="Q1140" s="124"/>
      <c r="R1140" s="124"/>
      <c r="S1140" s="124"/>
      <c r="T1140" s="124"/>
      <c r="U1140" s="124"/>
      <c r="V1140" s="124"/>
      <c r="W1140" s="124"/>
      <c r="X1140" s="124"/>
      <c r="Y1140" s="124"/>
    </row>
    <row r="1141">
      <c r="A1141" s="95"/>
      <c r="B1141" s="103"/>
      <c r="C1141" s="123"/>
      <c r="D1141" s="100" t="str">
        <f>IFERROR(__xludf.DUMMYFUNCTION("importrange(C1141,Sheet3!D$1)"),"#N/A")</f>
        <v>#N/A</v>
      </c>
      <c r="E1141" s="124"/>
      <c r="F1141" s="124"/>
      <c r="G1141" s="124"/>
      <c r="H1141" s="124"/>
      <c r="I1141" s="124"/>
      <c r="J1141" s="124"/>
      <c r="K1141" s="124"/>
      <c r="L1141" s="124"/>
      <c r="M1141" s="124"/>
      <c r="N1141" s="124"/>
      <c r="O1141" s="124"/>
      <c r="P1141" s="124"/>
      <c r="Q1141" s="124"/>
      <c r="R1141" s="124"/>
      <c r="S1141" s="124"/>
      <c r="T1141" s="124"/>
      <c r="U1141" s="124"/>
      <c r="V1141" s="124"/>
      <c r="W1141" s="124"/>
      <c r="X1141" s="124"/>
      <c r="Y1141" s="124"/>
    </row>
    <row r="1142">
      <c r="A1142" s="95"/>
      <c r="B1142" s="103"/>
      <c r="C1142" s="123"/>
      <c r="D1142" s="100" t="str">
        <f>IFERROR(__xludf.DUMMYFUNCTION("importrange(C1142,Sheet3!D$1)"),"#N/A")</f>
        <v>#N/A</v>
      </c>
      <c r="E1142" s="124"/>
      <c r="F1142" s="124"/>
      <c r="G1142" s="124"/>
      <c r="H1142" s="124"/>
      <c r="I1142" s="124"/>
      <c r="J1142" s="124"/>
      <c r="K1142" s="124"/>
      <c r="L1142" s="124"/>
      <c r="M1142" s="124"/>
      <c r="N1142" s="124"/>
      <c r="O1142" s="124"/>
      <c r="P1142" s="124"/>
      <c r="Q1142" s="124"/>
      <c r="R1142" s="124"/>
      <c r="S1142" s="124"/>
      <c r="T1142" s="124"/>
      <c r="U1142" s="124"/>
      <c r="V1142" s="124"/>
      <c r="W1142" s="124"/>
      <c r="X1142" s="124"/>
      <c r="Y1142" s="124"/>
    </row>
    <row r="1143">
      <c r="A1143" s="95"/>
      <c r="B1143" s="103"/>
      <c r="C1143" s="123"/>
      <c r="D1143" s="100" t="str">
        <f>IFERROR(__xludf.DUMMYFUNCTION("importrange(C1143,Sheet3!D$1)"),"#N/A")</f>
        <v>#N/A</v>
      </c>
      <c r="E1143" s="124"/>
      <c r="F1143" s="124"/>
      <c r="G1143" s="124"/>
      <c r="H1143" s="124"/>
      <c r="I1143" s="124"/>
      <c r="J1143" s="124"/>
      <c r="K1143" s="124"/>
      <c r="L1143" s="124"/>
      <c r="M1143" s="124"/>
      <c r="N1143" s="124"/>
      <c r="O1143" s="124"/>
      <c r="P1143" s="124"/>
      <c r="Q1143" s="124"/>
      <c r="R1143" s="124"/>
      <c r="S1143" s="124"/>
      <c r="T1143" s="124"/>
      <c r="U1143" s="124"/>
      <c r="V1143" s="124"/>
      <c r="W1143" s="124"/>
      <c r="X1143" s="124"/>
      <c r="Y1143" s="124"/>
    </row>
    <row r="1144">
      <c r="A1144" s="95"/>
      <c r="B1144" s="103"/>
      <c r="C1144" s="123"/>
      <c r="D1144" s="100" t="str">
        <f>IFERROR(__xludf.DUMMYFUNCTION("importrange(C1144,Sheet3!D$1)"),"#N/A")</f>
        <v>#N/A</v>
      </c>
      <c r="E1144" s="124"/>
      <c r="F1144" s="124"/>
      <c r="G1144" s="124"/>
      <c r="H1144" s="124"/>
      <c r="I1144" s="124"/>
      <c r="J1144" s="124"/>
      <c r="K1144" s="124"/>
      <c r="L1144" s="124"/>
      <c r="M1144" s="124"/>
      <c r="N1144" s="124"/>
      <c r="O1144" s="124"/>
      <c r="P1144" s="124"/>
      <c r="Q1144" s="124"/>
      <c r="R1144" s="124"/>
      <c r="S1144" s="124"/>
      <c r="T1144" s="124"/>
      <c r="U1144" s="124"/>
      <c r="V1144" s="124"/>
      <c r="W1144" s="124"/>
      <c r="X1144" s="124"/>
      <c r="Y1144" s="124"/>
    </row>
    <row r="1145">
      <c r="A1145" s="95"/>
      <c r="B1145" s="103"/>
      <c r="C1145" s="123"/>
      <c r="D1145" s="100" t="str">
        <f>IFERROR(__xludf.DUMMYFUNCTION("importrange(C1145,Sheet3!D$1)"),"#N/A")</f>
        <v>#N/A</v>
      </c>
      <c r="E1145" s="124"/>
      <c r="F1145" s="124"/>
      <c r="G1145" s="124"/>
      <c r="H1145" s="124"/>
      <c r="I1145" s="124"/>
      <c r="J1145" s="124"/>
      <c r="K1145" s="124"/>
      <c r="L1145" s="124"/>
      <c r="M1145" s="124"/>
      <c r="N1145" s="124"/>
      <c r="O1145" s="124"/>
      <c r="P1145" s="124"/>
      <c r="Q1145" s="124"/>
      <c r="R1145" s="124"/>
      <c r="S1145" s="124"/>
      <c r="T1145" s="124"/>
      <c r="U1145" s="124"/>
      <c r="V1145" s="124"/>
      <c r="W1145" s="124"/>
      <c r="X1145" s="124"/>
      <c r="Y1145" s="124"/>
    </row>
    <row r="1146">
      <c r="A1146" s="95"/>
      <c r="B1146" s="103"/>
      <c r="C1146" s="123"/>
      <c r="D1146" s="100" t="str">
        <f>IFERROR(__xludf.DUMMYFUNCTION("importrange(C1146,Sheet3!D$1)"),"#N/A")</f>
        <v>#N/A</v>
      </c>
      <c r="E1146" s="124"/>
      <c r="F1146" s="124"/>
      <c r="G1146" s="124"/>
      <c r="H1146" s="124"/>
      <c r="I1146" s="124"/>
      <c r="J1146" s="124"/>
      <c r="K1146" s="124"/>
      <c r="L1146" s="124"/>
      <c r="M1146" s="124"/>
      <c r="N1146" s="124"/>
      <c r="O1146" s="124"/>
      <c r="P1146" s="124"/>
      <c r="Q1146" s="124"/>
      <c r="R1146" s="124"/>
      <c r="S1146" s="124"/>
      <c r="T1146" s="124"/>
      <c r="U1146" s="124"/>
      <c r="V1146" s="124"/>
      <c r="W1146" s="124"/>
      <c r="X1146" s="124"/>
      <c r="Y1146" s="124"/>
    </row>
    <row r="1147">
      <c r="A1147" s="95"/>
      <c r="B1147" s="103"/>
      <c r="C1147" s="123"/>
      <c r="D1147" s="100" t="str">
        <f>IFERROR(__xludf.DUMMYFUNCTION("importrange(C1147,Sheet3!D$1)"),"#N/A")</f>
        <v>#N/A</v>
      </c>
      <c r="E1147" s="124"/>
      <c r="F1147" s="124"/>
      <c r="G1147" s="124"/>
      <c r="H1147" s="124"/>
      <c r="I1147" s="124"/>
      <c r="J1147" s="124"/>
      <c r="K1147" s="124"/>
      <c r="L1147" s="124"/>
      <c r="M1147" s="124"/>
      <c r="N1147" s="124"/>
      <c r="O1147" s="124"/>
      <c r="P1147" s="124"/>
      <c r="Q1147" s="124"/>
      <c r="R1147" s="124"/>
      <c r="S1147" s="124"/>
      <c r="T1147" s="124"/>
      <c r="U1147" s="124"/>
      <c r="V1147" s="124"/>
      <c r="W1147" s="124"/>
      <c r="X1147" s="124"/>
      <c r="Y1147" s="124"/>
    </row>
    <row r="1148">
      <c r="A1148" s="95"/>
      <c r="B1148" s="103"/>
      <c r="C1148" s="123"/>
      <c r="D1148" s="100" t="str">
        <f>IFERROR(__xludf.DUMMYFUNCTION("importrange(C1148,Sheet3!D$1)"),"#N/A")</f>
        <v>#N/A</v>
      </c>
      <c r="E1148" s="124"/>
      <c r="F1148" s="124"/>
      <c r="G1148" s="124"/>
      <c r="H1148" s="124"/>
      <c r="I1148" s="124"/>
      <c r="J1148" s="124"/>
      <c r="K1148" s="124"/>
      <c r="L1148" s="124"/>
      <c r="M1148" s="124"/>
      <c r="N1148" s="124"/>
      <c r="O1148" s="124"/>
      <c r="P1148" s="124"/>
      <c r="Q1148" s="124"/>
      <c r="R1148" s="124"/>
      <c r="S1148" s="124"/>
      <c r="T1148" s="124"/>
      <c r="U1148" s="124"/>
      <c r="V1148" s="124"/>
      <c r="W1148" s="124"/>
      <c r="X1148" s="124"/>
      <c r="Y1148" s="124"/>
    </row>
    <row r="1149">
      <c r="A1149" s="95"/>
      <c r="B1149" s="103"/>
      <c r="C1149" s="123"/>
      <c r="D1149" s="100" t="str">
        <f>IFERROR(__xludf.DUMMYFUNCTION("importrange(C1149,Sheet3!D$1)"),"#N/A")</f>
        <v>#N/A</v>
      </c>
      <c r="E1149" s="124"/>
      <c r="F1149" s="124"/>
      <c r="G1149" s="124"/>
      <c r="H1149" s="124"/>
      <c r="I1149" s="124"/>
      <c r="J1149" s="124"/>
      <c r="K1149" s="124"/>
      <c r="L1149" s="124"/>
      <c r="M1149" s="124"/>
      <c r="N1149" s="124"/>
      <c r="O1149" s="124"/>
      <c r="P1149" s="124"/>
      <c r="Q1149" s="124"/>
      <c r="R1149" s="124"/>
      <c r="S1149" s="124"/>
      <c r="T1149" s="124"/>
      <c r="U1149" s="124"/>
      <c r="V1149" s="124"/>
      <c r="W1149" s="124"/>
      <c r="X1149" s="124"/>
      <c r="Y1149" s="124"/>
    </row>
    <row r="1150">
      <c r="A1150" s="95"/>
      <c r="B1150" s="103"/>
      <c r="C1150" s="123"/>
      <c r="D1150" s="100" t="str">
        <f>IFERROR(__xludf.DUMMYFUNCTION("importrange(C1150,Sheet3!D$1)"),"#N/A")</f>
        <v>#N/A</v>
      </c>
      <c r="E1150" s="124"/>
      <c r="F1150" s="124"/>
      <c r="G1150" s="124"/>
      <c r="H1150" s="124"/>
      <c r="I1150" s="124"/>
      <c r="J1150" s="124"/>
      <c r="K1150" s="124"/>
      <c r="L1150" s="124"/>
      <c r="M1150" s="124"/>
      <c r="N1150" s="124"/>
      <c r="O1150" s="124"/>
      <c r="P1150" s="124"/>
      <c r="Q1150" s="124"/>
      <c r="R1150" s="124"/>
      <c r="S1150" s="124"/>
      <c r="T1150" s="124"/>
      <c r="U1150" s="124"/>
      <c r="V1150" s="124"/>
      <c r="W1150" s="124"/>
      <c r="X1150" s="124"/>
      <c r="Y1150" s="124"/>
    </row>
    <row r="1151">
      <c r="A1151" s="95"/>
      <c r="B1151" s="103"/>
      <c r="C1151" s="123"/>
      <c r="D1151" s="100" t="str">
        <f>IFERROR(__xludf.DUMMYFUNCTION("importrange(C1151,Sheet3!D$1)"),"#N/A")</f>
        <v>#N/A</v>
      </c>
      <c r="E1151" s="124"/>
      <c r="F1151" s="124"/>
      <c r="G1151" s="124"/>
      <c r="H1151" s="124"/>
      <c r="I1151" s="124"/>
      <c r="J1151" s="124"/>
      <c r="K1151" s="124"/>
      <c r="L1151" s="124"/>
      <c r="M1151" s="124"/>
      <c r="N1151" s="124"/>
      <c r="O1151" s="124"/>
      <c r="P1151" s="124"/>
      <c r="Q1151" s="124"/>
      <c r="R1151" s="124"/>
      <c r="S1151" s="124"/>
      <c r="T1151" s="124"/>
      <c r="U1151" s="124"/>
      <c r="V1151" s="124"/>
      <c r="W1151" s="124"/>
      <c r="X1151" s="124"/>
      <c r="Y1151" s="124"/>
    </row>
    <row r="1152">
      <c r="A1152" s="95"/>
      <c r="B1152" s="103"/>
      <c r="C1152" s="123"/>
      <c r="D1152" s="100" t="str">
        <f>IFERROR(__xludf.DUMMYFUNCTION("importrange(C1152,Sheet3!D$1)"),"#N/A")</f>
        <v>#N/A</v>
      </c>
      <c r="E1152" s="124"/>
      <c r="F1152" s="124"/>
      <c r="G1152" s="124"/>
      <c r="H1152" s="124"/>
      <c r="I1152" s="124"/>
      <c r="J1152" s="124"/>
      <c r="K1152" s="124"/>
      <c r="L1152" s="124"/>
      <c r="M1152" s="124"/>
      <c r="N1152" s="124"/>
      <c r="O1152" s="124"/>
      <c r="P1152" s="124"/>
      <c r="Q1152" s="124"/>
      <c r="R1152" s="124"/>
      <c r="S1152" s="124"/>
      <c r="T1152" s="124"/>
      <c r="U1152" s="124"/>
      <c r="V1152" s="124"/>
      <c r="W1152" s="124"/>
      <c r="X1152" s="124"/>
      <c r="Y1152" s="124"/>
    </row>
    <row r="1153">
      <c r="A1153" s="125"/>
      <c r="B1153" s="126"/>
      <c r="C1153" s="127"/>
      <c r="D1153" s="100" t="str">
        <f>IFERROR(__xludf.DUMMYFUNCTION("importrange(C1153,Sheet3!D$1)"),"#N/A")</f>
        <v>#N/A</v>
      </c>
      <c r="E1153" s="124"/>
      <c r="F1153" s="124"/>
      <c r="G1153" s="124"/>
      <c r="H1153" s="124"/>
      <c r="I1153" s="124"/>
      <c r="J1153" s="124"/>
      <c r="K1153" s="124"/>
      <c r="L1153" s="124"/>
      <c r="M1153" s="124"/>
      <c r="N1153" s="124"/>
      <c r="O1153" s="124"/>
      <c r="P1153" s="124"/>
      <c r="Q1153" s="124"/>
      <c r="R1153" s="124"/>
      <c r="S1153" s="124"/>
      <c r="T1153" s="124"/>
      <c r="U1153" s="124"/>
      <c r="V1153" s="124"/>
      <c r="W1153" s="124"/>
      <c r="X1153" s="124"/>
      <c r="Y1153" s="124"/>
    </row>
    <row r="1154">
      <c r="A1154" s="125"/>
      <c r="B1154" s="126"/>
      <c r="C1154" s="127"/>
      <c r="D1154" s="100" t="str">
        <f>IFERROR(__xludf.DUMMYFUNCTION("importrange(C1154,Sheet3!D$1)"),"#N/A")</f>
        <v>#N/A</v>
      </c>
      <c r="E1154" s="124"/>
      <c r="F1154" s="124"/>
      <c r="G1154" s="124"/>
      <c r="H1154" s="124"/>
      <c r="I1154" s="124"/>
      <c r="J1154" s="124"/>
      <c r="K1154" s="124"/>
      <c r="L1154" s="124"/>
      <c r="M1154" s="124"/>
      <c r="N1154" s="124"/>
      <c r="O1154" s="124"/>
      <c r="P1154" s="124"/>
      <c r="Q1154" s="124"/>
      <c r="R1154" s="124"/>
      <c r="S1154" s="124"/>
      <c r="T1154" s="124"/>
      <c r="U1154" s="124"/>
      <c r="V1154" s="124"/>
      <c r="W1154" s="124"/>
      <c r="X1154" s="124"/>
      <c r="Y1154" s="124"/>
    </row>
    <row r="1155">
      <c r="A1155" s="125"/>
      <c r="B1155" s="126"/>
      <c r="C1155" s="127"/>
      <c r="D1155" s="100" t="str">
        <f>IFERROR(__xludf.DUMMYFUNCTION("importrange(C1155,Sheet3!D$1)"),"#N/A")</f>
        <v>#N/A</v>
      </c>
      <c r="E1155" s="124"/>
      <c r="F1155" s="124"/>
      <c r="G1155" s="124"/>
      <c r="H1155" s="124"/>
      <c r="I1155" s="124"/>
      <c r="J1155" s="124"/>
      <c r="K1155" s="124"/>
      <c r="L1155" s="124"/>
      <c r="M1155" s="124"/>
      <c r="N1155" s="124"/>
      <c r="O1155" s="124"/>
      <c r="P1155" s="124"/>
      <c r="Q1155" s="124"/>
      <c r="R1155" s="124"/>
      <c r="S1155" s="124"/>
      <c r="T1155" s="124"/>
      <c r="U1155" s="124"/>
      <c r="V1155" s="124"/>
      <c r="W1155" s="124"/>
      <c r="X1155" s="124"/>
      <c r="Y1155" s="124"/>
    </row>
    <row r="1156">
      <c r="A1156" s="125"/>
      <c r="B1156" s="126"/>
      <c r="C1156" s="127"/>
      <c r="D1156" s="100" t="str">
        <f>IFERROR(__xludf.DUMMYFUNCTION("importrange(C1156,Sheet3!D$1)"),"#N/A")</f>
        <v>#N/A</v>
      </c>
      <c r="E1156" s="124"/>
      <c r="F1156" s="124"/>
      <c r="G1156" s="124"/>
      <c r="H1156" s="124"/>
      <c r="I1156" s="124"/>
      <c r="J1156" s="124"/>
      <c r="K1156" s="124"/>
      <c r="L1156" s="124"/>
      <c r="M1156" s="124"/>
      <c r="N1156" s="124"/>
      <c r="O1156" s="124"/>
      <c r="P1156" s="124"/>
      <c r="Q1156" s="124"/>
      <c r="R1156" s="124"/>
      <c r="S1156" s="124"/>
      <c r="T1156" s="124"/>
      <c r="U1156" s="124"/>
      <c r="V1156" s="124"/>
      <c r="W1156" s="124"/>
      <c r="X1156" s="124"/>
      <c r="Y1156" s="124"/>
    </row>
    <row r="1157">
      <c r="A1157" s="125"/>
      <c r="B1157" s="126"/>
      <c r="C1157" s="127"/>
      <c r="D1157" s="100" t="str">
        <f>IFERROR(__xludf.DUMMYFUNCTION("importrange(C1157,Sheet3!D$1)"),"#N/A")</f>
        <v>#N/A</v>
      </c>
      <c r="E1157" s="124"/>
      <c r="F1157" s="124"/>
      <c r="G1157" s="124"/>
      <c r="H1157" s="124"/>
      <c r="I1157" s="124"/>
      <c r="J1157" s="124"/>
      <c r="K1157" s="124"/>
      <c r="L1157" s="124"/>
      <c r="M1157" s="124"/>
      <c r="N1157" s="124"/>
      <c r="O1157" s="124"/>
      <c r="P1157" s="124"/>
      <c r="Q1157" s="124"/>
      <c r="R1157" s="124"/>
      <c r="S1157" s="124"/>
      <c r="T1157" s="124"/>
      <c r="U1157" s="124"/>
      <c r="V1157" s="124"/>
      <c r="W1157" s="124"/>
      <c r="X1157" s="124"/>
      <c r="Y1157" s="124"/>
    </row>
    <row r="1158">
      <c r="A1158" s="125"/>
      <c r="B1158" s="126"/>
      <c r="C1158" s="127"/>
      <c r="D1158" s="100" t="str">
        <f>IFERROR(__xludf.DUMMYFUNCTION("importrange(C1158,Sheet3!D$1)"),"#N/A")</f>
        <v>#N/A</v>
      </c>
      <c r="E1158" s="124"/>
      <c r="F1158" s="124"/>
      <c r="G1158" s="124"/>
      <c r="H1158" s="124"/>
      <c r="I1158" s="124"/>
      <c r="J1158" s="124"/>
      <c r="K1158" s="124"/>
      <c r="L1158" s="124"/>
      <c r="M1158" s="124"/>
      <c r="N1158" s="124"/>
      <c r="O1158" s="124"/>
      <c r="P1158" s="124"/>
      <c r="Q1158" s="124"/>
      <c r="R1158" s="124"/>
      <c r="S1158" s="124"/>
      <c r="T1158" s="124"/>
      <c r="U1158" s="124"/>
      <c r="V1158" s="124"/>
      <c r="W1158" s="124"/>
      <c r="X1158" s="124"/>
      <c r="Y1158" s="124"/>
    </row>
    <row r="1159">
      <c r="A1159" s="125"/>
      <c r="B1159" s="126"/>
      <c r="C1159" s="127"/>
      <c r="D1159" s="100" t="str">
        <f>IFERROR(__xludf.DUMMYFUNCTION("importrange(C1159,Sheet3!D$1)"),"#N/A")</f>
        <v>#N/A</v>
      </c>
      <c r="E1159" s="124"/>
      <c r="F1159" s="124"/>
      <c r="G1159" s="124"/>
      <c r="H1159" s="124"/>
      <c r="I1159" s="124"/>
      <c r="J1159" s="124"/>
      <c r="K1159" s="124"/>
      <c r="L1159" s="124"/>
      <c r="M1159" s="124"/>
      <c r="N1159" s="124"/>
      <c r="O1159" s="124"/>
      <c r="P1159" s="124"/>
      <c r="Q1159" s="124"/>
      <c r="R1159" s="124"/>
      <c r="S1159" s="124"/>
      <c r="T1159" s="124"/>
      <c r="U1159" s="124"/>
      <c r="V1159" s="124"/>
      <c r="W1159" s="124"/>
      <c r="X1159" s="124"/>
      <c r="Y1159" s="124"/>
    </row>
    <row r="1160">
      <c r="A1160" s="125"/>
      <c r="B1160" s="126"/>
      <c r="C1160" s="127"/>
      <c r="D1160" s="100" t="str">
        <f>IFERROR(__xludf.DUMMYFUNCTION("importrange(C1160,Sheet3!D$1)"),"#N/A")</f>
        <v>#N/A</v>
      </c>
      <c r="E1160" s="124"/>
      <c r="F1160" s="124"/>
      <c r="G1160" s="124"/>
      <c r="H1160" s="124"/>
      <c r="I1160" s="124"/>
      <c r="J1160" s="124"/>
      <c r="K1160" s="124"/>
      <c r="L1160" s="124"/>
      <c r="M1160" s="124"/>
      <c r="N1160" s="124"/>
      <c r="O1160" s="124"/>
      <c r="P1160" s="124"/>
      <c r="Q1160" s="124"/>
      <c r="R1160" s="124"/>
      <c r="S1160" s="124"/>
      <c r="T1160" s="124"/>
      <c r="U1160" s="124"/>
      <c r="V1160" s="124"/>
      <c r="W1160" s="124"/>
      <c r="X1160" s="124"/>
      <c r="Y1160" s="124"/>
    </row>
    <row r="1161">
      <c r="A1161" s="125"/>
      <c r="B1161" s="126"/>
      <c r="C1161" s="127"/>
      <c r="D1161" s="100" t="str">
        <f>IFERROR(__xludf.DUMMYFUNCTION("importrange(C1161,Sheet3!D$1)"),"#N/A")</f>
        <v>#N/A</v>
      </c>
      <c r="E1161" s="124"/>
      <c r="F1161" s="124"/>
      <c r="G1161" s="124"/>
      <c r="H1161" s="124"/>
      <c r="I1161" s="124"/>
      <c r="J1161" s="124"/>
      <c r="K1161" s="124"/>
      <c r="L1161" s="124"/>
      <c r="M1161" s="124"/>
      <c r="N1161" s="124"/>
      <c r="O1161" s="124"/>
      <c r="P1161" s="124"/>
      <c r="Q1161" s="124"/>
      <c r="R1161" s="124"/>
      <c r="S1161" s="124"/>
      <c r="T1161" s="124"/>
      <c r="U1161" s="124"/>
      <c r="V1161" s="124"/>
      <c r="W1161" s="124"/>
      <c r="X1161" s="124"/>
      <c r="Y1161" s="124"/>
    </row>
    <row r="1162">
      <c r="A1162" s="125"/>
      <c r="B1162" s="126"/>
      <c r="C1162" s="127"/>
      <c r="D1162" s="100" t="str">
        <f>IFERROR(__xludf.DUMMYFUNCTION("importrange(C1162,Sheet3!D$1)"),"#N/A")</f>
        <v>#N/A</v>
      </c>
      <c r="E1162" s="124"/>
      <c r="F1162" s="124"/>
      <c r="G1162" s="124"/>
      <c r="H1162" s="124"/>
      <c r="I1162" s="124"/>
      <c r="J1162" s="124"/>
      <c r="K1162" s="124"/>
      <c r="L1162" s="124"/>
      <c r="M1162" s="124"/>
      <c r="N1162" s="124"/>
      <c r="O1162" s="124"/>
      <c r="P1162" s="124"/>
      <c r="Q1162" s="124"/>
      <c r="R1162" s="124"/>
      <c r="S1162" s="124"/>
      <c r="T1162" s="124"/>
      <c r="U1162" s="124"/>
      <c r="V1162" s="124"/>
      <c r="W1162" s="124"/>
      <c r="X1162" s="124"/>
      <c r="Y1162" s="124"/>
    </row>
    <row r="1163">
      <c r="A1163" s="125"/>
      <c r="B1163" s="126"/>
      <c r="C1163" s="127"/>
      <c r="D1163" s="100" t="str">
        <f>IFERROR(__xludf.DUMMYFUNCTION("importrange(C1163,Sheet3!D$1)"),"#N/A")</f>
        <v>#N/A</v>
      </c>
      <c r="E1163" s="124"/>
      <c r="F1163" s="124"/>
      <c r="G1163" s="124"/>
      <c r="H1163" s="124"/>
      <c r="I1163" s="124"/>
      <c r="J1163" s="124"/>
      <c r="K1163" s="124"/>
      <c r="L1163" s="124"/>
      <c r="M1163" s="124"/>
      <c r="N1163" s="124"/>
      <c r="O1163" s="124"/>
      <c r="P1163" s="124"/>
      <c r="Q1163" s="124"/>
      <c r="R1163" s="124"/>
      <c r="S1163" s="124"/>
      <c r="T1163" s="124"/>
      <c r="U1163" s="124"/>
      <c r="V1163" s="124"/>
      <c r="W1163" s="124"/>
      <c r="X1163" s="124"/>
      <c r="Y1163" s="124"/>
    </row>
    <row r="1164">
      <c r="A1164" s="125"/>
      <c r="B1164" s="126"/>
      <c r="C1164" s="127"/>
      <c r="D1164" s="100" t="str">
        <f>IFERROR(__xludf.DUMMYFUNCTION("importrange(C1164,Sheet3!D$1)"),"#N/A")</f>
        <v>#N/A</v>
      </c>
      <c r="E1164" s="124"/>
      <c r="F1164" s="124"/>
      <c r="G1164" s="124"/>
      <c r="H1164" s="124"/>
      <c r="I1164" s="124"/>
      <c r="J1164" s="124"/>
      <c r="K1164" s="124"/>
      <c r="L1164" s="124"/>
      <c r="M1164" s="124"/>
      <c r="N1164" s="124"/>
      <c r="O1164" s="124"/>
      <c r="P1164" s="124"/>
      <c r="Q1164" s="124"/>
      <c r="R1164" s="124"/>
      <c r="S1164" s="124"/>
      <c r="T1164" s="124"/>
      <c r="U1164" s="124"/>
      <c r="V1164" s="124"/>
      <c r="W1164" s="124"/>
      <c r="X1164" s="124"/>
      <c r="Y1164" s="124"/>
    </row>
    <row r="1165">
      <c r="A1165" s="125"/>
      <c r="B1165" s="126"/>
      <c r="C1165" s="127"/>
      <c r="D1165" s="100" t="str">
        <f>IFERROR(__xludf.DUMMYFUNCTION("importrange(C1165,Sheet3!D$1)"),"#N/A")</f>
        <v>#N/A</v>
      </c>
      <c r="E1165" s="124"/>
      <c r="F1165" s="124"/>
      <c r="G1165" s="124"/>
      <c r="H1165" s="124"/>
      <c r="I1165" s="124"/>
      <c r="J1165" s="124"/>
      <c r="K1165" s="124"/>
      <c r="L1165" s="124"/>
      <c r="M1165" s="124"/>
      <c r="N1165" s="124"/>
      <c r="O1165" s="124"/>
      <c r="P1165" s="124"/>
      <c r="Q1165" s="124"/>
      <c r="R1165" s="124"/>
      <c r="S1165" s="124"/>
      <c r="T1165" s="124"/>
      <c r="U1165" s="124"/>
      <c r="V1165" s="124"/>
      <c r="W1165" s="124"/>
      <c r="X1165" s="124"/>
      <c r="Y1165" s="124"/>
    </row>
    <row r="1166">
      <c r="A1166" s="125"/>
      <c r="B1166" s="126"/>
      <c r="C1166" s="127"/>
      <c r="D1166" s="100" t="str">
        <f>IFERROR(__xludf.DUMMYFUNCTION("importrange(C1166,Sheet3!D$1)"),"#N/A")</f>
        <v>#N/A</v>
      </c>
      <c r="E1166" s="124"/>
      <c r="F1166" s="124"/>
      <c r="G1166" s="124"/>
      <c r="H1166" s="124"/>
      <c r="I1166" s="124"/>
      <c r="J1166" s="124"/>
      <c r="K1166" s="124"/>
      <c r="L1166" s="124"/>
      <c r="M1166" s="124"/>
      <c r="N1166" s="124"/>
      <c r="O1166" s="124"/>
      <c r="P1166" s="124"/>
      <c r="Q1166" s="124"/>
      <c r="R1166" s="124"/>
      <c r="S1166" s="124"/>
      <c r="T1166" s="124"/>
      <c r="U1166" s="124"/>
      <c r="V1166" s="124"/>
      <c r="W1166" s="124"/>
      <c r="X1166" s="124"/>
      <c r="Y1166" s="124"/>
    </row>
    <row r="1167">
      <c r="A1167" s="125"/>
      <c r="B1167" s="126"/>
      <c r="C1167" s="127"/>
      <c r="D1167" s="100" t="str">
        <f>IFERROR(__xludf.DUMMYFUNCTION("importrange(C1167,Sheet3!D$1)"),"#N/A")</f>
        <v>#N/A</v>
      </c>
      <c r="E1167" s="124"/>
      <c r="F1167" s="124"/>
      <c r="G1167" s="124"/>
      <c r="H1167" s="124"/>
      <c r="I1167" s="124"/>
      <c r="J1167" s="124"/>
      <c r="K1167" s="124"/>
      <c r="L1167" s="124"/>
      <c r="M1167" s="124"/>
      <c r="N1167" s="124"/>
      <c r="O1167" s="124"/>
      <c r="P1167" s="124"/>
      <c r="Q1167" s="124"/>
      <c r="R1167" s="124"/>
      <c r="S1167" s="124"/>
      <c r="T1167" s="124"/>
      <c r="U1167" s="124"/>
      <c r="V1167" s="124"/>
      <c r="W1167" s="124"/>
      <c r="X1167" s="124"/>
      <c r="Y1167" s="124"/>
    </row>
    <row r="1168">
      <c r="A1168" s="125"/>
      <c r="B1168" s="126"/>
      <c r="C1168" s="127"/>
      <c r="D1168" s="100" t="str">
        <f>IFERROR(__xludf.DUMMYFUNCTION("importrange(C1168,Sheet3!D$1)"),"#N/A")</f>
        <v>#N/A</v>
      </c>
      <c r="E1168" s="124"/>
      <c r="F1168" s="124"/>
      <c r="G1168" s="124"/>
      <c r="H1168" s="124"/>
      <c r="I1168" s="124"/>
      <c r="J1168" s="124"/>
      <c r="K1168" s="124"/>
      <c r="L1168" s="124"/>
      <c r="M1168" s="124"/>
      <c r="N1168" s="124"/>
      <c r="O1168" s="124"/>
      <c r="P1168" s="124"/>
      <c r="Q1168" s="124"/>
      <c r="R1168" s="124"/>
      <c r="S1168" s="124"/>
      <c r="T1168" s="124"/>
      <c r="U1168" s="124"/>
      <c r="V1168" s="124"/>
      <c r="W1168" s="124"/>
      <c r="X1168" s="124"/>
      <c r="Y1168" s="124"/>
    </row>
    <row r="1169">
      <c r="A1169" s="125"/>
      <c r="B1169" s="126"/>
      <c r="C1169" s="127"/>
      <c r="D1169" s="100" t="str">
        <f>IFERROR(__xludf.DUMMYFUNCTION("importrange(C1169,Sheet3!D$1)"),"#N/A")</f>
        <v>#N/A</v>
      </c>
      <c r="E1169" s="124"/>
      <c r="F1169" s="124"/>
      <c r="G1169" s="124"/>
      <c r="H1169" s="124"/>
      <c r="I1169" s="124"/>
      <c r="J1169" s="124"/>
      <c r="K1169" s="124"/>
      <c r="L1169" s="124"/>
      <c r="M1169" s="124"/>
      <c r="N1169" s="124"/>
      <c r="O1169" s="124"/>
      <c r="P1169" s="124"/>
      <c r="Q1169" s="124"/>
      <c r="R1169" s="124"/>
      <c r="S1169" s="124"/>
      <c r="T1169" s="124"/>
      <c r="U1169" s="124"/>
      <c r="V1169" s="124"/>
      <c r="W1169" s="124"/>
      <c r="X1169" s="124"/>
      <c r="Y1169" s="124"/>
    </row>
    <row r="1170">
      <c r="A1170" s="125"/>
      <c r="B1170" s="126"/>
      <c r="C1170" s="127"/>
      <c r="D1170" s="100" t="str">
        <f>IFERROR(__xludf.DUMMYFUNCTION("importrange(C1170,Sheet3!D$1)"),"#N/A")</f>
        <v>#N/A</v>
      </c>
      <c r="E1170" s="124"/>
      <c r="F1170" s="124"/>
      <c r="G1170" s="124"/>
      <c r="H1170" s="124"/>
      <c r="I1170" s="124"/>
      <c r="J1170" s="124"/>
      <c r="K1170" s="124"/>
      <c r="L1170" s="124"/>
      <c r="M1170" s="124"/>
      <c r="N1170" s="124"/>
      <c r="O1170" s="124"/>
      <c r="P1170" s="124"/>
      <c r="Q1170" s="124"/>
      <c r="R1170" s="124"/>
      <c r="S1170" s="124"/>
      <c r="T1170" s="124"/>
      <c r="U1170" s="124"/>
      <c r="V1170" s="124"/>
      <c r="W1170" s="124"/>
      <c r="X1170" s="124"/>
      <c r="Y1170" s="124"/>
    </row>
    <row r="1171">
      <c r="A1171" s="125"/>
      <c r="B1171" s="126"/>
      <c r="C1171" s="127"/>
      <c r="D1171" s="100" t="str">
        <f>IFERROR(__xludf.DUMMYFUNCTION("importrange(C1171,Sheet3!D$1)"),"#N/A")</f>
        <v>#N/A</v>
      </c>
      <c r="E1171" s="124"/>
      <c r="F1171" s="124"/>
      <c r="G1171" s="124"/>
      <c r="H1171" s="124"/>
      <c r="I1171" s="124"/>
      <c r="J1171" s="124"/>
      <c r="K1171" s="124"/>
      <c r="L1171" s="124"/>
      <c r="M1171" s="124"/>
      <c r="N1171" s="124"/>
      <c r="O1171" s="124"/>
      <c r="P1171" s="124"/>
      <c r="Q1171" s="124"/>
      <c r="R1171" s="124"/>
      <c r="S1171" s="124"/>
      <c r="T1171" s="124"/>
      <c r="U1171" s="124"/>
      <c r="V1171" s="124"/>
      <c r="W1171" s="124"/>
      <c r="X1171" s="124"/>
      <c r="Y1171" s="124"/>
    </row>
    <row r="1172">
      <c r="A1172" s="125"/>
      <c r="B1172" s="126"/>
      <c r="C1172" s="127"/>
      <c r="D1172" s="100" t="str">
        <f>IFERROR(__xludf.DUMMYFUNCTION("importrange(C1172,Sheet3!D$1)"),"#N/A")</f>
        <v>#N/A</v>
      </c>
      <c r="E1172" s="124"/>
      <c r="F1172" s="124"/>
      <c r="G1172" s="124"/>
      <c r="H1172" s="124"/>
      <c r="I1172" s="124"/>
      <c r="J1172" s="124"/>
      <c r="K1172" s="124"/>
      <c r="L1172" s="124"/>
      <c r="M1172" s="124"/>
      <c r="N1172" s="124"/>
      <c r="O1172" s="124"/>
      <c r="P1172" s="124"/>
      <c r="Q1172" s="124"/>
      <c r="R1172" s="124"/>
      <c r="S1172" s="124"/>
      <c r="T1172" s="124"/>
      <c r="U1172" s="124"/>
      <c r="V1172" s="124"/>
      <c r="W1172" s="124"/>
      <c r="X1172" s="124"/>
      <c r="Y1172" s="124"/>
    </row>
    <row r="1173">
      <c r="A1173" s="125"/>
      <c r="B1173" s="126"/>
      <c r="C1173" s="127"/>
      <c r="D1173" s="100" t="str">
        <f>IFERROR(__xludf.DUMMYFUNCTION("importrange(C1173,Sheet3!D$1)"),"#N/A")</f>
        <v>#N/A</v>
      </c>
      <c r="E1173" s="124"/>
      <c r="F1173" s="124"/>
      <c r="G1173" s="124"/>
      <c r="H1173" s="124"/>
      <c r="I1173" s="124"/>
      <c r="J1173" s="124"/>
      <c r="K1173" s="124"/>
      <c r="L1173" s="124"/>
      <c r="M1173" s="124"/>
      <c r="N1173" s="124"/>
      <c r="O1173" s="124"/>
      <c r="P1173" s="124"/>
      <c r="Q1173" s="124"/>
      <c r="R1173" s="124"/>
      <c r="S1173" s="124"/>
      <c r="T1173" s="124"/>
      <c r="U1173" s="124"/>
      <c r="V1173" s="124"/>
      <c r="W1173" s="124"/>
      <c r="X1173" s="124"/>
      <c r="Y1173" s="124"/>
    </row>
    <row r="1174">
      <c r="A1174" s="125"/>
      <c r="B1174" s="126"/>
      <c r="C1174" s="127"/>
      <c r="D1174" s="100" t="str">
        <f>IFERROR(__xludf.DUMMYFUNCTION("importrange(C1174,Sheet3!D$1)"),"#N/A")</f>
        <v>#N/A</v>
      </c>
      <c r="E1174" s="124"/>
      <c r="F1174" s="124"/>
      <c r="G1174" s="124"/>
      <c r="H1174" s="124"/>
      <c r="I1174" s="124"/>
      <c r="J1174" s="124"/>
      <c r="K1174" s="124"/>
      <c r="L1174" s="124"/>
      <c r="M1174" s="124"/>
      <c r="N1174" s="124"/>
      <c r="O1174" s="124"/>
      <c r="P1174" s="124"/>
      <c r="Q1174" s="124"/>
      <c r="R1174" s="124"/>
      <c r="S1174" s="124"/>
      <c r="T1174" s="124"/>
      <c r="U1174" s="124"/>
      <c r="V1174" s="124"/>
      <c r="W1174" s="124"/>
      <c r="X1174" s="124"/>
      <c r="Y1174" s="124"/>
    </row>
    <row r="1175">
      <c r="A1175" s="125"/>
      <c r="B1175" s="126"/>
      <c r="C1175" s="127"/>
      <c r="D1175" s="100" t="str">
        <f>IFERROR(__xludf.DUMMYFUNCTION("importrange(C1175,Sheet3!D$1)"),"#N/A")</f>
        <v>#N/A</v>
      </c>
      <c r="E1175" s="124"/>
      <c r="F1175" s="124"/>
      <c r="G1175" s="124"/>
      <c r="H1175" s="124"/>
      <c r="I1175" s="124"/>
      <c r="J1175" s="124"/>
      <c r="K1175" s="124"/>
      <c r="L1175" s="124"/>
      <c r="M1175" s="124"/>
      <c r="N1175" s="124"/>
      <c r="O1175" s="124"/>
      <c r="P1175" s="124"/>
      <c r="Q1175" s="124"/>
      <c r="R1175" s="124"/>
      <c r="S1175" s="124"/>
      <c r="T1175" s="124"/>
      <c r="U1175" s="124"/>
      <c r="V1175" s="124"/>
      <c r="W1175" s="124"/>
      <c r="X1175" s="124"/>
      <c r="Y1175" s="124"/>
    </row>
    <row r="1176">
      <c r="A1176" s="125"/>
      <c r="B1176" s="126"/>
      <c r="C1176" s="127"/>
      <c r="D1176" s="100" t="str">
        <f>IFERROR(__xludf.DUMMYFUNCTION("importrange(C1176,Sheet3!D$1)"),"#N/A")</f>
        <v>#N/A</v>
      </c>
      <c r="E1176" s="124"/>
      <c r="F1176" s="124"/>
      <c r="G1176" s="124"/>
      <c r="H1176" s="124"/>
      <c r="I1176" s="124"/>
      <c r="J1176" s="124"/>
      <c r="K1176" s="124"/>
      <c r="L1176" s="124"/>
      <c r="M1176" s="124"/>
      <c r="N1176" s="124"/>
      <c r="O1176" s="124"/>
      <c r="P1176" s="124"/>
      <c r="Q1176" s="124"/>
      <c r="R1176" s="124"/>
      <c r="S1176" s="124"/>
      <c r="T1176" s="124"/>
      <c r="U1176" s="124"/>
      <c r="V1176" s="124"/>
      <c r="W1176" s="124"/>
      <c r="X1176" s="124"/>
      <c r="Y1176" s="124"/>
    </row>
    <row r="1177">
      <c r="A1177" s="125"/>
      <c r="B1177" s="126"/>
      <c r="C1177" s="127"/>
      <c r="D1177" s="100" t="str">
        <f>IFERROR(__xludf.DUMMYFUNCTION("importrange(C1177,Sheet3!D$1)"),"#N/A")</f>
        <v>#N/A</v>
      </c>
      <c r="E1177" s="124"/>
      <c r="F1177" s="124"/>
      <c r="G1177" s="124"/>
      <c r="H1177" s="124"/>
      <c r="I1177" s="124"/>
      <c r="J1177" s="124"/>
      <c r="K1177" s="124"/>
      <c r="L1177" s="124"/>
      <c r="M1177" s="124"/>
      <c r="N1177" s="124"/>
      <c r="O1177" s="124"/>
      <c r="P1177" s="124"/>
      <c r="Q1177" s="124"/>
      <c r="R1177" s="124"/>
      <c r="S1177" s="124"/>
      <c r="T1177" s="124"/>
      <c r="U1177" s="124"/>
      <c r="V1177" s="124"/>
      <c r="W1177" s="124"/>
      <c r="X1177" s="124"/>
      <c r="Y1177" s="124"/>
    </row>
    <row r="1178">
      <c r="A1178" s="125"/>
      <c r="B1178" s="126"/>
      <c r="C1178" s="127"/>
      <c r="D1178" s="100" t="str">
        <f>IFERROR(__xludf.DUMMYFUNCTION("importrange(C1178,Sheet3!D$1)"),"#N/A")</f>
        <v>#N/A</v>
      </c>
      <c r="E1178" s="124"/>
      <c r="F1178" s="124"/>
      <c r="G1178" s="124"/>
      <c r="H1178" s="124"/>
      <c r="I1178" s="124"/>
      <c r="J1178" s="124"/>
      <c r="K1178" s="124"/>
      <c r="L1178" s="124"/>
      <c r="M1178" s="124"/>
      <c r="N1178" s="124"/>
      <c r="O1178" s="124"/>
      <c r="P1178" s="124"/>
      <c r="Q1178" s="124"/>
      <c r="R1178" s="124"/>
      <c r="S1178" s="124"/>
      <c r="T1178" s="124"/>
      <c r="U1178" s="124"/>
      <c r="V1178" s="124"/>
      <c r="W1178" s="124"/>
      <c r="X1178" s="124"/>
      <c r="Y1178" s="124"/>
    </row>
    <row r="1179">
      <c r="A1179" s="125"/>
      <c r="B1179" s="126"/>
      <c r="C1179" s="127"/>
      <c r="D1179" s="100" t="str">
        <f>IFERROR(__xludf.DUMMYFUNCTION("importrange(C1179,Sheet3!D$1)"),"#N/A")</f>
        <v>#N/A</v>
      </c>
      <c r="E1179" s="124"/>
      <c r="F1179" s="124"/>
      <c r="G1179" s="124"/>
      <c r="H1179" s="124"/>
      <c r="I1179" s="124"/>
      <c r="J1179" s="124"/>
      <c r="K1179" s="124"/>
      <c r="L1179" s="124"/>
      <c r="M1179" s="124"/>
      <c r="N1179" s="124"/>
      <c r="O1179" s="124"/>
      <c r="P1179" s="124"/>
      <c r="Q1179" s="124"/>
      <c r="R1179" s="124"/>
      <c r="S1179" s="124"/>
      <c r="T1179" s="124"/>
      <c r="U1179" s="124"/>
      <c r="V1179" s="124"/>
      <c r="W1179" s="124"/>
      <c r="X1179" s="124"/>
      <c r="Y1179" s="124"/>
    </row>
    <row r="1180">
      <c r="A1180" s="125"/>
      <c r="B1180" s="126"/>
      <c r="C1180" s="127"/>
      <c r="D1180" s="100" t="str">
        <f>IFERROR(__xludf.DUMMYFUNCTION("importrange(C1180,Sheet3!D$1)"),"#N/A")</f>
        <v>#N/A</v>
      </c>
      <c r="E1180" s="124"/>
      <c r="F1180" s="124"/>
      <c r="G1180" s="124"/>
      <c r="H1180" s="124"/>
      <c r="I1180" s="124"/>
      <c r="J1180" s="124"/>
      <c r="K1180" s="124"/>
      <c r="L1180" s="124"/>
      <c r="M1180" s="124"/>
      <c r="N1180" s="124"/>
      <c r="O1180" s="124"/>
      <c r="P1180" s="124"/>
      <c r="Q1180" s="124"/>
      <c r="R1180" s="124"/>
      <c r="S1180" s="124"/>
      <c r="T1180" s="124"/>
      <c r="U1180" s="124"/>
      <c r="V1180" s="124"/>
      <c r="W1180" s="124"/>
      <c r="X1180" s="124"/>
      <c r="Y1180" s="124"/>
    </row>
    <row r="1181">
      <c r="A1181" s="125"/>
      <c r="B1181" s="126"/>
      <c r="C1181" s="127"/>
      <c r="D1181" s="100" t="str">
        <f>IFERROR(__xludf.DUMMYFUNCTION("importrange(C1181,Sheet3!D$1)"),"#N/A")</f>
        <v>#N/A</v>
      </c>
      <c r="E1181" s="124"/>
      <c r="F1181" s="124"/>
      <c r="G1181" s="124"/>
      <c r="H1181" s="124"/>
      <c r="I1181" s="124"/>
      <c r="J1181" s="124"/>
      <c r="K1181" s="124"/>
      <c r="L1181" s="124"/>
      <c r="M1181" s="124"/>
      <c r="N1181" s="124"/>
      <c r="O1181" s="124"/>
      <c r="P1181" s="124"/>
      <c r="Q1181" s="124"/>
      <c r="R1181" s="124"/>
      <c r="S1181" s="124"/>
      <c r="T1181" s="124"/>
      <c r="U1181" s="124"/>
      <c r="V1181" s="124"/>
      <c r="W1181" s="124"/>
      <c r="X1181" s="124"/>
      <c r="Y1181" s="124"/>
    </row>
    <row r="1182">
      <c r="A1182" s="125"/>
      <c r="B1182" s="126"/>
      <c r="C1182" s="127"/>
      <c r="D1182" s="124"/>
      <c r="E1182" s="124"/>
      <c r="F1182" s="124"/>
      <c r="G1182" s="124"/>
      <c r="H1182" s="124"/>
      <c r="I1182" s="124"/>
      <c r="J1182" s="124"/>
      <c r="K1182" s="124"/>
      <c r="L1182" s="124"/>
      <c r="M1182" s="124"/>
      <c r="N1182" s="124"/>
      <c r="O1182" s="124"/>
      <c r="P1182" s="124"/>
      <c r="Q1182" s="124"/>
      <c r="R1182" s="124"/>
      <c r="S1182" s="124"/>
      <c r="T1182" s="124"/>
      <c r="U1182" s="124"/>
      <c r="V1182" s="124"/>
      <c r="W1182" s="124"/>
      <c r="X1182" s="124"/>
      <c r="Y1182" s="124"/>
    </row>
    <row r="1183">
      <c r="A1183" s="125"/>
      <c r="B1183" s="126"/>
      <c r="C1183" s="127"/>
      <c r="D1183" s="124"/>
      <c r="E1183" s="124"/>
      <c r="F1183" s="124"/>
      <c r="G1183" s="124"/>
      <c r="H1183" s="124"/>
      <c r="I1183" s="124"/>
      <c r="J1183" s="124"/>
      <c r="K1183" s="124"/>
      <c r="L1183" s="124"/>
      <c r="M1183" s="124"/>
      <c r="N1183" s="124"/>
      <c r="O1183" s="124"/>
      <c r="P1183" s="124"/>
      <c r="Q1183" s="124"/>
      <c r="R1183" s="124"/>
      <c r="S1183" s="124"/>
      <c r="T1183" s="124"/>
      <c r="U1183" s="124"/>
      <c r="V1183" s="124"/>
      <c r="W1183" s="124"/>
      <c r="X1183" s="124"/>
      <c r="Y1183" s="124"/>
    </row>
    <row r="1184">
      <c r="A1184" s="125"/>
      <c r="B1184" s="126"/>
      <c r="C1184" s="127"/>
      <c r="D1184" s="124"/>
      <c r="E1184" s="124"/>
      <c r="F1184" s="124"/>
      <c r="G1184" s="124"/>
      <c r="H1184" s="124"/>
      <c r="I1184" s="124"/>
      <c r="J1184" s="124"/>
      <c r="K1184" s="124"/>
      <c r="L1184" s="124"/>
      <c r="M1184" s="124"/>
      <c r="N1184" s="124"/>
      <c r="O1184" s="124"/>
      <c r="P1184" s="124"/>
      <c r="Q1184" s="124"/>
      <c r="R1184" s="124"/>
      <c r="S1184" s="124"/>
      <c r="T1184" s="124"/>
      <c r="U1184" s="124"/>
      <c r="V1184" s="124"/>
      <c r="W1184" s="124"/>
      <c r="X1184" s="124"/>
      <c r="Y1184" s="124"/>
    </row>
    <row r="1185">
      <c r="A1185" s="125"/>
      <c r="B1185" s="126"/>
      <c r="C1185" s="127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24"/>
      <c r="N1185" s="124"/>
      <c r="O1185" s="124"/>
      <c r="P1185" s="124"/>
      <c r="Q1185" s="124"/>
      <c r="R1185" s="124"/>
      <c r="S1185" s="124"/>
      <c r="T1185" s="124"/>
      <c r="U1185" s="124"/>
      <c r="V1185" s="124"/>
      <c r="W1185" s="124"/>
      <c r="X1185" s="124"/>
      <c r="Y1185" s="124"/>
    </row>
    <row r="1186">
      <c r="A1186" s="125"/>
      <c r="B1186" s="126"/>
      <c r="C1186" s="127"/>
      <c r="D1186" s="124"/>
      <c r="E1186" s="124"/>
      <c r="F1186" s="124"/>
      <c r="G1186" s="124"/>
      <c r="H1186" s="124"/>
      <c r="I1186" s="124"/>
      <c r="J1186" s="124"/>
      <c r="K1186" s="124"/>
      <c r="L1186" s="124"/>
      <c r="M1186" s="124"/>
      <c r="N1186" s="124"/>
      <c r="O1186" s="124"/>
      <c r="P1186" s="124"/>
      <c r="Q1186" s="124"/>
      <c r="R1186" s="124"/>
      <c r="S1186" s="124"/>
      <c r="T1186" s="124"/>
      <c r="U1186" s="124"/>
      <c r="V1186" s="124"/>
      <c r="W1186" s="124"/>
      <c r="X1186" s="124"/>
      <c r="Y1186" s="124"/>
    </row>
    <row r="1187">
      <c r="A1187" s="125"/>
      <c r="B1187" s="126"/>
      <c r="C1187" s="127"/>
      <c r="D1187" s="124"/>
      <c r="E1187" s="124"/>
      <c r="F1187" s="124"/>
      <c r="G1187" s="124"/>
      <c r="H1187" s="124"/>
      <c r="I1187" s="124"/>
      <c r="J1187" s="124"/>
      <c r="K1187" s="124"/>
      <c r="L1187" s="124"/>
      <c r="M1187" s="124"/>
      <c r="N1187" s="124"/>
      <c r="O1187" s="124"/>
      <c r="P1187" s="124"/>
      <c r="Q1187" s="124"/>
      <c r="R1187" s="124"/>
      <c r="S1187" s="124"/>
      <c r="T1187" s="124"/>
      <c r="U1187" s="124"/>
      <c r="V1187" s="124"/>
      <c r="W1187" s="124"/>
      <c r="X1187" s="124"/>
      <c r="Y1187" s="124"/>
    </row>
    <row r="1188">
      <c r="A1188" s="125"/>
      <c r="B1188" s="126"/>
      <c r="C1188" s="127"/>
      <c r="D1188" s="124"/>
      <c r="E1188" s="124"/>
      <c r="F1188" s="124"/>
      <c r="G1188" s="124"/>
      <c r="H1188" s="124"/>
      <c r="I1188" s="124"/>
      <c r="J1188" s="124"/>
      <c r="K1188" s="124"/>
      <c r="L1188" s="124"/>
      <c r="M1188" s="124"/>
      <c r="N1188" s="124"/>
      <c r="O1188" s="124"/>
      <c r="P1188" s="124"/>
      <c r="Q1188" s="124"/>
      <c r="R1188" s="124"/>
      <c r="S1188" s="124"/>
      <c r="T1188" s="124"/>
      <c r="U1188" s="124"/>
      <c r="V1188" s="124"/>
      <c r="W1188" s="124"/>
      <c r="X1188" s="124"/>
      <c r="Y1188" s="124"/>
    </row>
    <row r="1189">
      <c r="A1189" s="125"/>
      <c r="B1189" s="126"/>
      <c r="C1189" s="127"/>
      <c r="D1189" s="124"/>
      <c r="E1189" s="124"/>
      <c r="F1189" s="124"/>
      <c r="G1189" s="124"/>
      <c r="H1189" s="124"/>
      <c r="I1189" s="124"/>
      <c r="J1189" s="124"/>
      <c r="K1189" s="124"/>
      <c r="L1189" s="124"/>
      <c r="M1189" s="124"/>
      <c r="N1189" s="124"/>
      <c r="O1189" s="124"/>
      <c r="P1189" s="124"/>
      <c r="Q1189" s="124"/>
      <c r="R1189" s="124"/>
      <c r="S1189" s="124"/>
      <c r="T1189" s="124"/>
      <c r="U1189" s="124"/>
      <c r="V1189" s="124"/>
      <c r="W1189" s="124"/>
      <c r="X1189" s="124"/>
      <c r="Y1189" s="124"/>
    </row>
    <row r="1190">
      <c r="A1190" s="125"/>
      <c r="B1190" s="126"/>
      <c r="C1190" s="127"/>
      <c r="D1190" s="124"/>
      <c r="E1190" s="124"/>
      <c r="F1190" s="124"/>
      <c r="G1190" s="124"/>
      <c r="H1190" s="124"/>
      <c r="I1190" s="124"/>
      <c r="J1190" s="124"/>
      <c r="K1190" s="124"/>
      <c r="L1190" s="124"/>
      <c r="M1190" s="124"/>
      <c r="N1190" s="124"/>
      <c r="O1190" s="124"/>
      <c r="P1190" s="124"/>
      <c r="Q1190" s="124"/>
      <c r="R1190" s="124"/>
      <c r="S1190" s="124"/>
      <c r="T1190" s="124"/>
      <c r="U1190" s="124"/>
      <c r="V1190" s="124"/>
      <c r="W1190" s="124"/>
      <c r="X1190" s="124"/>
      <c r="Y1190" s="124"/>
    </row>
    <row r="1191">
      <c r="A1191" s="125"/>
      <c r="B1191" s="126"/>
      <c r="C1191" s="127"/>
      <c r="D1191" s="124"/>
      <c r="E1191" s="124"/>
      <c r="F1191" s="124"/>
      <c r="G1191" s="124"/>
      <c r="H1191" s="124"/>
      <c r="I1191" s="124"/>
      <c r="J1191" s="124"/>
      <c r="K1191" s="124"/>
      <c r="L1191" s="124"/>
      <c r="M1191" s="124"/>
      <c r="N1191" s="124"/>
      <c r="O1191" s="124"/>
      <c r="P1191" s="124"/>
      <c r="Q1191" s="124"/>
      <c r="R1191" s="124"/>
      <c r="S1191" s="124"/>
      <c r="T1191" s="124"/>
      <c r="U1191" s="124"/>
      <c r="V1191" s="124"/>
      <c r="W1191" s="124"/>
      <c r="X1191" s="124"/>
      <c r="Y1191" s="124"/>
    </row>
    <row r="1192">
      <c r="A1192" s="125"/>
      <c r="B1192" s="126"/>
      <c r="C1192" s="127"/>
      <c r="D1192" s="124"/>
      <c r="E1192" s="124"/>
      <c r="F1192" s="124"/>
      <c r="G1192" s="124"/>
      <c r="H1192" s="124"/>
      <c r="I1192" s="124"/>
      <c r="J1192" s="124"/>
      <c r="K1192" s="124"/>
      <c r="L1192" s="124"/>
      <c r="M1192" s="124"/>
      <c r="N1192" s="124"/>
      <c r="O1192" s="124"/>
      <c r="P1192" s="124"/>
      <c r="Q1192" s="124"/>
      <c r="R1192" s="124"/>
      <c r="S1192" s="124"/>
      <c r="T1192" s="124"/>
      <c r="U1192" s="124"/>
      <c r="V1192" s="124"/>
      <c r="W1192" s="124"/>
      <c r="X1192" s="124"/>
      <c r="Y1192" s="124"/>
    </row>
    <row r="1193">
      <c r="A1193" s="125"/>
      <c r="B1193" s="126"/>
      <c r="C1193" s="127"/>
      <c r="D1193" s="124"/>
      <c r="E1193" s="124"/>
      <c r="F1193" s="124"/>
      <c r="G1193" s="124"/>
      <c r="H1193" s="124"/>
      <c r="I1193" s="124"/>
      <c r="J1193" s="124"/>
      <c r="K1193" s="124"/>
      <c r="L1193" s="124"/>
      <c r="M1193" s="124"/>
      <c r="N1193" s="124"/>
      <c r="O1193" s="124"/>
      <c r="P1193" s="124"/>
      <c r="Q1193" s="124"/>
      <c r="R1193" s="124"/>
      <c r="S1193" s="124"/>
      <c r="T1193" s="124"/>
      <c r="U1193" s="124"/>
      <c r="V1193" s="124"/>
      <c r="W1193" s="124"/>
      <c r="X1193" s="124"/>
      <c r="Y1193" s="124"/>
    </row>
    <row r="1194">
      <c r="A1194" s="125"/>
      <c r="B1194" s="126"/>
      <c r="C1194" s="127"/>
      <c r="D1194" s="124"/>
      <c r="E1194" s="124"/>
      <c r="F1194" s="124"/>
      <c r="G1194" s="124"/>
      <c r="H1194" s="124"/>
      <c r="I1194" s="124"/>
      <c r="J1194" s="124"/>
      <c r="K1194" s="124"/>
      <c r="L1194" s="124"/>
      <c r="M1194" s="124"/>
      <c r="N1194" s="124"/>
      <c r="O1194" s="124"/>
      <c r="P1194" s="124"/>
      <c r="Q1194" s="124"/>
      <c r="R1194" s="124"/>
      <c r="S1194" s="124"/>
      <c r="T1194" s="124"/>
      <c r="U1194" s="124"/>
      <c r="V1194" s="124"/>
      <c r="W1194" s="124"/>
      <c r="X1194" s="124"/>
      <c r="Y1194" s="124"/>
    </row>
    <row r="1195">
      <c r="A1195" s="125"/>
      <c r="B1195" s="126"/>
      <c r="C1195" s="127"/>
      <c r="D1195" s="124"/>
      <c r="E1195" s="124"/>
      <c r="F1195" s="124"/>
      <c r="G1195" s="124"/>
      <c r="H1195" s="124"/>
      <c r="I1195" s="124"/>
      <c r="J1195" s="124"/>
      <c r="K1195" s="124"/>
      <c r="L1195" s="124"/>
      <c r="M1195" s="124"/>
      <c r="N1195" s="124"/>
      <c r="O1195" s="124"/>
      <c r="P1195" s="124"/>
      <c r="Q1195" s="124"/>
      <c r="R1195" s="124"/>
      <c r="S1195" s="124"/>
      <c r="T1195" s="124"/>
      <c r="U1195" s="124"/>
      <c r="V1195" s="124"/>
      <c r="W1195" s="124"/>
      <c r="X1195" s="124"/>
      <c r="Y1195" s="124"/>
    </row>
    <row r="1196">
      <c r="A1196" s="125"/>
      <c r="B1196" s="126"/>
      <c r="C1196" s="127"/>
      <c r="D1196" s="124"/>
      <c r="E1196" s="124"/>
      <c r="F1196" s="124"/>
      <c r="G1196" s="124"/>
      <c r="H1196" s="124"/>
      <c r="I1196" s="124"/>
      <c r="J1196" s="124"/>
      <c r="K1196" s="124"/>
      <c r="L1196" s="124"/>
      <c r="M1196" s="124"/>
      <c r="N1196" s="124"/>
      <c r="O1196" s="124"/>
      <c r="P1196" s="124"/>
      <c r="Q1196" s="124"/>
      <c r="R1196" s="124"/>
      <c r="S1196" s="124"/>
      <c r="T1196" s="124"/>
      <c r="U1196" s="124"/>
      <c r="V1196" s="124"/>
      <c r="W1196" s="124"/>
      <c r="X1196" s="124"/>
      <c r="Y1196" s="124"/>
    </row>
    <row r="1197">
      <c r="A1197" s="125"/>
      <c r="B1197" s="126"/>
      <c r="C1197" s="127"/>
      <c r="D1197" s="124"/>
      <c r="E1197" s="124"/>
      <c r="F1197" s="124"/>
      <c r="G1197" s="124"/>
      <c r="H1197" s="124"/>
      <c r="I1197" s="124"/>
      <c r="J1197" s="124"/>
      <c r="K1197" s="124"/>
      <c r="L1197" s="124"/>
      <c r="M1197" s="124"/>
      <c r="N1197" s="124"/>
      <c r="O1197" s="124"/>
      <c r="P1197" s="124"/>
      <c r="Q1197" s="124"/>
      <c r="R1197" s="124"/>
      <c r="S1197" s="124"/>
      <c r="T1197" s="124"/>
      <c r="U1197" s="124"/>
      <c r="V1197" s="124"/>
      <c r="W1197" s="124"/>
      <c r="X1197" s="124"/>
      <c r="Y1197" s="124"/>
    </row>
    <row r="1198">
      <c r="A1198" s="125"/>
      <c r="B1198" s="126"/>
      <c r="C1198" s="127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24"/>
      <c r="N1198" s="124"/>
      <c r="O1198" s="124"/>
      <c r="P1198" s="124"/>
      <c r="Q1198" s="124"/>
      <c r="R1198" s="124"/>
      <c r="S1198" s="124"/>
      <c r="T1198" s="124"/>
      <c r="U1198" s="124"/>
      <c r="V1198" s="124"/>
      <c r="W1198" s="124"/>
      <c r="X1198" s="124"/>
      <c r="Y1198" s="124"/>
    </row>
    <row r="1199">
      <c r="A1199" s="125"/>
      <c r="B1199" s="126"/>
      <c r="C1199" s="127"/>
      <c r="D1199" s="124"/>
      <c r="E1199" s="124"/>
      <c r="F1199" s="124"/>
      <c r="G1199" s="124"/>
      <c r="H1199" s="124"/>
      <c r="I1199" s="124"/>
      <c r="J1199" s="124"/>
      <c r="K1199" s="124"/>
      <c r="L1199" s="124"/>
      <c r="M1199" s="124"/>
      <c r="N1199" s="124"/>
      <c r="O1199" s="124"/>
      <c r="P1199" s="124"/>
      <c r="Q1199" s="124"/>
      <c r="R1199" s="124"/>
      <c r="S1199" s="124"/>
      <c r="T1199" s="124"/>
      <c r="U1199" s="124"/>
      <c r="V1199" s="124"/>
      <c r="W1199" s="124"/>
      <c r="X1199" s="124"/>
      <c r="Y1199" s="124"/>
    </row>
    <row r="1200">
      <c r="A1200" s="125"/>
      <c r="B1200" s="126"/>
      <c r="C1200" s="127"/>
      <c r="D1200" s="124"/>
      <c r="E1200" s="124"/>
      <c r="F1200" s="124"/>
      <c r="G1200" s="124"/>
      <c r="H1200" s="124"/>
      <c r="I1200" s="124"/>
      <c r="J1200" s="124"/>
      <c r="K1200" s="124"/>
      <c r="L1200" s="124"/>
      <c r="M1200" s="124"/>
      <c r="N1200" s="124"/>
      <c r="O1200" s="124"/>
      <c r="P1200" s="124"/>
      <c r="Q1200" s="124"/>
      <c r="R1200" s="124"/>
      <c r="S1200" s="124"/>
      <c r="T1200" s="124"/>
      <c r="U1200" s="124"/>
      <c r="V1200" s="124"/>
      <c r="W1200" s="124"/>
      <c r="X1200" s="124"/>
      <c r="Y1200" s="124"/>
    </row>
    <row r="1201">
      <c r="A1201" s="125"/>
      <c r="B1201" s="126"/>
      <c r="C1201" s="127"/>
      <c r="D1201" s="124"/>
      <c r="E1201" s="124"/>
      <c r="F1201" s="124"/>
      <c r="G1201" s="124"/>
      <c r="H1201" s="124"/>
      <c r="I1201" s="124"/>
      <c r="J1201" s="124"/>
      <c r="K1201" s="124"/>
      <c r="L1201" s="124"/>
      <c r="M1201" s="124"/>
      <c r="N1201" s="124"/>
      <c r="O1201" s="124"/>
      <c r="P1201" s="124"/>
      <c r="Q1201" s="124"/>
      <c r="R1201" s="124"/>
      <c r="S1201" s="124"/>
      <c r="T1201" s="124"/>
      <c r="U1201" s="124"/>
      <c r="V1201" s="124"/>
      <c r="W1201" s="124"/>
      <c r="X1201" s="124"/>
      <c r="Y1201" s="124"/>
    </row>
    <row r="1202">
      <c r="A1202" s="125"/>
      <c r="B1202" s="126"/>
      <c r="C1202" s="127"/>
      <c r="D1202" s="124"/>
      <c r="E1202" s="124"/>
      <c r="F1202" s="124"/>
      <c r="G1202" s="124"/>
      <c r="H1202" s="124"/>
      <c r="I1202" s="124"/>
      <c r="J1202" s="124"/>
      <c r="K1202" s="124"/>
      <c r="L1202" s="124"/>
      <c r="M1202" s="124"/>
      <c r="N1202" s="124"/>
      <c r="O1202" s="124"/>
      <c r="P1202" s="124"/>
      <c r="Q1202" s="124"/>
      <c r="R1202" s="124"/>
      <c r="S1202" s="124"/>
      <c r="T1202" s="124"/>
      <c r="U1202" s="124"/>
      <c r="V1202" s="124"/>
      <c r="W1202" s="124"/>
      <c r="X1202" s="124"/>
      <c r="Y1202" s="124"/>
    </row>
    <row r="1203">
      <c r="A1203" s="125"/>
      <c r="B1203" s="126"/>
      <c r="C1203" s="127"/>
      <c r="D1203" s="124"/>
      <c r="E1203" s="124"/>
      <c r="F1203" s="124"/>
      <c r="G1203" s="124"/>
      <c r="H1203" s="124"/>
      <c r="I1203" s="124"/>
      <c r="J1203" s="124"/>
      <c r="K1203" s="124"/>
      <c r="L1203" s="124"/>
      <c r="M1203" s="124"/>
      <c r="N1203" s="124"/>
      <c r="O1203" s="124"/>
      <c r="P1203" s="124"/>
      <c r="Q1203" s="124"/>
      <c r="R1203" s="124"/>
      <c r="S1203" s="124"/>
      <c r="T1203" s="124"/>
      <c r="U1203" s="124"/>
      <c r="V1203" s="124"/>
      <c r="W1203" s="124"/>
      <c r="X1203" s="124"/>
      <c r="Y1203" s="124"/>
    </row>
    <row r="1204">
      <c r="A1204" s="125"/>
      <c r="B1204" s="126"/>
      <c r="C1204" s="127"/>
      <c r="D1204" s="124"/>
      <c r="E1204" s="124"/>
      <c r="F1204" s="124"/>
      <c r="G1204" s="124"/>
      <c r="H1204" s="124"/>
      <c r="I1204" s="124"/>
      <c r="J1204" s="124"/>
      <c r="K1204" s="124"/>
      <c r="L1204" s="124"/>
      <c r="M1204" s="124"/>
      <c r="N1204" s="124"/>
      <c r="O1204" s="124"/>
      <c r="P1204" s="124"/>
      <c r="Q1204" s="124"/>
      <c r="R1204" s="124"/>
      <c r="S1204" s="124"/>
      <c r="T1204" s="124"/>
      <c r="U1204" s="124"/>
      <c r="V1204" s="124"/>
      <c r="W1204" s="124"/>
      <c r="X1204" s="124"/>
      <c r="Y1204" s="124"/>
    </row>
    <row r="1205">
      <c r="A1205" s="125"/>
      <c r="B1205" s="126"/>
      <c r="C1205" s="127"/>
      <c r="D1205" s="124"/>
      <c r="E1205" s="124"/>
      <c r="F1205" s="124"/>
      <c r="G1205" s="124"/>
      <c r="H1205" s="124"/>
      <c r="I1205" s="124"/>
      <c r="J1205" s="124"/>
      <c r="K1205" s="124"/>
      <c r="L1205" s="124"/>
      <c r="M1205" s="124"/>
      <c r="N1205" s="124"/>
      <c r="O1205" s="124"/>
      <c r="P1205" s="124"/>
      <c r="Q1205" s="124"/>
      <c r="R1205" s="124"/>
      <c r="S1205" s="124"/>
      <c r="T1205" s="124"/>
      <c r="U1205" s="124"/>
      <c r="V1205" s="124"/>
      <c r="W1205" s="124"/>
      <c r="X1205" s="124"/>
      <c r="Y1205" s="124"/>
    </row>
    <row r="1206">
      <c r="A1206" s="125"/>
      <c r="B1206" s="126"/>
      <c r="C1206" s="127"/>
      <c r="D1206" s="124"/>
      <c r="E1206" s="124"/>
      <c r="F1206" s="124"/>
      <c r="G1206" s="124"/>
      <c r="H1206" s="124"/>
      <c r="I1206" s="124"/>
      <c r="J1206" s="124"/>
      <c r="K1206" s="124"/>
      <c r="L1206" s="124"/>
      <c r="M1206" s="124"/>
      <c r="N1206" s="124"/>
      <c r="O1206" s="124"/>
      <c r="P1206" s="124"/>
      <c r="Q1206" s="124"/>
      <c r="R1206" s="124"/>
      <c r="S1206" s="124"/>
      <c r="T1206" s="124"/>
      <c r="U1206" s="124"/>
      <c r="V1206" s="124"/>
      <c r="W1206" s="124"/>
      <c r="X1206" s="124"/>
      <c r="Y1206" s="124"/>
    </row>
    <row r="1207">
      <c r="A1207" s="125"/>
      <c r="B1207" s="126"/>
      <c r="C1207" s="127"/>
      <c r="D1207" s="124"/>
      <c r="E1207" s="124"/>
      <c r="F1207" s="124"/>
      <c r="G1207" s="124"/>
      <c r="H1207" s="124"/>
      <c r="I1207" s="124"/>
      <c r="J1207" s="124"/>
      <c r="K1207" s="124"/>
      <c r="L1207" s="124"/>
      <c r="M1207" s="124"/>
      <c r="N1207" s="124"/>
      <c r="O1207" s="124"/>
      <c r="P1207" s="124"/>
      <c r="Q1207" s="124"/>
      <c r="R1207" s="124"/>
      <c r="S1207" s="124"/>
      <c r="T1207" s="124"/>
      <c r="U1207" s="124"/>
      <c r="V1207" s="124"/>
      <c r="W1207" s="124"/>
      <c r="X1207" s="124"/>
      <c r="Y1207" s="124"/>
    </row>
    <row r="1208">
      <c r="A1208" s="125"/>
      <c r="B1208" s="126"/>
      <c r="C1208" s="127"/>
      <c r="D1208" s="124"/>
      <c r="E1208" s="124"/>
      <c r="F1208" s="124"/>
      <c r="G1208" s="124"/>
      <c r="H1208" s="124"/>
      <c r="I1208" s="124"/>
      <c r="J1208" s="124"/>
      <c r="K1208" s="124"/>
      <c r="L1208" s="124"/>
      <c r="M1208" s="124"/>
      <c r="N1208" s="124"/>
      <c r="O1208" s="124"/>
      <c r="P1208" s="124"/>
      <c r="Q1208" s="124"/>
      <c r="R1208" s="124"/>
      <c r="S1208" s="124"/>
      <c r="T1208" s="124"/>
      <c r="U1208" s="124"/>
      <c r="V1208" s="124"/>
      <c r="W1208" s="124"/>
      <c r="X1208" s="124"/>
      <c r="Y1208" s="124"/>
    </row>
    <row r="1209">
      <c r="A1209" s="125"/>
      <c r="B1209" s="126"/>
      <c r="C1209" s="127"/>
      <c r="D1209" s="124"/>
      <c r="E1209" s="124"/>
      <c r="F1209" s="124"/>
      <c r="G1209" s="124"/>
      <c r="H1209" s="124"/>
      <c r="I1209" s="124"/>
      <c r="J1209" s="124"/>
      <c r="K1209" s="124"/>
      <c r="L1209" s="124"/>
      <c r="M1209" s="124"/>
      <c r="N1209" s="124"/>
      <c r="O1209" s="124"/>
      <c r="P1209" s="124"/>
      <c r="Q1209" s="124"/>
      <c r="R1209" s="124"/>
      <c r="S1209" s="124"/>
      <c r="T1209" s="124"/>
      <c r="U1209" s="124"/>
      <c r="V1209" s="124"/>
      <c r="W1209" s="124"/>
      <c r="X1209" s="124"/>
      <c r="Y1209" s="124"/>
    </row>
    <row r="1210">
      <c r="A1210" s="125"/>
      <c r="B1210" s="126"/>
      <c r="C1210" s="127"/>
      <c r="D1210" s="124"/>
      <c r="E1210" s="124"/>
      <c r="F1210" s="124"/>
      <c r="G1210" s="124"/>
      <c r="H1210" s="124"/>
      <c r="I1210" s="124"/>
      <c r="J1210" s="124"/>
      <c r="K1210" s="124"/>
      <c r="L1210" s="124"/>
      <c r="M1210" s="124"/>
      <c r="N1210" s="124"/>
      <c r="O1210" s="124"/>
      <c r="P1210" s="124"/>
      <c r="Q1210" s="124"/>
      <c r="R1210" s="124"/>
      <c r="S1210" s="124"/>
      <c r="T1210" s="124"/>
      <c r="U1210" s="124"/>
      <c r="V1210" s="124"/>
      <c r="W1210" s="124"/>
      <c r="X1210" s="124"/>
      <c r="Y1210" s="124"/>
    </row>
    <row r="1211">
      <c r="A1211" s="125"/>
      <c r="B1211" s="126"/>
      <c r="C1211" s="127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24"/>
      <c r="N1211" s="124"/>
      <c r="O1211" s="124"/>
      <c r="P1211" s="124"/>
      <c r="Q1211" s="124"/>
      <c r="R1211" s="124"/>
      <c r="S1211" s="124"/>
      <c r="T1211" s="124"/>
      <c r="U1211" s="124"/>
      <c r="V1211" s="124"/>
      <c r="W1211" s="124"/>
      <c r="X1211" s="124"/>
      <c r="Y1211" s="124"/>
    </row>
    <row r="1212">
      <c r="A1212" s="125"/>
      <c r="B1212" s="126"/>
      <c r="C1212" s="127"/>
      <c r="D1212" s="124"/>
      <c r="E1212" s="124"/>
      <c r="F1212" s="124"/>
      <c r="G1212" s="124"/>
      <c r="H1212" s="124"/>
      <c r="I1212" s="124"/>
      <c r="J1212" s="124"/>
      <c r="K1212" s="124"/>
      <c r="L1212" s="124"/>
      <c r="M1212" s="124"/>
      <c r="N1212" s="124"/>
      <c r="O1212" s="124"/>
      <c r="P1212" s="124"/>
      <c r="Q1212" s="124"/>
      <c r="R1212" s="124"/>
      <c r="S1212" s="124"/>
      <c r="T1212" s="124"/>
      <c r="U1212" s="124"/>
      <c r="V1212" s="124"/>
      <c r="W1212" s="124"/>
      <c r="X1212" s="124"/>
      <c r="Y1212" s="124"/>
    </row>
    <row r="1213">
      <c r="A1213" s="125"/>
      <c r="B1213" s="126"/>
      <c r="C1213" s="127"/>
      <c r="D1213" s="124"/>
      <c r="E1213" s="124"/>
      <c r="F1213" s="124"/>
      <c r="G1213" s="124"/>
      <c r="H1213" s="124"/>
      <c r="I1213" s="124"/>
      <c r="J1213" s="124"/>
      <c r="K1213" s="124"/>
      <c r="L1213" s="124"/>
      <c r="M1213" s="124"/>
      <c r="N1213" s="124"/>
      <c r="O1213" s="124"/>
      <c r="P1213" s="124"/>
      <c r="Q1213" s="124"/>
      <c r="R1213" s="124"/>
      <c r="S1213" s="124"/>
      <c r="T1213" s="124"/>
      <c r="U1213" s="124"/>
      <c r="V1213" s="124"/>
      <c r="W1213" s="124"/>
      <c r="X1213" s="124"/>
      <c r="Y1213" s="124"/>
    </row>
    <row r="1214">
      <c r="A1214" s="125"/>
      <c r="B1214" s="126"/>
      <c r="C1214" s="127"/>
      <c r="D1214" s="124"/>
      <c r="E1214" s="124"/>
      <c r="F1214" s="124"/>
      <c r="G1214" s="124"/>
      <c r="H1214" s="124"/>
      <c r="I1214" s="124"/>
      <c r="J1214" s="124"/>
      <c r="K1214" s="124"/>
      <c r="L1214" s="124"/>
      <c r="M1214" s="124"/>
      <c r="N1214" s="124"/>
      <c r="O1214" s="124"/>
      <c r="P1214" s="124"/>
      <c r="Q1214" s="124"/>
      <c r="R1214" s="124"/>
      <c r="S1214" s="124"/>
      <c r="T1214" s="124"/>
      <c r="U1214" s="124"/>
      <c r="V1214" s="124"/>
      <c r="W1214" s="124"/>
      <c r="X1214" s="124"/>
      <c r="Y1214" s="124"/>
    </row>
    <row r="1215">
      <c r="A1215" s="125"/>
      <c r="B1215" s="126"/>
      <c r="C1215" s="127"/>
      <c r="D1215" s="124"/>
      <c r="E1215" s="124"/>
      <c r="F1215" s="124"/>
      <c r="G1215" s="124"/>
      <c r="H1215" s="124"/>
      <c r="I1215" s="124"/>
      <c r="J1215" s="124"/>
      <c r="K1215" s="124"/>
      <c r="L1215" s="124"/>
      <c r="M1215" s="124"/>
      <c r="N1215" s="124"/>
      <c r="O1215" s="124"/>
      <c r="P1215" s="124"/>
      <c r="Q1215" s="124"/>
      <c r="R1215" s="124"/>
      <c r="S1215" s="124"/>
      <c r="T1215" s="124"/>
      <c r="U1215" s="124"/>
      <c r="V1215" s="124"/>
      <c r="W1215" s="124"/>
      <c r="X1215" s="124"/>
      <c r="Y1215" s="124"/>
    </row>
    <row r="1216">
      <c r="A1216" s="125"/>
      <c r="B1216" s="126"/>
      <c r="C1216" s="127"/>
      <c r="D1216" s="124"/>
      <c r="E1216" s="124"/>
      <c r="F1216" s="124"/>
      <c r="G1216" s="124"/>
      <c r="H1216" s="124"/>
      <c r="I1216" s="124"/>
      <c r="J1216" s="124"/>
      <c r="K1216" s="124"/>
      <c r="L1216" s="124"/>
      <c r="M1216" s="124"/>
      <c r="N1216" s="124"/>
      <c r="O1216" s="124"/>
      <c r="P1216" s="124"/>
      <c r="Q1216" s="124"/>
      <c r="R1216" s="124"/>
      <c r="S1216" s="124"/>
      <c r="T1216" s="124"/>
      <c r="U1216" s="124"/>
      <c r="V1216" s="124"/>
      <c r="W1216" s="124"/>
      <c r="X1216" s="124"/>
      <c r="Y1216" s="124"/>
    </row>
    <row r="1217">
      <c r="A1217" s="125"/>
      <c r="B1217" s="126"/>
      <c r="C1217" s="127"/>
      <c r="D1217" s="124"/>
      <c r="E1217" s="124"/>
      <c r="F1217" s="124"/>
      <c r="G1217" s="124"/>
      <c r="H1217" s="124"/>
      <c r="I1217" s="124"/>
      <c r="J1217" s="124"/>
      <c r="K1217" s="124"/>
      <c r="L1217" s="124"/>
      <c r="M1217" s="124"/>
      <c r="N1217" s="124"/>
      <c r="O1217" s="124"/>
      <c r="P1217" s="124"/>
      <c r="Q1217" s="124"/>
      <c r="R1217" s="124"/>
      <c r="S1217" s="124"/>
      <c r="T1217" s="124"/>
      <c r="U1217" s="124"/>
      <c r="V1217" s="124"/>
      <c r="W1217" s="124"/>
      <c r="X1217" s="124"/>
      <c r="Y1217" s="124"/>
    </row>
    <row r="1218">
      <c r="A1218" s="125"/>
      <c r="B1218" s="126"/>
      <c r="C1218" s="127"/>
      <c r="D1218" s="124"/>
      <c r="E1218" s="124"/>
      <c r="F1218" s="124"/>
      <c r="G1218" s="124"/>
      <c r="H1218" s="124"/>
      <c r="I1218" s="124"/>
      <c r="J1218" s="124"/>
      <c r="K1218" s="124"/>
      <c r="L1218" s="124"/>
      <c r="M1218" s="124"/>
      <c r="N1218" s="124"/>
      <c r="O1218" s="124"/>
      <c r="P1218" s="124"/>
      <c r="Q1218" s="124"/>
      <c r="R1218" s="124"/>
      <c r="S1218" s="124"/>
      <c r="T1218" s="124"/>
      <c r="U1218" s="124"/>
      <c r="V1218" s="124"/>
      <c r="W1218" s="124"/>
      <c r="X1218" s="124"/>
      <c r="Y1218" s="124"/>
    </row>
    <row r="1219">
      <c r="A1219" s="125"/>
      <c r="B1219" s="126"/>
      <c r="C1219" s="127"/>
      <c r="D1219" s="124"/>
      <c r="E1219" s="124"/>
      <c r="F1219" s="124"/>
      <c r="G1219" s="124"/>
      <c r="H1219" s="124"/>
      <c r="I1219" s="124"/>
      <c r="J1219" s="124"/>
      <c r="K1219" s="124"/>
      <c r="L1219" s="124"/>
      <c r="M1219" s="124"/>
      <c r="N1219" s="124"/>
      <c r="O1219" s="124"/>
      <c r="P1219" s="124"/>
      <c r="Q1219" s="124"/>
      <c r="R1219" s="124"/>
      <c r="S1219" s="124"/>
      <c r="T1219" s="124"/>
      <c r="U1219" s="124"/>
      <c r="V1219" s="124"/>
      <c r="W1219" s="124"/>
      <c r="X1219" s="124"/>
      <c r="Y1219" s="124"/>
    </row>
    <row r="1220">
      <c r="A1220" s="125"/>
      <c r="B1220" s="126"/>
      <c r="C1220" s="127"/>
      <c r="D1220" s="124"/>
      <c r="E1220" s="124"/>
      <c r="F1220" s="124"/>
      <c r="G1220" s="124"/>
      <c r="H1220" s="124"/>
      <c r="I1220" s="124"/>
      <c r="J1220" s="124"/>
      <c r="K1220" s="124"/>
      <c r="L1220" s="124"/>
      <c r="M1220" s="124"/>
      <c r="N1220" s="124"/>
      <c r="O1220" s="124"/>
      <c r="P1220" s="124"/>
      <c r="Q1220" s="124"/>
      <c r="R1220" s="124"/>
      <c r="S1220" s="124"/>
      <c r="T1220" s="124"/>
      <c r="U1220" s="124"/>
      <c r="V1220" s="124"/>
      <c r="W1220" s="124"/>
      <c r="X1220" s="124"/>
      <c r="Y1220" s="124"/>
    </row>
    <row r="1221">
      <c r="A1221" s="125"/>
      <c r="B1221" s="126"/>
      <c r="C1221" s="127"/>
      <c r="D1221" s="124"/>
      <c r="E1221" s="124"/>
      <c r="F1221" s="124"/>
      <c r="G1221" s="124"/>
      <c r="H1221" s="124"/>
      <c r="I1221" s="124"/>
      <c r="J1221" s="124"/>
      <c r="K1221" s="124"/>
      <c r="L1221" s="124"/>
      <c r="M1221" s="124"/>
      <c r="N1221" s="124"/>
      <c r="O1221" s="124"/>
      <c r="P1221" s="124"/>
      <c r="Q1221" s="124"/>
      <c r="R1221" s="124"/>
      <c r="S1221" s="124"/>
      <c r="T1221" s="124"/>
      <c r="U1221" s="124"/>
      <c r="V1221" s="124"/>
      <c r="W1221" s="124"/>
      <c r="X1221" s="124"/>
      <c r="Y1221" s="124"/>
    </row>
    <row r="1222">
      <c r="A1222" s="125"/>
      <c r="B1222" s="126"/>
      <c r="C1222" s="127"/>
      <c r="D1222" s="124"/>
      <c r="E1222" s="124"/>
      <c r="F1222" s="124"/>
      <c r="G1222" s="124"/>
      <c r="H1222" s="124"/>
      <c r="I1222" s="124"/>
      <c r="J1222" s="124"/>
      <c r="K1222" s="124"/>
      <c r="L1222" s="124"/>
      <c r="M1222" s="124"/>
      <c r="N1222" s="124"/>
      <c r="O1222" s="124"/>
      <c r="P1222" s="124"/>
      <c r="Q1222" s="124"/>
      <c r="R1222" s="124"/>
      <c r="S1222" s="124"/>
      <c r="T1222" s="124"/>
      <c r="U1222" s="124"/>
      <c r="V1222" s="124"/>
      <c r="W1222" s="124"/>
      <c r="X1222" s="124"/>
      <c r="Y1222" s="124"/>
    </row>
    <row r="1223">
      <c r="A1223" s="125"/>
      <c r="B1223" s="126"/>
      <c r="C1223" s="127"/>
      <c r="D1223" s="124"/>
      <c r="E1223" s="124"/>
      <c r="F1223" s="124"/>
      <c r="G1223" s="124"/>
      <c r="H1223" s="124"/>
      <c r="I1223" s="124"/>
      <c r="J1223" s="124"/>
      <c r="K1223" s="124"/>
      <c r="L1223" s="124"/>
      <c r="M1223" s="124"/>
      <c r="N1223" s="124"/>
      <c r="O1223" s="124"/>
      <c r="P1223" s="124"/>
      <c r="Q1223" s="124"/>
      <c r="R1223" s="124"/>
      <c r="S1223" s="124"/>
      <c r="T1223" s="124"/>
      <c r="U1223" s="124"/>
      <c r="V1223" s="124"/>
      <c r="W1223" s="124"/>
      <c r="X1223" s="124"/>
      <c r="Y1223" s="124"/>
    </row>
    <row r="1224">
      <c r="A1224" s="125"/>
      <c r="B1224" s="126"/>
      <c r="C1224" s="127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24"/>
      <c r="N1224" s="124"/>
      <c r="O1224" s="124"/>
      <c r="P1224" s="124"/>
      <c r="Q1224" s="124"/>
      <c r="R1224" s="124"/>
      <c r="S1224" s="124"/>
      <c r="T1224" s="124"/>
      <c r="U1224" s="124"/>
      <c r="V1224" s="124"/>
      <c r="W1224" s="124"/>
      <c r="X1224" s="124"/>
      <c r="Y1224" s="124"/>
    </row>
    <row r="1225">
      <c r="A1225" s="125"/>
      <c r="B1225" s="126"/>
      <c r="C1225" s="127"/>
      <c r="D1225" s="124"/>
      <c r="E1225" s="124"/>
      <c r="F1225" s="124"/>
      <c r="G1225" s="124"/>
      <c r="H1225" s="124"/>
      <c r="I1225" s="124"/>
      <c r="J1225" s="124"/>
      <c r="K1225" s="124"/>
      <c r="L1225" s="124"/>
      <c r="M1225" s="124"/>
      <c r="N1225" s="124"/>
      <c r="O1225" s="124"/>
      <c r="P1225" s="124"/>
      <c r="Q1225" s="124"/>
      <c r="R1225" s="124"/>
      <c r="S1225" s="124"/>
      <c r="T1225" s="124"/>
      <c r="U1225" s="124"/>
      <c r="V1225" s="124"/>
      <c r="W1225" s="124"/>
      <c r="X1225" s="124"/>
      <c r="Y1225" s="124"/>
    </row>
    <row r="1226">
      <c r="A1226" s="125"/>
      <c r="B1226" s="126"/>
      <c r="C1226" s="127"/>
      <c r="D1226" s="124"/>
      <c r="E1226" s="124"/>
      <c r="F1226" s="124"/>
      <c r="G1226" s="124"/>
      <c r="H1226" s="124"/>
      <c r="I1226" s="124"/>
      <c r="J1226" s="124"/>
      <c r="K1226" s="124"/>
      <c r="L1226" s="124"/>
      <c r="M1226" s="124"/>
      <c r="N1226" s="124"/>
      <c r="O1226" s="124"/>
      <c r="P1226" s="124"/>
      <c r="Q1226" s="124"/>
      <c r="R1226" s="124"/>
      <c r="S1226" s="124"/>
      <c r="T1226" s="124"/>
      <c r="U1226" s="124"/>
      <c r="V1226" s="124"/>
      <c r="W1226" s="124"/>
      <c r="X1226" s="124"/>
      <c r="Y1226" s="124"/>
    </row>
    <row r="1227">
      <c r="A1227" s="125"/>
      <c r="B1227" s="126"/>
      <c r="C1227" s="127"/>
      <c r="D1227" s="124"/>
      <c r="E1227" s="124"/>
      <c r="F1227" s="124"/>
      <c r="G1227" s="124"/>
      <c r="H1227" s="124"/>
      <c r="I1227" s="124"/>
      <c r="J1227" s="124"/>
      <c r="K1227" s="124"/>
      <c r="L1227" s="124"/>
      <c r="M1227" s="124"/>
      <c r="N1227" s="124"/>
      <c r="O1227" s="124"/>
      <c r="P1227" s="124"/>
      <c r="Q1227" s="124"/>
      <c r="R1227" s="124"/>
      <c r="S1227" s="124"/>
      <c r="T1227" s="124"/>
      <c r="U1227" s="124"/>
      <c r="V1227" s="124"/>
      <c r="W1227" s="124"/>
      <c r="X1227" s="124"/>
      <c r="Y1227" s="124"/>
    </row>
    <row r="1228">
      <c r="A1228" s="125"/>
      <c r="B1228" s="126"/>
      <c r="C1228" s="127"/>
      <c r="D1228" s="124"/>
      <c r="E1228" s="124"/>
      <c r="F1228" s="124"/>
      <c r="G1228" s="124"/>
      <c r="H1228" s="124"/>
      <c r="I1228" s="124"/>
      <c r="J1228" s="124"/>
      <c r="K1228" s="124"/>
      <c r="L1228" s="124"/>
      <c r="M1228" s="124"/>
      <c r="N1228" s="124"/>
      <c r="O1228" s="124"/>
      <c r="P1228" s="124"/>
      <c r="Q1228" s="124"/>
      <c r="R1228" s="124"/>
      <c r="S1228" s="124"/>
      <c r="T1228" s="124"/>
      <c r="U1228" s="124"/>
      <c r="V1228" s="124"/>
      <c r="W1228" s="124"/>
      <c r="X1228" s="124"/>
      <c r="Y1228" s="124"/>
    </row>
    <row r="1229">
      <c r="A1229" s="125"/>
      <c r="B1229" s="126"/>
      <c r="C1229" s="127"/>
      <c r="D1229" s="124"/>
      <c r="E1229" s="124"/>
      <c r="F1229" s="124"/>
      <c r="G1229" s="124"/>
      <c r="H1229" s="124"/>
      <c r="I1229" s="124"/>
      <c r="J1229" s="124"/>
      <c r="K1229" s="124"/>
      <c r="L1229" s="124"/>
      <c r="M1229" s="124"/>
      <c r="N1229" s="124"/>
      <c r="O1229" s="124"/>
      <c r="P1229" s="124"/>
      <c r="Q1229" s="124"/>
      <c r="R1229" s="124"/>
      <c r="S1229" s="124"/>
      <c r="T1229" s="124"/>
      <c r="U1229" s="124"/>
      <c r="V1229" s="124"/>
      <c r="W1229" s="124"/>
      <c r="X1229" s="124"/>
      <c r="Y1229" s="124"/>
    </row>
    <row r="1230">
      <c r="A1230" s="125"/>
      <c r="B1230" s="126"/>
      <c r="C1230" s="127"/>
      <c r="D1230" s="124"/>
      <c r="E1230" s="124"/>
      <c r="F1230" s="124"/>
      <c r="G1230" s="124"/>
      <c r="H1230" s="124"/>
      <c r="I1230" s="124"/>
      <c r="J1230" s="124"/>
      <c r="K1230" s="124"/>
      <c r="L1230" s="124"/>
      <c r="M1230" s="124"/>
      <c r="N1230" s="124"/>
      <c r="O1230" s="124"/>
      <c r="P1230" s="124"/>
      <c r="Q1230" s="124"/>
      <c r="R1230" s="124"/>
      <c r="S1230" s="124"/>
      <c r="T1230" s="124"/>
      <c r="U1230" s="124"/>
      <c r="V1230" s="124"/>
      <c r="W1230" s="124"/>
      <c r="X1230" s="124"/>
      <c r="Y1230" s="124"/>
    </row>
    <row r="1231">
      <c r="A1231" s="125"/>
      <c r="B1231" s="126"/>
      <c r="C1231" s="127"/>
      <c r="D1231" s="124"/>
      <c r="E1231" s="124"/>
      <c r="F1231" s="124"/>
      <c r="G1231" s="124"/>
      <c r="H1231" s="124"/>
      <c r="I1231" s="124"/>
      <c r="J1231" s="124"/>
      <c r="K1231" s="124"/>
      <c r="L1231" s="124"/>
      <c r="M1231" s="124"/>
      <c r="N1231" s="124"/>
      <c r="O1231" s="124"/>
      <c r="P1231" s="124"/>
      <c r="Q1231" s="124"/>
      <c r="R1231" s="124"/>
      <c r="S1231" s="124"/>
      <c r="T1231" s="124"/>
      <c r="U1231" s="124"/>
      <c r="V1231" s="124"/>
      <c r="W1231" s="124"/>
      <c r="X1231" s="124"/>
      <c r="Y1231" s="124"/>
    </row>
    <row r="1232">
      <c r="A1232" s="125"/>
      <c r="B1232" s="126"/>
      <c r="C1232" s="127"/>
      <c r="D1232" s="124"/>
      <c r="E1232" s="124"/>
      <c r="F1232" s="124"/>
      <c r="G1232" s="124"/>
      <c r="H1232" s="124"/>
      <c r="I1232" s="124"/>
      <c r="J1232" s="124"/>
      <c r="K1232" s="124"/>
      <c r="L1232" s="124"/>
      <c r="M1232" s="124"/>
      <c r="N1232" s="124"/>
      <c r="O1232" s="124"/>
      <c r="P1232" s="124"/>
      <c r="Q1232" s="124"/>
      <c r="R1232" s="124"/>
      <c r="S1232" s="124"/>
      <c r="T1232" s="124"/>
      <c r="U1232" s="124"/>
      <c r="V1232" s="124"/>
      <c r="W1232" s="124"/>
      <c r="X1232" s="124"/>
      <c r="Y1232" s="124"/>
    </row>
    <row r="1233">
      <c r="A1233" s="125"/>
      <c r="B1233" s="126"/>
      <c r="C1233" s="127"/>
      <c r="D1233" s="124"/>
      <c r="E1233" s="124"/>
      <c r="F1233" s="124"/>
      <c r="G1233" s="124"/>
      <c r="H1233" s="124"/>
      <c r="I1233" s="124"/>
      <c r="J1233" s="124"/>
      <c r="K1233" s="124"/>
      <c r="L1233" s="124"/>
      <c r="M1233" s="124"/>
      <c r="N1233" s="124"/>
      <c r="O1233" s="124"/>
      <c r="P1233" s="124"/>
      <c r="Q1233" s="124"/>
      <c r="R1233" s="124"/>
      <c r="S1233" s="124"/>
      <c r="T1233" s="124"/>
      <c r="U1233" s="124"/>
      <c r="V1233" s="124"/>
      <c r="W1233" s="124"/>
      <c r="X1233" s="124"/>
      <c r="Y1233" s="124"/>
    </row>
    <row r="1234">
      <c r="A1234" s="125"/>
      <c r="B1234" s="126"/>
      <c r="C1234" s="127"/>
      <c r="D1234" s="124"/>
      <c r="E1234" s="124"/>
      <c r="F1234" s="124"/>
      <c r="G1234" s="124"/>
      <c r="H1234" s="124"/>
      <c r="I1234" s="124"/>
      <c r="J1234" s="124"/>
      <c r="K1234" s="124"/>
      <c r="L1234" s="124"/>
      <c r="M1234" s="124"/>
      <c r="N1234" s="124"/>
      <c r="O1234" s="124"/>
      <c r="P1234" s="124"/>
      <c r="Q1234" s="124"/>
      <c r="R1234" s="124"/>
      <c r="S1234" s="124"/>
      <c r="T1234" s="124"/>
      <c r="U1234" s="124"/>
      <c r="V1234" s="124"/>
      <c r="W1234" s="124"/>
      <c r="X1234" s="124"/>
      <c r="Y1234" s="124"/>
    </row>
    <row r="1235">
      <c r="A1235" s="125"/>
      <c r="B1235" s="126"/>
      <c r="C1235" s="127"/>
      <c r="D1235" s="124"/>
      <c r="E1235" s="124"/>
      <c r="F1235" s="124"/>
      <c r="G1235" s="124"/>
      <c r="H1235" s="124"/>
      <c r="I1235" s="124"/>
      <c r="J1235" s="124"/>
      <c r="K1235" s="124"/>
      <c r="L1235" s="124"/>
      <c r="M1235" s="124"/>
      <c r="N1235" s="124"/>
      <c r="O1235" s="124"/>
      <c r="P1235" s="124"/>
      <c r="Q1235" s="124"/>
      <c r="R1235" s="124"/>
      <c r="S1235" s="124"/>
      <c r="T1235" s="124"/>
      <c r="U1235" s="124"/>
      <c r="V1235" s="124"/>
      <c r="W1235" s="124"/>
      <c r="X1235" s="124"/>
      <c r="Y1235" s="124"/>
    </row>
    <row r="1236">
      <c r="A1236" s="125"/>
      <c r="B1236" s="126"/>
      <c r="C1236" s="127"/>
      <c r="D1236" s="124"/>
      <c r="E1236" s="124"/>
      <c r="F1236" s="124"/>
      <c r="G1236" s="124"/>
      <c r="H1236" s="124"/>
      <c r="I1236" s="124"/>
      <c r="J1236" s="124"/>
      <c r="K1236" s="124"/>
      <c r="L1236" s="124"/>
      <c r="M1236" s="124"/>
      <c r="N1236" s="124"/>
      <c r="O1236" s="124"/>
      <c r="P1236" s="124"/>
      <c r="Q1236" s="124"/>
      <c r="R1236" s="124"/>
      <c r="S1236" s="124"/>
      <c r="T1236" s="124"/>
      <c r="U1236" s="124"/>
      <c r="V1236" s="124"/>
      <c r="W1236" s="124"/>
      <c r="X1236" s="124"/>
      <c r="Y1236" s="124"/>
    </row>
    <row r="1237">
      <c r="A1237" s="125"/>
      <c r="B1237" s="126"/>
      <c r="C1237" s="127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24"/>
      <c r="N1237" s="124"/>
      <c r="O1237" s="124"/>
      <c r="P1237" s="124"/>
      <c r="Q1237" s="124"/>
      <c r="R1237" s="124"/>
      <c r="S1237" s="124"/>
      <c r="T1237" s="124"/>
      <c r="U1237" s="124"/>
      <c r="V1237" s="124"/>
      <c r="W1237" s="124"/>
      <c r="X1237" s="124"/>
      <c r="Y1237" s="124"/>
    </row>
    <row r="1238">
      <c r="A1238" s="125"/>
      <c r="B1238" s="126"/>
      <c r="C1238" s="127"/>
      <c r="D1238" s="124"/>
      <c r="E1238" s="124"/>
      <c r="F1238" s="124"/>
      <c r="G1238" s="124"/>
      <c r="H1238" s="124"/>
      <c r="I1238" s="124"/>
      <c r="J1238" s="124"/>
      <c r="K1238" s="124"/>
      <c r="L1238" s="124"/>
      <c r="M1238" s="124"/>
      <c r="N1238" s="124"/>
      <c r="O1238" s="124"/>
      <c r="P1238" s="124"/>
      <c r="Q1238" s="124"/>
      <c r="R1238" s="124"/>
      <c r="S1238" s="124"/>
      <c r="T1238" s="124"/>
      <c r="U1238" s="124"/>
      <c r="V1238" s="124"/>
      <c r="W1238" s="124"/>
      <c r="X1238" s="124"/>
      <c r="Y1238" s="124"/>
    </row>
    <row r="1239">
      <c r="A1239" s="125"/>
      <c r="B1239" s="126"/>
      <c r="C1239" s="127"/>
      <c r="D1239" s="124"/>
      <c r="E1239" s="124"/>
      <c r="F1239" s="124"/>
      <c r="G1239" s="124"/>
      <c r="H1239" s="124"/>
      <c r="I1239" s="124"/>
      <c r="J1239" s="124"/>
      <c r="K1239" s="124"/>
      <c r="L1239" s="124"/>
      <c r="M1239" s="124"/>
      <c r="N1239" s="124"/>
      <c r="O1239" s="124"/>
      <c r="P1239" s="124"/>
      <c r="Q1239" s="124"/>
      <c r="R1239" s="124"/>
      <c r="S1239" s="124"/>
      <c r="T1239" s="124"/>
      <c r="U1239" s="124"/>
      <c r="V1239" s="124"/>
      <c r="W1239" s="124"/>
      <c r="X1239" s="124"/>
      <c r="Y1239" s="124"/>
    </row>
    <row r="1240">
      <c r="A1240" s="125"/>
      <c r="B1240" s="126"/>
      <c r="C1240" s="127"/>
      <c r="D1240" s="124"/>
      <c r="E1240" s="124"/>
      <c r="F1240" s="124"/>
      <c r="G1240" s="124"/>
      <c r="H1240" s="124"/>
      <c r="I1240" s="124"/>
      <c r="J1240" s="124"/>
      <c r="K1240" s="124"/>
      <c r="L1240" s="124"/>
      <c r="M1240" s="124"/>
      <c r="N1240" s="124"/>
      <c r="O1240" s="124"/>
      <c r="P1240" s="124"/>
      <c r="Q1240" s="124"/>
      <c r="R1240" s="124"/>
      <c r="S1240" s="124"/>
      <c r="T1240" s="124"/>
      <c r="U1240" s="124"/>
      <c r="V1240" s="124"/>
      <c r="W1240" s="124"/>
      <c r="X1240" s="124"/>
      <c r="Y1240" s="124"/>
    </row>
    <row r="1241">
      <c r="A1241" s="125"/>
      <c r="B1241" s="126"/>
      <c r="C1241" s="127"/>
      <c r="D1241" s="124"/>
      <c r="E1241" s="124"/>
      <c r="F1241" s="124"/>
      <c r="G1241" s="124"/>
      <c r="H1241" s="124"/>
      <c r="I1241" s="124"/>
      <c r="J1241" s="124"/>
      <c r="K1241" s="124"/>
      <c r="L1241" s="124"/>
      <c r="M1241" s="124"/>
      <c r="N1241" s="124"/>
      <c r="O1241" s="124"/>
      <c r="P1241" s="124"/>
      <c r="Q1241" s="124"/>
      <c r="R1241" s="124"/>
      <c r="S1241" s="124"/>
      <c r="T1241" s="124"/>
      <c r="U1241" s="124"/>
      <c r="V1241" s="124"/>
      <c r="W1241" s="124"/>
      <c r="X1241" s="124"/>
      <c r="Y1241" s="124"/>
    </row>
    <row r="1242">
      <c r="A1242" s="125"/>
      <c r="B1242" s="126"/>
      <c r="C1242" s="127"/>
      <c r="D1242" s="124"/>
      <c r="E1242" s="124"/>
      <c r="F1242" s="124"/>
      <c r="G1242" s="124"/>
      <c r="H1242" s="124"/>
      <c r="I1242" s="124"/>
      <c r="J1242" s="124"/>
      <c r="K1242" s="124"/>
      <c r="L1242" s="124"/>
      <c r="M1242" s="124"/>
      <c r="N1242" s="124"/>
      <c r="O1242" s="124"/>
      <c r="P1242" s="124"/>
      <c r="Q1242" s="124"/>
      <c r="R1242" s="124"/>
      <c r="S1242" s="124"/>
      <c r="T1242" s="124"/>
      <c r="U1242" s="124"/>
      <c r="V1242" s="124"/>
      <c r="W1242" s="124"/>
      <c r="X1242" s="124"/>
      <c r="Y1242" s="124"/>
    </row>
    <row r="1243">
      <c r="A1243" s="125"/>
      <c r="B1243" s="126"/>
      <c r="C1243" s="127"/>
      <c r="D1243" s="124"/>
      <c r="E1243" s="124"/>
      <c r="F1243" s="124"/>
      <c r="G1243" s="124"/>
      <c r="H1243" s="124"/>
      <c r="I1243" s="124"/>
      <c r="J1243" s="124"/>
      <c r="K1243" s="124"/>
      <c r="L1243" s="124"/>
      <c r="M1243" s="124"/>
      <c r="N1243" s="124"/>
      <c r="O1243" s="124"/>
      <c r="P1243" s="124"/>
      <c r="Q1243" s="124"/>
      <c r="R1243" s="124"/>
      <c r="S1243" s="124"/>
      <c r="T1243" s="124"/>
      <c r="U1243" s="124"/>
      <c r="V1243" s="124"/>
      <c r="W1243" s="124"/>
      <c r="X1243" s="124"/>
      <c r="Y1243" s="124"/>
    </row>
    <row r="1244">
      <c r="A1244" s="125"/>
      <c r="B1244" s="126"/>
      <c r="C1244" s="127"/>
      <c r="D1244" s="124"/>
      <c r="E1244" s="124"/>
      <c r="F1244" s="124"/>
      <c r="G1244" s="124"/>
      <c r="H1244" s="124"/>
      <c r="I1244" s="124"/>
      <c r="J1244" s="124"/>
      <c r="K1244" s="124"/>
      <c r="L1244" s="124"/>
      <c r="M1244" s="124"/>
      <c r="N1244" s="124"/>
      <c r="O1244" s="124"/>
      <c r="P1244" s="124"/>
      <c r="Q1244" s="124"/>
      <c r="R1244" s="124"/>
      <c r="S1244" s="124"/>
      <c r="T1244" s="124"/>
      <c r="U1244" s="124"/>
      <c r="V1244" s="124"/>
      <c r="W1244" s="124"/>
      <c r="X1244" s="124"/>
      <c r="Y1244" s="124"/>
    </row>
    <row r="1245">
      <c r="A1245" s="125"/>
      <c r="B1245" s="126"/>
      <c r="C1245" s="127"/>
      <c r="D1245" s="124"/>
      <c r="E1245" s="124"/>
      <c r="F1245" s="124"/>
      <c r="G1245" s="124"/>
      <c r="H1245" s="124"/>
      <c r="I1245" s="124"/>
      <c r="J1245" s="124"/>
      <c r="K1245" s="124"/>
      <c r="L1245" s="124"/>
      <c r="M1245" s="124"/>
      <c r="N1245" s="124"/>
      <c r="O1245" s="124"/>
      <c r="P1245" s="124"/>
      <c r="Q1245" s="124"/>
      <c r="R1245" s="124"/>
      <c r="S1245" s="124"/>
      <c r="T1245" s="124"/>
      <c r="U1245" s="124"/>
      <c r="V1245" s="124"/>
      <c r="W1245" s="124"/>
      <c r="X1245" s="124"/>
      <c r="Y1245" s="124"/>
    </row>
    <row r="1246">
      <c r="A1246" s="125"/>
      <c r="B1246" s="126"/>
      <c r="C1246" s="127"/>
      <c r="D1246" s="124"/>
      <c r="E1246" s="124"/>
      <c r="F1246" s="124"/>
      <c r="G1246" s="124"/>
      <c r="H1246" s="124"/>
      <c r="I1246" s="124"/>
      <c r="J1246" s="124"/>
      <c r="K1246" s="124"/>
      <c r="L1246" s="124"/>
      <c r="M1246" s="124"/>
      <c r="N1246" s="124"/>
      <c r="O1246" s="124"/>
      <c r="P1246" s="124"/>
      <c r="Q1246" s="124"/>
      <c r="R1246" s="124"/>
      <c r="S1246" s="124"/>
      <c r="T1246" s="124"/>
      <c r="U1246" s="124"/>
      <c r="V1246" s="124"/>
      <c r="W1246" s="124"/>
      <c r="X1246" s="124"/>
      <c r="Y1246" s="124"/>
    </row>
    <row r="1247">
      <c r="A1247" s="125"/>
      <c r="B1247" s="126"/>
      <c r="C1247" s="127"/>
      <c r="D1247" s="124"/>
      <c r="E1247" s="124"/>
      <c r="F1247" s="124"/>
      <c r="G1247" s="124"/>
      <c r="H1247" s="124"/>
      <c r="I1247" s="124"/>
      <c r="J1247" s="124"/>
      <c r="K1247" s="124"/>
      <c r="L1247" s="124"/>
      <c r="M1247" s="124"/>
      <c r="N1247" s="124"/>
      <c r="O1247" s="124"/>
      <c r="P1247" s="124"/>
      <c r="Q1247" s="124"/>
      <c r="R1247" s="124"/>
      <c r="S1247" s="124"/>
      <c r="T1247" s="124"/>
      <c r="U1247" s="124"/>
      <c r="V1247" s="124"/>
      <c r="W1247" s="124"/>
      <c r="X1247" s="124"/>
      <c r="Y1247" s="124"/>
    </row>
    <row r="1248">
      <c r="A1248" s="125"/>
      <c r="B1248" s="126"/>
      <c r="C1248" s="127"/>
      <c r="D1248" s="124"/>
      <c r="E1248" s="124"/>
      <c r="F1248" s="124"/>
      <c r="G1248" s="124"/>
      <c r="H1248" s="124"/>
      <c r="I1248" s="124"/>
      <c r="J1248" s="124"/>
      <c r="K1248" s="124"/>
      <c r="L1248" s="124"/>
      <c r="M1248" s="124"/>
      <c r="N1248" s="124"/>
      <c r="O1248" s="124"/>
      <c r="P1248" s="124"/>
      <c r="Q1248" s="124"/>
      <c r="R1248" s="124"/>
      <c r="S1248" s="124"/>
      <c r="T1248" s="124"/>
      <c r="U1248" s="124"/>
      <c r="V1248" s="124"/>
      <c r="W1248" s="124"/>
      <c r="X1248" s="124"/>
      <c r="Y1248" s="124"/>
    </row>
    <row r="1249">
      <c r="A1249" s="125"/>
      <c r="B1249" s="126"/>
      <c r="C1249" s="127"/>
      <c r="D1249" s="124"/>
      <c r="E1249" s="124"/>
      <c r="F1249" s="124"/>
      <c r="G1249" s="124"/>
      <c r="H1249" s="124"/>
      <c r="I1249" s="124"/>
      <c r="J1249" s="124"/>
      <c r="K1249" s="124"/>
      <c r="L1249" s="124"/>
      <c r="M1249" s="124"/>
      <c r="N1249" s="124"/>
      <c r="O1249" s="124"/>
      <c r="P1249" s="124"/>
      <c r="Q1249" s="124"/>
      <c r="R1249" s="124"/>
      <c r="S1249" s="124"/>
      <c r="T1249" s="124"/>
      <c r="U1249" s="124"/>
      <c r="V1249" s="124"/>
      <c r="W1249" s="124"/>
      <c r="X1249" s="124"/>
      <c r="Y1249" s="124"/>
    </row>
    <row r="1250">
      <c r="A1250" s="125"/>
      <c r="B1250" s="126"/>
      <c r="C1250" s="127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24"/>
      <c r="N1250" s="124"/>
      <c r="O1250" s="124"/>
      <c r="P1250" s="124"/>
      <c r="Q1250" s="124"/>
      <c r="R1250" s="124"/>
      <c r="S1250" s="124"/>
      <c r="T1250" s="124"/>
      <c r="U1250" s="124"/>
      <c r="V1250" s="124"/>
      <c r="W1250" s="124"/>
      <c r="X1250" s="124"/>
      <c r="Y1250" s="124"/>
    </row>
    <row r="1251">
      <c r="A1251" s="125"/>
      <c r="B1251" s="126"/>
      <c r="C1251" s="127"/>
      <c r="D1251" s="124"/>
      <c r="E1251" s="124"/>
      <c r="F1251" s="124"/>
      <c r="G1251" s="124"/>
      <c r="H1251" s="124"/>
      <c r="I1251" s="124"/>
      <c r="J1251" s="124"/>
      <c r="K1251" s="124"/>
      <c r="L1251" s="124"/>
      <c r="M1251" s="124"/>
      <c r="N1251" s="124"/>
      <c r="O1251" s="124"/>
      <c r="P1251" s="124"/>
      <c r="Q1251" s="124"/>
      <c r="R1251" s="124"/>
      <c r="S1251" s="124"/>
      <c r="T1251" s="124"/>
      <c r="U1251" s="124"/>
      <c r="V1251" s="124"/>
      <c r="W1251" s="124"/>
      <c r="X1251" s="124"/>
      <c r="Y1251" s="124"/>
    </row>
    <row r="1252">
      <c r="A1252" s="125"/>
      <c r="B1252" s="126"/>
      <c r="C1252" s="127"/>
      <c r="D1252" s="124"/>
      <c r="E1252" s="124"/>
      <c r="F1252" s="124"/>
      <c r="G1252" s="124"/>
      <c r="H1252" s="124"/>
      <c r="I1252" s="124"/>
      <c r="J1252" s="124"/>
      <c r="K1252" s="124"/>
      <c r="L1252" s="124"/>
      <c r="M1252" s="124"/>
      <c r="N1252" s="124"/>
      <c r="O1252" s="124"/>
      <c r="P1252" s="124"/>
      <c r="Q1252" s="124"/>
      <c r="R1252" s="124"/>
      <c r="S1252" s="124"/>
      <c r="T1252" s="124"/>
      <c r="U1252" s="124"/>
      <c r="V1252" s="124"/>
      <c r="W1252" s="124"/>
      <c r="X1252" s="124"/>
      <c r="Y1252" s="124"/>
    </row>
    <row r="1253">
      <c r="A1253" s="125"/>
      <c r="B1253" s="126"/>
      <c r="C1253" s="127"/>
      <c r="D1253" s="124"/>
      <c r="E1253" s="124"/>
      <c r="F1253" s="124"/>
      <c r="G1253" s="124"/>
      <c r="H1253" s="124"/>
      <c r="I1253" s="124"/>
      <c r="J1253" s="124"/>
      <c r="K1253" s="124"/>
      <c r="L1253" s="124"/>
      <c r="M1253" s="124"/>
      <c r="N1253" s="124"/>
      <c r="O1253" s="124"/>
      <c r="P1253" s="124"/>
      <c r="Q1253" s="124"/>
      <c r="R1253" s="124"/>
      <c r="S1253" s="124"/>
      <c r="T1253" s="124"/>
      <c r="U1253" s="124"/>
      <c r="V1253" s="124"/>
      <c r="W1253" s="124"/>
      <c r="X1253" s="124"/>
      <c r="Y1253" s="124"/>
    </row>
    <row r="1254">
      <c r="A1254" s="125"/>
      <c r="B1254" s="126"/>
      <c r="C1254" s="127"/>
      <c r="D1254" s="124"/>
      <c r="E1254" s="124"/>
      <c r="F1254" s="124"/>
      <c r="G1254" s="124"/>
      <c r="H1254" s="124"/>
      <c r="I1254" s="124"/>
      <c r="J1254" s="124"/>
      <c r="K1254" s="124"/>
      <c r="L1254" s="124"/>
      <c r="M1254" s="124"/>
      <c r="N1254" s="124"/>
      <c r="O1254" s="124"/>
      <c r="P1254" s="124"/>
      <c r="Q1254" s="124"/>
      <c r="R1254" s="124"/>
      <c r="S1254" s="124"/>
      <c r="T1254" s="124"/>
      <c r="U1254" s="124"/>
      <c r="V1254" s="124"/>
      <c r="W1254" s="124"/>
      <c r="X1254" s="124"/>
      <c r="Y1254" s="124"/>
    </row>
    <row r="1255">
      <c r="A1255" s="125"/>
      <c r="B1255" s="126"/>
      <c r="C1255" s="127"/>
      <c r="D1255" s="124"/>
      <c r="E1255" s="124"/>
      <c r="F1255" s="124"/>
      <c r="G1255" s="124"/>
      <c r="H1255" s="124"/>
      <c r="I1255" s="124"/>
      <c r="J1255" s="124"/>
      <c r="K1255" s="124"/>
      <c r="L1255" s="124"/>
      <c r="M1255" s="124"/>
      <c r="N1255" s="124"/>
      <c r="O1255" s="124"/>
      <c r="P1255" s="124"/>
      <c r="Q1255" s="124"/>
      <c r="R1255" s="124"/>
      <c r="S1255" s="124"/>
      <c r="T1255" s="124"/>
      <c r="U1255" s="124"/>
      <c r="V1255" s="124"/>
      <c r="W1255" s="124"/>
      <c r="X1255" s="124"/>
      <c r="Y1255" s="124"/>
    </row>
    <row r="1256">
      <c r="A1256" s="125"/>
      <c r="B1256" s="126"/>
      <c r="C1256" s="127"/>
      <c r="D1256" s="124"/>
      <c r="E1256" s="124"/>
      <c r="F1256" s="124"/>
      <c r="G1256" s="124"/>
      <c r="H1256" s="124"/>
      <c r="I1256" s="124"/>
      <c r="J1256" s="124"/>
      <c r="K1256" s="124"/>
      <c r="L1256" s="124"/>
      <c r="M1256" s="124"/>
      <c r="N1256" s="124"/>
      <c r="O1256" s="124"/>
      <c r="P1256" s="124"/>
      <c r="Q1256" s="124"/>
      <c r="R1256" s="124"/>
      <c r="S1256" s="124"/>
      <c r="T1256" s="124"/>
      <c r="U1256" s="124"/>
      <c r="V1256" s="124"/>
      <c r="W1256" s="124"/>
      <c r="X1256" s="124"/>
      <c r="Y1256" s="124"/>
    </row>
    <row r="1257">
      <c r="A1257" s="125"/>
      <c r="B1257" s="126"/>
      <c r="C1257" s="127"/>
      <c r="D1257" s="124"/>
      <c r="E1257" s="124"/>
      <c r="F1257" s="124"/>
      <c r="G1257" s="124"/>
      <c r="H1257" s="124"/>
      <c r="I1257" s="124"/>
      <c r="J1257" s="124"/>
      <c r="K1257" s="124"/>
      <c r="L1257" s="124"/>
      <c r="M1257" s="124"/>
      <c r="N1257" s="124"/>
      <c r="O1257" s="124"/>
      <c r="P1257" s="124"/>
      <c r="Q1257" s="124"/>
      <c r="R1257" s="124"/>
      <c r="S1257" s="124"/>
      <c r="T1257" s="124"/>
      <c r="U1257" s="124"/>
      <c r="V1257" s="124"/>
      <c r="W1257" s="124"/>
      <c r="X1257" s="124"/>
      <c r="Y1257" s="124"/>
    </row>
    <row r="1258">
      <c r="A1258" s="125"/>
      <c r="B1258" s="126"/>
      <c r="C1258" s="127"/>
      <c r="D1258" s="124"/>
      <c r="E1258" s="124"/>
      <c r="F1258" s="124"/>
      <c r="G1258" s="124"/>
      <c r="H1258" s="124"/>
      <c r="I1258" s="124"/>
      <c r="J1258" s="124"/>
      <c r="K1258" s="124"/>
      <c r="L1258" s="124"/>
      <c r="M1258" s="124"/>
      <c r="N1258" s="124"/>
      <c r="O1258" s="124"/>
      <c r="P1258" s="124"/>
      <c r="Q1258" s="124"/>
      <c r="R1258" s="124"/>
      <c r="S1258" s="124"/>
      <c r="T1258" s="124"/>
      <c r="U1258" s="124"/>
      <c r="V1258" s="124"/>
      <c r="W1258" s="124"/>
      <c r="X1258" s="124"/>
      <c r="Y1258" s="124"/>
    </row>
    <row r="1259">
      <c r="A1259" s="125"/>
      <c r="B1259" s="126"/>
      <c r="C1259" s="127"/>
      <c r="D1259" s="124"/>
      <c r="E1259" s="124"/>
      <c r="F1259" s="124"/>
      <c r="G1259" s="124"/>
      <c r="H1259" s="124"/>
      <c r="I1259" s="124"/>
      <c r="J1259" s="124"/>
      <c r="K1259" s="124"/>
      <c r="L1259" s="124"/>
      <c r="M1259" s="124"/>
      <c r="N1259" s="124"/>
      <c r="O1259" s="124"/>
      <c r="P1259" s="124"/>
      <c r="Q1259" s="124"/>
      <c r="R1259" s="124"/>
      <c r="S1259" s="124"/>
      <c r="T1259" s="124"/>
      <c r="U1259" s="124"/>
      <c r="V1259" s="124"/>
      <c r="W1259" s="124"/>
      <c r="X1259" s="124"/>
      <c r="Y1259" s="124"/>
    </row>
    <row r="1260">
      <c r="A1260" s="125"/>
      <c r="B1260" s="126"/>
      <c r="C1260" s="127"/>
      <c r="D1260" s="124"/>
      <c r="E1260" s="124"/>
      <c r="F1260" s="124"/>
      <c r="G1260" s="124"/>
      <c r="H1260" s="124"/>
      <c r="I1260" s="124"/>
      <c r="J1260" s="124"/>
      <c r="K1260" s="124"/>
      <c r="L1260" s="124"/>
      <c r="M1260" s="124"/>
      <c r="N1260" s="124"/>
      <c r="O1260" s="124"/>
      <c r="P1260" s="124"/>
      <c r="Q1260" s="124"/>
      <c r="R1260" s="124"/>
      <c r="S1260" s="124"/>
      <c r="T1260" s="124"/>
      <c r="U1260" s="124"/>
      <c r="V1260" s="124"/>
      <c r="W1260" s="124"/>
      <c r="X1260" s="124"/>
      <c r="Y1260" s="124"/>
    </row>
    <row r="1261">
      <c r="A1261" s="125"/>
      <c r="B1261" s="126"/>
      <c r="C1261" s="127"/>
      <c r="D1261" s="124"/>
      <c r="E1261" s="124"/>
      <c r="F1261" s="124"/>
      <c r="G1261" s="124"/>
      <c r="H1261" s="124"/>
      <c r="I1261" s="124"/>
      <c r="J1261" s="124"/>
      <c r="K1261" s="124"/>
      <c r="L1261" s="124"/>
      <c r="M1261" s="124"/>
      <c r="N1261" s="124"/>
      <c r="O1261" s="124"/>
      <c r="P1261" s="124"/>
      <c r="Q1261" s="124"/>
      <c r="R1261" s="124"/>
      <c r="S1261" s="124"/>
      <c r="T1261" s="124"/>
      <c r="U1261" s="124"/>
      <c r="V1261" s="124"/>
      <c r="W1261" s="124"/>
      <c r="X1261" s="124"/>
      <c r="Y1261" s="124"/>
    </row>
    <row r="1262">
      <c r="A1262" s="125"/>
      <c r="B1262" s="126"/>
      <c r="C1262" s="127"/>
      <c r="D1262" s="124"/>
      <c r="E1262" s="124"/>
      <c r="F1262" s="124"/>
      <c r="G1262" s="124"/>
      <c r="H1262" s="124"/>
      <c r="I1262" s="124"/>
      <c r="J1262" s="124"/>
      <c r="K1262" s="124"/>
      <c r="L1262" s="124"/>
      <c r="M1262" s="124"/>
      <c r="N1262" s="124"/>
      <c r="O1262" s="124"/>
      <c r="P1262" s="124"/>
      <c r="Q1262" s="124"/>
      <c r="R1262" s="124"/>
      <c r="S1262" s="124"/>
      <c r="T1262" s="124"/>
      <c r="U1262" s="124"/>
      <c r="V1262" s="124"/>
      <c r="W1262" s="124"/>
      <c r="X1262" s="124"/>
      <c r="Y1262" s="124"/>
    </row>
    <row r="1263">
      <c r="A1263" s="125"/>
      <c r="B1263" s="126"/>
      <c r="C1263" s="127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24"/>
      <c r="N1263" s="124"/>
      <c r="O1263" s="124"/>
      <c r="P1263" s="124"/>
      <c r="Q1263" s="124"/>
      <c r="R1263" s="124"/>
      <c r="S1263" s="124"/>
      <c r="T1263" s="124"/>
      <c r="U1263" s="124"/>
      <c r="V1263" s="124"/>
      <c r="W1263" s="124"/>
      <c r="X1263" s="124"/>
      <c r="Y1263" s="124"/>
    </row>
    <row r="1264">
      <c r="A1264" s="125"/>
      <c r="B1264" s="126"/>
      <c r="C1264" s="127"/>
      <c r="D1264" s="124"/>
      <c r="E1264" s="124"/>
      <c r="F1264" s="124"/>
      <c r="G1264" s="124"/>
      <c r="H1264" s="124"/>
      <c r="I1264" s="124"/>
      <c r="J1264" s="124"/>
      <c r="K1264" s="124"/>
      <c r="L1264" s="124"/>
      <c r="M1264" s="124"/>
      <c r="N1264" s="124"/>
      <c r="O1264" s="124"/>
      <c r="P1264" s="124"/>
      <c r="Q1264" s="124"/>
      <c r="R1264" s="124"/>
      <c r="S1264" s="124"/>
      <c r="T1264" s="124"/>
      <c r="U1264" s="124"/>
      <c r="V1264" s="124"/>
      <c r="W1264" s="124"/>
      <c r="X1264" s="124"/>
      <c r="Y1264" s="124"/>
    </row>
    <row r="1265">
      <c r="A1265" s="125"/>
      <c r="B1265" s="126"/>
      <c r="C1265" s="127"/>
      <c r="D1265" s="124"/>
      <c r="E1265" s="124"/>
      <c r="F1265" s="124"/>
      <c r="G1265" s="124"/>
      <c r="H1265" s="124"/>
      <c r="I1265" s="124"/>
      <c r="J1265" s="124"/>
      <c r="K1265" s="124"/>
      <c r="L1265" s="124"/>
      <c r="M1265" s="124"/>
      <c r="N1265" s="124"/>
      <c r="O1265" s="124"/>
      <c r="P1265" s="124"/>
      <c r="Q1265" s="124"/>
      <c r="R1265" s="124"/>
      <c r="S1265" s="124"/>
      <c r="T1265" s="124"/>
      <c r="U1265" s="124"/>
      <c r="V1265" s="124"/>
      <c r="W1265" s="124"/>
      <c r="X1265" s="124"/>
      <c r="Y1265" s="124"/>
    </row>
    <row r="1266">
      <c r="A1266" s="125"/>
      <c r="B1266" s="126"/>
      <c r="C1266" s="127"/>
      <c r="D1266" s="124"/>
      <c r="E1266" s="124"/>
      <c r="F1266" s="124"/>
      <c r="G1266" s="124"/>
      <c r="H1266" s="124"/>
      <c r="I1266" s="124"/>
      <c r="J1266" s="124"/>
      <c r="K1266" s="124"/>
      <c r="L1266" s="124"/>
      <c r="M1266" s="124"/>
      <c r="N1266" s="124"/>
      <c r="O1266" s="124"/>
      <c r="P1266" s="124"/>
      <c r="Q1266" s="124"/>
      <c r="R1266" s="124"/>
      <c r="S1266" s="124"/>
      <c r="T1266" s="124"/>
      <c r="U1266" s="124"/>
      <c r="V1266" s="124"/>
      <c r="W1266" s="124"/>
      <c r="X1266" s="124"/>
      <c r="Y1266" s="124"/>
    </row>
    <row r="1267">
      <c r="A1267" s="125"/>
      <c r="B1267" s="126"/>
      <c r="C1267" s="127"/>
      <c r="D1267" s="124"/>
      <c r="E1267" s="124"/>
      <c r="F1267" s="124"/>
      <c r="G1267" s="124"/>
      <c r="H1267" s="124"/>
      <c r="I1267" s="124"/>
      <c r="J1267" s="124"/>
      <c r="K1267" s="124"/>
      <c r="L1267" s="124"/>
      <c r="M1267" s="124"/>
      <c r="N1267" s="124"/>
      <c r="O1267" s="124"/>
      <c r="P1267" s="124"/>
      <c r="Q1267" s="124"/>
      <c r="R1267" s="124"/>
      <c r="S1267" s="124"/>
      <c r="T1267" s="124"/>
      <c r="U1267" s="124"/>
      <c r="V1267" s="124"/>
      <c r="W1267" s="124"/>
      <c r="X1267" s="124"/>
      <c r="Y1267" s="124"/>
    </row>
    <row r="1268">
      <c r="A1268" s="125"/>
      <c r="B1268" s="126"/>
      <c r="C1268" s="127"/>
      <c r="D1268" s="124"/>
      <c r="E1268" s="124"/>
      <c r="F1268" s="124"/>
      <c r="G1268" s="124"/>
      <c r="H1268" s="124"/>
      <c r="I1268" s="124"/>
      <c r="J1268" s="124"/>
      <c r="K1268" s="124"/>
      <c r="L1268" s="124"/>
      <c r="M1268" s="124"/>
      <c r="N1268" s="124"/>
      <c r="O1268" s="124"/>
      <c r="P1268" s="124"/>
      <c r="Q1268" s="124"/>
      <c r="R1268" s="124"/>
      <c r="S1268" s="124"/>
      <c r="T1268" s="124"/>
      <c r="U1268" s="124"/>
      <c r="V1268" s="124"/>
      <c r="W1268" s="124"/>
      <c r="X1268" s="124"/>
      <c r="Y1268" s="124"/>
    </row>
    <row r="1269">
      <c r="A1269" s="125"/>
      <c r="B1269" s="126"/>
      <c r="C1269" s="127"/>
      <c r="D1269" s="124"/>
      <c r="E1269" s="124"/>
      <c r="F1269" s="124"/>
      <c r="G1269" s="124"/>
      <c r="H1269" s="124"/>
      <c r="I1269" s="124"/>
      <c r="J1269" s="124"/>
      <c r="K1269" s="124"/>
      <c r="L1269" s="124"/>
      <c r="M1269" s="124"/>
      <c r="N1269" s="124"/>
      <c r="O1269" s="124"/>
      <c r="P1269" s="124"/>
      <c r="Q1269" s="124"/>
      <c r="R1269" s="124"/>
      <c r="S1269" s="124"/>
      <c r="T1269" s="124"/>
      <c r="U1269" s="124"/>
      <c r="V1269" s="124"/>
      <c r="W1269" s="124"/>
      <c r="X1269" s="124"/>
      <c r="Y1269" s="124"/>
    </row>
    <row r="1270">
      <c r="A1270" s="125"/>
      <c r="B1270" s="126"/>
      <c r="C1270" s="127"/>
      <c r="D1270" s="124"/>
      <c r="E1270" s="124"/>
      <c r="F1270" s="124"/>
      <c r="G1270" s="124"/>
      <c r="H1270" s="124"/>
      <c r="I1270" s="124"/>
      <c r="J1270" s="124"/>
      <c r="K1270" s="124"/>
      <c r="L1270" s="124"/>
      <c r="M1270" s="124"/>
      <c r="N1270" s="124"/>
      <c r="O1270" s="124"/>
      <c r="P1270" s="124"/>
      <c r="Q1270" s="124"/>
      <c r="R1270" s="124"/>
      <c r="S1270" s="124"/>
      <c r="T1270" s="124"/>
      <c r="U1270" s="124"/>
      <c r="V1270" s="124"/>
      <c r="W1270" s="124"/>
      <c r="X1270" s="124"/>
      <c r="Y1270" s="124"/>
    </row>
    <row r="1271">
      <c r="A1271" s="125"/>
      <c r="B1271" s="126"/>
      <c r="C1271" s="127"/>
      <c r="D1271" s="124"/>
      <c r="E1271" s="124"/>
      <c r="F1271" s="124"/>
      <c r="G1271" s="124"/>
      <c r="H1271" s="124"/>
      <c r="I1271" s="124"/>
      <c r="J1271" s="124"/>
      <c r="K1271" s="124"/>
      <c r="L1271" s="124"/>
      <c r="M1271" s="124"/>
      <c r="N1271" s="124"/>
      <c r="O1271" s="124"/>
      <c r="P1271" s="124"/>
      <c r="Q1271" s="124"/>
      <c r="R1271" s="124"/>
      <c r="S1271" s="124"/>
      <c r="T1271" s="124"/>
      <c r="U1271" s="124"/>
      <c r="V1271" s="124"/>
      <c r="W1271" s="124"/>
      <c r="X1271" s="124"/>
      <c r="Y1271" s="124"/>
    </row>
    <row r="1272">
      <c r="A1272" s="125"/>
      <c r="B1272" s="126"/>
      <c r="C1272" s="127"/>
      <c r="D1272" s="124"/>
      <c r="E1272" s="124"/>
      <c r="F1272" s="124"/>
      <c r="G1272" s="124"/>
      <c r="H1272" s="124"/>
      <c r="I1272" s="124"/>
      <c r="J1272" s="124"/>
      <c r="K1272" s="124"/>
      <c r="L1272" s="124"/>
      <c r="M1272" s="124"/>
      <c r="N1272" s="124"/>
      <c r="O1272" s="124"/>
      <c r="P1272" s="124"/>
      <c r="Q1272" s="124"/>
      <c r="R1272" s="124"/>
      <c r="S1272" s="124"/>
      <c r="T1272" s="124"/>
      <c r="U1272" s="124"/>
      <c r="V1272" s="124"/>
      <c r="W1272" s="124"/>
      <c r="X1272" s="124"/>
      <c r="Y1272" s="124"/>
    </row>
    <row r="1273">
      <c r="A1273" s="125"/>
      <c r="B1273" s="126"/>
      <c r="C1273" s="127"/>
      <c r="D1273" s="124"/>
      <c r="E1273" s="124"/>
      <c r="F1273" s="124"/>
      <c r="G1273" s="124"/>
      <c r="H1273" s="124"/>
      <c r="I1273" s="124"/>
      <c r="J1273" s="124"/>
      <c r="K1273" s="124"/>
      <c r="L1273" s="124"/>
      <c r="M1273" s="124"/>
      <c r="N1273" s="124"/>
      <c r="O1273" s="124"/>
      <c r="P1273" s="124"/>
      <c r="Q1273" s="124"/>
      <c r="R1273" s="124"/>
      <c r="S1273" s="124"/>
      <c r="T1273" s="124"/>
      <c r="U1273" s="124"/>
      <c r="V1273" s="124"/>
      <c r="W1273" s="124"/>
      <c r="X1273" s="124"/>
      <c r="Y1273" s="124"/>
    </row>
    <row r="1274">
      <c r="A1274" s="125"/>
      <c r="B1274" s="126"/>
      <c r="C1274" s="127"/>
      <c r="D1274" s="124"/>
      <c r="E1274" s="124"/>
      <c r="F1274" s="124"/>
      <c r="G1274" s="124"/>
      <c r="H1274" s="124"/>
      <c r="I1274" s="124"/>
      <c r="J1274" s="124"/>
      <c r="K1274" s="124"/>
      <c r="L1274" s="124"/>
      <c r="M1274" s="124"/>
      <c r="N1274" s="124"/>
      <c r="O1274" s="124"/>
      <c r="P1274" s="124"/>
      <c r="Q1274" s="124"/>
      <c r="R1274" s="124"/>
      <c r="S1274" s="124"/>
      <c r="T1274" s="124"/>
      <c r="U1274" s="124"/>
      <c r="V1274" s="124"/>
      <c r="W1274" s="124"/>
      <c r="X1274" s="124"/>
      <c r="Y1274" s="124"/>
    </row>
    <row r="1275">
      <c r="A1275" s="125"/>
      <c r="B1275" s="126"/>
      <c r="C1275" s="127"/>
      <c r="D1275" s="124"/>
      <c r="E1275" s="124"/>
      <c r="F1275" s="124"/>
      <c r="G1275" s="124"/>
      <c r="H1275" s="124"/>
      <c r="I1275" s="124"/>
      <c r="J1275" s="124"/>
      <c r="K1275" s="124"/>
      <c r="L1275" s="124"/>
      <c r="M1275" s="124"/>
      <c r="N1275" s="124"/>
      <c r="O1275" s="124"/>
      <c r="P1275" s="124"/>
      <c r="Q1275" s="124"/>
      <c r="R1275" s="124"/>
      <c r="S1275" s="124"/>
      <c r="T1275" s="124"/>
      <c r="U1275" s="124"/>
      <c r="V1275" s="124"/>
      <c r="W1275" s="124"/>
      <c r="X1275" s="124"/>
      <c r="Y1275" s="124"/>
    </row>
    <row r="1276">
      <c r="A1276" s="125"/>
      <c r="B1276" s="126"/>
      <c r="C1276" s="127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24"/>
      <c r="N1276" s="124"/>
      <c r="O1276" s="124"/>
      <c r="P1276" s="124"/>
      <c r="Q1276" s="124"/>
      <c r="R1276" s="124"/>
      <c r="S1276" s="124"/>
      <c r="T1276" s="124"/>
      <c r="U1276" s="124"/>
      <c r="V1276" s="124"/>
      <c r="W1276" s="124"/>
      <c r="X1276" s="124"/>
      <c r="Y1276" s="124"/>
    </row>
    <row r="1277">
      <c r="A1277" s="125"/>
      <c r="B1277" s="126"/>
      <c r="C1277" s="127"/>
      <c r="D1277" s="124"/>
      <c r="E1277" s="124"/>
      <c r="F1277" s="124"/>
      <c r="G1277" s="124"/>
      <c r="H1277" s="124"/>
      <c r="I1277" s="124"/>
      <c r="J1277" s="124"/>
      <c r="K1277" s="124"/>
      <c r="L1277" s="124"/>
      <c r="M1277" s="124"/>
      <c r="N1277" s="124"/>
      <c r="O1277" s="124"/>
      <c r="P1277" s="124"/>
      <c r="Q1277" s="124"/>
      <c r="R1277" s="124"/>
      <c r="S1277" s="124"/>
      <c r="T1277" s="124"/>
      <c r="U1277" s="124"/>
      <c r="V1277" s="124"/>
      <c r="W1277" s="124"/>
      <c r="X1277" s="124"/>
      <c r="Y1277" s="124"/>
    </row>
    <row r="1278">
      <c r="A1278" s="125"/>
      <c r="B1278" s="126"/>
      <c r="C1278" s="127"/>
      <c r="D1278" s="124"/>
      <c r="E1278" s="124"/>
      <c r="F1278" s="124"/>
      <c r="G1278" s="124"/>
      <c r="H1278" s="124"/>
      <c r="I1278" s="124"/>
      <c r="J1278" s="124"/>
      <c r="K1278" s="124"/>
      <c r="L1278" s="124"/>
      <c r="M1278" s="124"/>
      <c r="N1278" s="124"/>
      <c r="O1278" s="124"/>
      <c r="P1278" s="124"/>
      <c r="Q1278" s="124"/>
      <c r="R1278" s="124"/>
      <c r="S1278" s="124"/>
      <c r="T1278" s="124"/>
      <c r="U1278" s="124"/>
      <c r="V1278" s="124"/>
      <c r="W1278" s="124"/>
      <c r="X1278" s="124"/>
      <c r="Y1278" s="124"/>
    </row>
    <row r="1279">
      <c r="A1279" s="125"/>
      <c r="B1279" s="126"/>
      <c r="C1279" s="127"/>
      <c r="D1279" s="124"/>
      <c r="E1279" s="124"/>
      <c r="F1279" s="124"/>
      <c r="G1279" s="124"/>
      <c r="H1279" s="124"/>
      <c r="I1279" s="124"/>
      <c r="J1279" s="124"/>
      <c r="K1279" s="124"/>
      <c r="L1279" s="124"/>
      <c r="M1279" s="124"/>
      <c r="N1279" s="124"/>
      <c r="O1279" s="124"/>
      <c r="P1279" s="124"/>
      <c r="Q1279" s="124"/>
      <c r="R1279" s="124"/>
      <c r="S1279" s="124"/>
      <c r="T1279" s="124"/>
      <c r="U1279" s="124"/>
      <c r="V1279" s="124"/>
      <c r="W1279" s="124"/>
      <c r="X1279" s="124"/>
      <c r="Y1279" s="124"/>
    </row>
    <row r="1280">
      <c r="A1280" s="125"/>
      <c r="B1280" s="126"/>
      <c r="C1280" s="127"/>
      <c r="D1280" s="124"/>
      <c r="E1280" s="124"/>
      <c r="F1280" s="124"/>
      <c r="G1280" s="124"/>
      <c r="H1280" s="124"/>
      <c r="I1280" s="124"/>
      <c r="J1280" s="124"/>
      <c r="K1280" s="124"/>
      <c r="L1280" s="124"/>
      <c r="M1280" s="124"/>
      <c r="N1280" s="124"/>
      <c r="O1280" s="124"/>
      <c r="P1280" s="124"/>
      <c r="Q1280" s="124"/>
      <c r="R1280" s="124"/>
      <c r="S1280" s="124"/>
      <c r="T1280" s="124"/>
      <c r="U1280" s="124"/>
      <c r="V1280" s="124"/>
      <c r="W1280" s="124"/>
      <c r="X1280" s="124"/>
      <c r="Y1280" s="124"/>
    </row>
    <row r="1281">
      <c r="A1281" s="125"/>
      <c r="B1281" s="126"/>
      <c r="C1281" s="127"/>
      <c r="D1281" s="124"/>
      <c r="E1281" s="124"/>
      <c r="F1281" s="124"/>
      <c r="G1281" s="124"/>
      <c r="H1281" s="124"/>
      <c r="I1281" s="124"/>
      <c r="J1281" s="124"/>
      <c r="K1281" s="124"/>
      <c r="L1281" s="124"/>
      <c r="M1281" s="124"/>
      <c r="N1281" s="124"/>
      <c r="O1281" s="124"/>
      <c r="P1281" s="124"/>
      <c r="Q1281" s="124"/>
      <c r="R1281" s="124"/>
      <c r="S1281" s="124"/>
      <c r="T1281" s="124"/>
      <c r="U1281" s="124"/>
      <c r="V1281" s="124"/>
      <c r="W1281" s="124"/>
      <c r="X1281" s="124"/>
      <c r="Y1281" s="124"/>
    </row>
    <row r="1282">
      <c r="A1282" s="125"/>
      <c r="B1282" s="126"/>
      <c r="C1282" s="127"/>
      <c r="D1282" s="124"/>
      <c r="E1282" s="124"/>
      <c r="F1282" s="124"/>
      <c r="G1282" s="124"/>
      <c r="H1282" s="124"/>
      <c r="I1282" s="124"/>
      <c r="J1282" s="124"/>
      <c r="K1282" s="124"/>
      <c r="L1282" s="124"/>
      <c r="M1282" s="124"/>
      <c r="N1282" s="124"/>
      <c r="O1282" s="124"/>
      <c r="P1282" s="124"/>
      <c r="Q1282" s="124"/>
      <c r="R1282" s="124"/>
      <c r="S1282" s="124"/>
      <c r="T1282" s="124"/>
      <c r="U1282" s="124"/>
      <c r="V1282" s="124"/>
      <c r="W1282" s="124"/>
      <c r="X1282" s="124"/>
      <c r="Y1282" s="124"/>
    </row>
    <row r="1283">
      <c r="A1283" s="125"/>
      <c r="B1283" s="126"/>
      <c r="C1283" s="127"/>
      <c r="D1283" s="124"/>
      <c r="E1283" s="124"/>
      <c r="F1283" s="124"/>
      <c r="G1283" s="124"/>
      <c r="H1283" s="124"/>
      <c r="I1283" s="124"/>
      <c r="J1283" s="124"/>
      <c r="K1283" s="124"/>
      <c r="L1283" s="124"/>
      <c r="M1283" s="124"/>
      <c r="N1283" s="124"/>
      <c r="O1283" s="124"/>
      <c r="P1283" s="124"/>
      <c r="Q1283" s="124"/>
      <c r="R1283" s="124"/>
      <c r="S1283" s="124"/>
      <c r="T1283" s="124"/>
      <c r="U1283" s="124"/>
      <c r="V1283" s="124"/>
      <c r="W1283" s="124"/>
      <c r="X1283" s="124"/>
      <c r="Y1283" s="124"/>
    </row>
    <row r="1284">
      <c r="A1284" s="125"/>
      <c r="B1284" s="126"/>
      <c r="C1284" s="127"/>
      <c r="D1284" s="124"/>
      <c r="E1284" s="124"/>
      <c r="F1284" s="124"/>
      <c r="G1284" s="124"/>
      <c r="H1284" s="124"/>
      <c r="I1284" s="124"/>
      <c r="J1284" s="124"/>
      <c r="K1284" s="124"/>
      <c r="L1284" s="124"/>
      <c r="M1284" s="124"/>
      <c r="N1284" s="124"/>
      <c r="O1284" s="124"/>
      <c r="P1284" s="124"/>
      <c r="Q1284" s="124"/>
      <c r="R1284" s="124"/>
      <c r="S1284" s="124"/>
      <c r="T1284" s="124"/>
      <c r="U1284" s="124"/>
      <c r="V1284" s="124"/>
      <c r="W1284" s="124"/>
      <c r="X1284" s="124"/>
      <c r="Y1284" s="124"/>
    </row>
    <row r="1285">
      <c r="A1285" s="125"/>
      <c r="B1285" s="126"/>
      <c r="C1285" s="127"/>
      <c r="D1285" s="124"/>
      <c r="E1285" s="124"/>
      <c r="F1285" s="124"/>
      <c r="G1285" s="124"/>
      <c r="H1285" s="124"/>
      <c r="I1285" s="124"/>
      <c r="J1285" s="124"/>
      <c r="K1285" s="124"/>
      <c r="L1285" s="124"/>
      <c r="M1285" s="124"/>
      <c r="N1285" s="124"/>
      <c r="O1285" s="124"/>
      <c r="P1285" s="124"/>
      <c r="Q1285" s="124"/>
      <c r="R1285" s="124"/>
      <c r="S1285" s="124"/>
      <c r="T1285" s="124"/>
      <c r="U1285" s="124"/>
      <c r="V1285" s="124"/>
      <c r="W1285" s="124"/>
      <c r="X1285" s="124"/>
      <c r="Y1285" s="124"/>
    </row>
    <row r="1286">
      <c r="A1286" s="125"/>
      <c r="B1286" s="126"/>
      <c r="C1286" s="127"/>
      <c r="D1286" s="124"/>
      <c r="E1286" s="124"/>
      <c r="F1286" s="124"/>
      <c r="G1286" s="124"/>
      <c r="H1286" s="124"/>
      <c r="I1286" s="124"/>
      <c r="J1286" s="124"/>
      <c r="K1286" s="124"/>
      <c r="L1286" s="124"/>
      <c r="M1286" s="124"/>
      <c r="N1286" s="124"/>
      <c r="O1286" s="124"/>
      <c r="P1286" s="124"/>
      <c r="Q1286" s="124"/>
      <c r="R1286" s="124"/>
      <c r="S1286" s="124"/>
      <c r="T1286" s="124"/>
      <c r="U1286" s="124"/>
      <c r="V1286" s="124"/>
      <c r="W1286" s="124"/>
      <c r="X1286" s="124"/>
      <c r="Y1286" s="124"/>
    </row>
    <row r="1287">
      <c r="A1287" s="125"/>
      <c r="B1287" s="126"/>
      <c r="C1287" s="127"/>
      <c r="D1287" s="124"/>
      <c r="E1287" s="124"/>
      <c r="F1287" s="124"/>
      <c r="G1287" s="124"/>
      <c r="H1287" s="124"/>
      <c r="I1287" s="124"/>
      <c r="J1287" s="124"/>
      <c r="K1287" s="124"/>
      <c r="L1287" s="124"/>
      <c r="M1287" s="124"/>
      <c r="N1287" s="124"/>
      <c r="O1287" s="124"/>
      <c r="P1287" s="124"/>
      <c r="Q1287" s="124"/>
      <c r="R1287" s="124"/>
      <c r="S1287" s="124"/>
      <c r="T1287" s="124"/>
      <c r="U1287" s="124"/>
      <c r="V1287" s="124"/>
      <c r="W1287" s="124"/>
      <c r="X1287" s="124"/>
      <c r="Y1287" s="124"/>
    </row>
    <row r="1288">
      <c r="A1288" s="125"/>
      <c r="B1288" s="126"/>
      <c r="C1288" s="127"/>
      <c r="D1288" s="124"/>
      <c r="E1288" s="124"/>
      <c r="F1288" s="124"/>
      <c r="G1288" s="124"/>
      <c r="H1288" s="124"/>
      <c r="I1288" s="124"/>
      <c r="J1288" s="124"/>
      <c r="K1288" s="124"/>
      <c r="L1288" s="124"/>
      <c r="M1288" s="124"/>
      <c r="N1288" s="124"/>
      <c r="O1288" s="124"/>
      <c r="P1288" s="124"/>
      <c r="Q1288" s="124"/>
      <c r="R1288" s="124"/>
      <c r="S1288" s="124"/>
      <c r="T1288" s="124"/>
      <c r="U1288" s="124"/>
      <c r="V1288" s="124"/>
      <c r="W1288" s="124"/>
      <c r="X1288" s="124"/>
      <c r="Y1288" s="124"/>
    </row>
    <row r="1289">
      <c r="A1289" s="125"/>
      <c r="B1289" s="126"/>
      <c r="C1289" s="127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24"/>
      <c r="N1289" s="124"/>
      <c r="O1289" s="124"/>
      <c r="P1289" s="124"/>
      <c r="Q1289" s="124"/>
      <c r="R1289" s="124"/>
      <c r="S1289" s="124"/>
      <c r="T1289" s="124"/>
      <c r="U1289" s="124"/>
      <c r="V1289" s="124"/>
      <c r="W1289" s="124"/>
      <c r="X1289" s="124"/>
      <c r="Y1289" s="124"/>
    </row>
    <row r="1290">
      <c r="A1290" s="125"/>
      <c r="B1290" s="126"/>
      <c r="C1290" s="127"/>
      <c r="D1290" s="124"/>
      <c r="E1290" s="124"/>
      <c r="F1290" s="124"/>
      <c r="G1290" s="124"/>
      <c r="H1290" s="124"/>
      <c r="I1290" s="124"/>
      <c r="J1290" s="124"/>
      <c r="K1290" s="124"/>
      <c r="L1290" s="124"/>
      <c r="M1290" s="124"/>
      <c r="N1290" s="124"/>
      <c r="O1290" s="124"/>
      <c r="P1290" s="124"/>
      <c r="Q1290" s="124"/>
      <c r="R1290" s="124"/>
      <c r="S1290" s="124"/>
      <c r="T1290" s="124"/>
      <c r="U1290" s="124"/>
      <c r="V1290" s="124"/>
      <c r="W1290" s="124"/>
      <c r="X1290" s="124"/>
      <c r="Y1290" s="124"/>
    </row>
    <row r="1291">
      <c r="A1291" s="125"/>
      <c r="B1291" s="126"/>
      <c r="C1291" s="127"/>
      <c r="D1291" s="124"/>
      <c r="E1291" s="124"/>
      <c r="F1291" s="124"/>
      <c r="G1291" s="124"/>
      <c r="H1291" s="124"/>
      <c r="I1291" s="124"/>
      <c r="J1291" s="124"/>
      <c r="K1291" s="124"/>
      <c r="L1291" s="124"/>
      <c r="M1291" s="124"/>
      <c r="N1291" s="124"/>
      <c r="O1291" s="124"/>
      <c r="P1291" s="124"/>
      <c r="Q1291" s="124"/>
      <c r="R1291" s="124"/>
      <c r="S1291" s="124"/>
      <c r="T1291" s="124"/>
      <c r="U1291" s="124"/>
      <c r="V1291" s="124"/>
      <c r="W1291" s="124"/>
      <c r="X1291" s="124"/>
      <c r="Y1291" s="124"/>
    </row>
    <row r="1292">
      <c r="A1292" s="125"/>
      <c r="B1292" s="126"/>
      <c r="C1292" s="127"/>
      <c r="D1292" s="124"/>
      <c r="E1292" s="124"/>
      <c r="F1292" s="124"/>
      <c r="G1292" s="124"/>
      <c r="H1292" s="124"/>
      <c r="I1292" s="124"/>
      <c r="J1292" s="124"/>
      <c r="K1292" s="124"/>
      <c r="L1292" s="124"/>
      <c r="M1292" s="124"/>
      <c r="N1292" s="124"/>
      <c r="O1292" s="124"/>
      <c r="P1292" s="124"/>
      <c r="Q1292" s="124"/>
      <c r="R1292" s="124"/>
      <c r="S1292" s="124"/>
      <c r="T1292" s="124"/>
      <c r="U1292" s="124"/>
      <c r="V1292" s="124"/>
      <c r="W1292" s="124"/>
      <c r="X1292" s="124"/>
      <c r="Y1292" s="124"/>
    </row>
    <row r="1293">
      <c r="A1293" s="125"/>
      <c r="B1293" s="126"/>
      <c r="C1293" s="127"/>
      <c r="D1293" s="124"/>
      <c r="E1293" s="124"/>
      <c r="F1293" s="124"/>
      <c r="G1293" s="124"/>
      <c r="H1293" s="124"/>
      <c r="I1293" s="124"/>
      <c r="J1293" s="124"/>
      <c r="K1293" s="124"/>
      <c r="L1293" s="124"/>
      <c r="M1293" s="124"/>
      <c r="N1293" s="124"/>
      <c r="O1293" s="124"/>
      <c r="P1293" s="124"/>
      <c r="Q1293" s="124"/>
      <c r="R1293" s="124"/>
      <c r="S1293" s="124"/>
      <c r="T1293" s="124"/>
      <c r="U1293" s="124"/>
      <c r="V1293" s="124"/>
      <c r="W1293" s="124"/>
      <c r="X1293" s="124"/>
      <c r="Y1293" s="124"/>
    </row>
    <row r="1294">
      <c r="A1294" s="125"/>
      <c r="B1294" s="126"/>
      <c r="C1294" s="127"/>
      <c r="D1294" s="124"/>
      <c r="E1294" s="124"/>
      <c r="F1294" s="124"/>
      <c r="G1294" s="124"/>
      <c r="H1294" s="124"/>
      <c r="I1294" s="124"/>
      <c r="J1294" s="124"/>
      <c r="K1294" s="124"/>
      <c r="L1294" s="124"/>
      <c r="M1294" s="124"/>
      <c r="N1294" s="124"/>
      <c r="O1294" s="124"/>
      <c r="P1294" s="124"/>
      <c r="Q1294" s="124"/>
      <c r="R1294" s="124"/>
      <c r="S1294" s="124"/>
      <c r="T1294" s="124"/>
      <c r="U1294" s="124"/>
      <c r="V1294" s="124"/>
      <c r="W1294" s="124"/>
      <c r="X1294" s="124"/>
      <c r="Y1294" s="124"/>
    </row>
    <row r="1295">
      <c r="A1295" s="125"/>
      <c r="B1295" s="126"/>
      <c r="C1295" s="127"/>
      <c r="D1295" s="124"/>
      <c r="E1295" s="124"/>
      <c r="F1295" s="124"/>
      <c r="G1295" s="124"/>
      <c r="H1295" s="124"/>
      <c r="I1295" s="124"/>
      <c r="J1295" s="124"/>
      <c r="K1295" s="124"/>
      <c r="L1295" s="124"/>
      <c r="M1295" s="124"/>
      <c r="N1295" s="124"/>
      <c r="O1295" s="124"/>
      <c r="P1295" s="124"/>
      <c r="Q1295" s="124"/>
      <c r="R1295" s="124"/>
      <c r="S1295" s="124"/>
      <c r="T1295" s="124"/>
      <c r="U1295" s="124"/>
      <c r="V1295" s="124"/>
      <c r="W1295" s="124"/>
      <c r="X1295" s="124"/>
      <c r="Y1295" s="124"/>
    </row>
    <row r="1296">
      <c r="A1296" s="125"/>
      <c r="B1296" s="126"/>
      <c r="C1296" s="127"/>
      <c r="D1296" s="124"/>
      <c r="E1296" s="124"/>
      <c r="F1296" s="124"/>
      <c r="G1296" s="124"/>
      <c r="H1296" s="124"/>
      <c r="I1296" s="124"/>
      <c r="J1296" s="124"/>
      <c r="K1296" s="124"/>
      <c r="L1296" s="124"/>
      <c r="M1296" s="124"/>
      <c r="N1296" s="124"/>
      <c r="O1296" s="124"/>
      <c r="P1296" s="124"/>
      <c r="Q1296" s="124"/>
      <c r="R1296" s="124"/>
      <c r="S1296" s="124"/>
      <c r="T1296" s="124"/>
      <c r="U1296" s="124"/>
      <c r="V1296" s="124"/>
      <c r="W1296" s="124"/>
      <c r="X1296" s="124"/>
      <c r="Y1296" s="124"/>
    </row>
    <row r="1297">
      <c r="A1297" s="125"/>
      <c r="B1297" s="126"/>
      <c r="C1297" s="127"/>
      <c r="D1297" s="124"/>
      <c r="E1297" s="124"/>
      <c r="F1297" s="124"/>
      <c r="G1297" s="124"/>
      <c r="H1297" s="124"/>
      <c r="I1297" s="124"/>
      <c r="J1297" s="124"/>
      <c r="K1297" s="124"/>
      <c r="L1297" s="124"/>
      <c r="M1297" s="124"/>
      <c r="N1297" s="124"/>
      <c r="O1297" s="124"/>
      <c r="P1297" s="124"/>
      <c r="Q1297" s="124"/>
      <c r="R1297" s="124"/>
      <c r="S1297" s="124"/>
      <c r="T1297" s="124"/>
      <c r="U1297" s="124"/>
      <c r="V1297" s="124"/>
      <c r="W1297" s="124"/>
      <c r="X1297" s="124"/>
      <c r="Y1297" s="124"/>
    </row>
    <row r="1298">
      <c r="A1298" s="125"/>
      <c r="B1298" s="126"/>
      <c r="C1298" s="127"/>
      <c r="D1298" s="124"/>
      <c r="E1298" s="124"/>
      <c r="F1298" s="124"/>
      <c r="G1298" s="124"/>
      <c r="H1298" s="124"/>
      <c r="I1298" s="124"/>
      <c r="J1298" s="124"/>
      <c r="K1298" s="124"/>
      <c r="L1298" s="124"/>
      <c r="M1298" s="124"/>
      <c r="N1298" s="124"/>
      <c r="O1298" s="124"/>
      <c r="P1298" s="124"/>
      <c r="Q1298" s="124"/>
      <c r="R1298" s="124"/>
      <c r="S1298" s="124"/>
      <c r="T1298" s="124"/>
      <c r="U1298" s="124"/>
      <c r="V1298" s="124"/>
      <c r="W1298" s="124"/>
      <c r="X1298" s="124"/>
      <c r="Y1298" s="124"/>
    </row>
    <row r="1299">
      <c r="A1299" s="125"/>
      <c r="B1299" s="126"/>
      <c r="C1299" s="127"/>
      <c r="D1299" s="124"/>
      <c r="E1299" s="124"/>
      <c r="F1299" s="124"/>
      <c r="G1299" s="124"/>
      <c r="H1299" s="124"/>
      <c r="I1299" s="124"/>
      <c r="J1299" s="124"/>
      <c r="K1299" s="124"/>
      <c r="L1299" s="124"/>
      <c r="M1299" s="124"/>
      <c r="N1299" s="124"/>
      <c r="O1299" s="124"/>
      <c r="P1299" s="124"/>
      <c r="Q1299" s="124"/>
      <c r="R1299" s="124"/>
      <c r="S1299" s="124"/>
      <c r="T1299" s="124"/>
      <c r="U1299" s="124"/>
      <c r="V1299" s="124"/>
      <c r="W1299" s="124"/>
      <c r="X1299" s="124"/>
      <c r="Y1299" s="124"/>
    </row>
    <row r="1300">
      <c r="A1300" s="125"/>
      <c r="B1300" s="126"/>
      <c r="C1300" s="127"/>
      <c r="D1300" s="124"/>
      <c r="E1300" s="124"/>
      <c r="F1300" s="124"/>
      <c r="G1300" s="124"/>
      <c r="H1300" s="124"/>
      <c r="I1300" s="124"/>
      <c r="J1300" s="124"/>
      <c r="K1300" s="124"/>
      <c r="L1300" s="124"/>
      <c r="M1300" s="124"/>
      <c r="N1300" s="124"/>
      <c r="O1300" s="124"/>
      <c r="P1300" s="124"/>
      <c r="Q1300" s="124"/>
      <c r="R1300" s="124"/>
      <c r="S1300" s="124"/>
      <c r="T1300" s="124"/>
      <c r="U1300" s="124"/>
      <c r="V1300" s="124"/>
      <c r="W1300" s="124"/>
      <c r="X1300" s="124"/>
      <c r="Y1300" s="124"/>
    </row>
    <row r="1301">
      <c r="A1301" s="125"/>
      <c r="B1301" s="126"/>
      <c r="C1301" s="127"/>
      <c r="D1301" s="124"/>
      <c r="E1301" s="124"/>
      <c r="F1301" s="124"/>
      <c r="G1301" s="124"/>
      <c r="H1301" s="124"/>
      <c r="I1301" s="124"/>
      <c r="J1301" s="124"/>
      <c r="K1301" s="124"/>
      <c r="L1301" s="124"/>
      <c r="M1301" s="124"/>
      <c r="N1301" s="124"/>
      <c r="O1301" s="124"/>
      <c r="P1301" s="124"/>
      <c r="Q1301" s="124"/>
      <c r="R1301" s="124"/>
      <c r="S1301" s="124"/>
      <c r="T1301" s="124"/>
      <c r="U1301" s="124"/>
      <c r="V1301" s="124"/>
      <c r="W1301" s="124"/>
      <c r="X1301" s="124"/>
      <c r="Y1301" s="124"/>
    </row>
    <row r="1302">
      <c r="A1302" s="125"/>
      <c r="B1302" s="126"/>
      <c r="C1302" s="127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24"/>
      <c r="N1302" s="124"/>
      <c r="O1302" s="124"/>
      <c r="P1302" s="124"/>
      <c r="Q1302" s="124"/>
      <c r="R1302" s="124"/>
      <c r="S1302" s="124"/>
      <c r="T1302" s="124"/>
      <c r="U1302" s="124"/>
      <c r="V1302" s="124"/>
      <c r="W1302" s="124"/>
      <c r="X1302" s="124"/>
      <c r="Y1302" s="124"/>
    </row>
    <row r="1303">
      <c r="A1303" s="125"/>
      <c r="B1303" s="126"/>
      <c r="C1303" s="127"/>
      <c r="D1303" s="124"/>
      <c r="E1303" s="124"/>
      <c r="F1303" s="124"/>
      <c r="G1303" s="124"/>
      <c r="H1303" s="124"/>
      <c r="I1303" s="124"/>
      <c r="J1303" s="124"/>
      <c r="K1303" s="124"/>
      <c r="L1303" s="124"/>
      <c r="M1303" s="124"/>
      <c r="N1303" s="124"/>
      <c r="O1303" s="124"/>
      <c r="P1303" s="124"/>
      <c r="Q1303" s="124"/>
      <c r="R1303" s="124"/>
      <c r="S1303" s="124"/>
      <c r="T1303" s="124"/>
      <c r="U1303" s="124"/>
      <c r="V1303" s="124"/>
      <c r="W1303" s="124"/>
      <c r="X1303" s="124"/>
      <c r="Y1303" s="124"/>
    </row>
    <row r="1304">
      <c r="A1304" s="125"/>
      <c r="B1304" s="126"/>
      <c r="C1304" s="127"/>
      <c r="D1304" s="124"/>
      <c r="E1304" s="124"/>
      <c r="F1304" s="124"/>
      <c r="G1304" s="124"/>
      <c r="H1304" s="124"/>
      <c r="I1304" s="124"/>
      <c r="J1304" s="124"/>
      <c r="K1304" s="124"/>
      <c r="L1304" s="124"/>
      <c r="M1304" s="124"/>
      <c r="N1304" s="124"/>
      <c r="O1304" s="124"/>
      <c r="P1304" s="124"/>
      <c r="Q1304" s="124"/>
      <c r="R1304" s="124"/>
      <c r="S1304" s="124"/>
      <c r="T1304" s="124"/>
      <c r="U1304" s="124"/>
      <c r="V1304" s="124"/>
      <c r="W1304" s="124"/>
      <c r="X1304" s="124"/>
      <c r="Y1304" s="124"/>
    </row>
    <row r="1305">
      <c r="A1305" s="125"/>
      <c r="B1305" s="126"/>
      <c r="C1305" s="127"/>
      <c r="D1305" s="124"/>
      <c r="E1305" s="124"/>
      <c r="F1305" s="124"/>
      <c r="G1305" s="124"/>
      <c r="H1305" s="124"/>
      <c r="I1305" s="124"/>
      <c r="J1305" s="124"/>
      <c r="K1305" s="124"/>
      <c r="L1305" s="124"/>
      <c r="M1305" s="124"/>
      <c r="N1305" s="124"/>
      <c r="O1305" s="124"/>
      <c r="P1305" s="124"/>
      <c r="Q1305" s="124"/>
      <c r="R1305" s="124"/>
      <c r="S1305" s="124"/>
      <c r="T1305" s="124"/>
      <c r="U1305" s="124"/>
      <c r="V1305" s="124"/>
      <c r="W1305" s="124"/>
      <c r="X1305" s="124"/>
      <c r="Y1305" s="124"/>
    </row>
    <row r="1306">
      <c r="A1306" s="125"/>
      <c r="B1306" s="126"/>
      <c r="C1306" s="127"/>
      <c r="D1306" s="124"/>
      <c r="E1306" s="124"/>
      <c r="F1306" s="124"/>
      <c r="G1306" s="124"/>
      <c r="H1306" s="124"/>
      <c r="I1306" s="124"/>
      <c r="J1306" s="124"/>
      <c r="K1306" s="124"/>
      <c r="L1306" s="124"/>
      <c r="M1306" s="124"/>
      <c r="N1306" s="124"/>
      <c r="O1306" s="124"/>
      <c r="P1306" s="124"/>
      <c r="Q1306" s="124"/>
      <c r="R1306" s="124"/>
      <c r="S1306" s="124"/>
      <c r="T1306" s="124"/>
      <c r="U1306" s="124"/>
      <c r="V1306" s="124"/>
      <c r="W1306" s="124"/>
      <c r="X1306" s="124"/>
      <c r="Y1306" s="124"/>
    </row>
    <row r="1307">
      <c r="A1307" s="125"/>
      <c r="B1307" s="126"/>
      <c r="C1307" s="127"/>
      <c r="D1307" s="124"/>
      <c r="E1307" s="124"/>
      <c r="F1307" s="124"/>
      <c r="G1307" s="124"/>
      <c r="H1307" s="124"/>
      <c r="I1307" s="124"/>
      <c r="J1307" s="124"/>
      <c r="K1307" s="124"/>
      <c r="L1307" s="124"/>
      <c r="M1307" s="124"/>
      <c r="N1307" s="124"/>
      <c r="O1307" s="124"/>
      <c r="P1307" s="124"/>
      <c r="Q1307" s="124"/>
      <c r="R1307" s="124"/>
      <c r="S1307" s="124"/>
      <c r="T1307" s="124"/>
      <c r="U1307" s="124"/>
      <c r="V1307" s="124"/>
      <c r="W1307" s="124"/>
      <c r="X1307" s="124"/>
      <c r="Y1307" s="124"/>
    </row>
    <row r="1308">
      <c r="A1308" s="125"/>
      <c r="B1308" s="126"/>
      <c r="C1308" s="127"/>
      <c r="D1308" s="124"/>
      <c r="E1308" s="124"/>
      <c r="F1308" s="124"/>
      <c r="G1308" s="124"/>
      <c r="H1308" s="124"/>
      <c r="I1308" s="124"/>
      <c r="J1308" s="124"/>
      <c r="K1308" s="124"/>
      <c r="L1308" s="124"/>
      <c r="M1308" s="124"/>
      <c r="N1308" s="124"/>
      <c r="O1308" s="124"/>
      <c r="P1308" s="124"/>
      <c r="Q1308" s="124"/>
      <c r="R1308" s="124"/>
      <c r="S1308" s="124"/>
      <c r="T1308" s="124"/>
      <c r="U1308" s="124"/>
      <c r="V1308" s="124"/>
      <c r="W1308" s="124"/>
      <c r="X1308" s="124"/>
      <c r="Y1308" s="124"/>
    </row>
    <row r="1309">
      <c r="A1309" s="125"/>
      <c r="B1309" s="126"/>
      <c r="C1309" s="127"/>
      <c r="D1309" s="124"/>
      <c r="E1309" s="124"/>
      <c r="F1309" s="124"/>
      <c r="G1309" s="124"/>
      <c r="H1309" s="124"/>
      <c r="I1309" s="124"/>
      <c r="J1309" s="124"/>
      <c r="K1309" s="124"/>
      <c r="L1309" s="124"/>
      <c r="M1309" s="124"/>
      <c r="N1309" s="124"/>
      <c r="O1309" s="124"/>
      <c r="P1309" s="124"/>
      <c r="Q1309" s="124"/>
      <c r="R1309" s="124"/>
      <c r="S1309" s="124"/>
      <c r="T1309" s="124"/>
      <c r="U1309" s="124"/>
      <c r="V1309" s="124"/>
      <c r="W1309" s="124"/>
      <c r="X1309" s="124"/>
      <c r="Y1309" s="124"/>
    </row>
    <row r="1310">
      <c r="A1310" s="125"/>
      <c r="B1310" s="126"/>
      <c r="C1310" s="127"/>
      <c r="D1310" s="124"/>
      <c r="E1310" s="124"/>
      <c r="F1310" s="124"/>
      <c r="G1310" s="124"/>
      <c r="H1310" s="124"/>
      <c r="I1310" s="124"/>
      <c r="J1310" s="124"/>
      <c r="K1310" s="124"/>
      <c r="L1310" s="124"/>
      <c r="M1310" s="124"/>
      <c r="N1310" s="124"/>
      <c r="O1310" s="124"/>
      <c r="P1310" s="124"/>
      <c r="Q1310" s="124"/>
      <c r="R1310" s="124"/>
      <c r="S1310" s="124"/>
      <c r="T1310" s="124"/>
      <c r="U1310" s="124"/>
      <c r="V1310" s="124"/>
      <c r="W1310" s="124"/>
      <c r="X1310" s="124"/>
      <c r="Y1310" s="124"/>
    </row>
    <row r="1311">
      <c r="A1311" s="125"/>
      <c r="B1311" s="126"/>
      <c r="C1311" s="127"/>
      <c r="D1311" s="124"/>
      <c r="E1311" s="124"/>
      <c r="F1311" s="124"/>
      <c r="G1311" s="124"/>
      <c r="H1311" s="124"/>
      <c r="I1311" s="124"/>
      <c r="J1311" s="124"/>
      <c r="K1311" s="124"/>
      <c r="L1311" s="124"/>
      <c r="M1311" s="124"/>
      <c r="N1311" s="124"/>
      <c r="O1311" s="124"/>
      <c r="P1311" s="124"/>
      <c r="Q1311" s="124"/>
      <c r="R1311" s="124"/>
      <c r="S1311" s="124"/>
      <c r="T1311" s="124"/>
      <c r="U1311" s="124"/>
      <c r="V1311" s="124"/>
      <c r="W1311" s="124"/>
      <c r="X1311" s="124"/>
      <c r="Y1311" s="124"/>
    </row>
    <row r="1312">
      <c r="A1312" s="125"/>
      <c r="B1312" s="126"/>
      <c r="C1312" s="127"/>
      <c r="D1312" s="124"/>
      <c r="E1312" s="124"/>
      <c r="F1312" s="124"/>
      <c r="G1312" s="124"/>
      <c r="H1312" s="124"/>
      <c r="I1312" s="124"/>
      <c r="J1312" s="124"/>
      <c r="K1312" s="124"/>
      <c r="L1312" s="124"/>
      <c r="M1312" s="124"/>
      <c r="N1312" s="124"/>
      <c r="O1312" s="124"/>
      <c r="P1312" s="124"/>
      <c r="Q1312" s="124"/>
      <c r="R1312" s="124"/>
      <c r="S1312" s="124"/>
      <c r="T1312" s="124"/>
      <c r="U1312" s="124"/>
      <c r="V1312" s="124"/>
      <c r="W1312" s="124"/>
      <c r="X1312" s="124"/>
      <c r="Y1312" s="124"/>
    </row>
    <row r="1313">
      <c r="A1313" s="125"/>
      <c r="B1313" s="126"/>
      <c r="C1313" s="127"/>
      <c r="D1313" s="124"/>
      <c r="E1313" s="124"/>
      <c r="F1313" s="124"/>
      <c r="G1313" s="124"/>
      <c r="H1313" s="124"/>
      <c r="I1313" s="124"/>
      <c r="J1313" s="124"/>
      <c r="K1313" s="124"/>
      <c r="L1313" s="124"/>
      <c r="M1313" s="124"/>
      <c r="N1313" s="124"/>
      <c r="O1313" s="124"/>
      <c r="P1313" s="124"/>
      <c r="Q1313" s="124"/>
      <c r="R1313" s="124"/>
      <c r="S1313" s="124"/>
      <c r="T1313" s="124"/>
      <c r="U1313" s="124"/>
      <c r="V1313" s="124"/>
      <c r="W1313" s="124"/>
      <c r="X1313" s="124"/>
      <c r="Y1313" s="124"/>
    </row>
    <row r="1314">
      <c r="A1314" s="125"/>
      <c r="B1314" s="126"/>
      <c r="C1314" s="127"/>
      <c r="D1314" s="124"/>
      <c r="E1314" s="124"/>
      <c r="F1314" s="124"/>
      <c r="G1314" s="124"/>
      <c r="H1314" s="124"/>
      <c r="I1314" s="124"/>
      <c r="J1314" s="124"/>
      <c r="K1314" s="124"/>
      <c r="L1314" s="124"/>
      <c r="M1314" s="124"/>
      <c r="N1314" s="124"/>
      <c r="O1314" s="124"/>
      <c r="P1314" s="124"/>
      <c r="Q1314" s="124"/>
      <c r="R1314" s="124"/>
      <c r="S1314" s="124"/>
      <c r="T1314" s="124"/>
      <c r="U1314" s="124"/>
      <c r="V1314" s="124"/>
      <c r="W1314" s="124"/>
      <c r="X1314" s="124"/>
      <c r="Y1314" s="124"/>
    </row>
    <row r="1315">
      <c r="A1315" s="125"/>
      <c r="B1315" s="126"/>
      <c r="C1315" s="127"/>
      <c r="D1315" s="124"/>
      <c r="E1315" s="124"/>
      <c r="F1315" s="124"/>
      <c r="G1315" s="124"/>
      <c r="H1315" s="124"/>
      <c r="I1315" s="124"/>
      <c r="J1315" s="124"/>
      <c r="K1315" s="124"/>
      <c r="L1315" s="124"/>
      <c r="M1315" s="124"/>
      <c r="N1315" s="124"/>
      <c r="O1315" s="124"/>
      <c r="P1315" s="124"/>
      <c r="Q1315" s="124"/>
      <c r="R1315" s="124"/>
      <c r="S1315" s="124"/>
      <c r="T1315" s="124"/>
      <c r="U1315" s="124"/>
      <c r="V1315" s="124"/>
      <c r="W1315" s="124"/>
      <c r="X1315" s="124"/>
      <c r="Y1315" s="124"/>
    </row>
    <row r="1316">
      <c r="A1316" s="125"/>
      <c r="B1316" s="126"/>
      <c r="C1316" s="127"/>
      <c r="D1316" s="124"/>
      <c r="E1316" s="124"/>
      <c r="F1316" s="124"/>
      <c r="G1316" s="124"/>
      <c r="H1316" s="124"/>
      <c r="I1316" s="124"/>
      <c r="J1316" s="124"/>
      <c r="K1316" s="124"/>
      <c r="L1316" s="124"/>
      <c r="M1316" s="124"/>
      <c r="N1316" s="124"/>
      <c r="O1316" s="124"/>
      <c r="P1316" s="124"/>
      <c r="Q1316" s="124"/>
      <c r="R1316" s="124"/>
      <c r="S1316" s="124"/>
      <c r="T1316" s="124"/>
      <c r="U1316" s="124"/>
      <c r="V1316" s="124"/>
      <c r="W1316" s="124"/>
      <c r="X1316" s="124"/>
      <c r="Y1316" s="124"/>
    </row>
    <row r="1317">
      <c r="A1317" s="125"/>
      <c r="B1317" s="126"/>
      <c r="C1317" s="127"/>
      <c r="D1317" s="124"/>
      <c r="E1317" s="124"/>
      <c r="F1317" s="124"/>
      <c r="G1317" s="124"/>
      <c r="H1317" s="124"/>
      <c r="I1317" s="124"/>
      <c r="J1317" s="124"/>
      <c r="K1317" s="124"/>
      <c r="L1317" s="124"/>
      <c r="M1317" s="124"/>
      <c r="N1317" s="124"/>
      <c r="O1317" s="124"/>
      <c r="P1317" s="124"/>
      <c r="Q1317" s="124"/>
      <c r="R1317" s="124"/>
      <c r="S1317" s="124"/>
      <c r="T1317" s="124"/>
      <c r="U1317" s="124"/>
      <c r="V1317" s="124"/>
      <c r="W1317" s="124"/>
      <c r="X1317" s="124"/>
      <c r="Y1317" s="124"/>
    </row>
    <row r="1318">
      <c r="A1318" s="125"/>
      <c r="B1318" s="126"/>
      <c r="C1318" s="127"/>
      <c r="D1318" s="124"/>
      <c r="E1318" s="124"/>
      <c r="F1318" s="124"/>
      <c r="G1318" s="124"/>
      <c r="H1318" s="124"/>
      <c r="I1318" s="124"/>
      <c r="J1318" s="124"/>
      <c r="K1318" s="124"/>
      <c r="L1318" s="124"/>
      <c r="M1318" s="124"/>
      <c r="N1318" s="124"/>
      <c r="O1318" s="124"/>
      <c r="P1318" s="124"/>
      <c r="Q1318" s="124"/>
      <c r="R1318" s="124"/>
      <c r="S1318" s="124"/>
      <c r="T1318" s="124"/>
      <c r="U1318" s="124"/>
      <c r="V1318" s="124"/>
      <c r="W1318" s="124"/>
      <c r="X1318" s="124"/>
      <c r="Y1318" s="124"/>
    </row>
    <row r="1319">
      <c r="A1319" s="125"/>
      <c r="B1319" s="126"/>
      <c r="C1319" s="127"/>
      <c r="D1319" s="124"/>
      <c r="E1319" s="124"/>
      <c r="F1319" s="124"/>
      <c r="G1319" s="124"/>
      <c r="H1319" s="124"/>
      <c r="I1319" s="124"/>
      <c r="J1319" s="124"/>
      <c r="K1319" s="124"/>
      <c r="L1319" s="124"/>
      <c r="M1319" s="124"/>
      <c r="N1319" s="124"/>
      <c r="O1319" s="124"/>
      <c r="P1319" s="124"/>
      <c r="Q1319" s="124"/>
      <c r="R1319" s="124"/>
      <c r="S1319" s="124"/>
      <c r="T1319" s="124"/>
      <c r="U1319" s="124"/>
      <c r="V1319" s="124"/>
      <c r="W1319" s="124"/>
      <c r="X1319" s="124"/>
      <c r="Y1319" s="124"/>
    </row>
    <row r="1320">
      <c r="A1320" s="125"/>
      <c r="B1320" s="126"/>
      <c r="C1320" s="127"/>
      <c r="D1320" s="124"/>
      <c r="E1320" s="124"/>
      <c r="F1320" s="124"/>
      <c r="G1320" s="124"/>
      <c r="H1320" s="124"/>
      <c r="I1320" s="124"/>
      <c r="J1320" s="124"/>
      <c r="K1320" s="124"/>
      <c r="L1320" s="124"/>
      <c r="M1320" s="124"/>
      <c r="N1320" s="124"/>
      <c r="O1320" s="124"/>
      <c r="P1320" s="124"/>
      <c r="Q1320" s="124"/>
      <c r="R1320" s="124"/>
      <c r="S1320" s="124"/>
      <c r="T1320" s="124"/>
      <c r="U1320" s="124"/>
      <c r="V1320" s="124"/>
      <c r="W1320" s="124"/>
      <c r="X1320" s="124"/>
      <c r="Y1320" s="124"/>
    </row>
    <row r="1321">
      <c r="A1321" s="125"/>
      <c r="B1321" s="126"/>
      <c r="C1321" s="127"/>
      <c r="D1321" s="124"/>
      <c r="E1321" s="124"/>
      <c r="F1321" s="124"/>
      <c r="G1321" s="124"/>
      <c r="H1321" s="124"/>
      <c r="I1321" s="124"/>
      <c r="J1321" s="124"/>
      <c r="K1321" s="124"/>
      <c r="L1321" s="124"/>
      <c r="M1321" s="124"/>
      <c r="N1321" s="124"/>
      <c r="O1321" s="124"/>
      <c r="P1321" s="124"/>
      <c r="Q1321" s="124"/>
      <c r="R1321" s="124"/>
      <c r="S1321" s="124"/>
      <c r="T1321" s="124"/>
      <c r="U1321" s="124"/>
      <c r="V1321" s="124"/>
      <c r="W1321" s="124"/>
      <c r="X1321" s="124"/>
      <c r="Y1321" s="124"/>
    </row>
    <row r="1322">
      <c r="A1322" s="125"/>
      <c r="B1322" s="126"/>
      <c r="C1322" s="127"/>
      <c r="D1322" s="124"/>
      <c r="E1322" s="124"/>
      <c r="F1322" s="124"/>
      <c r="G1322" s="124"/>
      <c r="H1322" s="124"/>
      <c r="I1322" s="124"/>
      <c r="J1322" s="124"/>
      <c r="K1322" s="124"/>
      <c r="L1322" s="124"/>
      <c r="M1322" s="124"/>
      <c r="N1322" s="124"/>
      <c r="O1322" s="124"/>
      <c r="P1322" s="124"/>
      <c r="Q1322" s="124"/>
      <c r="R1322" s="124"/>
      <c r="S1322" s="124"/>
      <c r="T1322" s="124"/>
      <c r="U1322" s="124"/>
      <c r="V1322" s="124"/>
      <c r="W1322" s="124"/>
      <c r="X1322" s="124"/>
      <c r="Y1322" s="124"/>
    </row>
    <row r="1323">
      <c r="A1323" s="125"/>
      <c r="B1323" s="126"/>
      <c r="C1323" s="127"/>
      <c r="D1323" s="124"/>
      <c r="E1323" s="124"/>
      <c r="F1323" s="124"/>
      <c r="G1323" s="124"/>
      <c r="H1323" s="124"/>
      <c r="I1323" s="124"/>
      <c r="J1323" s="124"/>
      <c r="K1323" s="124"/>
      <c r="L1323" s="124"/>
      <c r="M1323" s="124"/>
      <c r="N1323" s="124"/>
      <c r="O1323" s="124"/>
      <c r="P1323" s="124"/>
      <c r="Q1323" s="124"/>
      <c r="R1323" s="124"/>
      <c r="S1323" s="124"/>
      <c r="T1323" s="124"/>
      <c r="U1323" s="124"/>
      <c r="V1323" s="124"/>
      <c r="W1323" s="124"/>
      <c r="X1323" s="124"/>
      <c r="Y1323" s="124"/>
    </row>
    <row r="1324">
      <c r="A1324" s="125"/>
      <c r="B1324" s="126"/>
      <c r="C1324" s="127"/>
      <c r="D1324" s="124"/>
      <c r="E1324" s="124"/>
      <c r="F1324" s="124"/>
      <c r="G1324" s="124"/>
      <c r="H1324" s="124"/>
      <c r="I1324" s="124"/>
      <c r="J1324" s="124"/>
      <c r="K1324" s="124"/>
      <c r="L1324" s="124"/>
      <c r="M1324" s="124"/>
      <c r="N1324" s="124"/>
      <c r="O1324" s="124"/>
      <c r="P1324" s="124"/>
      <c r="Q1324" s="124"/>
      <c r="R1324" s="124"/>
      <c r="S1324" s="124"/>
      <c r="T1324" s="124"/>
      <c r="U1324" s="124"/>
      <c r="V1324" s="124"/>
      <c r="W1324" s="124"/>
      <c r="X1324" s="124"/>
      <c r="Y1324" s="124"/>
    </row>
    <row r="1325">
      <c r="A1325" s="125"/>
      <c r="B1325" s="126"/>
      <c r="C1325" s="127"/>
      <c r="D1325" s="124"/>
      <c r="E1325" s="124"/>
      <c r="F1325" s="124"/>
      <c r="G1325" s="124"/>
      <c r="H1325" s="124"/>
      <c r="I1325" s="124"/>
      <c r="J1325" s="124"/>
      <c r="K1325" s="124"/>
      <c r="L1325" s="124"/>
      <c r="M1325" s="124"/>
      <c r="N1325" s="124"/>
      <c r="O1325" s="124"/>
      <c r="P1325" s="124"/>
      <c r="Q1325" s="124"/>
      <c r="R1325" s="124"/>
      <c r="S1325" s="124"/>
      <c r="T1325" s="124"/>
      <c r="U1325" s="124"/>
      <c r="V1325" s="124"/>
      <c r="W1325" s="124"/>
      <c r="X1325" s="124"/>
      <c r="Y1325" s="124"/>
    </row>
    <row r="1326">
      <c r="A1326" s="125"/>
      <c r="B1326" s="126"/>
      <c r="C1326" s="127"/>
      <c r="D1326" s="124"/>
      <c r="E1326" s="124"/>
      <c r="F1326" s="124"/>
      <c r="G1326" s="124"/>
      <c r="H1326" s="124"/>
      <c r="I1326" s="124"/>
      <c r="J1326" s="124"/>
      <c r="K1326" s="124"/>
      <c r="L1326" s="124"/>
      <c r="M1326" s="124"/>
      <c r="N1326" s="124"/>
      <c r="O1326" s="124"/>
      <c r="P1326" s="124"/>
      <c r="Q1326" s="124"/>
      <c r="R1326" s="124"/>
      <c r="S1326" s="124"/>
      <c r="T1326" s="124"/>
      <c r="U1326" s="124"/>
      <c r="V1326" s="124"/>
      <c r="W1326" s="124"/>
      <c r="X1326" s="124"/>
      <c r="Y1326" s="124"/>
    </row>
    <row r="1327">
      <c r="A1327" s="125"/>
      <c r="B1327" s="126"/>
      <c r="C1327" s="127"/>
      <c r="D1327" s="124"/>
      <c r="E1327" s="124"/>
      <c r="F1327" s="124"/>
      <c r="G1327" s="124"/>
      <c r="H1327" s="124"/>
      <c r="I1327" s="124"/>
      <c r="J1327" s="124"/>
      <c r="K1327" s="124"/>
      <c r="L1327" s="124"/>
      <c r="M1327" s="124"/>
      <c r="N1327" s="124"/>
      <c r="O1327" s="124"/>
      <c r="P1327" s="124"/>
      <c r="Q1327" s="124"/>
      <c r="R1327" s="124"/>
      <c r="S1327" s="124"/>
      <c r="T1327" s="124"/>
      <c r="U1327" s="124"/>
      <c r="V1327" s="124"/>
      <c r="W1327" s="124"/>
      <c r="X1327" s="124"/>
      <c r="Y1327" s="124"/>
    </row>
    <row r="1328">
      <c r="A1328" s="125"/>
      <c r="B1328" s="126"/>
      <c r="C1328" s="127"/>
      <c r="D1328" s="124"/>
      <c r="E1328" s="124"/>
      <c r="F1328" s="124"/>
      <c r="G1328" s="124"/>
      <c r="H1328" s="124"/>
      <c r="I1328" s="124"/>
      <c r="J1328" s="124"/>
      <c r="K1328" s="124"/>
      <c r="L1328" s="124"/>
      <c r="M1328" s="124"/>
      <c r="N1328" s="124"/>
      <c r="O1328" s="124"/>
      <c r="P1328" s="124"/>
      <c r="Q1328" s="124"/>
      <c r="R1328" s="124"/>
      <c r="S1328" s="124"/>
      <c r="T1328" s="124"/>
      <c r="U1328" s="124"/>
      <c r="V1328" s="124"/>
      <c r="W1328" s="124"/>
      <c r="X1328" s="124"/>
      <c r="Y1328" s="124"/>
    </row>
    <row r="1329">
      <c r="A1329" s="125"/>
      <c r="B1329" s="126"/>
      <c r="C1329" s="127"/>
      <c r="D1329" s="124"/>
      <c r="E1329" s="124"/>
      <c r="F1329" s="124"/>
      <c r="G1329" s="124"/>
      <c r="H1329" s="124"/>
      <c r="I1329" s="124"/>
      <c r="J1329" s="124"/>
      <c r="K1329" s="124"/>
      <c r="L1329" s="124"/>
      <c r="M1329" s="124"/>
      <c r="N1329" s="124"/>
      <c r="O1329" s="124"/>
      <c r="P1329" s="124"/>
      <c r="Q1329" s="124"/>
      <c r="R1329" s="124"/>
      <c r="S1329" s="124"/>
      <c r="T1329" s="124"/>
      <c r="U1329" s="124"/>
      <c r="V1329" s="124"/>
      <c r="W1329" s="124"/>
      <c r="X1329" s="124"/>
      <c r="Y1329" s="124"/>
    </row>
    <row r="1330">
      <c r="A1330" s="125"/>
      <c r="B1330" s="126"/>
      <c r="C1330" s="127"/>
      <c r="D1330" s="124"/>
      <c r="E1330" s="124"/>
      <c r="F1330" s="124"/>
      <c r="G1330" s="124"/>
      <c r="H1330" s="124"/>
      <c r="I1330" s="124"/>
      <c r="J1330" s="124"/>
      <c r="K1330" s="124"/>
      <c r="L1330" s="124"/>
      <c r="M1330" s="124"/>
      <c r="N1330" s="124"/>
      <c r="O1330" s="124"/>
      <c r="P1330" s="124"/>
      <c r="Q1330" s="124"/>
      <c r="R1330" s="124"/>
      <c r="S1330" s="124"/>
      <c r="T1330" s="124"/>
      <c r="U1330" s="124"/>
      <c r="V1330" s="124"/>
      <c r="W1330" s="124"/>
      <c r="X1330" s="124"/>
      <c r="Y1330" s="124"/>
    </row>
    <row r="1331">
      <c r="A1331" s="125"/>
      <c r="B1331" s="126"/>
      <c r="C1331" s="127"/>
      <c r="D1331" s="124"/>
      <c r="E1331" s="124"/>
      <c r="F1331" s="124"/>
      <c r="G1331" s="124"/>
      <c r="H1331" s="124"/>
      <c r="I1331" s="124"/>
      <c r="J1331" s="124"/>
      <c r="K1331" s="124"/>
      <c r="L1331" s="124"/>
      <c r="M1331" s="124"/>
      <c r="N1331" s="124"/>
      <c r="O1331" s="124"/>
      <c r="P1331" s="124"/>
      <c r="Q1331" s="124"/>
      <c r="R1331" s="124"/>
      <c r="S1331" s="124"/>
      <c r="T1331" s="124"/>
      <c r="U1331" s="124"/>
      <c r="V1331" s="124"/>
      <c r="W1331" s="124"/>
      <c r="X1331" s="124"/>
      <c r="Y1331" s="124"/>
    </row>
    <row r="1332">
      <c r="A1332" s="125"/>
      <c r="B1332" s="126"/>
      <c r="C1332" s="127"/>
      <c r="D1332" s="124"/>
      <c r="E1332" s="124"/>
      <c r="F1332" s="124"/>
      <c r="G1332" s="124"/>
      <c r="H1332" s="124"/>
      <c r="I1332" s="124"/>
      <c r="J1332" s="124"/>
      <c r="K1332" s="124"/>
      <c r="L1332" s="124"/>
      <c r="M1332" s="124"/>
      <c r="N1332" s="124"/>
      <c r="O1332" s="124"/>
      <c r="P1332" s="124"/>
      <c r="Q1332" s="124"/>
      <c r="R1332" s="124"/>
      <c r="S1332" s="124"/>
      <c r="T1332" s="124"/>
      <c r="U1332" s="124"/>
      <c r="V1332" s="124"/>
      <c r="W1332" s="124"/>
      <c r="X1332" s="124"/>
      <c r="Y1332" s="124"/>
    </row>
    <row r="1333">
      <c r="A1333" s="125"/>
      <c r="B1333" s="126"/>
      <c r="C1333" s="127"/>
      <c r="D1333" s="124"/>
      <c r="E1333" s="124"/>
      <c r="F1333" s="124"/>
      <c r="G1333" s="124"/>
      <c r="H1333" s="124"/>
      <c r="I1333" s="124"/>
      <c r="J1333" s="124"/>
      <c r="K1333" s="124"/>
      <c r="L1333" s="124"/>
      <c r="M1333" s="124"/>
      <c r="N1333" s="124"/>
      <c r="O1333" s="124"/>
      <c r="P1333" s="124"/>
      <c r="Q1333" s="124"/>
      <c r="R1333" s="124"/>
      <c r="S1333" s="124"/>
      <c r="T1333" s="124"/>
      <c r="U1333" s="124"/>
      <c r="V1333" s="124"/>
      <c r="W1333" s="124"/>
      <c r="X1333" s="124"/>
      <c r="Y1333" s="124"/>
    </row>
    <row r="1334">
      <c r="A1334" s="125"/>
      <c r="B1334" s="126"/>
      <c r="C1334" s="127"/>
      <c r="D1334" s="124"/>
      <c r="E1334" s="124"/>
      <c r="F1334" s="124"/>
      <c r="G1334" s="124"/>
      <c r="H1334" s="124"/>
      <c r="I1334" s="124"/>
      <c r="J1334" s="124"/>
      <c r="K1334" s="124"/>
      <c r="L1334" s="124"/>
      <c r="M1334" s="124"/>
      <c r="N1334" s="124"/>
      <c r="O1334" s="124"/>
      <c r="P1334" s="124"/>
      <c r="Q1334" s="124"/>
      <c r="R1334" s="124"/>
      <c r="S1334" s="124"/>
      <c r="T1334" s="124"/>
      <c r="U1334" s="124"/>
      <c r="V1334" s="124"/>
      <c r="W1334" s="124"/>
      <c r="X1334" s="124"/>
      <c r="Y1334" s="124"/>
    </row>
    <row r="1335">
      <c r="A1335" s="125"/>
      <c r="B1335" s="126"/>
      <c r="C1335" s="127"/>
      <c r="D1335" s="124"/>
      <c r="E1335" s="124"/>
      <c r="F1335" s="124"/>
      <c r="G1335" s="124"/>
      <c r="H1335" s="124"/>
      <c r="I1335" s="124"/>
      <c r="J1335" s="124"/>
      <c r="K1335" s="124"/>
      <c r="L1335" s="124"/>
      <c r="M1335" s="124"/>
      <c r="N1335" s="124"/>
      <c r="O1335" s="124"/>
      <c r="P1335" s="124"/>
      <c r="Q1335" s="124"/>
      <c r="R1335" s="124"/>
      <c r="S1335" s="124"/>
      <c r="T1335" s="124"/>
      <c r="U1335" s="124"/>
      <c r="V1335" s="124"/>
      <c r="W1335" s="124"/>
      <c r="X1335" s="124"/>
      <c r="Y1335" s="124"/>
    </row>
    <row r="1336">
      <c r="A1336" s="125"/>
      <c r="B1336" s="126"/>
      <c r="C1336" s="127"/>
      <c r="D1336" s="124"/>
      <c r="E1336" s="124"/>
      <c r="F1336" s="124"/>
      <c r="G1336" s="124"/>
      <c r="H1336" s="124"/>
      <c r="I1336" s="124"/>
      <c r="J1336" s="124"/>
      <c r="K1336" s="124"/>
      <c r="L1336" s="124"/>
      <c r="M1336" s="124"/>
      <c r="N1336" s="124"/>
      <c r="O1336" s="124"/>
      <c r="P1336" s="124"/>
      <c r="Q1336" s="124"/>
      <c r="R1336" s="124"/>
      <c r="S1336" s="124"/>
      <c r="T1336" s="124"/>
      <c r="U1336" s="124"/>
      <c r="V1336" s="124"/>
      <c r="W1336" s="124"/>
      <c r="X1336" s="124"/>
      <c r="Y1336" s="124"/>
    </row>
    <row r="1337">
      <c r="A1337" s="125"/>
      <c r="B1337" s="126"/>
      <c r="C1337" s="127"/>
      <c r="D1337" s="124"/>
      <c r="E1337" s="124"/>
      <c r="F1337" s="124"/>
      <c r="G1337" s="124"/>
      <c r="H1337" s="124"/>
      <c r="I1337" s="124"/>
      <c r="J1337" s="124"/>
      <c r="K1337" s="124"/>
      <c r="L1337" s="124"/>
      <c r="M1337" s="124"/>
      <c r="N1337" s="124"/>
      <c r="O1337" s="124"/>
      <c r="P1337" s="124"/>
      <c r="Q1337" s="124"/>
      <c r="R1337" s="124"/>
      <c r="S1337" s="124"/>
      <c r="T1337" s="124"/>
      <c r="U1337" s="124"/>
      <c r="V1337" s="124"/>
      <c r="W1337" s="124"/>
      <c r="X1337" s="124"/>
      <c r="Y1337" s="124"/>
    </row>
    <row r="1338">
      <c r="A1338" s="125"/>
      <c r="B1338" s="126"/>
      <c r="C1338" s="127"/>
      <c r="D1338" s="124"/>
      <c r="E1338" s="124"/>
      <c r="F1338" s="124"/>
      <c r="G1338" s="124"/>
      <c r="H1338" s="124"/>
      <c r="I1338" s="124"/>
      <c r="J1338" s="124"/>
      <c r="K1338" s="124"/>
      <c r="L1338" s="124"/>
      <c r="M1338" s="124"/>
      <c r="N1338" s="124"/>
      <c r="O1338" s="124"/>
      <c r="P1338" s="124"/>
      <c r="Q1338" s="124"/>
      <c r="R1338" s="124"/>
      <c r="S1338" s="124"/>
      <c r="T1338" s="124"/>
      <c r="U1338" s="124"/>
      <c r="V1338" s="124"/>
      <c r="W1338" s="124"/>
      <c r="X1338" s="124"/>
      <c r="Y1338" s="124"/>
    </row>
    <row r="1339">
      <c r="A1339" s="125"/>
      <c r="B1339" s="126"/>
      <c r="C1339" s="127"/>
      <c r="D1339" s="124"/>
      <c r="E1339" s="124"/>
      <c r="F1339" s="124"/>
      <c r="G1339" s="124"/>
      <c r="H1339" s="124"/>
      <c r="I1339" s="124"/>
      <c r="J1339" s="124"/>
      <c r="K1339" s="124"/>
      <c r="L1339" s="124"/>
      <c r="M1339" s="124"/>
      <c r="N1339" s="124"/>
      <c r="O1339" s="124"/>
      <c r="P1339" s="124"/>
      <c r="Q1339" s="124"/>
      <c r="R1339" s="124"/>
      <c r="S1339" s="124"/>
      <c r="T1339" s="124"/>
      <c r="U1339" s="124"/>
      <c r="V1339" s="124"/>
      <c r="W1339" s="124"/>
      <c r="X1339" s="124"/>
      <c r="Y1339" s="124"/>
    </row>
    <row r="1340">
      <c r="A1340" s="125"/>
      <c r="B1340" s="126"/>
      <c r="C1340" s="127"/>
      <c r="D1340" s="124"/>
      <c r="E1340" s="124"/>
      <c r="F1340" s="124"/>
      <c r="G1340" s="124"/>
      <c r="H1340" s="124"/>
      <c r="I1340" s="124"/>
      <c r="J1340" s="124"/>
      <c r="K1340" s="124"/>
      <c r="L1340" s="124"/>
      <c r="M1340" s="124"/>
      <c r="N1340" s="124"/>
      <c r="O1340" s="124"/>
      <c r="P1340" s="124"/>
      <c r="Q1340" s="124"/>
      <c r="R1340" s="124"/>
      <c r="S1340" s="124"/>
      <c r="T1340" s="124"/>
      <c r="U1340" s="124"/>
      <c r="V1340" s="124"/>
      <c r="W1340" s="124"/>
      <c r="X1340" s="124"/>
      <c r="Y1340" s="124"/>
    </row>
    <row r="1341">
      <c r="A1341" s="125"/>
      <c r="B1341" s="126"/>
      <c r="C1341" s="127"/>
      <c r="D1341" s="124"/>
      <c r="E1341" s="124"/>
      <c r="F1341" s="124"/>
      <c r="G1341" s="124"/>
      <c r="H1341" s="124"/>
      <c r="I1341" s="124"/>
      <c r="J1341" s="124"/>
      <c r="K1341" s="124"/>
      <c r="L1341" s="124"/>
      <c r="M1341" s="124"/>
      <c r="N1341" s="124"/>
      <c r="O1341" s="124"/>
      <c r="P1341" s="124"/>
      <c r="Q1341" s="124"/>
      <c r="R1341" s="124"/>
      <c r="S1341" s="124"/>
      <c r="T1341" s="124"/>
      <c r="U1341" s="124"/>
      <c r="V1341" s="124"/>
      <c r="W1341" s="124"/>
      <c r="X1341" s="124"/>
      <c r="Y1341" s="124"/>
    </row>
    <row r="1342">
      <c r="A1342" s="125"/>
      <c r="B1342" s="126"/>
      <c r="C1342" s="127"/>
      <c r="D1342" s="124"/>
      <c r="E1342" s="124"/>
      <c r="F1342" s="124"/>
      <c r="G1342" s="124"/>
      <c r="H1342" s="124"/>
      <c r="I1342" s="124"/>
      <c r="J1342" s="124"/>
      <c r="K1342" s="124"/>
      <c r="L1342" s="124"/>
      <c r="M1342" s="124"/>
      <c r="N1342" s="124"/>
      <c r="O1342" s="124"/>
      <c r="P1342" s="124"/>
      <c r="Q1342" s="124"/>
      <c r="R1342" s="124"/>
      <c r="S1342" s="124"/>
      <c r="T1342" s="124"/>
      <c r="U1342" s="124"/>
      <c r="V1342" s="124"/>
      <c r="W1342" s="124"/>
      <c r="X1342" s="124"/>
      <c r="Y1342" s="124"/>
    </row>
    <row r="1343">
      <c r="A1343" s="125"/>
      <c r="B1343" s="126"/>
      <c r="C1343" s="127"/>
      <c r="D1343" s="124"/>
      <c r="E1343" s="124"/>
      <c r="F1343" s="124"/>
      <c r="G1343" s="124"/>
      <c r="H1343" s="124"/>
      <c r="I1343" s="124"/>
      <c r="J1343" s="124"/>
      <c r="K1343" s="124"/>
      <c r="L1343" s="124"/>
      <c r="M1343" s="124"/>
      <c r="N1343" s="124"/>
      <c r="O1343" s="124"/>
      <c r="P1343" s="124"/>
      <c r="Q1343" s="124"/>
      <c r="R1343" s="124"/>
      <c r="S1343" s="124"/>
      <c r="T1343" s="124"/>
      <c r="U1343" s="124"/>
      <c r="V1343" s="124"/>
      <c r="W1343" s="124"/>
      <c r="X1343" s="124"/>
      <c r="Y1343" s="124"/>
    </row>
    <row r="1344">
      <c r="A1344" s="125"/>
      <c r="B1344" s="126"/>
      <c r="C1344" s="127"/>
      <c r="D1344" s="124"/>
      <c r="E1344" s="124"/>
      <c r="F1344" s="124"/>
      <c r="G1344" s="124"/>
      <c r="H1344" s="124"/>
      <c r="I1344" s="124"/>
      <c r="J1344" s="124"/>
      <c r="K1344" s="124"/>
      <c r="L1344" s="124"/>
      <c r="M1344" s="124"/>
      <c r="N1344" s="124"/>
      <c r="O1344" s="124"/>
      <c r="P1344" s="124"/>
      <c r="Q1344" s="124"/>
      <c r="R1344" s="124"/>
      <c r="S1344" s="124"/>
      <c r="T1344" s="124"/>
      <c r="U1344" s="124"/>
      <c r="V1344" s="124"/>
      <c r="W1344" s="124"/>
      <c r="X1344" s="124"/>
      <c r="Y1344" s="124"/>
    </row>
    <row r="1345">
      <c r="A1345" s="125"/>
      <c r="B1345" s="126"/>
      <c r="C1345" s="127"/>
      <c r="D1345" s="124"/>
      <c r="E1345" s="124"/>
      <c r="F1345" s="124"/>
      <c r="G1345" s="124"/>
      <c r="H1345" s="124"/>
      <c r="I1345" s="124"/>
      <c r="J1345" s="124"/>
      <c r="K1345" s="124"/>
      <c r="L1345" s="124"/>
      <c r="M1345" s="124"/>
      <c r="N1345" s="124"/>
      <c r="O1345" s="124"/>
      <c r="P1345" s="124"/>
      <c r="Q1345" s="124"/>
      <c r="R1345" s="124"/>
      <c r="S1345" s="124"/>
      <c r="T1345" s="124"/>
      <c r="U1345" s="124"/>
      <c r="V1345" s="124"/>
      <c r="W1345" s="124"/>
      <c r="X1345" s="124"/>
      <c r="Y1345" s="124"/>
    </row>
    <row r="1346">
      <c r="A1346" s="125"/>
      <c r="B1346" s="126"/>
      <c r="C1346" s="127"/>
      <c r="D1346" s="124"/>
      <c r="E1346" s="124"/>
      <c r="F1346" s="124"/>
      <c r="G1346" s="124"/>
      <c r="H1346" s="124"/>
      <c r="I1346" s="124"/>
      <c r="J1346" s="124"/>
      <c r="K1346" s="124"/>
      <c r="L1346" s="124"/>
      <c r="M1346" s="124"/>
      <c r="N1346" s="124"/>
      <c r="O1346" s="124"/>
      <c r="P1346" s="124"/>
      <c r="Q1346" s="124"/>
      <c r="R1346" s="124"/>
      <c r="S1346" s="124"/>
      <c r="T1346" s="124"/>
      <c r="U1346" s="124"/>
      <c r="V1346" s="124"/>
      <c r="W1346" s="124"/>
      <c r="X1346" s="124"/>
      <c r="Y1346" s="124"/>
    </row>
    <row r="1347">
      <c r="A1347" s="125"/>
      <c r="B1347" s="126"/>
      <c r="C1347" s="127"/>
      <c r="D1347" s="124"/>
      <c r="E1347" s="124"/>
      <c r="F1347" s="124"/>
      <c r="G1347" s="124"/>
      <c r="H1347" s="124"/>
      <c r="I1347" s="124"/>
      <c r="J1347" s="124"/>
      <c r="K1347" s="124"/>
      <c r="L1347" s="124"/>
      <c r="M1347" s="124"/>
      <c r="N1347" s="124"/>
      <c r="O1347" s="124"/>
      <c r="P1347" s="124"/>
      <c r="Q1347" s="124"/>
      <c r="R1347" s="124"/>
      <c r="S1347" s="124"/>
      <c r="T1347" s="124"/>
      <c r="U1347" s="124"/>
      <c r="V1347" s="124"/>
      <c r="W1347" s="124"/>
      <c r="X1347" s="124"/>
      <c r="Y1347" s="124"/>
    </row>
    <row r="1348">
      <c r="A1348" s="125"/>
      <c r="B1348" s="126"/>
      <c r="C1348" s="127"/>
      <c r="D1348" s="124"/>
      <c r="E1348" s="124"/>
      <c r="F1348" s="124"/>
      <c r="G1348" s="124"/>
      <c r="H1348" s="124"/>
      <c r="I1348" s="124"/>
      <c r="J1348" s="124"/>
      <c r="K1348" s="124"/>
      <c r="L1348" s="124"/>
      <c r="M1348" s="124"/>
      <c r="N1348" s="124"/>
      <c r="O1348" s="124"/>
      <c r="P1348" s="124"/>
      <c r="Q1348" s="124"/>
      <c r="R1348" s="124"/>
      <c r="S1348" s="124"/>
      <c r="T1348" s="124"/>
      <c r="U1348" s="124"/>
      <c r="V1348" s="124"/>
      <c r="W1348" s="124"/>
      <c r="X1348" s="124"/>
      <c r="Y1348" s="124"/>
    </row>
    <row r="1349">
      <c r="A1349" s="125"/>
      <c r="B1349" s="126"/>
      <c r="C1349" s="127"/>
      <c r="D1349" s="124"/>
      <c r="E1349" s="124"/>
      <c r="F1349" s="124"/>
      <c r="G1349" s="124"/>
      <c r="H1349" s="124"/>
      <c r="I1349" s="124"/>
      <c r="J1349" s="124"/>
      <c r="K1349" s="124"/>
      <c r="L1349" s="124"/>
      <c r="M1349" s="124"/>
      <c r="N1349" s="124"/>
      <c r="O1349" s="124"/>
      <c r="P1349" s="124"/>
      <c r="Q1349" s="124"/>
      <c r="R1349" s="124"/>
      <c r="S1349" s="124"/>
      <c r="T1349" s="124"/>
      <c r="U1349" s="124"/>
      <c r="V1349" s="124"/>
      <c r="W1349" s="124"/>
      <c r="X1349" s="124"/>
      <c r="Y1349" s="124"/>
    </row>
    <row r="1350">
      <c r="A1350" s="125"/>
      <c r="B1350" s="126"/>
      <c r="C1350" s="127"/>
      <c r="D1350" s="124"/>
      <c r="E1350" s="124"/>
      <c r="F1350" s="124"/>
      <c r="G1350" s="124"/>
      <c r="H1350" s="124"/>
      <c r="I1350" s="124"/>
      <c r="J1350" s="124"/>
      <c r="K1350" s="124"/>
      <c r="L1350" s="124"/>
      <c r="M1350" s="124"/>
      <c r="N1350" s="124"/>
      <c r="O1350" s="124"/>
      <c r="P1350" s="124"/>
      <c r="Q1350" s="124"/>
      <c r="R1350" s="124"/>
      <c r="S1350" s="124"/>
      <c r="T1350" s="124"/>
      <c r="U1350" s="124"/>
      <c r="V1350" s="124"/>
      <c r="W1350" s="124"/>
      <c r="X1350" s="124"/>
      <c r="Y1350" s="124"/>
    </row>
    <row r="1351">
      <c r="A1351" s="125"/>
      <c r="B1351" s="126"/>
      <c r="C1351" s="127"/>
      <c r="D1351" s="124"/>
      <c r="E1351" s="124"/>
      <c r="F1351" s="124"/>
      <c r="G1351" s="124"/>
      <c r="H1351" s="124"/>
      <c r="I1351" s="124"/>
      <c r="J1351" s="124"/>
      <c r="K1351" s="124"/>
      <c r="L1351" s="124"/>
      <c r="M1351" s="124"/>
      <c r="N1351" s="124"/>
      <c r="O1351" s="124"/>
      <c r="P1351" s="124"/>
      <c r="Q1351" s="124"/>
      <c r="R1351" s="124"/>
      <c r="S1351" s="124"/>
      <c r="T1351" s="124"/>
      <c r="U1351" s="124"/>
      <c r="V1351" s="124"/>
      <c r="W1351" s="124"/>
      <c r="X1351" s="124"/>
      <c r="Y1351" s="124"/>
    </row>
    <row r="1352">
      <c r="A1352" s="125"/>
      <c r="B1352" s="126"/>
      <c r="C1352" s="127"/>
      <c r="D1352" s="124"/>
      <c r="E1352" s="124"/>
      <c r="F1352" s="124"/>
      <c r="G1352" s="124"/>
      <c r="H1352" s="124"/>
      <c r="I1352" s="124"/>
      <c r="J1352" s="124"/>
      <c r="K1352" s="124"/>
      <c r="L1352" s="124"/>
      <c r="M1352" s="124"/>
      <c r="N1352" s="124"/>
      <c r="O1352" s="124"/>
      <c r="P1352" s="124"/>
      <c r="Q1352" s="124"/>
      <c r="R1352" s="124"/>
      <c r="S1352" s="124"/>
      <c r="T1352" s="124"/>
      <c r="U1352" s="124"/>
      <c r="V1352" s="124"/>
      <c r="W1352" s="124"/>
      <c r="X1352" s="124"/>
      <c r="Y1352" s="124"/>
    </row>
    <row r="1353">
      <c r="A1353" s="125"/>
      <c r="B1353" s="126"/>
      <c r="C1353" s="127"/>
      <c r="D1353" s="124"/>
      <c r="E1353" s="124"/>
      <c r="F1353" s="124"/>
      <c r="G1353" s="124"/>
      <c r="H1353" s="124"/>
      <c r="I1353" s="124"/>
      <c r="J1353" s="124"/>
      <c r="K1353" s="124"/>
      <c r="L1353" s="124"/>
      <c r="M1353" s="124"/>
      <c r="N1353" s="124"/>
      <c r="O1353" s="124"/>
      <c r="P1353" s="124"/>
      <c r="Q1353" s="124"/>
      <c r="R1353" s="124"/>
      <c r="S1353" s="124"/>
      <c r="T1353" s="124"/>
      <c r="U1353" s="124"/>
      <c r="V1353" s="124"/>
      <c r="W1353" s="124"/>
      <c r="X1353" s="124"/>
      <c r="Y1353" s="124"/>
    </row>
    <row r="1354">
      <c r="A1354" s="125"/>
      <c r="B1354" s="126"/>
      <c r="C1354" s="127"/>
      <c r="D1354" s="124"/>
      <c r="E1354" s="124"/>
      <c r="F1354" s="124"/>
      <c r="G1354" s="124"/>
      <c r="H1354" s="124"/>
      <c r="I1354" s="124"/>
      <c r="J1354" s="124"/>
      <c r="K1354" s="124"/>
      <c r="L1354" s="124"/>
      <c r="M1354" s="124"/>
      <c r="N1354" s="124"/>
      <c r="O1354" s="124"/>
      <c r="P1354" s="124"/>
      <c r="Q1354" s="124"/>
      <c r="R1354" s="124"/>
      <c r="S1354" s="124"/>
      <c r="T1354" s="124"/>
      <c r="U1354" s="124"/>
      <c r="V1354" s="124"/>
      <c r="W1354" s="124"/>
      <c r="X1354" s="124"/>
      <c r="Y1354" s="124"/>
    </row>
    <row r="1355">
      <c r="A1355" s="125"/>
      <c r="B1355" s="126"/>
      <c r="C1355" s="127"/>
      <c r="D1355" s="124"/>
      <c r="E1355" s="124"/>
      <c r="F1355" s="124"/>
      <c r="G1355" s="124"/>
      <c r="H1355" s="124"/>
      <c r="I1355" s="124"/>
      <c r="J1355" s="124"/>
      <c r="K1355" s="124"/>
      <c r="L1355" s="124"/>
      <c r="M1355" s="124"/>
      <c r="N1355" s="124"/>
      <c r="O1355" s="124"/>
      <c r="P1355" s="124"/>
      <c r="Q1355" s="124"/>
      <c r="R1355" s="124"/>
      <c r="S1355" s="124"/>
      <c r="T1355" s="124"/>
      <c r="U1355" s="124"/>
      <c r="V1355" s="124"/>
      <c r="W1355" s="124"/>
      <c r="X1355" s="124"/>
      <c r="Y1355" s="124"/>
    </row>
    <row r="1356">
      <c r="A1356" s="125"/>
      <c r="B1356" s="126"/>
      <c r="C1356" s="127"/>
      <c r="D1356" s="124"/>
      <c r="E1356" s="124"/>
      <c r="F1356" s="124"/>
      <c r="G1356" s="124"/>
      <c r="H1356" s="124"/>
      <c r="I1356" s="124"/>
      <c r="J1356" s="124"/>
      <c r="K1356" s="124"/>
      <c r="L1356" s="124"/>
      <c r="M1356" s="124"/>
      <c r="N1356" s="124"/>
      <c r="O1356" s="124"/>
      <c r="P1356" s="124"/>
      <c r="Q1356" s="124"/>
      <c r="R1356" s="124"/>
      <c r="S1356" s="124"/>
      <c r="T1356" s="124"/>
      <c r="U1356" s="124"/>
      <c r="V1356" s="124"/>
      <c r="W1356" s="124"/>
      <c r="X1356" s="124"/>
      <c r="Y1356" s="124"/>
    </row>
    <row r="1357">
      <c r="A1357" s="125"/>
      <c r="B1357" s="126"/>
      <c r="C1357" s="127"/>
      <c r="D1357" s="124"/>
      <c r="E1357" s="124"/>
      <c r="F1357" s="124"/>
      <c r="G1357" s="124"/>
      <c r="H1357" s="124"/>
      <c r="I1357" s="124"/>
      <c r="J1357" s="124"/>
      <c r="K1357" s="124"/>
      <c r="L1357" s="124"/>
      <c r="M1357" s="124"/>
      <c r="N1357" s="124"/>
      <c r="O1357" s="124"/>
      <c r="P1357" s="124"/>
      <c r="Q1357" s="124"/>
      <c r="R1357" s="124"/>
      <c r="S1357" s="124"/>
      <c r="T1357" s="124"/>
      <c r="U1357" s="124"/>
      <c r="V1357" s="124"/>
      <c r="W1357" s="124"/>
      <c r="X1357" s="124"/>
      <c r="Y1357" s="124"/>
    </row>
    <row r="1358">
      <c r="A1358" s="125"/>
      <c r="B1358" s="126"/>
      <c r="C1358" s="127"/>
      <c r="D1358" s="124"/>
      <c r="E1358" s="124"/>
      <c r="F1358" s="124"/>
      <c r="G1358" s="124"/>
      <c r="H1358" s="124"/>
      <c r="I1358" s="124"/>
      <c r="J1358" s="124"/>
      <c r="K1358" s="124"/>
      <c r="L1358" s="124"/>
      <c r="M1358" s="124"/>
      <c r="N1358" s="124"/>
      <c r="O1358" s="124"/>
      <c r="P1358" s="124"/>
      <c r="Q1358" s="124"/>
      <c r="R1358" s="124"/>
      <c r="S1358" s="124"/>
      <c r="T1358" s="124"/>
      <c r="U1358" s="124"/>
      <c r="V1358" s="124"/>
      <c r="W1358" s="124"/>
      <c r="X1358" s="124"/>
      <c r="Y1358" s="124"/>
    </row>
    <row r="1359">
      <c r="A1359" s="125"/>
      <c r="B1359" s="126"/>
      <c r="C1359" s="127"/>
      <c r="D1359" s="124"/>
      <c r="E1359" s="124"/>
      <c r="F1359" s="124"/>
      <c r="G1359" s="124"/>
      <c r="H1359" s="124"/>
      <c r="I1359" s="124"/>
      <c r="J1359" s="124"/>
      <c r="K1359" s="124"/>
      <c r="L1359" s="124"/>
      <c r="M1359" s="124"/>
      <c r="N1359" s="124"/>
      <c r="O1359" s="124"/>
      <c r="P1359" s="124"/>
      <c r="Q1359" s="124"/>
      <c r="R1359" s="124"/>
      <c r="S1359" s="124"/>
      <c r="T1359" s="124"/>
      <c r="U1359" s="124"/>
      <c r="V1359" s="124"/>
      <c r="W1359" s="124"/>
      <c r="X1359" s="124"/>
      <c r="Y1359" s="124"/>
    </row>
    <row r="1360">
      <c r="A1360" s="125"/>
      <c r="B1360" s="126"/>
      <c r="C1360" s="127"/>
      <c r="D1360" s="124"/>
      <c r="E1360" s="124"/>
      <c r="F1360" s="124"/>
      <c r="G1360" s="124"/>
      <c r="H1360" s="124"/>
      <c r="I1360" s="124"/>
      <c r="J1360" s="124"/>
      <c r="K1360" s="124"/>
      <c r="L1360" s="124"/>
      <c r="M1360" s="124"/>
      <c r="N1360" s="124"/>
      <c r="O1360" s="124"/>
      <c r="P1360" s="124"/>
      <c r="Q1360" s="124"/>
      <c r="R1360" s="124"/>
      <c r="S1360" s="124"/>
      <c r="T1360" s="124"/>
      <c r="U1360" s="124"/>
      <c r="V1360" s="124"/>
      <c r="W1360" s="124"/>
      <c r="X1360" s="124"/>
      <c r="Y1360" s="124"/>
    </row>
    <row r="1361">
      <c r="A1361" s="125"/>
      <c r="B1361" s="126"/>
      <c r="C1361" s="127"/>
      <c r="D1361" s="124"/>
      <c r="E1361" s="124"/>
      <c r="F1361" s="124"/>
      <c r="G1361" s="124"/>
      <c r="H1361" s="124"/>
      <c r="I1361" s="124"/>
      <c r="J1361" s="124"/>
      <c r="K1361" s="124"/>
      <c r="L1361" s="124"/>
      <c r="M1361" s="124"/>
      <c r="N1361" s="124"/>
      <c r="O1361" s="124"/>
      <c r="P1361" s="124"/>
      <c r="Q1361" s="124"/>
      <c r="R1361" s="124"/>
      <c r="S1361" s="124"/>
      <c r="T1361" s="124"/>
      <c r="U1361" s="124"/>
      <c r="V1361" s="124"/>
      <c r="W1361" s="124"/>
      <c r="X1361" s="124"/>
      <c r="Y1361" s="124"/>
    </row>
    <row r="1362">
      <c r="A1362" s="125"/>
      <c r="B1362" s="126"/>
      <c r="C1362" s="127"/>
      <c r="D1362" s="124"/>
      <c r="E1362" s="124"/>
      <c r="F1362" s="124"/>
      <c r="G1362" s="124"/>
      <c r="H1362" s="124"/>
      <c r="I1362" s="124"/>
      <c r="J1362" s="124"/>
      <c r="K1362" s="124"/>
      <c r="L1362" s="124"/>
      <c r="M1362" s="124"/>
      <c r="N1362" s="124"/>
      <c r="O1362" s="124"/>
      <c r="P1362" s="124"/>
      <c r="Q1362" s="124"/>
      <c r="R1362" s="124"/>
      <c r="S1362" s="124"/>
      <c r="T1362" s="124"/>
      <c r="U1362" s="124"/>
      <c r="V1362" s="124"/>
      <c r="W1362" s="124"/>
      <c r="X1362" s="124"/>
      <c r="Y1362" s="124"/>
    </row>
    <row r="1363">
      <c r="A1363" s="125"/>
      <c r="B1363" s="126"/>
      <c r="C1363" s="127"/>
      <c r="D1363" s="124"/>
      <c r="E1363" s="124"/>
      <c r="F1363" s="124"/>
      <c r="G1363" s="124"/>
      <c r="H1363" s="124"/>
      <c r="I1363" s="124"/>
      <c r="J1363" s="124"/>
      <c r="K1363" s="124"/>
      <c r="L1363" s="124"/>
      <c r="M1363" s="124"/>
      <c r="N1363" s="124"/>
      <c r="O1363" s="124"/>
      <c r="P1363" s="124"/>
      <c r="Q1363" s="124"/>
      <c r="R1363" s="124"/>
      <c r="S1363" s="124"/>
      <c r="T1363" s="124"/>
      <c r="U1363" s="124"/>
      <c r="V1363" s="124"/>
      <c r="W1363" s="124"/>
      <c r="X1363" s="124"/>
      <c r="Y1363" s="124"/>
    </row>
    <row r="1364">
      <c r="A1364" s="125"/>
      <c r="B1364" s="126"/>
      <c r="C1364" s="127"/>
      <c r="D1364" s="124"/>
      <c r="E1364" s="124"/>
      <c r="F1364" s="124"/>
      <c r="G1364" s="124"/>
      <c r="H1364" s="124"/>
      <c r="I1364" s="124"/>
      <c r="J1364" s="124"/>
      <c r="K1364" s="124"/>
      <c r="L1364" s="124"/>
      <c r="M1364" s="124"/>
      <c r="N1364" s="124"/>
      <c r="O1364" s="124"/>
      <c r="P1364" s="124"/>
      <c r="Q1364" s="124"/>
      <c r="R1364" s="124"/>
      <c r="S1364" s="124"/>
      <c r="T1364" s="124"/>
      <c r="U1364" s="124"/>
      <c r="V1364" s="124"/>
      <c r="W1364" s="124"/>
      <c r="X1364" s="124"/>
      <c r="Y1364" s="124"/>
    </row>
    <row r="1365">
      <c r="A1365" s="125"/>
      <c r="B1365" s="126"/>
      <c r="C1365" s="127"/>
      <c r="D1365" s="124"/>
      <c r="E1365" s="124"/>
      <c r="F1365" s="124"/>
      <c r="G1365" s="124"/>
      <c r="H1365" s="124"/>
      <c r="I1365" s="124"/>
      <c r="J1365" s="124"/>
      <c r="K1365" s="124"/>
      <c r="L1365" s="124"/>
      <c r="M1365" s="124"/>
      <c r="N1365" s="124"/>
      <c r="O1365" s="124"/>
      <c r="P1365" s="124"/>
      <c r="Q1365" s="124"/>
      <c r="R1365" s="124"/>
      <c r="S1365" s="124"/>
      <c r="T1365" s="124"/>
      <c r="U1365" s="124"/>
      <c r="V1365" s="124"/>
      <c r="W1365" s="124"/>
      <c r="X1365" s="124"/>
      <c r="Y1365" s="124"/>
    </row>
    <row r="1366">
      <c r="A1366" s="125"/>
      <c r="B1366" s="126"/>
      <c r="C1366" s="127"/>
      <c r="D1366" s="124"/>
      <c r="E1366" s="124"/>
      <c r="F1366" s="124"/>
      <c r="G1366" s="124"/>
      <c r="H1366" s="124"/>
      <c r="I1366" s="124"/>
      <c r="J1366" s="124"/>
      <c r="K1366" s="124"/>
      <c r="L1366" s="124"/>
      <c r="M1366" s="124"/>
      <c r="N1366" s="124"/>
      <c r="O1366" s="124"/>
      <c r="P1366" s="124"/>
      <c r="Q1366" s="124"/>
      <c r="R1366" s="124"/>
      <c r="S1366" s="124"/>
      <c r="T1366" s="124"/>
      <c r="U1366" s="124"/>
      <c r="V1366" s="124"/>
      <c r="W1366" s="124"/>
      <c r="X1366" s="124"/>
      <c r="Y1366" s="124"/>
    </row>
    <row r="1367">
      <c r="A1367" s="125"/>
      <c r="B1367" s="126"/>
      <c r="C1367" s="127"/>
      <c r="D1367" s="124"/>
      <c r="E1367" s="124"/>
      <c r="F1367" s="124"/>
      <c r="G1367" s="124"/>
      <c r="H1367" s="124"/>
      <c r="I1367" s="124"/>
      <c r="J1367" s="124"/>
      <c r="K1367" s="124"/>
      <c r="L1367" s="124"/>
      <c r="M1367" s="124"/>
      <c r="N1367" s="124"/>
      <c r="O1367" s="124"/>
      <c r="P1367" s="124"/>
      <c r="Q1367" s="124"/>
      <c r="R1367" s="124"/>
      <c r="S1367" s="124"/>
      <c r="T1367" s="124"/>
      <c r="U1367" s="124"/>
      <c r="V1367" s="124"/>
      <c r="W1367" s="124"/>
      <c r="X1367" s="124"/>
      <c r="Y1367" s="124"/>
    </row>
    <row r="1368">
      <c r="A1368" s="125"/>
      <c r="B1368" s="126"/>
      <c r="C1368" s="127"/>
      <c r="D1368" s="124"/>
      <c r="E1368" s="124"/>
      <c r="F1368" s="124"/>
      <c r="G1368" s="124"/>
      <c r="H1368" s="124"/>
      <c r="I1368" s="124"/>
      <c r="J1368" s="124"/>
      <c r="K1368" s="124"/>
      <c r="L1368" s="124"/>
      <c r="M1368" s="124"/>
      <c r="N1368" s="124"/>
      <c r="O1368" s="124"/>
      <c r="P1368" s="124"/>
      <c r="Q1368" s="124"/>
      <c r="R1368" s="124"/>
      <c r="S1368" s="124"/>
      <c r="T1368" s="124"/>
      <c r="U1368" s="124"/>
      <c r="V1368" s="124"/>
      <c r="W1368" s="124"/>
      <c r="X1368" s="124"/>
      <c r="Y1368" s="124"/>
    </row>
    <row r="1369">
      <c r="A1369" s="125"/>
      <c r="B1369" s="126"/>
      <c r="C1369" s="127"/>
      <c r="D1369" s="124"/>
      <c r="E1369" s="124"/>
      <c r="F1369" s="124"/>
      <c r="G1369" s="124"/>
      <c r="H1369" s="124"/>
      <c r="I1369" s="124"/>
      <c r="J1369" s="124"/>
      <c r="K1369" s="124"/>
      <c r="L1369" s="124"/>
      <c r="M1369" s="124"/>
      <c r="N1369" s="124"/>
      <c r="O1369" s="124"/>
      <c r="P1369" s="124"/>
      <c r="Q1369" s="124"/>
      <c r="R1369" s="124"/>
      <c r="S1369" s="124"/>
      <c r="T1369" s="124"/>
      <c r="U1369" s="124"/>
      <c r="V1369" s="124"/>
      <c r="W1369" s="124"/>
      <c r="X1369" s="124"/>
      <c r="Y1369" s="124"/>
    </row>
    <row r="1370">
      <c r="A1370" s="125"/>
      <c r="B1370" s="126"/>
      <c r="C1370" s="127"/>
      <c r="D1370" s="124"/>
      <c r="E1370" s="124"/>
      <c r="F1370" s="124"/>
      <c r="G1370" s="124"/>
      <c r="H1370" s="124"/>
      <c r="I1370" s="124"/>
      <c r="J1370" s="124"/>
      <c r="K1370" s="124"/>
      <c r="L1370" s="124"/>
      <c r="M1370" s="124"/>
      <c r="N1370" s="124"/>
      <c r="O1370" s="124"/>
      <c r="P1370" s="124"/>
      <c r="Q1370" s="124"/>
      <c r="R1370" s="124"/>
      <c r="S1370" s="124"/>
      <c r="T1370" s="124"/>
      <c r="U1370" s="124"/>
      <c r="V1370" s="124"/>
      <c r="W1370" s="124"/>
      <c r="X1370" s="124"/>
      <c r="Y1370" s="124"/>
    </row>
    <row r="1371">
      <c r="A1371" s="125"/>
      <c r="B1371" s="126"/>
      <c r="C1371" s="127"/>
      <c r="D1371" s="124"/>
      <c r="E1371" s="124"/>
      <c r="F1371" s="124"/>
      <c r="G1371" s="124"/>
      <c r="H1371" s="124"/>
      <c r="I1371" s="124"/>
      <c r="J1371" s="124"/>
      <c r="K1371" s="124"/>
      <c r="L1371" s="124"/>
      <c r="M1371" s="124"/>
      <c r="N1371" s="124"/>
      <c r="O1371" s="124"/>
      <c r="P1371" s="124"/>
      <c r="Q1371" s="124"/>
      <c r="R1371" s="124"/>
      <c r="S1371" s="124"/>
      <c r="T1371" s="124"/>
      <c r="U1371" s="124"/>
      <c r="V1371" s="124"/>
      <c r="W1371" s="124"/>
      <c r="X1371" s="124"/>
      <c r="Y1371" s="124"/>
    </row>
    <row r="1372">
      <c r="A1372" s="125"/>
      <c r="B1372" s="126"/>
      <c r="C1372" s="127"/>
      <c r="D1372" s="124"/>
      <c r="E1372" s="124"/>
      <c r="F1372" s="124"/>
      <c r="G1372" s="124"/>
      <c r="H1372" s="124"/>
      <c r="I1372" s="124"/>
      <c r="J1372" s="124"/>
      <c r="K1372" s="124"/>
      <c r="L1372" s="124"/>
      <c r="M1372" s="124"/>
      <c r="N1372" s="124"/>
      <c r="O1372" s="124"/>
      <c r="P1372" s="124"/>
      <c r="Q1372" s="124"/>
      <c r="R1372" s="124"/>
      <c r="S1372" s="124"/>
      <c r="T1372" s="124"/>
      <c r="U1372" s="124"/>
      <c r="V1372" s="124"/>
      <c r="W1372" s="124"/>
      <c r="X1372" s="124"/>
      <c r="Y1372" s="124"/>
    </row>
    <row r="1373">
      <c r="A1373" s="125"/>
      <c r="B1373" s="126"/>
      <c r="C1373" s="127"/>
      <c r="D1373" s="124"/>
      <c r="E1373" s="124"/>
      <c r="F1373" s="124"/>
      <c r="G1373" s="124"/>
      <c r="H1373" s="124"/>
      <c r="I1373" s="124"/>
      <c r="J1373" s="124"/>
      <c r="K1373" s="124"/>
      <c r="L1373" s="124"/>
      <c r="M1373" s="124"/>
      <c r="N1373" s="124"/>
      <c r="O1373" s="124"/>
      <c r="P1373" s="124"/>
      <c r="Q1373" s="124"/>
      <c r="R1373" s="124"/>
      <c r="S1373" s="124"/>
      <c r="T1373" s="124"/>
      <c r="U1373" s="124"/>
      <c r="V1373" s="124"/>
      <c r="W1373" s="124"/>
      <c r="X1373" s="124"/>
      <c r="Y1373" s="124"/>
    </row>
    <row r="1374">
      <c r="A1374" s="125"/>
      <c r="B1374" s="126"/>
      <c r="C1374" s="127"/>
      <c r="D1374" s="124"/>
      <c r="E1374" s="124"/>
      <c r="F1374" s="124"/>
      <c r="G1374" s="124"/>
      <c r="H1374" s="124"/>
      <c r="I1374" s="124"/>
      <c r="J1374" s="124"/>
      <c r="K1374" s="124"/>
      <c r="L1374" s="124"/>
      <c r="M1374" s="124"/>
      <c r="N1374" s="124"/>
      <c r="O1374" s="124"/>
      <c r="P1374" s="124"/>
      <c r="Q1374" s="124"/>
      <c r="R1374" s="124"/>
      <c r="S1374" s="124"/>
      <c r="T1374" s="124"/>
      <c r="U1374" s="124"/>
      <c r="V1374" s="124"/>
      <c r="W1374" s="124"/>
      <c r="X1374" s="124"/>
      <c r="Y1374" s="124"/>
    </row>
    <row r="1375">
      <c r="A1375" s="125"/>
      <c r="B1375" s="126"/>
      <c r="C1375" s="127"/>
      <c r="D1375" s="124"/>
      <c r="E1375" s="124"/>
      <c r="F1375" s="124"/>
      <c r="G1375" s="124"/>
      <c r="H1375" s="124"/>
      <c r="I1375" s="124"/>
      <c r="J1375" s="124"/>
      <c r="K1375" s="124"/>
      <c r="L1375" s="124"/>
      <c r="M1375" s="124"/>
      <c r="N1375" s="124"/>
      <c r="O1375" s="124"/>
      <c r="P1375" s="124"/>
      <c r="Q1375" s="124"/>
      <c r="R1375" s="124"/>
      <c r="S1375" s="124"/>
      <c r="T1375" s="124"/>
      <c r="U1375" s="124"/>
      <c r="V1375" s="124"/>
      <c r="W1375" s="124"/>
      <c r="X1375" s="124"/>
      <c r="Y1375" s="124"/>
    </row>
    <row r="1376">
      <c r="A1376" s="125"/>
      <c r="B1376" s="126"/>
      <c r="C1376" s="127"/>
      <c r="D1376" s="124"/>
      <c r="E1376" s="124"/>
      <c r="F1376" s="124"/>
      <c r="G1376" s="124"/>
      <c r="H1376" s="124"/>
      <c r="I1376" s="124"/>
      <c r="J1376" s="124"/>
      <c r="K1376" s="124"/>
      <c r="L1376" s="124"/>
      <c r="M1376" s="124"/>
      <c r="N1376" s="124"/>
      <c r="O1376" s="124"/>
      <c r="P1376" s="124"/>
      <c r="Q1376" s="124"/>
      <c r="R1376" s="124"/>
      <c r="S1376" s="124"/>
      <c r="T1376" s="124"/>
      <c r="U1376" s="124"/>
      <c r="V1376" s="124"/>
      <c r="W1376" s="124"/>
      <c r="X1376" s="124"/>
      <c r="Y1376" s="124"/>
    </row>
    <row r="1377">
      <c r="A1377" s="125"/>
      <c r="B1377" s="126"/>
      <c r="C1377" s="127"/>
      <c r="D1377" s="124"/>
      <c r="E1377" s="124"/>
      <c r="F1377" s="124"/>
      <c r="G1377" s="124"/>
      <c r="H1377" s="124"/>
      <c r="I1377" s="124"/>
      <c r="J1377" s="124"/>
      <c r="K1377" s="124"/>
      <c r="L1377" s="124"/>
      <c r="M1377" s="124"/>
      <c r="N1377" s="124"/>
      <c r="O1377" s="124"/>
      <c r="P1377" s="124"/>
      <c r="Q1377" s="124"/>
      <c r="R1377" s="124"/>
      <c r="S1377" s="124"/>
      <c r="T1377" s="124"/>
      <c r="U1377" s="124"/>
      <c r="V1377" s="124"/>
      <c r="W1377" s="124"/>
      <c r="X1377" s="124"/>
      <c r="Y1377" s="124"/>
    </row>
    <row r="1378">
      <c r="A1378" s="125"/>
      <c r="B1378" s="126"/>
      <c r="C1378" s="127"/>
      <c r="D1378" s="124"/>
      <c r="E1378" s="124"/>
      <c r="F1378" s="124"/>
      <c r="G1378" s="124"/>
      <c r="H1378" s="124"/>
      <c r="I1378" s="124"/>
      <c r="J1378" s="124"/>
      <c r="K1378" s="124"/>
      <c r="L1378" s="124"/>
      <c r="M1378" s="124"/>
      <c r="N1378" s="124"/>
      <c r="O1378" s="124"/>
      <c r="P1378" s="124"/>
      <c r="Q1378" s="124"/>
      <c r="R1378" s="124"/>
      <c r="S1378" s="124"/>
      <c r="T1378" s="124"/>
      <c r="U1378" s="124"/>
      <c r="V1378" s="124"/>
      <c r="W1378" s="124"/>
      <c r="X1378" s="124"/>
      <c r="Y1378" s="124"/>
    </row>
    <row r="1379">
      <c r="A1379" s="125"/>
      <c r="B1379" s="126"/>
      <c r="C1379" s="127"/>
      <c r="D1379" s="124"/>
      <c r="E1379" s="124"/>
      <c r="F1379" s="124"/>
      <c r="G1379" s="124"/>
      <c r="H1379" s="124"/>
      <c r="I1379" s="124"/>
      <c r="J1379" s="124"/>
      <c r="K1379" s="124"/>
      <c r="L1379" s="124"/>
      <c r="M1379" s="124"/>
      <c r="N1379" s="124"/>
      <c r="O1379" s="124"/>
      <c r="P1379" s="124"/>
      <c r="Q1379" s="124"/>
      <c r="R1379" s="124"/>
      <c r="S1379" s="124"/>
      <c r="T1379" s="124"/>
      <c r="U1379" s="124"/>
      <c r="V1379" s="124"/>
      <c r="W1379" s="124"/>
      <c r="X1379" s="124"/>
      <c r="Y1379" s="124"/>
    </row>
    <row r="1380">
      <c r="A1380" s="125"/>
      <c r="B1380" s="126"/>
      <c r="C1380" s="127"/>
      <c r="D1380" s="124"/>
      <c r="E1380" s="124"/>
      <c r="F1380" s="124"/>
      <c r="G1380" s="124"/>
      <c r="H1380" s="124"/>
      <c r="I1380" s="124"/>
      <c r="J1380" s="124"/>
      <c r="K1380" s="124"/>
      <c r="L1380" s="124"/>
      <c r="M1380" s="124"/>
      <c r="N1380" s="124"/>
      <c r="O1380" s="124"/>
      <c r="P1380" s="124"/>
      <c r="Q1380" s="124"/>
      <c r="R1380" s="124"/>
      <c r="S1380" s="124"/>
      <c r="T1380" s="124"/>
      <c r="U1380" s="124"/>
      <c r="V1380" s="124"/>
      <c r="W1380" s="124"/>
      <c r="X1380" s="124"/>
      <c r="Y1380" s="124"/>
    </row>
    <row r="1381">
      <c r="A1381" s="125"/>
      <c r="B1381" s="126"/>
      <c r="C1381" s="127"/>
      <c r="D1381" s="124"/>
      <c r="E1381" s="124"/>
      <c r="F1381" s="124"/>
      <c r="G1381" s="124"/>
      <c r="H1381" s="124"/>
      <c r="I1381" s="124"/>
      <c r="J1381" s="124"/>
      <c r="K1381" s="124"/>
      <c r="L1381" s="124"/>
      <c r="M1381" s="124"/>
      <c r="N1381" s="124"/>
      <c r="O1381" s="124"/>
      <c r="P1381" s="124"/>
      <c r="Q1381" s="124"/>
      <c r="R1381" s="124"/>
      <c r="S1381" s="124"/>
      <c r="T1381" s="124"/>
      <c r="U1381" s="124"/>
      <c r="V1381" s="124"/>
      <c r="W1381" s="124"/>
      <c r="X1381" s="124"/>
      <c r="Y1381" s="124"/>
    </row>
    <row r="1382">
      <c r="A1382" s="125"/>
      <c r="B1382" s="126"/>
      <c r="C1382" s="127"/>
      <c r="D1382" s="124"/>
      <c r="E1382" s="124"/>
      <c r="F1382" s="124"/>
      <c r="G1382" s="124"/>
      <c r="H1382" s="124"/>
      <c r="I1382" s="124"/>
      <c r="J1382" s="124"/>
      <c r="K1382" s="124"/>
      <c r="L1382" s="124"/>
      <c r="M1382" s="124"/>
      <c r="N1382" s="124"/>
      <c r="O1382" s="124"/>
      <c r="P1382" s="124"/>
      <c r="Q1382" s="124"/>
      <c r="R1382" s="124"/>
      <c r="S1382" s="124"/>
      <c r="T1382" s="124"/>
      <c r="U1382" s="124"/>
      <c r="V1382" s="124"/>
      <c r="W1382" s="124"/>
      <c r="X1382" s="124"/>
      <c r="Y1382" s="124"/>
    </row>
    <row r="1383">
      <c r="A1383" s="125"/>
      <c r="B1383" s="126"/>
      <c r="C1383" s="127"/>
      <c r="D1383" s="124"/>
      <c r="E1383" s="124"/>
      <c r="F1383" s="124"/>
      <c r="G1383" s="124"/>
      <c r="H1383" s="124"/>
      <c r="I1383" s="124"/>
      <c r="J1383" s="124"/>
      <c r="K1383" s="124"/>
      <c r="L1383" s="124"/>
      <c r="M1383" s="124"/>
      <c r="N1383" s="124"/>
      <c r="O1383" s="124"/>
      <c r="P1383" s="124"/>
      <c r="Q1383" s="124"/>
      <c r="R1383" s="124"/>
      <c r="S1383" s="124"/>
      <c r="T1383" s="124"/>
      <c r="U1383" s="124"/>
      <c r="V1383" s="124"/>
      <c r="W1383" s="124"/>
      <c r="X1383" s="124"/>
      <c r="Y1383" s="124"/>
    </row>
    <row r="1384">
      <c r="A1384" s="125"/>
      <c r="B1384" s="126"/>
      <c r="C1384" s="127"/>
      <c r="D1384" s="124"/>
      <c r="E1384" s="124"/>
      <c r="F1384" s="124"/>
      <c r="G1384" s="124"/>
      <c r="H1384" s="124"/>
      <c r="I1384" s="124"/>
      <c r="J1384" s="124"/>
      <c r="K1384" s="124"/>
      <c r="L1384" s="124"/>
      <c r="M1384" s="124"/>
      <c r="N1384" s="124"/>
      <c r="O1384" s="124"/>
      <c r="P1384" s="124"/>
      <c r="Q1384" s="124"/>
      <c r="R1384" s="124"/>
      <c r="S1384" s="124"/>
      <c r="T1384" s="124"/>
      <c r="U1384" s="124"/>
      <c r="V1384" s="124"/>
      <c r="W1384" s="124"/>
      <c r="X1384" s="124"/>
      <c r="Y1384" s="124"/>
    </row>
    <row r="1385">
      <c r="A1385" s="125"/>
      <c r="B1385" s="126"/>
      <c r="C1385" s="127"/>
      <c r="D1385" s="124"/>
      <c r="E1385" s="124"/>
      <c r="F1385" s="124"/>
      <c r="G1385" s="124"/>
      <c r="H1385" s="124"/>
      <c r="I1385" s="124"/>
      <c r="J1385" s="124"/>
      <c r="K1385" s="124"/>
      <c r="L1385" s="124"/>
      <c r="M1385" s="124"/>
      <c r="N1385" s="124"/>
      <c r="O1385" s="124"/>
      <c r="P1385" s="124"/>
      <c r="Q1385" s="124"/>
      <c r="R1385" s="124"/>
      <c r="S1385" s="124"/>
      <c r="T1385" s="124"/>
      <c r="U1385" s="124"/>
      <c r="V1385" s="124"/>
      <c r="W1385" s="124"/>
      <c r="X1385" s="124"/>
      <c r="Y1385" s="124"/>
    </row>
    <row r="1386">
      <c r="A1386" s="125"/>
      <c r="B1386" s="126"/>
      <c r="C1386" s="127"/>
      <c r="D1386" s="124"/>
      <c r="E1386" s="124"/>
      <c r="F1386" s="124"/>
      <c r="G1386" s="124"/>
      <c r="H1386" s="124"/>
      <c r="I1386" s="124"/>
      <c r="J1386" s="124"/>
      <c r="K1386" s="124"/>
      <c r="L1386" s="124"/>
      <c r="M1386" s="124"/>
      <c r="N1386" s="124"/>
      <c r="O1386" s="124"/>
      <c r="P1386" s="124"/>
      <c r="Q1386" s="124"/>
      <c r="R1386" s="124"/>
      <c r="S1386" s="124"/>
      <c r="T1386" s="124"/>
      <c r="U1386" s="124"/>
      <c r="V1386" s="124"/>
      <c r="W1386" s="124"/>
      <c r="X1386" s="124"/>
      <c r="Y1386" s="124"/>
    </row>
    <row r="1387">
      <c r="A1387" s="125"/>
      <c r="B1387" s="126"/>
      <c r="C1387" s="127"/>
      <c r="D1387" s="124"/>
      <c r="E1387" s="124"/>
      <c r="F1387" s="124"/>
      <c r="G1387" s="124"/>
      <c r="H1387" s="124"/>
      <c r="I1387" s="124"/>
      <c r="J1387" s="124"/>
      <c r="K1387" s="124"/>
      <c r="L1387" s="124"/>
      <c r="M1387" s="124"/>
      <c r="N1387" s="124"/>
      <c r="O1387" s="124"/>
      <c r="P1387" s="124"/>
      <c r="Q1387" s="124"/>
      <c r="R1387" s="124"/>
      <c r="S1387" s="124"/>
      <c r="T1387" s="124"/>
      <c r="U1387" s="124"/>
      <c r="V1387" s="124"/>
      <c r="W1387" s="124"/>
      <c r="X1387" s="124"/>
      <c r="Y1387" s="124"/>
    </row>
    <row r="1388">
      <c r="A1388" s="125"/>
      <c r="B1388" s="126"/>
      <c r="C1388" s="127"/>
      <c r="D1388" s="124"/>
      <c r="E1388" s="124"/>
      <c r="F1388" s="124"/>
      <c r="G1388" s="124"/>
      <c r="H1388" s="124"/>
      <c r="I1388" s="124"/>
      <c r="J1388" s="124"/>
      <c r="K1388" s="124"/>
      <c r="L1388" s="124"/>
      <c r="M1388" s="124"/>
      <c r="N1388" s="124"/>
      <c r="O1388" s="124"/>
      <c r="P1388" s="124"/>
      <c r="Q1388" s="124"/>
      <c r="R1388" s="124"/>
      <c r="S1388" s="124"/>
      <c r="T1388" s="124"/>
      <c r="U1388" s="124"/>
      <c r="V1388" s="124"/>
      <c r="W1388" s="124"/>
      <c r="X1388" s="124"/>
      <c r="Y1388" s="124"/>
    </row>
    <row r="1389">
      <c r="A1389" s="125"/>
      <c r="B1389" s="126"/>
      <c r="C1389" s="127"/>
      <c r="D1389" s="124"/>
      <c r="E1389" s="124"/>
      <c r="F1389" s="124"/>
      <c r="G1389" s="124"/>
      <c r="H1389" s="124"/>
      <c r="I1389" s="124"/>
      <c r="J1389" s="124"/>
      <c r="K1389" s="124"/>
      <c r="L1389" s="124"/>
      <c r="M1389" s="124"/>
      <c r="N1389" s="124"/>
      <c r="O1389" s="124"/>
      <c r="P1389" s="124"/>
      <c r="Q1389" s="124"/>
      <c r="R1389" s="124"/>
      <c r="S1389" s="124"/>
      <c r="T1389" s="124"/>
      <c r="U1389" s="124"/>
      <c r="V1389" s="124"/>
      <c r="W1389" s="124"/>
      <c r="X1389" s="124"/>
      <c r="Y1389" s="124"/>
    </row>
    <row r="1390">
      <c r="A1390" s="125"/>
      <c r="B1390" s="126"/>
      <c r="C1390" s="127"/>
      <c r="D1390" s="124"/>
      <c r="E1390" s="124"/>
      <c r="F1390" s="124"/>
      <c r="G1390" s="124"/>
      <c r="H1390" s="124"/>
      <c r="I1390" s="124"/>
      <c r="J1390" s="124"/>
      <c r="K1390" s="124"/>
      <c r="L1390" s="124"/>
      <c r="M1390" s="124"/>
      <c r="N1390" s="124"/>
      <c r="O1390" s="124"/>
      <c r="P1390" s="124"/>
      <c r="Q1390" s="124"/>
      <c r="R1390" s="124"/>
      <c r="S1390" s="124"/>
      <c r="T1390" s="124"/>
      <c r="U1390" s="124"/>
      <c r="V1390" s="124"/>
      <c r="W1390" s="124"/>
      <c r="X1390" s="124"/>
      <c r="Y1390" s="124"/>
    </row>
    <row r="1391">
      <c r="A1391" s="125"/>
      <c r="B1391" s="126"/>
      <c r="C1391" s="127"/>
      <c r="D1391" s="124"/>
      <c r="E1391" s="124"/>
      <c r="F1391" s="124"/>
      <c r="G1391" s="124"/>
      <c r="H1391" s="124"/>
      <c r="I1391" s="124"/>
      <c r="J1391" s="124"/>
      <c r="K1391" s="124"/>
      <c r="L1391" s="124"/>
      <c r="M1391" s="124"/>
      <c r="N1391" s="124"/>
      <c r="O1391" s="124"/>
      <c r="P1391" s="124"/>
      <c r="Q1391" s="124"/>
      <c r="R1391" s="124"/>
      <c r="S1391" s="124"/>
      <c r="T1391" s="124"/>
      <c r="U1391" s="124"/>
      <c r="V1391" s="124"/>
      <c r="W1391" s="124"/>
      <c r="X1391" s="124"/>
      <c r="Y1391" s="124"/>
    </row>
    <row r="1392">
      <c r="A1392" s="125"/>
      <c r="B1392" s="126"/>
      <c r="C1392" s="127"/>
      <c r="D1392" s="124"/>
      <c r="E1392" s="124"/>
      <c r="F1392" s="124"/>
      <c r="G1392" s="124"/>
      <c r="H1392" s="124"/>
      <c r="I1392" s="124"/>
      <c r="J1392" s="124"/>
      <c r="K1392" s="124"/>
      <c r="L1392" s="124"/>
      <c r="M1392" s="124"/>
      <c r="N1392" s="124"/>
      <c r="O1392" s="124"/>
      <c r="P1392" s="124"/>
      <c r="Q1392" s="124"/>
      <c r="R1392" s="124"/>
      <c r="S1392" s="124"/>
      <c r="T1392" s="124"/>
      <c r="U1392" s="124"/>
      <c r="V1392" s="124"/>
      <c r="W1392" s="124"/>
      <c r="X1392" s="124"/>
      <c r="Y1392" s="124"/>
    </row>
    <row r="1393">
      <c r="A1393" s="125"/>
      <c r="B1393" s="126"/>
      <c r="C1393" s="127"/>
      <c r="D1393" s="124"/>
      <c r="E1393" s="124"/>
      <c r="F1393" s="124"/>
      <c r="G1393" s="124"/>
      <c r="H1393" s="124"/>
      <c r="I1393" s="124"/>
      <c r="J1393" s="124"/>
      <c r="K1393" s="124"/>
      <c r="L1393" s="124"/>
      <c r="M1393" s="124"/>
      <c r="N1393" s="124"/>
      <c r="O1393" s="124"/>
      <c r="P1393" s="124"/>
      <c r="Q1393" s="124"/>
      <c r="R1393" s="124"/>
      <c r="S1393" s="124"/>
      <c r="T1393" s="124"/>
      <c r="U1393" s="124"/>
      <c r="V1393" s="124"/>
      <c r="W1393" s="124"/>
      <c r="X1393" s="124"/>
      <c r="Y1393" s="124"/>
    </row>
    <row r="1394">
      <c r="A1394" s="125"/>
      <c r="B1394" s="126"/>
      <c r="C1394" s="127"/>
      <c r="D1394" s="124"/>
      <c r="E1394" s="124"/>
      <c r="F1394" s="124"/>
      <c r="G1394" s="124"/>
      <c r="H1394" s="124"/>
      <c r="I1394" s="124"/>
      <c r="J1394" s="124"/>
      <c r="K1394" s="124"/>
      <c r="L1394" s="124"/>
      <c r="M1394" s="124"/>
      <c r="N1394" s="124"/>
      <c r="O1394" s="124"/>
      <c r="P1394" s="124"/>
      <c r="Q1394" s="124"/>
      <c r="R1394" s="124"/>
      <c r="S1394" s="124"/>
      <c r="T1394" s="124"/>
      <c r="U1394" s="124"/>
      <c r="V1394" s="124"/>
      <c r="W1394" s="124"/>
      <c r="X1394" s="124"/>
      <c r="Y1394" s="124"/>
    </row>
    <row r="1395">
      <c r="A1395" s="125"/>
      <c r="B1395" s="126"/>
      <c r="C1395" s="127"/>
      <c r="D1395" s="124"/>
      <c r="E1395" s="124"/>
      <c r="F1395" s="124"/>
      <c r="G1395" s="124"/>
      <c r="H1395" s="124"/>
      <c r="I1395" s="124"/>
      <c r="J1395" s="124"/>
      <c r="K1395" s="124"/>
      <c r="L1395" s="124"/>
      <c r="M1395" s="124"/>
      <c r="N1395" s="124"/>
      <c r="O1395" s="124"/>
      <c r="P1395" s="124"/>
      <c r="Q1395" s="124"/>
      <c r="R1395" s="124"/>
      <c r="S1395" s="124"/>
      <c r="T1395" s="124"/>
      <c r="U1395" s="124"/>
      <c r="V1395" s="124"/>
      <c r="W1395" s="124"/>
      <c r="X1395" s="124"/>
      <c r="Y1395" s="124"/>
    </row>
    <row r="1396">
      <c r="A1396" s="125"/>
      <c r="B1396" s="126"/>
      <c r="C1396" s="127"/>
      <c r="D1396" s="124"/>
      <c r="E1396" s="124"/>
      <c r="F1396" s="124"/>
      <c r="G1396" s="124"/>
      <c r="H1396" s="124"/>
      <c r="I1396" s="124"/>
      <c r="J1396" s="124"/>
      <c r="K1396" s="124"/>
      <c r="L1396" s="124"/>
      <c r="M1396" s="124"/>
      <c r="N1396" s="124"/>
      <c r="O1396" s="124"/>
      <c r="P1396" s="124"/>
      <c r="Q1396" s="124"/>
      <c r="R1396" s="124"/>
      <c r="S1396" s="124"/>
      <c r="T1396" s="124"/>
      <c r="U1396" s="124"/>
      <c r="V1396" s="124"/>
      <c r="W1396" s="124"/>
      <c r="X1396" s="124"/>
      <c r="Y1396" s="124"/>
    </row>
    <row r="1397">
      <c r="A1397" s="125"/>
      <c r="B1397" s="126"/>
      <c r="C1397" s="127"/>
      <c r="D1397" s="124"/>
      <c r="E1397" s="124"/>
      <c r="F1397" s="124"/>
      <c r="G1397" s="124"/>
      <c r="H1397" s="124"/>
      <c r="I1397" s="124"/>
      <c r="J1397" s="124"/>
      <c r="K1397" s="124"/>
      <c r="L1397" s="124"/>
      <c r="M1397" s="124"/>
      <c r="N1397" s="124"/>
      <c r="O1397" s="124"/>
      <c r="P1397" s="124"/>
      <c r="Q1397" s="124"/>
      <c r="R1397" s="124"/>
      <c r="S1397" s="124"/>
      <c r="T1397" s="124"/>
      <c r="U1397" s="124"/>
      <c r="V1397" s="124"/>
      <c r="W1397" s="124"/>
      <c r="X1397" s="124"/>
      <c r="Y1397" s="124"/>
    </row>
    <row r="1398">
      <c r="A1398" s="125"/>
      <c r="B1398" s="126"/>
      <c r="C1398" s="127"/>
      <c r="D1398" s="124"/>
      <c r="E1398" s="124"/>
      <c r="F1398" s="124"/>
      <c r="G1398" s="124"/>
      <c r="H1398" s="124"/>
      <c r="I1398" s="124"/>
      <c r="J1398" s="124"/>
      <c r="K1398" s="124"/>
      <c r="L1398" s="124"/>
      <c r="M1398" s="124"/>
      <c r="N1398" s="124"/>
      <c r="O1398" s="124"/>
      <c r="P1398" s="124"/>
      <c r="Q1398" s="124"/>
      <c r="R1398" s="124"/>
      <c r="S1398" s="124"/>
      <c r="T1398" s="124"/>
      <c r="U1398" s="124"/>
      <c r="V1398" s="124"/>
      <c r="W1398" s="124"/>
      <c r="X1398" s="124"/>
      <c r="Y1398" s="124"/>
    </row>
    <row r="1399">
      <c r="A1399" s="125"/>
      <c r="B1399" s="126"/>
      <c r="C1399" s="127"/>
      <c r="D1399" s="124"/>
      <c r="E1399" s="124"/>
      <c r="F1399" s="124"/>
      <c r="G1399" s="124"/>
      <c r="H1399" s="124"/>
      <c r="I1399" s="124"/>
      <c r="J1399" s="124"/>
      <c r="K1399" s="124"/>
      <c r="L1399" s="124"/>
      <c r="M1399" s="124"/>
      <c r="N1399" s="124"/>
      <c r="O1399" s="124"/>
      <c r="P1399" s="124"/>
      <c r="Q1399" s="124"/>
      <c r="R1399" s="124"/>
      <c r="S1399" s="124"/>
      <c r="T1399" s="124"/>
      <c r="U1399" s="124"/>
      <c r="V1399" s="124"/>
      <c r="W1399" s="124"/>
      <c r="X1399" s="124"/>
      <c r="Y1399" s="124"/>
    </row>
    <row r="1400">
      <c r="A1400" s="125"/>
      <c r="B1400" s="126"/>
      <c r="C1400" s="127"/>
      <c r="D1400" s="124"/>
      <c r="E1400" s="124"/>
      <c r="F1400" s="124"/>
      <c r="G1400" s="124"/>
      <c r="H1400" s="124"/>
      <c r="I1400" s="124"/>
      <c r="J1400" s="124"/>
      <c r="K1400" s="124"/>
      <c r="L1400" s="124"/>
      <c r="M1400" s="124"/>
      <c r="N1400" s="124"/>
      <c r="O1400" s="124"/>
      <c r="P1400" s="124"/>
      <c r="Q1400" s="124"/>
      <c r="R1400" s="124"/>
      <c r="S1400" s="124"/>
      <c r="T1400" s="124"/>
      <c r="U1400" s="124"/>
      <c r="V1400" s="124"/>
      <c r="W1400" s="124"/>
      <c r="X1400" s="124"/>
      <c r="Y1400" s="124"/>
    </row>
    <row r="1401">
      <c r="A1401" s="125"/>
      <c r="B1401" s="126"/>
      <c r="C1401" s="127"/>
      <c r="D1401" s="124"/>
      <c r="E1401" s="124"/>
      <c r="F1401" s="124"/>
      <c r="G1401" s="124"/>
      <c r="H1401" s="124"/>
      <c r="I1401" s="124"/>
      <c r="J1401" s="124"/>
      <c r="K1401" s="124"/>
      <c r="L1401" s="124"/>
      <c r="M1401" s="124"/>
      <c r="N1401" s="124"/>
      <c r="O1401" s="124"/>
      <c r="P1401" s="124"/>
      <c r="Q1401" s="124"/>
      <c r="R1401" s="124"/>
      <c r="S1401" s="124"/>
      <c r="T1401" s="124"/>
      <c r="U1401" s="124"/>
      <c r="V1401" s="124"/>
      <c r="W1401" s="124"/>
      <c r="X1401" s="124"/>
      <c r="Y1401" s="124"/>
    </row>
    <row r="1402">
      <c r="A1402" s="125"/>
      <c r="B1402" s="126"/>
      <c r="C1402" s="127"/>
      <c r="D1402" s="124"/>
      <c r="E1402" s="124"/>
      <c r="F1402" s="124"/>
      <c r="G1402" s="124"/>
      <c r="H1402" s="124"/>
      <c r="I1402" s="124"/>
      <c r="J1402" s="124"/>
      <c r="K1402" s="124"/>
      <c r="L1402" s="124"/>
      <c r="M1402" s="124"/>
      <c r="N1402" s="124"/>
      <c r="O1402" s="124"/>
      <c r="P1402" s="124"/>
      <c r="Q1402" s="124"/>
      <c r="R1402" s="124"/>
      <c r="S1402" s="124"/>
      <c r="T1402" s="124"/>
      <c r="U1402" s="124"/>
      <c r="V1402" s="124"/>
      <c r="W1402" s="124"/>
      <c r="X1402" s="124"/>
      <c r="Y1402" s="124"/>
    </row>
    <row r="1403">
      <c r="A1403" s="125"/>
      <c r="B1403" s="126"/>
      <c r="C1403" s="127"/>
      <c r="D1403" s="124"/>
      <c r="E1403" s="124"/>
      <c r="F1403" s="124"/>
      <c r="G1403" s="124"/>
      <c r="H1403" s="124"/>
      <c r="I1403" s="124"/>
      <c r="J1403" s="124"/>
      <c r="K1403" s="124"/>
      <c r="L1403" s="124"/>
      <c r="M1403" s="124"/>
      <c r="N1403" s="124"/>
      <c r="O1403" s="124"/>
      <c r="P1403" s="124"/>
      <c r="Q1403" s="124"/>
      <c r="R1403" s="124"/>
      <c r="S1403" s="124"/>
      <c r="T1403" s="124"/>
      <c r="U1403" s="124"/>
      <c r="V1403" s="124"/>
      <c r="W1403" s="124"/>
      <c r="X1403" s="124"/>
      <c r="Y1403" s="124"/>
    </row>
    <row r="1404">
      <c r="A1404" s="125"/>
      <c r="B1404" s="126"/>
      <c r="C1404" s="127"/>
      <c r="D1404" s="124"/>
      <c r="E1404" s="124"/>
      <c r="F1404" s="124"/>
      <c r="G1404" s="124"/>
      <c r="H1404" s="124"/>
      <c r="I1404" s="124"/>
      <c r="J1404" s="124"/>
      <c r="K1404" s="124"/>
      <c r="L1404" s="124"/>
      <c r="M1404" s="124"/>
      <c r="N1404" s="124"/>
      <c r="O1404" s="124"/>
      <c r="P1404" s="124"/>
      <c r="Q1404" s="124"/>
      <c r="R1404" s="124"/>
      <c r="S1404" s="124"/>
      <c r="T1404" s="124"/>
      <c r="U1404" s="124"/>
      <c r="V1404" s="124"/>
      <c r="W1404" s="124"/>
      <c r="X1404" s="124"/>
      <c r="Y1404" s="124"/>
    </row>
    <row r="1405">
      <c r="A1405" s="125"/>
      <c r="B1405" s="126"/>
      <c r="C1405" s="127"/>
      <c r="D1405" s="124"/>
      <c r="E1405" s="124"/>
      <c r="F1405" s="124"/>
      <c r="G1405" s="124"/>
      <c r="H1405" s="124"/>
      <c r="I1405" s="124"/>
      <c r="J1405" s="124"/>
      <c r="K1405" s="124"/>
      <c r="L1405" s="124"/>
      <c r="M1405" s="124"/>
      <c r="N1405" s="124"/>
      <c r="O1405" s="124"/>
      <c r="P1405" s="124"/>
      <c r="Q1405" s="124"/>
      <c r="R1405" s="124"/>
      <c r="S1405" s="124"/>
      <c r="T1405" s="124"/>
      <c r="U1405" s="124"/>
      <c r="V1405" s="124"/>
      <c r="W1405" s="124"/>
      <c r="X1405" s="124"/>
      <c r="Y1405" s="124"/>
    </row>
    <row r="1406">
      <c r="A1406" s="125"/>
      <c r="B1406" s="126"/>
      <c r="C1406" s="127"/>
      <c r="D1406" s="124"/>
      <c r="E1406" s="124"/>
      <c r="F1406" s="124"/>
      <c r="G1406" s="124"/>
      <c r="H1406" s="124"/>
      <c r="I1406" s="124"/>
      <c r="J1406" s="124"/>
      <c r="K1406" s="124"/>
      <c r="L1406" s="124"/>
      <c r="M1406" s="124"/>
      <c r="N1406" s="124"/>
      <c r="O1406" s="124"/>
      <c r="P1406" s="124"/>
      <c r="Q1406" s="124"/>
      <c r="R1406" s="124"/>
      <c r="S1406" s="124"/>
      <c r="T1406" s="124"/>
      <c r="U1406" s="124"/>
      <c r="V1406" s="124"/>
      <c r="W1406" s="124"/>
      <c r="X1406" s="124"/>
      <c r="Y1406" s="124"/>
    </row>
    <row r="1407">
      <c r="A1407" s="125"/>
      <c r="B1407" s="126"/>
      <c r="C1407" s="127"/>
      <c r="D1407" s="124"/>
      <c r="E1407" s="124"/>
      <c r="F1407" s="124"/>
      <c r="G1407" s="124"/>
      <c r="H1407" s="124"/>
      <c r="I1407" s="124"/>
      <c r="J1407" s="124"/>
      <c r="K1407" s="124"/>
      <c r="L1407" s="124"/>
      <c r="M1407" s="124"/>
      <c r="N1407" s="124"/>
      <c r="O1407" s="124"/>
      <c r="P1407" s="124"/>
      <c r="Q1407" s="124"/>
      <c r="R1407" s="124"/>
      <c r="S1407" s="124"/>
      <c r="T1407" s="124"/>
      <c r="U1407" s="124"/>
      <c r="V1407" s="124"/>
      <c r="W1407" s="124"/>
      <c r="X1407" s="124"/>
      <c r="Y1407" s="124"/>
    </row>
    <row r="1408">
      <c r="A1408" s="125"/>
      <c r="B1408" s="126"/>
      <c r="C1408" s="127"/>
      <c r="D1408" s="124"/>
      <c r="E1408" s="124"/>
      <c r="F1408" s="124"/>
      <c r="G1408" s="124"/>
      <c r="H1408" s="124"/>
      <c r="I1408" s="124"/>
      <c r="J1408" s="124"/>
      <c r="K1408" s="124"/>
      <c r="L1408" s="124"/>
      <c r="M1408" s="124"/>
      <c r="N1408" s="124"/>
      <c r="O1408" s="124"/>
      <c r="P1408" s="124"/>
      <c r="Q1408" s="124"/>
      <c r="R1408" s="124"/>
      <c r="S1408" s="124"/>
      <c r="T1408" s="124"/>
      <c r="U1408" s="124"/>
      <c r="V1408" s="124"/>
      <c r="W1408" s="124"/>
      <c r="X1408" s="124"/>
      <c r="Y1408" s="124"/>
    </row>
    <row r="1409">
      <c r="A1409" s="125"/>
      <c r="B1409" s="126"/>
      <c r="C1409" s="127"/>
      <c r="D1409" s="124"/>
      <c r="E1409" s="124"/>
      <c r="F1409" s="124"/>
      <c r="G1409" s="124"/>
      <c r="H1409" s="124"/>
      <c r="I1409" s="124"/>
      <c r="J1409" s="124"/>
      <c r="K1409" s="124"/>
      <c r="L1409" s="124"/>
      <c r="M1409" s="124"/>
      <c r="N1409" s="124"/>
      <c r="O1409" s="124"/>
      <c r="P1409" s="124"/>
      <c r="Q1409" s="124"/>
      <c r="R1409" s="124"/>
      <c r="S1409" s="124"/>
      <c r="T1409" s="124"/>
      <c r="U1409" s="124"/>
      <c r="V1409" s="124"/>
      <c r="W1409" s="124"/>
      <c r="X1409" s="124"/>
      <c r="Y1409" s="124"/>
    </row>
    <row r="1410">
      <c r="A1410" s="125"/>
      <c r="B1410" s="126"/>
      <c r="C1410" s="127"/>
      <c r="D1410" s="124"/>
      <c r="E1410" s="124"/>
      <c r="F1410" s="124"/>
      <c r="G1410" s="124"/>
      <c r="H1410" s="124"/>
      <c r="I1410" s="124"/>
      <c r="J1410" s="124"/>
      <c r="K1410" s="124"/>
      <c r="L1410" s="124"/>
      <c r="M1410" s="124"/>
      <c r="N1410" s="124"/>
      <c r="O1410" s="124"/>
      <c r="P1410" s="124"/>
      <c r="Q1410" s="124"/>
      <c r="R1410" s="124"/>
      <c r="S1410" s="124"/>
      <c r="T1410" s="124"/>
      <c r="U1410" s="124"/>
      <c r="V1410" s="124"/>
      <c r="W1410" s="124"/>
      <c r="X1410" s="124"/>
      <c r="Y1410" s="124"/>
    </row>
    <row r="1411">
      <c r="A1411" s="125"/>
      <c r="B1411" s="126"/>
      <c r="C1411" s="127"/>
      <c r="D1411" s="124"/>
      <c r="E1411" s="124"/>
      <c r="F1411" s="124"/>
      <c r="G1411" s="124"/>
      <c r="H1411" s="124"/>
      <c r="I1411" s="124"/>
      <c r="J1411" s="124"/>
      <c r="K1411" s="124"/>
      <c r="L1411" s="124"/>
      <c r="M1411" s="124"/>
      <c r="N1411" s="124"/>
      <c r="O1411" s="124"/>
      <c r="P1411" s="124"/>
      <c r="Q1411" s="124"/>
      <c r="R1411" s="124"/>
      <c r="S1411" s="124"/>
      <c r="T1411" s="124"/>
      <c r="U1411" s="124"/>
      <c r="V1411" s="124"/>
      <c r="W1411" s="124"/>
      <c r="X1411" s="124"/>
      <c r="Y1411" s="124"/>
    </row>
    <row r="1412">
      <c r="A1412" s="125"/>
      <c r="B1412" s="126"/>
      <c r="C1412" s="127"/>
      <c r="D1412" s="124"/>
      <c r="E1412" s="124"/>
      <c r="F1412" s="124"/>
      <c r="G1412" s="124"/>
      <c r="H1412" s="124"/>
      <c r="I1412" s="124"/>
      <c r="J1412" s="124"/>
      <c r="K1412" s="124"/>
      <c r="L1412" s="124"/>
      <c r="M1412" s="124"/>
      <c r="N1412" s="124"/>
      <c r="O1412" s="124"/>
      <c r="P1412" s="124"/>
      <c r="Q1412" s="124"/>
      <c r="R1412" s="124"/>
      <c r="S1412" s="124"/>
      <c r="T1412" s="124"/>
      <c r="U1412" s="124"/>
      <c r="V1412" s="124"/>
      <c r="W1412" s="124"/>
      <c r="X1412" s="124"/>
      <c r="Y1412" s="124"/>
    </row>
    <row r="1413">
      <c r="A1413" s="125"/>
      <c r="B1413" s="126"/>
      <c r="C1413" s="127"/>
      <c r="D1413" s="124"/>
      <c r="E1413" s="124"/>
      <c r="F1413" s="124"/>
      <c r="G1413" s="124"/>
      <c r="H1413" s="124"/>
      <c r="I1413" s="124"/>
      <c r="J1413" s="124"/>
      <c r="K1413" s="124"/>
      <c r="L1413" s="124"/>
      <c r="M1413" s="124"/>
      <c r="N1413" s="124"/>
      <c r="O1413" s="124"/>
      <c r="P1413" s="124"/>
      <c r="Q1413" s="124"/>
      <c r="R1413" s="124"/>
      <c r="S1413" s="124"/>
      <c r="T1413" s="124"/>
      <c r="U1413" s="124"/>
      <c r="V1413" s="124"/>
      <c r="W1413" s="124"/>
      <c r="X1413" s="124"/>
      <c r="Y1413" s="124"/>
    </row>
    <row r="1414">
      <c r="A1414" s="125"/>
      <c r="B1414" s="126"/>
      <c r="C1414" s="127"/>
      <c r="D1414" s="124"/>
      <c r="E1414" s="124"/>
      <c r="F1414" s="124"/>
      <c r="G1414" s="124"/>
      <c r="H1414" s="124"/>
      <c r="I1414" s="124"/>
      <c r="J1414" s="124"/>
      <c r="K1414" s="124"/>
      <c r="L1414" s="124"/>
      <c r="M1414" s="124"/>
      <c r="N1414" s="124"/>
      <c r="O1414" s="124"/>
      <c r="P1414" s="124"/>
      <c r="Q1414" s="124"/>
      <c r="R1414" s="124"/>
      <c r="S1414" s="124"/>
      <c r="T1414" s="124"/>
      <c r="U1414" s="124"/>
      <c r="V1414" s="124"/>
      <c r="W1414" s="124"/>
      <c r="X1414" s="124"/>
      <c r="Y1414" s="124"/>
    </row>
    <row r="1415">
      <c r="A1415" s="125"/>
      <c r="B1415" s="126"/>
      <c r="C1415" s="127"/>
      <c r="D1415" s="124"/>
      <c r="E1415" s="124"/>
      <c r="F1415" s="124"/>
      <c r="G1415" s="124"/>
      <c r="H1415" s="124"/>
      <c r="I1415" s="124"/>
      <c r="J1415" s="124"/>
      <c r="K1415" s="124"/>
      <c r="L1415" s="124"/>
      <c r="M1415" s="124"/>
      <c r="N1415" s="124"/>
      <c r="O1415" s="124"/>
      <c r="P1415" s="124"/>
      <c r="Q1415" s="124"/>
      <c r="R1415" s="124"/>
      <c r="S1415" s="124"/>
      <c r="T1415" s="124"/>
      <c r="U1415" s="124"/>
      <c r="V1415" s="124"/>
      <c r="W1415" s="124"/>
      <c r="X1415" s="124"/>
      <c r="Y1415" s="124"/>
    </row>
    <row r="1416">
      <c r="A1416" s="125"/>
      <c r="B1416" s="126"/>
      <c r="C1416" s="127"/>
      <c r="D1416" s="124"/>
      <c r="E1416" s="124"/>
      <c r="F1416" s="124"/>
      <c r="G1416" s="124"/>
      <c r="H1416" s="124"/>
      <c r="I1416" s="124"/>
      <c r="J1416" s="124"/>
      <c r="K1416" s="124"/>
      <c r="L1416" s="124"/>
      <c r="M1416" s="124"/>
      <c r="N1416" s="124"/>
      <c r="O1416" s="124"/>
      <c r="P1416" s="124"/>
      <c r="Q1416" s="124"/>
      <c r="R1416" s="124"/>
      <c r="S1416" s="124"/>
      <c r="T1416" s="124"/>
      <c r="U1416" s="124"/>
      <c r="V1416" s="124"/>
      <c r="W1416" s="124"/>
      <c r="X1416" s="124"/>
      <c r="Y1416" s="124"/>
    </row>
    <row r="1417">
      <c r="A1417" s="125"/>
      <c r="B1417" s="126"/>
      <c r="C1417" s="127"/>
      <c r="D1417" s="124"/>
      <c r="E1417" s="124"/>
      <c r="F1417" s="124"/>
      <c r="G1417" s="124"/>
      <c r="H1417" s="124"/>
      <c r="I1417" s="124"/>
      <c r="J1417" s="124"/>
      <c r="K1417" s="124"/>
      <c r="L1417" s="124"/>
      <c r="M1417" s="124"/>
      <c r="N1417" s="124"/>
      <c r="O1417" s="124"/>
      <c r="P1417" s="124"/>
      <c r="Q1417" s="124"/>
      <c r="R1417" s="124"/>
      <c r="S1417" s="124"/>
      <c r="T1417" s="124"/>
      <c r="U1417" s="124"/>
      <c r="V1417" s="124"/>
      <c r="W1417" s="124"/>
      <c r="X1417" s="124"/>
      <c r="Y1417" s="124"/>
    </row>
    <row r="1418">
      <c r="A1418" s="125"/>
      <c r="B1418" s="126"/>
      <c r="C1418" s="127"/>
      <c r="D1418" s="124"/>
      <c r="E1418" s="124"/>
      <c r="F1418" s="124"/>
      <c r="G1418" s="124"/>
      <c r="H1418" s="124"/>
      <c r="I1418" s="124"/>
      <c r="J1418" s="124"/>
      <c r="K1418" s="124"/>
      <c r="L1418" s="124"/>
      <c r="M1418" s="124"/>
      <c r="N1418" s="124"/>
      <c r="O1418" s="124"/>
      <c r="P1418" s="124"/>
      <c r="Q1418" s="124"/>
      <c r="R1418" s="124"/>
      <c r="S1418" s="124"/>
      <c r="T1418" s="124"/>
      <c r="U1418" s="124"/>
      <c r="V1418" s="124"/>
      <c r="W1418" s="124"/>
      <c r="X1418" s="124"/>
      <c r="Y1418" s="124"/>
    </row>
    <row r="1419">
      <c r="A1419" s="125"/>
      <c r="B1419" s="126"/>
      <c r="C1419" s="127"/>
      <c r="D1419" s="124"/>
      <c r="E1419" s="124"/>
      <c r="F1419" s="124"/>
      <c r="G1419" s="124"/>
      <c r="H1419" s="124"/>
      <c r="I1419" s="124"/>
      <c r="J1419" s="124"/>
      <c r="K1419" s="124"/>
      <c r="L1419" s="124"/>
      <c r="M1419" s="124"/>
      <c r="N1419" s="124"/>
      <c r="O1419" s="124"/>
      <c r="P1419" s="124"/>
      <c r="Q1419" s="124"/>
      <c r="R1419" s="124"/>
      <c r="S1419" s="124"/>
      <c r="T1419" s="124"/>
      <c r="U1419" s="124"/>
      <c r="V1419" s="124"/>
      <c r="W1419" s="124"/>
      <c r="X1419" s="124"/>
      <c r="Y1419" s="124"/>
    </row>
    <row r="1420">
      <c r="A1420" s="125"/>
      <c r="B1420" s="126"/>
      <c r="C1420" s="127"/>
      <c r="D1420" s="124"/>
      <c r="E1420" s="124"/>
      <c r="F1420" s="124"/>
      <c r="G1420" s="124"/>
      <c r="H1420" s="124"/>
      <c r="I1420" s="124"/>
      <c r="J1420" s="124"/>
      <c r="K1420" s="124"/>
      <c r="L1420" s="124"/>
      <c r="M1420" s="124"/>
      <c r="N1420" s="124"/>
      <c r="O1420" s="124"/>
      <c r="P1420" s="124"/>
      <c r="Q1420" s="124"/>
      <c r="R1420" s="124"/>
      <c r="S1420" s="124"/>
      <c r="T1420" s="124"/>
      <c r="U1420" s="124"/>
      <c r="V1420" s="124"/>
      <c r="W1420" s="124"/>
      <c r="X1420" s="124"/>
      <c r="Y1420" s="124"/>
    </row>
    <row r="1421">
      <c r="A1421" s="125"/>
      <c r="B1421" s="126"/>
      <c r="C1421" s="127"/>
      <c r="D1421" s="124"/>
      <c r="E1421" s="124"/>
      <c r="F1421" s="124"/>
      <c r="G1421" s="124"/>
      <c r="H1421" s="124"/>
      <c r="I1421" s="124"/>
      <c r="J1421" s="124"/>
      <c r="K1421" s="124"/>
      <c r="L1421" s="124"/>
      <c r="M1421" s="124"/>
      <c r="N1421" s="124"/>
      <c r="O1421" s="124"/>
      <c r="P1421" s="124"/>
      <c r="Q1421" s="124"/>
      <c r="R1421" s="124"/>
      <c r="S1421" s="124"/>
      <c r="T1421" s="124"/>
      <c r="U1421" s="124"/>
      <c r="V1421" s="124"/>
      <c r="W1421" s="124"/>
      <c r="X1421" s="124"/>
      <c r="Y1421" s="124"/>
    </row>
    <row r="1422">
      <c r="A1422" s="125"/>
      <c r="B1422" s="126"/>
      <c r="C1422" s="127"/>
      <c r="D1422" s="124"/>
      <c r="E1422" s="124"/>
      <c r="F1422" s="124"/>
      <c r="G1422" s="124"/>
      <c r="H1422" s="124"/>
      <c r="I1422" s="124"/>
      <c r="J1422" s="124"/>
      <c r="K1422" s="124"/>
      <c r="L1422" s="124"/>
      <c r="M1422" s="124"/>
      <c r="N1422" s="124"/>
      <c r="O1422" s="124"/>
      <c r="P1422" s="124"/>
      <c r="Q1422" s="124"/>
      <c r="R1422" s="124"/>
      <c r="S1422" s="124"/>
      <c r="T1422" s="124"/>
      <c r="U1422" s="124"/>
      <c r="V1422" s="124"/>
      <c r="W1422" s="124"/>
      <c r="X1422" s="124"/>
      <c r="Y1422" s="124"/>
    </row>
    <row r="1423">
      <c r="A1423" s="125"/>
      <c r="B1423" s="126"/>
      <c r="C1423" s="127"/>
      <c r="D1423" s="124"/>
      <c r="E1423" s="124"/>
      <c r="F1423" s="124"/>
      <c r="G1423" s="124"/>
      <c r="H1423" s="124"/>
      <c r="I1423" s="124"/>
      <c r="J1423" s="124"/>
      <c r="K1423" s="124"/>
      <c r="L1423" s="124"/>
      <c r="M1423" s="124"/>
      <c r="N1423" s="124"/>
      <c r="O1423" s="124"/>
      <c r="P1423" s="124"/>
      <c r="Q1423" s="124"/>
      <c r="R1423" s="124"/>
      <c r="S1423" s="124"/>
      <c r="T1423" s="124"/>
      <c r="U1423" s="124"/>
      <c r="V1423" s="124"/>
      <c r="W1423" s="124"/>
      <c r="X1423" s="124"/>
      <c r="Y1423" s="124"/>
    </row>
    <row r="1424">
      <c r="A1424" s="125"/>
      <c r="B1424" s="126"/>
      <c r="C1424" s="127"/>
      <c r="D1424" s="124"/>
      <c r="E1424" s="124"/>
      <c r="F1424" s="124"/>
      <c r="G1424" s="124"/>
      <c r="H1424" s="124"/>
      <c r="I1424" s="124"/>
      <c r="J1424" s="124"/>
      <c r="K1424" s="124"/>
      <c r="L1424" s="124"/>
      <c r="M1424" s="124"/>
      <c r="N1424" s="124"/>
      <c r="O1424" s="124"/>
      <c r="P1424" s="124"/>
      <c r="Q1424" s="124"/>
      <c r="R1424" s="124"/>
      <c r="S1424" s="124"/>
      <c r="T1424" s="124"/>
      <c r="U1424" s="124"/>
      <c r="V1424" s="124"/>
      <c r="W1424" s="124"/>
      <c r="X1424" s="124"/>
      <c r="Y1424" s="124"/>
    </row>
    <row r="1425">
      <c r="A1425" s="125"/>
      <c r="B1425" s="126"/>
      <c r="C1425" s="127"/>
      <c r="D1425" s="124"/>
      <c r="E1425" s="124"/>
      <c r="F1425" s="124"/>
      <c r="G1425" s="124"/>
      <c r="H1425" s="124"/>
      <c r="I1425" s="124"/>
      <c r="J1425" s="124"/>
      <c r="K1425" s="124"/>
      <c r="L1425" s="124"/>
      <c r="M1425" s="124"/>
      <c r="N1425" s="124"/>
      <c r="O1425" s="124"/>
      <c r="P1425" s="124"/>
      <c r="Q1425" s="124"/>
      <c r="R1425" s="124"/>
      <c r="S1425" s="124"/>
      <c r="T1425" s="124"/>
      <c r="U1425" s="124"/>
      <c r="V1425" s="124"/>
      <c r="W1425" s="124"/>
      <c r="X1425" s="124"/>
      <c r="Y1425" s="124"/>
    </row>
    <row r="1426">
      <c r="A1426" s="125"/>
      <c r="B1426" s="126"/>
      <c r="C1426" s="127"/>
      <c r="D1426" s="124"/>
      <c r="E1426" s="124"/>
      <c r="F1426" s="124"/>
      <c r="G1426" s="124"/>
      <c r="H1426" s="124"/>
      <c r="I1426" s="124"/>
      <c r="J1426" s="124"/>
      <c r="K1426" s="124"/>
      <c r="L1426" s="124"/>
      <c r="M1426" s="124"/>
      <c r="N1426" s="124"/>
      <c r="O1426" s="124"/>
      <c r="P1426" s="124"/>
      <c r="Q1426" s="124"/>
      <c r="R1426" s="124"/>
      <c r="S1426" s="124"/>
      <c r="T1426" s="124"/>
      <c r="U1426" s="124"/>
      <c r="V1426" s="124"/>
      <c r="W1426" s="124"/>
      <c r="X1426" s="124"/>
      <c r="Y1426" s="124"/>
    </row>
    <row r="1427">
      <c r="A1427" s="125"/>
      <c r="B1427" s="126"/>
      <c r="C1427" s="127"/>
      <c r="D1427" s="124"/>
      <c r="E1427" s="124"/>
      <c r="F1427" s="124"/>
      <c r="G1427" s="124"/>
      <c r="H1427" s="124"/>
      <c r="I1427" s="124"/>
      <c r="J1427" s="124"/>
      <c r="K1427" s="124"/>
      <c r="L1427" s="124"/>
      <c r="M1427" s="124"/>
      <c r="N1427" s="124"/>
      <c r="O1427" s="124"/>
      <c r="P1427" s="124"/>
      <c r="Q1427" s="124"/>
      <c r="R1427" s="124"/>
      <c r="S1427" s="124"/>
      <c r="T1427" s="124"/>
      <c r="U1427" s="124"/>
      <c r="V1427" s="124"/>
      <c r="W1427" s="124"/>
      <c r="X1427" s="124"/>
      <c r="Y1427" s="124"/>
    </row>
    <row r="1428">
      <c r="A1428" s="125"/>
      <c r="B1428" s="126"/>
      <c r="C1428" s="127"/>
      <c r="D1428" s="124"/>
      <c r="E1428" s="124"/>
      <c r="F1428" s="124"/>
      <c r="G1428" s="124"/>
      <c r="H1428" s="124"/>
      <c r="I1428" s="124"/>
      <c r="J1428" s="124"/>
      <c r="K1428" s="124"/>
      <c r="L1428" s="124"/>
      <c r="M1428" s="124"/>
      <c r="N1428" s="124"/>
      <c r="O1428" s="124"/>
      <c r="P1428" s="124"/>
      <c r="Q1428" s="124"/>
      <c r="R1428" s="124"/>
      <c r="S1428" s="124"/>
      <c r="T1428" s="124"/>
      <c r="U1428" s="124"/>
      <c r="V1428" s="124"/>
      <c r="W1428" s="124"/>
      <c r="X1428" s="124"/>
      <c r="Y1428" s="124"/>
    </row>
    <row r="1429">
      <c r="A1429" s="125"/>
      <c r="B1429" s="126"/>
      <c r="C1429" s="127"/>
      <c r="D1429" s="124"/>
      <c r="E1429" s="124"/>
      <c r="F1429" s="124"/>
      <c r="G1429" s="124"/>
      <c r="H1429" s="124"/>
      <c r="I1429" s="124"/>
      <c r="J1429" s="124"/>
      <c r="K1429" s="124"/>
      <c r="L1429" s="124"/>
      <c r="M1429" s="124"/>
      <c r="N1429" s="124"/>
      <c r="O1429" s="124"/>
      <c r="P1429" s="124"/>
      <c r="Q1429" s="124"/>
      <c r="R1429" s="124"/>
      <c r="S1429" s="124"/>
      <c r="T1429" s="124"/>
      <c r="U1429" s="124"/>
      <c r="V1429" s="124"/>
      <c r="W1429" s="124"/>
      <c r="X1429" s="124"/>
      <c r="Y1429" s="124"/>
    </row>
    <row r="1430">
      <c r="A1430" s="125"/>
      <c r="B1430" s="126"/>
      <c r="C1430" s="127"/>
      <c r="D1430" s="124"/>
      <c r="E1430" s="124"/>
      <c r="F1430" s="124"/>
      <c r="G1430" s="124"/>
      <c r="H1430" s="124"/>
      <c r="I1430" s="124"/>
      <c r="J1430" s="124"/>
      <c r="K1430" s="124"/>
      <c r="L1430" s="124"/>
      <c r="M1430" s="124"/>
      <c r="N1430" s="124"/>
      <c r="O1430" s="124"/>
      <c r="P1430" s="124"/>
      <c r="Q1430" s="124"/>
      <c r="R1430" s="124"/>
      <c r="S1430" s="124"/>
      <c r="T1430" s="124"/>
      <c r="U1430" s="124"/>
      <c r="V1430" s="124"/>
      <c r="W1430" s="124"/>
      <c r="X1430" s="124"/>
      <c r="Y1430" s="124"/>
    </row>
    <row r="1431">
      <c r="A1431" s="125"/>
      <c r="B1431" s="126"/>
      <c r="C1431" s="127"/>
      <c r="D1431" s="124"/>
      <c r="E1431" s="124"/>
      <c r="F1431" s="124"/>
      <c r="G1431" s="124"/>
      <c r="H1431" s="124"/>
      <c r="I1431" s="124"/>
      <c r="J1431" s="124"/>
      <c r="K1431" s="124"/>
      <c r="L1431" s="124"/>
      <c r="M1431" s="124"/>
      <c r="N1431" s="124"/>
      <c r="O1431" s="124"/>
      <c r="P1431" s="124"/>
      <c r="Q1431" s="124"/>
      <c r="R1431" s="124"/>
      <c r="S1431" s="124"/>
      <c r="T1431" s="124"/>
      <c r="U1431" s="124"/>
      <c r="V1431" s="124"/>
      <c r="W1431" s="124"/>
      <c r="X1431" s="124"/>
      <c r="Y1431" s="124"/>
    </row>
    <row r="1432">
      <c r="A1432" s="125"/>
      <c r="B1432" s="126"/>
      <c r="C1432" s="127"/>
      <c r="D1432" s="124"/>
      <c r="E1432" s="124"/>
      <c r="F1432" s="124"/>
      <c r="G1432" s="124"/>
      <c r="H1432" s="124"/>
      <c r="I1432" s="124"/>
      <c r="J1432" s="124"/>
      <c r="K1432" s="124"/>
      <c r="L1432" s="124"/>
      <c r="M1432" s="124"/>
      <c r="N1432" s="124"/>
      <c r="O1432" s="124"/>
      <c r="P1432" s="124"/>
      <c r="Q1432" s="124"/>
      <c r="R1432" s="124"/>
      <c r="S1432" s="124"/>
      <c r="T1432" s="124"/>
      <c r="U1432" s="124"/>
      <c r="V1432" s="124"/>
      <c r="W1432" s="124"/>
      <c r="X1432" s="124"/>
      <c r="Y1432" s="124"/>
    </row>
    <row r="1433">
      <c r="A1433" s="125"/>
      <c r="B1433" s="126"/>
      <c r="C1433" s="127"/>
      <c r="D1433" s="124"/>
      <c r="E1433" s="124"/>
      <c r="F1433" s="124"/>
      <c r="G1433" s="124"/>
      <c r="H1433" s="124"/>
      <c r="I1433" s="124"/>
      <c r="J1433" s="124"/>
      <c r="K1433" s="124"/>
      <c r="L1433" s="124"/>
      <c r="M1433" s="124"/>
      <c r="N1433" s="124"/>
      <c r="O1433" s="124"/>
      <c r="P1433" s="124"/>
      <c r="Q1433" s="124"/>
      <c r="R1433" s="124"/>
      <c r="S1433" s="124"/>
      <c r="T1433" s="124"/>
      <c r="U1433" s="124"/>
      <c r="V1433" s="124"/>
      <c r="W1433" s="124"/>
      <c r="X1433" s="124"/>
      <c r="Y1433" s="124"/>
    </row>
    <row r="1434">
      <c r="A1434" s="125"/>
      <c r="B1434" s="126"/>
      <c r="C1434" s="127"/>
      <c r="D1434" s="124"/>
      <c r="E1434" s="124"/>
      <c r="F1434" s="124"/>
      <c r="G1434" s="124"/>
      <c r="H1434" s="124"/>
      <c r="I1434" s="124"/>
      <c r="J1434" s="124"/>
      <c r="K1434" s="124"/>
      <c r="L1434" s="124"/>
      <c r="M1434" s="124"/>
      <c r="N1434" s="124"/>
      <c r="O1434" s="124"/>
      <c r="P1434" s="124"/>
      <c r="Q1434" s="124"/>
      <c r="R1434" s="124"/>
      <c r="S1434" s="124"/>
      <c r="T1434" s="124"/>
      <c r="U1434" s="124"/>
      <c r="V1434" s="124"/>
      <c r="W1434" s="124"/>
      <c r="X1434" s="124"/>
      <c r="Y1434" s="124"/>
    </row>
    <row r="1435">
      <c r="A1435" s="125"/>
      <c r="B1435" s="126"/>
      <c r="C1435" s="127"/>
      <c r="D1435" s="124"/>
      <c r="E1435" s="124"/>
      <c r="F1435" s="124"/>
      <c r="G1435" s="124"/>
      <c r="H1435" s="124"/>
      <c r="I1435" s="124"/>
      <c r="J1435" s="124"/>
      <c r="K1435" s="124"/>
      <c r="L1435" s="124"/>
      <c r="M1435" s="124"/>
      <c r="N1435" s="124"/>
      <c r="O1435" s="124"/>
      <c r="P1435" s="124"/>
      <c r="Q1435" s="124"/>
      <c r="R1435" s="124"/>
      <c r="S1435" s="124"/>
      <c r="T1435" s="124"/>
      <c r="U1435" s="124"/>
      <c r="V1435" s="124"/>
      <c r="W1435" s="124"/>
      <c r="X1435" s="124"/>
      <c r="Y1435" s="124"/>
    </row>
    <row r="1436">
      <c r="A1436" s="125"/>
      <c r="B1436" s="126"/>
      <c r="C1436" s="127"/>
      <c r="D1436" s="124"/>
      <c r="E1436" s="124"/>
      <c r="F1436" s="124"/>
      <c r="G1436" s="124"/>
      <c r="H1436" s="124"/>
      <c r="I1436" s="124"/>
      <c r="J1436" s="124"/>
      <c r="K1436" s="124"/>
      <c r="L1436" s="124"/>
      <c r="M1436" s="124"/>
      <c r="N1436" s="124"/>
      <c r="O1436" s="124"/>
      <c r="P1436" s="124"/>
      <c r="Q1436" s="124"/>
      <c r="R1436" s="124"/>
      <c r="S1436" s="124"/>
      <c r="T1436" s="124"/>
      <c r="U1436" s="124"/>
      <c r="V1436" s="124"/>
      <c r="W1436" s="124"/>
      <c r="X1436" s="124"/>
      <c r="Y1436" s="124"/>
    </row>
    <row r="1437">
      <c r="A1437" s="125"/>
      <c r="B1437" s="126"/>
      <c r="C1437" s="127"/>
      <c r="D1437" s="124"/>
      <c r="E1437" s="124"/>
      <c r="F1437" s="124"/>
      <c r="G1437" s="124"/>
      <c r="H1437" s="124"/>
      <c r="I1437" s="124"/>
      <c r="J1437" s="124"/>
      <c r="K1437" s="124"/>
      <c r="L1437" s="124"/>
      <c r="M1437" s="124"/>
      <c r="N1437" s="124"/>
      <c r="O1437" s="124"/>
      <c r="P1437" s="124"/>
      <c r="Q1437" s="124"/>
      <c r="R1437" s="124"/>
      <c r="S1437" s="124"/>
      <c r="T1437" s="124"/>
      <c r="U1437" s="124"/>
      <c r="V1437" s="124"/>
      <c r="W1437" s="124"/>
      <c r="X1437" s="124"/>
      <c r="Y1437" s="124"/>
    </row>
    <row r="1438">
      <c r="A1438" s="125"/>
      <c r="B1438" s="126"/>
      <c r="C1438" s="127"/>
      <c r="D1438" s="124"/>
      <c r="E1438" s="124"/>
      <c r="F1438" s="124"/>
      <c r="G1438" s="124"/>
      <c r="H1438" s="124"/>
      <c r="I1438" s="124"/>
      <c r="J1438" s="124"/>
      <c r="K1438" s="124"/>
      <c r="L1438" s="124"/>
      <c r="M1438" s="124"/>
      <c r="N1438" s="124"/>
      <c r="O1438" s="124"/>
      <c r="P1438" s="124"/>
      <c r="Q1438" s="124"/>
      <c r="R1438" s="124"/>
      <c r="S1438" s="124"/>
      <c r="T1438" s="124"/>
      <c r="U1438" s="124"/>
      <c r="V1438" s="124"/>
      <c r="W1438" s="124"/>
      <c r="X1438" s="124"/>
      <c r="Y1438" s="124"/>
    </row>
    <row r="1439">
      <c r="A1439" s="125"/>
      <c r="B1439" s="126"/>
      <c r="C1439" s="127"/>
      <c r="D1439" s="124"/>
      <c r="E1439" s="124"/>
      <c r="F1439" s="124"/>
      <c r="G1439" s="124"/>
      <c r="H1439" s="124"/>
      <c r="I1439" s="124"/>
      <c r="J1439" s="124"/>
      <c r="K1439" s="124"/>
      <c r="L1439" s="124"/>
      <c r="M1439" s="124"/>
      <c r="N1439" s="124"/>
      <c r="O1439" s="124"/>
      <c r="P1439" s="124"/>
      <c r="Q1439" s="124"/>
      <c r="R1439" s="124"/>
      <c r="S1439" s="124"/>
      <c r="T1439" s="124"/>
      <c r="U1439" s="124"/>
      <c r="V1439" s="124"/>
      <c r="W1439" s="124"/>
      <c r="X1439" s="124"/>
      <c r="Y1439" s="124"/>
    </row>
    <row r="1440">
      <c r="A1440" s="125"/>
      <c r="B1440" s="126"/>
      <c r="C1440" s="127"/>
      <c r="D1440" s="124"/>
      <c r="E1440" s="124"/>
      <c r="F1440" s="124"/>
      <c r="G1440" s="124"/>
      <c r="H1440" s="124"/>
      <c r="I1440" s="124"/>
      <c r="J1440" s="124"/>
      <c r="K1440" s="124"/>
      <c r="L1440" s="124"/>
      <c r="M1440" s="124"/>
      <c r="N1440" s="124"/>
      <c r="O1440" s="124"/>
      <c r="P1440" s="124"/>
      <c r="Q1440" s="124"/>
      <c r="R1440" s="124"/>
      <c r="S1440" s="124"/>
      <c r="T1440" s="124"/>
      <c r="U1440" s="124"/>
      <c r="V1440" s="124"/>
      <c r="W1440" s="124"/>
      <c r="X1440" s="124"/>
      <c r="Y1440" s="124"/>
    </row>
    <row r="1441">
      <c r="A1441" s="125"/>
      <c r="B1441" s="126"/>
      <c r="C1441" s="127"/>
      <c r="D1441" s="124"/>
      <c r="E1441" s="124"/>
      <c r="F1441" s="124"/>
      <c r="G1441" s="124"/>
      <c r="H1441" s="124"/>
      <c r="I1441" s="124"/>
      <c r="J1441" s="124"/>
      <c r="K1441" s="124"/>
      <c r="L1441" s="124"/>
      <c r="M1441" s="124"/>
      <c r="N1441" s="124"/>
      <c r="O1441" s="124"/>
      <c r="P1441" s="124"/>
      <c r="Q1441" s="124"/>
      <c r="R1441" s="124"/>
      <c r="S1441" s="124"/>
      <c r="T1441" s="124"/>
      <c r="U1441" s="124"/>
      <c r="V1441" s="124"/>
      <c r="W1441" s="124"/>
      <c r="X1441" s="124"/>
      <c r="Y1441" s="124"/>
    </row>
    <row r="1442">
      <c r="A1442" s="125"/>
      <c r="B1442" s="126"/>
      <c r="C1442" s="127"/>
      <c r="D1442" s="124"/>
      <c r="E1442" s="124"/>
      <c r="F1442" s="124"/>
      <c r="G1442" s="124"/>
      <c r="H1442" s="124"/>
      <c r="I1442" s="124"/>
      <c r="J1442" s="124"/>
      <c r="K1442" s="124"/>
      <c r="L1442" s="124"/>
      <c r="M1442" s="124"/>
      <c r="N1442" s="124"/>
      <c r="O1442" s="124"/>
      <c r="P1442" s="124"/>
      <c r="Q1442" s="124"/>
      <c r="R1442" s="124"/>
      <c r="S1442" s="124"/>
      <c r="T1442" s="124"/>
      <c r="U1442" s="124"/>
      <c r="V1442" s="124"/>
      <c r="W1442" s="124"/>
      <c r="X1442" s="124"/>
      <c r="Y1442" s="124"/>
    </row>
    <row r="1443">
      <c r="A1443" s="125"/>
      <c r="B1443" s="126"/>
      <c r="C1443" s="127"/>
      <c r="D1443" s="124"/>
      <c r="E1443" s="124"/>
      <c r="F1443" s="124"/>
      <c r="G1443" s="124"/>
      <c r="H1443" s="124"/>
      <c r="I1443" s="124"/>
      <c r="J1443" s="124"/>
      <c r="K1443" s="124"/>
      <c r="L1443" s="124"/>
      <c r="M1443" s="124"/>
      <c r="N1443" s="124"/>
      <c r="O1443" s="124"/>
      <c r="P1443" s="124"/>
      <c r="Q1443" s="124"/>
      <c r="R1443" s="124"/>
      <c r="S1443" s="124"/>
      <c r="T1443" s="124"/>
      <c r="U1443" s="124"/>
      <c r="V1443" s="124"/>
      <c r="W1443" s="124"/>
      <c r="X1443" s="124"/>
      <c r="Y1443" s="124"/>
    </row>
    <row r="1444">
      <c r="A1444" s="125"/>
      <c r="B1444" s="126"/>
      <c r="C1444" s="127"/>
      <c r="D1444" s="124"/>
      <c r="E1444" s="124"/>
      <c r="F1444" s="124"/>
      <c r="G1444" s="124"/>
      <c r="H1444" s="124"/>
      <c r="I1444" s="124"/>
      <c r="J1444" s="124"/>
      <c r="K1444" s="124"/>
      <c r="L1444" s="124"/>
      <c r="M1444" s="124"/>
      <c r="N1444" s="124"/>
      <c r="O1444" s="124"/>
      <c r="P1444" s="124"/>
      <c r="Q1444" s="124"/>
      <c r="R1444" s="124"/>
      <c r="S1444" s="124"/>
      <c r="T1444" s="124"/>
      <c r="U1444" s="124"/>
      <c r="V1444" s="124"/>
      <c r="W1444" s="124"/>
      <c r="X1444" s="124"/>
      <c r="Y1444" s="124"/>
    </row>
    <row r="1445">
      <c r="A1445" s="125"/>
      <c r="B1445" s="126"/>
      <c r="C1445" s="127"/>
      <c r="D1445" s="124"/>
      <c r="E1445" s="124"/>
      <c r="F1445" s="124"/>
      <c r="G1445" s="124"/>
      <c r="H1445" s="124"/>
      <c r="I1445" s="124"/>
      <c r="J1445" s="124"/>
      <c r="K1445" s="124"/>
      <c r="L1445" s="124"/>
      <c r="M1445" s="124"/>
      <c r="N1445" s="124"/>
      <c r="O1445" s="124"/>
      <c r="P1445" s="124"/>
      <c r="Q1445" s="124"/>
      <c r="R1445" s="124"/>
      <c r="S1445" s="124"/>
      <c r="T1445" s="124"/>
      <c r="U1445" s="124"/>
      <c r="V1445" s="124"/>
      <c r="W1445" s="124"/>
      <c r="X1445" s="124"/>
      <c r="Y1445" s="124"/>
    </row>
    <row r="1446">
      <c r="A1446" s="125"/>
      <c r="B1446" s="126"/>
      <c r="C1446" s="127"/>
      <c r="D1446" s="124"/>
      <c r="E1446" s="124"/>
      <c r="F1446" s="124"/>
      <c r="G1446" s="124"/>
      <c r="H1446" s="124"/>
      <c r="I1446" s="124"/>
      <c r="J1446" s="124"/>
      <c r="K1446" s="124"/>
      <c r="L1446" s="124"/>
      <c r="M1446" s="124"/>
      <c r="N1446" s="124"/>
      <c r="O1446" s="124"/>
      <c r="P1446" s="124"/>
      <c r="Q1446" s="124"/>
      <c r="R1446" s="124"/>
      <c r="S1446" s="124"/>
      <c r="T1446" s="124"/>
      <c r="U1446" s="124"/>
      <c r="V1446" s="124"/>
      <c r="W1446" s="124"/>
      <c r="X1446" s="124"/>
      <c r="Y1446" s="124"/>
    </row>
    <row r="1447">
      <c r="A1447" s="125"/>
      <c r="B1447" s="126"/>
      <c r="C1447" s="127"/>
      <c r="D1447" s="124"/>
      <c r="E1447" s="124"/>
      <c r="F1447" s="124"/>
      <c r="G1447" s="124"/>
      <c r="H1447" s="124"/>
      <c r="I1447" s="124"/>
      <c r="J1447" s="124"/>
      <c r="K1447" s="124"/>
      <c r="L1447" s="124"/>
      <c r="M1447" s="124"/>
      <c r="N1447" s="124"/>
      <c r="O1447" s="124"/>
      <c r="P1447" s="124"/>
      <c r="Q1447" s="124"/>
      <c r="R1447" s="124"/>
      <c r="S1447" s="124"/>
      <c r="T1447" s="124"/>
      <c r="U1447" s="124"/>
      <c r="V1447" s="124"/>
      <c r="W1447" s="124"/>
      <c r="X1447" s="124"/>
      <c r="Y1447" s="124"/>
    </row>
    <row r="1448">
      <c r="A1448" s="125"/>
      <c r="B1448" s="126"/>
      <c r="C1448" s="127"/>
      <c r="D1448" s="124"/>
      <c r="E1448" s="124"/>
      <c r="F1448" s="124"/>
      <c r="G1448" s="124"/>
      <c r="H1448" s="124"/>
      <c r="I1448" s="124"/>
      <c r="J1448" s="124"/>
      <c r="K1448" s="124"/>
      <c r="L1448" s="124"/>
      <c r="M1448" s="124"/>
      <c r="N1448" s="124"/>
      <c r="O1448" s="124"/>
      <c r="P1448" s="124"/>
      <c r="Q1448" s="124"/>
      <c r="R1448" s="124"/>
      <c r="S1448" s="124"/>
      <c r="T1448" s="124"/>
      <c r="U1448" s="124"/>
      <c r="V1448" s="124"/>
      <c r="W1448" s="124"/>
      <c r="X1448" s="124"/>
      <c r="Y1448" s="124"/>
    </row>
    <row r="1449">
      <c r="A1449" s="125"/>
      <c r="B1449" s="126"/>
      <c r="C1449" s="127"/>
      <c r="D1449" s="124"/>
      <c r="E1449" s="124"/>
      <c r="F1449" s="124"/>
      <c r="G1449" s="124"/>
      <c r="H1449" s="124"/>
      <c r="I1449" s="124"/>
      <c r="J1449" s="124"/>
      <c r="K1449" s="124"/>
      <c r="L1449" s="124"/>
      <c r="M1449" s="124"/>
      <c r="N1449" s="124"/>
      <c r="O1449" s="124"/>
      <c r="P1449" s="124"/>
      <c r="Q1449" s="124"/>
      <c r="R1449" s="124"/>
      <c r="S1449" s="124"/>
      <c r="T1449" s="124"/>
      <c r="U1449" s="124"/>
      <c r="V1449" s="124"/>
      <c r="W1449" s="124"/>
      <c r="X1449" s="124"/>
      <c r="Y1449" s="124"/>
    </row>
    <row r="1450">
      <c r="A1450" s="125"/>
      <c r="B1450" s="126"/>
      <c r="C1450" s="127"/>
      <c r="D1450" s="124"/>
      <c r="E1450" s="124"/>
      <c r="F1450" s="124"/>
      <c r="G1450" s="124"/>
      <c r="H1450" s="124"/>
      <c r="I1450" s="124"/>
      <c r="J1450" s="124"/>
      <c r="K1450" s="124"/>
      <c r="L1450" s="124"/>
      <c r="M1450" s="124"/>
      <c r="N1450" s="124"/>
      <c r="O1450" s="124"/>
      <c r="P1450" s="124"/>
      <c r="Q1450" s="124"/>
      <c r="R1450" s="124"/>
      <c r="S1450" s="124"/>
      <c r="T1450" s="124"/>
      <c r="U1450" s="124"/>
      <c r="V1450" s="124"/>
      <c r="W1450" s="124"/>
      <c r="X1450" s="124"/>
      <c r="Y1450" s="124"/>
    </row>
    <row r="1451">
      <c r="A1451" s="125"/>
      <c r="B1451" s="126"/>
      <c r="C1451" s="127"/>
      <c r="D1451" s="124"/>
      <c r="E1451" s="124"/>
      <c r="F1451" s="124"/>
      <c r="G1451" s="124"/>
      <c r="H1451" s="124"/>
      <c r="I1451" s="124"/>
      <c r="J1451" s="124"/>
      <c r="K1451" s="124"/>
      <c r="L1451" s="124"/>
      <c r="M1451" s="124"/>
      <c r="N1451" s="124"/>
      <c r="O1451" s="124"/>
      <c r="P1451" s="124"/>
      <c r="Q1451" s="124"/>
      <c r="R1451" s="124"/>
      <c r="S1451" s="124"/>
      <c r="T1451" s="124"/>
      <c r="U1451" s="124"/>
      <c r="V1451" s="124"/>
      <c r="W1451" s="124"/>
      <c r="X1451" s="124"/>
      <c r="Y1451" s="124"/>
    </row>
    <row r="1452">
      <c r="A1452" s="125"/>
      <c r="B1452" s="126"/>
      <c r="C1452" s="127"/>
      <c r="D1452" s="124"/>
      <c r="E1452" s="124"/>
      <c r="F1452" s="124"/>
      <c r="G1452" s="124"/>
      <c r="H1452" s="124"/>
      <c r="I1452" s="124"/>
      <c r="J1452" s="124"/>
      <c r="K1452" s="124"/>
      <c r="L1452" s="124"/>
      <c r="M1452" s="124"/>
      <c r="N1452" s="124"/>
      <c r="O1452" s="124"/>
      <c r="P1452" s="124"/>
      <c r="Q1452" s="124"/>
      <c r="R1452" s="124"/>
      <c r="S1452" s="124"/>
      <c r="T1452" s="124"/>
      <c r="U1452" s="124"/>
      <c r="V1452" s="124"/>
      <c r="W1452" s="124"/>
      <c r="X1452" s="124"/>
      <c r="Y1452" s="124"/>
    </row>
    <row r="1453">
      <c r="A1453" s="125"/>
      <c r="B1453" s="126"/>
      <c r="C1453" s="127"/>
      <c r="D1453" s="124"/>
      <c r="E1453" s="124"/>
      <c r="F1453" s="124"/>
      <c r="G1453" s="124"/>
      <c r="H1453" s="124"/>
      <c r="I1453" s="124"/>
      <c r="J1453" s="124"/>
      <c r="K1453" s="124"/>
      <c r="L1453" s="124"/>
      <c r="M1453" s="124"/>
      <c r="N1453" s="124"/>
      <c r="O1453" s="124"/>
      <c r="P1453" s="124"/>
      <c r="Q1453" s="124"/>
      <c r="R1453" s="124"/>
      <c r="S1453" s="124"/>
      <c r="T1453" s="124"/>
      <c r="U1453" s="124"/>
      <c r="V1453" s="124"/>
      <c r="W1453" s="124"/>
      <c r="X1453" s="124"/>
      <c r="Y1453" s="124"/>
    </row>
    <row r="1454">
      <c r="A1454" s="125"/>
      <c r="B1454" s="126"/>
      <c r="C1454" s="127"/>
      <c r="D1454" s="124"/>
      <c r="E1454" s="124"/>
      <c r="F1454" s="124"/>
      <c r="G1454" s="124"/>
      <c r="H1454" s="124"/>
      <c r="I1454" s="124"/>
      <c r="J1454" s="124"/>
      <c r="K1454" s="124"/>
      <c r="L1454" s="124"/>
      <c r="M1454" s="124"/>
      <c r="N1454" s="124"/>
      <c r="O1454" s="124"/>
      <c r="P1454" s="124"/>
      <c r="Q1454" s="124"/>
      <c r="R1454" s="124"/>
      <c r="S1454" s="124"/>
      <c r="T1454" s="124"/>
      <c r="U1454" s="124"/>
      <c r="V1454" s="124"/>
      <c r="W1454" s="124"/>
      <c r="X1454" s="124"/>
      <c r="Y1454" s="124"/>
    </row>
    <row r="1455">
      <c r="A1455" s="125"/>
      <c r="B1455" s="126"/>
      <c r="C1455" s="127"/>
      <c r="D1455" s="124"/>
      <c r="E1455" s="124"/>
      <c r="F1455" s="124"/>
      <c r="G1455" s="124"/>
      <c r="H1455" s="124"/>
      <c r="I1455" s="124"/>
      <c r="J1455" s="124"/>
      <c r="K1455" s="124"/>
      <c r="L1455" s="124"/>
      <c r="M1455" s="124"/>
      <c r="N1455" s="124"/>
      <c r="O1455" s="124"/>
      <c r="P1455" s="124"/>
      <c r="Q1455" s="124"/>
      <c r="R1455" s="124"/>
      <c r="S1455" s="124"/>
      <c r="T1455" s="124"/>
      <c r="U1455" s="124"/>
      <c r="V1455" s="124"/>
      <c r="W1455" s="124"/>
      <c r="X1455" s="124"/>
      <c r="Y1455" s="124"/>
    </row>
    <row r="1456">
      <c r="A1456" s="125"/>
      <c r="B1456" s="126"/>
      <c r="C1456" s="127"/>
      <c r="D1456" s="124"/>
      <c r="E1456" s="124"/>
      <c r="F1456" s="124"/>
      <c r="G1456" s="124"/>
      <c r="H1456" s="124"/>
      <c r="I1456" s="124"/>
      <c r="J1456" s="124"/>
      <c r="K1456" s="124"/>
      <c r="L1456" s="124"/>
      <c r="M1456" s="124"/>
      <c r="N1456" s="124"/>
      <c r="O1456" s="124"/>
      <c r="P1456" s="124"/>
      <c r="Q1456" s="124"/>
      <c r="R1456" s="124"/>
      <c r="S1456" s="124"/>
      <c r="T1456" s="124"/>
      <c r="U1456" s="124"/>
      <c r="V1456" s="124"/>
      <c r="W1456" s="124"/>
      <c r="X1456" s="124"/>
      <c r="Y1456" s="124"/>
    </row>
    <row r="1457">
      <c r="A1457" s="125"/>
      <c r="B1457" s="126"/>
      <c r="C1457" s="127"/>
      <c r="D1457" s="124"/>
      <c r="E1457" s="124"/>
      <c r="F1457" s="124"/>
      <c r="G1457" s="124"/>
      <c r="H1457" s="124"/>
      <c r="I1457" s="124"/>
      <c r="J1457" s="124"/>
      <c r="K1457" s="124"/>
      <c r="L1457" s="124"/>
      <c r="M1457" s="124"/>
      <c r="N1457" s="124"/>
      <c r="O1457" s="124"/>
      <c r="P1457" s="124"/>
      <c r="Q1457" s="124"/>
      <c r="R1457" s="124"/>
      <c r="S1457" s="124"/>
      <c r="T1457" s="124"/>
      <c r="U1457" s="124"/>
      <c r="V1457" s="124"/>
      <c r="W1457" s="124"/>
      <c r="X1457" s="124"/>
      <c r="Y1457" s="124"/>
    </row>
    <row r="1458">
      <c r="A1458" s="125"/>
      <c r="B1458" s="126"/>
      <c r="C1458" s="127"/>
      <c r="D1458" s="124"/>
      <c r="E1458" s="124"/>
      <c r="F1458" s="124"/>
      <c r="G1458" s="124"/>
      <c r="H1458" s="124"/>
      <c r="I1458" s="124"/>
      <c r="J1458" s="124"/>
      <c r="K1458" s="124"/>
      <c r="L1458" s="124"/>
      <c r="M1458" s="124"/>
      <c r="N1458" s="124"/>
      <c r="O1458" s="124"/>
      <c r="P1458" s="124"/>
      <c r="Q1458" s="124"/>
      <c r="R1458" s="124"/>
      <c r="S1458" s="124"/>
      <c r="T1458" s="124"/>
      <c r="U1458" s="124"/>
      <c r="V1458" s="124"/>
      <c r="W1458" s="124"/>
      <c r="X1458" s="124"/>
      <c r="Y1458" s="124"/>
    </row>
    <row r="1459">
      <c r="A1459" s="125"/>
      <c r="B1459" s="126"/>
      <c r="C1459" s="127"/>
      <c r="D1459" s="124"/>
      <c r="E1459" s="124"/>
      <c r="F1459" s="124"/>
      <c r="G1459" s="124"/>
      <c r="H1459" s="124"/>
      <c r="I1459" s="124"/>
      <c r="J1459" s="124"/>
      <c r="K1459" s="124"/>
      <c r="L1459" s="124"/>
      <c r="M1459" s="124"/>
      <c r="N1459" s="124"/>
      <c r="O1459" s="124"/>
      <c r="P1459" s="124"/>
      <c r="Q1459" s="124"/>
      <c r="R1459" s="124"/>
      <c r="S1459" s="124"/>
      <c r="T1459" s="124"/>
      <c r="U1459" s="124"/>
      <c r="V1459" s="124"/>
      <c r="W1459" s="124"/>
      <c r="X1459" s="124"/>
      <c r="Y1459" s="124"/>
    </row>
    <row r="1460">
      <c r="A1460" s="125"/>
      <c r="B1460" s="126"/>
      <c r="C1460" s="127"/>
      <c r="D1460" s="124"/>
      <c r="E1460" s="124"/>
      <c r="F1460" s="124"/>
      <c r="G1460" s="124"/>
      <c r="H1460" s="124"/>
      <c r="I1460" s="124"/>
      <c r="J1460" s="124"/>
      <c r="K1460" s="124"/>
      <c r="L1460" s="124"/>
      <c r="M1460" s="124"/>
      <c r="N1460" s="124"/>
      <c r="O1460" s="124"/>
      <c r="P1460" s="124"/>
      <c r="Q1460" s="124"/>
      <c r="R1460" s="124"/>
      <c r="S1460" s="124"/>
      <c r="T1460" s="124"/>
      <c r="U1460" s="124"/>
      <c r="V1460" s="124"/>
      <c r="W1460" s="124"/>
      <c r="X1460" s="124"/>
      <c r="Y1460" s="124"/>
    </row>
    <row r="1461">
      <c r="A1461" s="125"/>
      <c r="B1461" s="126"/>
      <c r="C1461" s="127"/>
      <c r="D1461" s="124"/>
      <c r="E1461" s="124"/>
      <c r="F1461" s="124"/>
      <c r="G1461" s="124"/>
      <c r="H1461" s="124"/>
      <c r="I1461" s="124"/>
      <c r="J1461" s="124"/>
      <c r="K1461" s="124"/>
      <c r="L1461" s="124"/>
      <c r="M1461" s="124"/>
      <c r="N1461" s="124"/>
      <c r="O1461" s="124"/>
      <c r="P1461" s="124"/>
      <c r="Q1461" s="124"/>
      <c r="R1461" s="124"/>
      <c r="S1461" s="124"/>
      <c r="T1461" s="124"/>
      <c r="U1461" s="124"/>
      <c r="V1461" s="124"/>
      <c r="W1461" s="124"/>
      <c r="X1461" s="124"/>
      <c r="Y1461" s="124"/>
    </row>
    <row r="1462">
      <c r="A1462" s="125"/>
      <c r="B1462" s="126"/>
      <c r="C1462" s="127"/>
      <c r="D1462" s="124"/>
      <c r="E1462" s="124"/>
      <c r="F1462" s="124"/>
      <c r="G1462" s="124"/>
      <c r="H1462" s="124"/>
      <c r="I1462" s="124"/>
      <c r="J1462" s="124"/>
      <c r="K1462" s="124"/>
      <c r="L1462" s="124"/>
      <c r="M1462" s="124"/>
      <c r="N1462" s="124"/>
      <c r="O1462" s="124"/>
      <c r="P1462" s="124"/>
      <c r="Q1462" s="124"/>
      <c r="R1462" s="124"/>
      <c r="S1462" s="124"/>
      <c r="T1462" s="124"/>
      <c r="U1462" s="124"/>
      <c r="V1462" s="124"/>
      <c r="W1462" s="124"/>
      <c r="X1462" s="124"/>
      <c r="Y1462" s="124"/>
    </row>
    <row r="1463">
      <c r="A1463" s="125"/>
      <c r="B1463" s="126"/>
      <c r="C1463" s="127"/>
      <c r="D1463" s="124"/>
      <c r="E1463" s="124"/>
      <c r="F1463" s="124"/>
      <c r="G1463" s="124"/>
      <c r="H1463" s="124"/>
      <c r="I1463" s="124"/>
      <c r="J1463" s="124"/>
      <c r="K1463" s="124"/>
      <c r="L1463" s="124"/>
      <c r="M1463" s="124"/>
      <c r="N1463" s="124"/>
      <c r="O1463" s="124"/>
      <c r="P1463" s="124"/>
      <c r="Q1463" s="124"/>
      <c r="R1463" s="124"/>
      <c r="S1463" s="124"/>
      <c r="T1463" s="124"/>
      <c r="U1463" s="124"/>
      <c r="V1463" s="124"/>
      <c r="W1463" s="124"/>
      <c r="X1463" s="124"/>
      <c r="Y1463" s="124"/>
    </row>
    <row r="1464">
      <c r="A1464" s="125"/>
      <c r="B1464" s="126"/>
      <c r="C1464" s="127"/>
      <c r="D1464" s="124"/>
      <c r="E1464" s="124"/>
      <c r="F1464" s="124"/>
      <c r="G1464" s="124"/>
      <c r="H1464" s="124"/>
      <c r="I1464" s="124"/>
      <c r="J1464" s="124"/>
      <c r="K1464" s="124"/>
      <c r="L1464" s="124"/>
      <c r="M1464" s="124"/>
      <c r="N1464" s="124"/>
      <c r="O1464" s="124"/>
      <c r="P1464" s="124"/>
      <c r="Q1464" s="124"/>
      <c r="R1464" s="124"/>
      <c r="S1464" s="124"/>
      <c r="T1464" s="124"/>
      <c r="U1464" s="124"/>
      <c r="V1464" s="124"/>
      <c r="W1464" s="124"/>
      <c r="X1464" s="124"/>
      <c r="Y1464" s="124"/>
    </row>
    <row r="1465">
      <c r="A1465" s="125"/>
      <c r="B1465" s="126"/>
      <c r="C1465" s="127"/>
      <c r="D1465" s="124"/>
      <c r="E1465" s="124"/>
      <c r="F1465" s="124"/>
      <c r="G1465" s="124"/>
      <c r="H1465" s="124"/>
      <c r="I1465" s="124"/>
      <c r="J1465" s="124"/>
      <c r="K1465" s="124"/>
      <c r="L1465" s="124"/>
      <c r="M1465" s="124"/>
      <c r="N1465" s="124"/>
      <c r="O1465" s="124"/>
      <c r="P1465" s="124"/>
      <c r="Q1465" s="124"/>
      <c r="R1465" s="124"/>
      <c r="S1465" s="124"/>
      <c r="T1465" s="124"/>
      <c r="U1465" s="124"/>
      <c r="V1465" s="124"/>
      <c r="W1465" s="124"/>
      <c r="X1465" s="124"/>
      <c r="Y1465" s="124"/>
    </row>
    <row r="1466">
      <c r="A1466" s="125"/>
      <c r="B1466" s="126"/>
      <c r="C1466" s="127"/>
      <c r="D1466" s="124"/>
      <c r="E1466" s="124"/>
      <c r="F1466" s="124"/>
      <c r="G1466" s="124"/>
      <c r="H1466" s="124"/>
      <c r="I1466" s="124"/>
      <c r="J1466" s="124"/>
      <c r="K1466" s="124"/>
      <c r="L1466" s="124"/>
      <c r="M1466" s="124"/>
      <c r="N1466" s="124"/>
      <c r="O1466" s="124"/>
      <c r="P1466" s="124"/>
      <c r="Q1466" s="124"/>
      <c r="R1466" s="124"/>
      <c r="S1466" s="124"/>
      <c r="T1466" s="124"/>
      <c r="U1466" s="124"/>
      <c r="V1466" s="124"/>
      <c r="W1466" s="124"/>
      <c r="X1466" s="124"/>
      <c r="Y1466" s="124"/>
    </row>
    <row r="1467">
      <c r="A1467" s="125"/>
      <c r="B1467" s="126"/>
      <c r="C1467" s="127"/>
      <c r="D1467" s="124"/>
      <c r="E1467" s="124"/>
      <c r="F1467" s="124"/>
      <c r="G1467" s="124"/>
      <c r="H1467" s="124"/>
      <c r="I1467" s="124"/>
      <c r="J1467" s="124"/>
      <c r="K1467" s="124"/>
      <c r="L1467" s="124"/>
      <c r="M1467" s="124"/>
      <c r="N1467" s="124"/>
      <c r="O1467" s="124"/>
      <c r="P1467" s="124"/>
      <c r="Q1467" s="124"/>
      <c r="R1467" s="124"/>
      <c r="S1467" s="124"/>
      <c r="T1467" s="124"/>
      <c r="U1467" s="124"/>
      <c r="V1467" s="124"/>
      <c r="W1467" s="124"/>
      <c r="X1467" s="124"/>
      <c r="Y1467" s="124"/>
    </row>
    <row r="1468">
      <c r="A1468" s="125"/>
      <c r="B1468" s="126"/>
      <c r="C1468" s="127"/>
      <c r="D1468" s="124"/>
      <c r="E1468" s="124"/>
      <c r="F1468" s="124"/>
      <c r="G1468" s="124"/>
      <c r="H1468" s="124"/>
      <c r="I1468" s="124"/>
      <c r="J1468" s="124"/>
      <c r="K1468" s="124"/>
      <c r="L1468" s="124"/>
      <c r="M1468" s="124"/>
      <c r="N1468" s="124"/>
      <c r="O1468" s="124"/>
      <c r="P1468" s="124"/>
      <c r="Q1468" s="124"/>
      <c r="R1468" s="124"/>
      <c r="S1468" s="124"/>
      <c r="T1468" s="124"/>
      <c r="U1468" s="124"/>
      <c r="V1468" s="124"/>
      <c r="W1468" s="124"/>
      <c r="X1468" s="124"/>
      <c r="Y1468" s="124"/>
    </row>
    <row r="1469">
      <c r="A1469" s="125"/>
      <c r="B1469" s="126"/>
      <c r="C1469" s="127"/>
      <c r="D1469" s="124"/>
      <c r="E1469" s="124"/>
      <c r="F1469" s="124"/>
      <c r="G1469" s="124"/>
      <c r="H1469" s="124"/>
      <c r="I1469" s="124"/>
      <c r="J1469" s="124"/>
      <c r="K1469" s="124"/>
      <c r="L1469" s="124"/>
      <c r="M1469" s="124"/>
      <c r="N1469" s="124"/>
      <c r="O1469" s="124"/>
      <c r="P1469" s="124"/>
      <c r="Q1469" s="124"/>
      <c r="R1469" s="124"/>
      <c r="S1469" s="124"/>
      <c r="T1469" s="124"/>
      <c r="U1469" s="124"/>
      <c r="V1469" s="124"/>
      <c r="W1469" s="124"/>
      <c r="X1469" s="124"/>
      <c r="Y1469" s="124"/>
    </row>
    <row r="1470">
      <c r="A1470" s="125"/>
      <c r="B1470" s="126"/>
      <c r="C1470" s="127"/>
      <c r="D1470" s="124"/>
      <c r="E1470" s="124"/>
      <c r="F1470" s="124"/>
      <c r="G1470" s="124"/>
      <c r="H1470" s="124"/>
      <c r="I1470" s="124"/>
      <c r="J1470" s="124"/>
      <c r="K1470" s="124"/>
      <c r="L1470" s="124"/>
      <c r="M1470" s="124"/>
      <c r="N1470" s="124"/>
      <c r="O1470" s="124"/>
      <c r="P1470" s="124"/>
      <c r="Q1470" s="124"/>
      <c r="R1470" s="124"/>
      <c r="S1470" s="124"/>
      <c r="T1470" s="124"/>
      <c r="U1470" s="124"/>
      <c r="V1470" s="124"/>
      <c r="W1470" s="124"/>
      <c r="X1470" s="124"/>
      <c r="Y1470" s="124"/>
    </row>
    <row r="1471">
      <c r="A1471" s="125"/>
      <c r="B1471" s="126"/>
      <c r="C1471" s="127"/>
      <c r="D1471" s="124"/>
      <c r="E1471" s="124"/>
      <c r="F1471" s="124"/>
      <c r="G1471" s="124"/>
      <c r="H1471" s="124"/>
      <c r="I1471" s="124"/>
      <c r="J1471" s="124"/>
      <c r="K1471" s="124"/>
      <c r="L1471" s="124"/>
      <c r="M1471" s="124"/>
      <c r="N1471" s="124"/>
      <c r="O1471" s="124"/>
      <c r="P1471" s="124"/>
      <c r="Q1471" s="124"/>
      <c r="R1471" s="124"/>
      <c r="S1471" s="124"/>
      <c r="T1471" s="124"/>
      <c r="U1471" s="124"/>
      <c r="V1471" s="124"/>
      <c r="W1471" s="124"/>
      <c r="X1471" s="124"/>
      <c r="Y1471" s="124"/>
    </row>
    <row r="1472">
      <c r="A1472" s="125"/>
      <c r="B1472" s="126"/>
      <c r="C1472" s="127"/>
      <c r="D1472" s="124"/>
      <c r="E1472" s="124"/>
      <c r="F1472" s="124"/>
      <c r="G1472" s="124"/>
      <c r="H1472" s="124"/>
      <c r="I1472" s="124"/>
      <c r="J1472" s="124"/>
      <c r="K1472" s="124"/>
      <c r="L1472" s="124"/>
      <c r="M1472" s="124"/>
      <c r="N1472" s="124"/>
      <c r="O1472" s="124"/>
      <c r="P1472" s="124"/>
      <c r="Q1472" s="124"/>
      <c r="R1472" s="124"/>
      <c r="S1472" s="124"/>
      <c r="T1472" s="124"/>
      <c r="U1472" s="124"/>
      <c r="V1472" s="124"/>
      <c r="W1472" s="124"/>
      <c r="X1472" s="124"/>
      <c r="Y1472" s="124"/>
    </row>
    <row r="1473">
      <c r="A1473" s="125"/>
      <c r="B1473" s="126"/>
      <c r="C1473" s="127"/>
      <c r="D1473" s="124"/>
      <c r="E1473" s="124"/>
      <c r="F1473" s="124"/>
      <c r="G1473" s="124"/>
      <c r="H1473" s="124"/>
      <c r="I1473" s="124"/>
      <c r="J1473" s="124"/>
      <c r="K1473" s="124"/>
      <c r="L1473" s="124"/>
      <c r="M1473" s="124"/>
      <c r="N1473" s="124"/>
      <c r="O1473" s="124"/>
      <c r="P1473" s="124"/>
      <c r="Q1473" s="124"/>
      <c r="R1473" s="124"/>
      <c r="S1473" s="124"/>
      <c r="T1473" s="124"/>
      <c r="U1473" s="124"/>
      <c r="V1473" s="124"/>
      <c r="W1473" s="124"/>
      <c r="X1473" s="124"/>
      <c r="Y1473" s="124"/>
    </row>
    <row r="1474">
      <c r="A1474" s="125"/>
      <c r="B1474" s="126"/>
      <c r="C1474" s="127"/>
      <c r="D1474" s="124"/>
      <c r="E1474" s="124"/>
      <c r="F1474" s="124"/>
      <c r="G1474" s="124"/>
      <c r="H1474" s="124"/>
      <c r="I1474" s="124"/>
      <c r="J1474" s="124"/>
      <c r="K1474" s="124"/>
      <c r="L1474" s="124"/>
      <c r="M1474" s="124"/>
      <c r="N1474" s="124"/>
      <c r="O1474" s="124"/>
      <c r="P1474" s="124"/>
      <c r="Q1474" s="124"/>
      <c r="R1474" s="124"/>
      <c r="S1474" s="124"/>
      <c r="T1474" s="124"/>
      <c r="U1474" s="124"/>
      <c r="V1474" s="124"/>
      <c r="W1474" s="124"/>
      <c r="X1474" s="124"/>
      <c r="Y1474" s="124"/>
    </row>
    <row r="1475">
      <c r="A1475" s="125"/>
      <c r="B1475" s="126"/>
      <c r="C1475" s="127"/>
      <c r="D1475" s="124"/>
      <c r="E1475" s="124"/>
      <c r="F1475" s="124"/>
      <c r="G1475" s="124"/>
      <c r="H1475" s="124"/>
      <c r="I1475" s="124"/>
      <c r="J1475" s="124"/>
      <c r="K1475" s="124"/>
      <c r="L1475" s="124"/>
      <c r="M1475" s="124"/>
      <c r="N1475" s="124"/>
      <c r="O1475" s="124"/>
      <c r="P1475" s="124"/>
      <c r="Q1475" s="124"/>
      <c r="R1475" s="124"/>
      <c r="S1475" s="124"/>
      <c r="T1475" s="124"/>
      <c r="U1475" s="124"/>
      <c r="V1475" s="124"/>
      <c r="W1475" s="124"/>
      <c r="X1475" s="124"/>
      <c r="Y1475" s="124"/>
    </row>
    <row r="1476">
      <c r="A1476" s="125"/>
      <c r="B1476" s="126"/>
      <c r="C1476" s="127"/>
      <c r="D1476" s="124"/>
      <c r="E1476" s="124"/>
      <c r="F1476" s="124"/>
      <c r="G1476" s="124"/>
      <c r="H1476" s="124"/>
      <c r="I1476" s="124"/>
      <c r="J1476" s="124"/>
      <c r="K1476" s="124"/>
      <c r="L1476" s="124"/>
      <c r="M1476" s="124"/>
      <c r="N1476" s="124"/>
      <c r="O1476" s="124"/>
      <c r="P1476" s="124"/>
      <c r="Q1476" s="124"/>
      <c r="R1476" s="124"/>
      <c r="S1476" s="124"/>
      <c r="T1476" s="124"/>
      <c r="U1476" s="124"/>
      <c r="V1476" s="124"/>
      <c r="W1476" s="124"/>
      <c r="X1476" s="124"/>
      <c r="Y1476" s="124"/>
    </row>
    <row r="1477">
      <c r="A1477" s="125"/>
      <c r="B1477" s="126"/>
      <c r="C1477" s="127"/>
      <c r="D1477" s="124"/>
      <c r="E1477" s="124"/>
      <c r="F1477" s="124"/>
      <c r="G1477" s="124"/>
      <c r="H1477" s="124"/>
      <c r="I1477" s="124"/>
      <c r="J1477" s="124"/>
      <c r="K1477" s="124"/>
      <c r="L1477" s="124"/>
      <c r="M1477" s="124"/>
      <c r="N1477" s="124"/>
      <c r="O1477" s="124"/>
      <c r="P1477" s="124"/>
      <c r="Q1477" s="124"/>
      <c r="R1477" s="124"/>
      <c r="S1477" s="124"/>
      <c r="T1477" s="124"/>
      <c r="U1477" s="124"/>
      <c r="V1477" s="124"/>
      <c r="W1477" s="124"/>
      <c r="X1477" s="124"/>
      <c r="Y1477" s="124"/>
    </row>
    <row r="1478">
      <c r="A1478" s="125"/>
      <c r="B1478" s="126"/>
      <c r="C1478" s="127"/>
      <c r="D1478" s="124"/>
      <c r="E1478" s="124"/>
      <c r="F1478" s="124"/>
      <c r="G1478" s="124"/>
      <c r="H1478" s="124"/>
      <c r="I1478" s="124"/>
      <c r="J1478" s="124"/>
      <c r="K1478" s="124"/>
      <c r="L1478" s="124"/>
      <c r="M1478" s="124"/>
      <c r="N1478" s="124"/>
      <c r="O1478" s="124"/>
      <c r="P1478" s="124"/>
      <c r="Q1478" s="124"/>
      <c r="R1478" s="124"/>
      <c r="S1478" s="124"/>
      <c r="T1478" s="124"/>
      <c r="U1478" s="124"/>
      <c r="V1478" s="124"/>
      <c r="W1478" s="124"/>
      <c r="X1478" s="124"/>
      <c r="Y1478" s="124"/>
    </row>
    <row r="1479">
      <c r="A1479" s="125"/>
      <c r="B1479" s="126"/>
      <c r="C1479" s="127"/>
      <c r="D1479" s="124"/>
      <c r="E1479" s="124"/>
      <c r="F1479" s="124"/>
      <c r="G1479" s="124"/>
      <c r="H1479" s="124"/>
      <c r="I1479" s="124"/>
      <c r="J1479" s="124"/>
      <c r="K1479" s="124"/>
      <c r="L1479" s="124"/>
      <c r="M1479" s="124"/>
      <c r="N1479" s="124"/>
      <c r="O1479" s="124"/>
      <c r="P1479" s="124"/>
      <c r="Q1479" s="124"/>
      <c r="R1479" s="124"/>
      <c r="S1479" s="124"/>
      <c r="T1479" s="124"/>
      <c r="U1479" s="124"/>
      <c r="V1479" s="124"/>
      <c r="W1479" s="124"/>
      <c r="X1479" s="124"/>
      <c r="Y1479" s="124"/>
    </row>
    <row r="1480">
      <c r="A1480" s="125"/>
      <c r="B1480" s="126"/>
      <c r="C1480" s="127"/>
      <c r="D1480" s="124"/>
      <c r="E1480" s="124"/>
      <c r="F1480" s="124"/>
      <c r="G1480" s="124"/>
      <c r="H1480" s="124"/>
      <c r="I1480" s="124"/>
      <c r="J1480" s="124"/>
      <c r="K1480" s="124"/>
      <c r="L1480" s="124"/>
      <c r="M1480" s="124"/>
      <c r="N1480" s="124"/>
      <c r="O1480" s="124"/>
      <c r="P1480" s="124"/>
      <c r="Q1480" s="124"/>
      <c r="R1480" s="124"/>
      <c r="S1480" s="124"/>
      <c r="T1480" s="124"/>
      <c r="U1480" s="124"/>
      <c r="V1480" s="124"/>
      <c r="W1480" s="124"/>
      <c r="X1480" s="124"/>
      <c r="Y1480" s="124"/>
    </row>
    <row r="1481">
      <c r="A1481" s="125"/>
      <c r="B1481" s="126"/>
      <c r="C1481" s="127"/>
      <c r="D1481" s="124"/>
      <c r="E1481" s="124"/>
      <c r="F1481" s="124"/>
      <c r="G1481" s="124"/>
      <c r="H1481" s="124"/>
      <c r="I1481" s="124"/>
      <c r="J1481" s="124"/>
      <c r="K1481" s="124"/>
      <c r="L1481" s="124"/>
      <c r="M1481" s="124"/>
      <c r="N1481" s="124"/>
      <c r="O1481" s="124"/>
      <c r="P1481" s="124"/>
      <c r="Q1481" s="124"/>
      <c r="R1481" s="124"/>
      <c r="S1481" s="124"/>
      <c r="T1481" s="124"/>
      <c r="U1481" s="124"/>
      <c r="V1481" s="124"/>
      <c r="W1481" s="124"/>
      <c r="X1481" s="124"/>
      <c r="Y1481" s="124"/>
    </row>
    <row r="1482">
      <c r="A1482" s="125"/>
      <c r="B1482" s="126"/>
      <c r="C1482" s="127"/>
      <c r="D1482" s="124"/>
      <c r="E1482" s="124"/>
      <c r="F1482" s="124"/>
      <c r="G1482" s="124"/>
      <c r="H1482" s="124"/>
      <c r="I1482" s="124"/>
      <c r="J1482" s="124"/>
      <c r="K1482" s="124"/>
      <c r="L1482" s="124"/>
      <c r="M1482" s="124"/>
      <c r="N1482" s="124"/>
      <c r="O1482" s="124"/>
      <c r="P1482" s="124"/>
      <c r="Q1482" s="124"/>
      <c r="R1482" s="124"/>
      <c r="S1482" s="124"/>
      <c r="T1482" s="124"/>
      <c r="U1482" s="124"/>
      <c r="V1482" s="124"/>
      <c r="W1482" s="124"/>
      <c r="X1482" s="124"/>
      <c r="Y1482" s="124"/>
    </row>
    <row r="1483">
      <c r="A1483" s="125"/>
      <c r="B1483" s="126"/>
      <c r="C1483" s="127"/>
      <c r="D1483" s="124"/>
      <c r="E1483" s="124"/>
      <c r="F1483" s="124"/>
      <c r="G1483" s="124"/>
      <c r="H1483" s="124"/>
      <c r="I1483" s="124"/>
      <c r="J1483" s="124"/>
      <c r="K1483" s="124"/>
      <c r="L1483" s="124"/>
      <c r="M1483" s="124"/>
      <c r="N1483" s="124"/>
      <c r="O1483" s="124"/>
      <c r="P1483" s="124"/>
      <c r="Q1483" s="124"/>
      <c r="R1483" s="124"/>
      <c r="S1483" s="124"/>
      <c r="T1483" s="124"/>
      <c r="U1483" s="124"/>
      <c r="V1483" s="124"/>
      <c r="W1483" s="124"/>
      <c r="X1483" s="124"/>
      <c r="Y1483" s="124"/>
    </row>
    <row r="1484">
      <c r="A1484" s="125"/>
      <c r="B1484" s="126"/>
      <c r="C1484" s="127"/>
      <c r="D1484" s="124"/>
      <c r="E1484" s="124"/>
      <c r="F1484" s="124"/>
      <c r="G1484" s="124"/>
      <c r="H1484" s="124"/>
      <c r="I1484" s="124"/>
      <c r="J1484" s="124"/>
      <c r="K1484" s="124"/>
      <c r="L1484" s="124"/>
      <c r="M1484" s="124"/>
      <c r="N1484" s="124"/>
      <c r="O1484" s="124"/>
      <c r="P1484" s="124"/>
      <c r="Q1484" s="124"/>
      <c r="R1484" s="124"/>
      <c r="S1484" s="124"/>
      <c r="T1484" s="124"/>
      <c r="U1484" s="124"/>
      <c r="V1484" s="124"/>
      <c r="W1484" s="124"/>
      <c r="X1484" s="124"/>
      <c r="Y1484" s="124"/>
    </row>
    <row r="1485">
      <c r="A1485" s="125"/>
      <c r="B1485" s="126"/>
      <c r="C1485" s="127"/>
      <c r="D1485" s="124"/>
      <c r="E1485" s="124"/>
      <c r="F1485" s="124"/>
      <c r="G1485" s="124"/>
      <c r="H1485" s="124"/>
      <c r="I1485" s="124"/>
      <c r="J1485" s="124"/>
      <c r="K1485" s="124"/>
      <c r="L1485" s="124"/>
      <c r="M1485" s="124"/>
      <c r="N1485" s="124"/>
      <c r="O1485" s="124"/>
      <c r="P1485" s="124"/>
      <c r="Q1485" s="124"/>
      <c r="R1485" s="124"/>
      <c r="S1485" s="124"/>
      <c r="T1485" s="124"/>
      <c r="U1485" s="124"/>
      <c r="V1485" s="124"/>
      <c r="W1485" s="124"/>
      <c r="X1485" s="124"/>
      <c r="Y1485" s="124"/>
    </row>
    <row r="1486">
      <c r="A1486" s="125"/>
      <c r="B1486" s="126"/>
      <c r="C1486" s="127"/>
      <c r="D1486" s="124"/>
      <c r="E1486" s="124"/>
      <c r="F1486" s="124"/>
      <c r="G1486" s="124"/>
      <c r="H1486" s="124"/>
      <c r="I1486" s="124"/>
      <c r="J1486" s="124"/>
      <c r="K1486" s="124"/>
      <c r="L1486" s="124"/>
      <c r="M1486" s="124"/>
      <c r="N1486" s="124"/>
      <c r="O1486" s="124"/>
      <c r="P1486" s="124"/>
      <c r="Q1486" s="124"/>
      <c r="R1486" s="124"/>
      <c r="S1486" s="124"/>
      <c r="T1486" s="124"/>
      <c r="U1486" s="124"/>
      <c r="V1486" s="124"/>
      <c r="W1486" s="124"/>
      <c r="X1486" s="124"/>
      <c r="Y1486" s="124"/>
    </row>
    <row r="1487">
      <c r="A1487" s="125"/>
      <c r="B1487" s="126"/>
      <c r="C1487" s="127"/>
      <c r="D1487" s="124"/>
      <c r="E1487" s="124"/>
      <c r="F1487" s="124"/>
      <c r="G1487" s="124"/>
      <c r="H1487" s="124"/>
      <c r="I1487" s="124"/>
      <c r="J1487" s="124"/>
      <c r="K1487" s="124"/>
      <c r="L1487" s="124"/>
      <c r="M1487" s="124"/>
      <c r="N1487" s="124"/>
      <c r="O1487" s="124"/>
      <c r="P1487" s="124"/>
      <c r="Q1487" s="124"/>
      <c r="R1487" s="124"/>
      <c r="S1487" s="124"/>
      <c r="T1487" s="124"/>
      <c r="U1487" s="124"/>
      <c r="V1487" s="124"/>
      <c r="W1487" s="124"/>
      <c r="X1487" s="124"/>
      <c r="Y1487" s="124"/>
    </row>
    <row r="1488">
      <c r="A1488" s="125"/>
      <c r="B1488" s="126"/>
      <c r="C1488" s="127"/>
      <c r="D1488" s="124"/>
      <c r="E1488" s="124"/>
      <c r="F1488" s="124"/>
      <c r="G1488" s="124"/>
      <c r="H1488" s="124"/>
      <c r="I1488" s="124"/>
      <c r="J1488" s="124"/>
      <c r="K1488" s="124"/>
      <c r="L1488" s="124"/>
      <c r="M1488" s="124"/>
      <c r="N1488" s="124"/>
      <c r="O1488" s="124"/>
      <c r="P1488" s="124"/>
      <c r="Q1488" s="124"/>
      <c r="R1488" s="124"/>
      <c r="S1488" s="124"/>
      <c r="T1488" s="124"/>
      <c r="U1488" s="124"/>
      <c r="V1488" s="124"/>
      <c r="W1488" s="124"/>
      <c r="X1488" s="124"/>
      <c r="Y1488" s="124"/>
    </row>
    <row r="1489">
      <c r="A1489" s="125"/>
      <c r="B1489" s="126"/>
      <c r="C1489" s="127"/>
      <c r="D1489" s="124"/>
      <c r="E1489" s="124"/>
      <c r="F1489" s="124"/>
      <c r="G1489" s="124"/>
      <c r="H1489" s="124"/>
      <c r="I1489" s="124"/>
      <c r="J1489" s="124"/>
      <c r="K1489" s="124"/>
      <c r="L1489" s="124"/>
      <c r="M1489" s="124"/>
      <c r="N1489" s="124"/>
      <c r="O1489" s="124"/>
      <c r="P1489" s="124"/>
      <c r="Q1489" s="124"/>
      <c r="R1489" s="124"/>
      <c r="S1489" s="124"/>
      <c r="T1489" s="124"/>
      <c r="U1489" s="124"/>
      <c r="V1489" s="124"/>
      <c r="W1489" s="124"/>
      <c r="X1489" s="124"/>
      <c r="Y1489" s="124"/>
    </row>
    <row r="1490">
      <c r="A1490" s="125"/>
      <c r="B1490" s="126"/>
      <c r="C1490" s="127"/>
      <c r="D1490" s="124"/>
      <c r="E1490" s="124"/>
      <c r="F1490" s="124"/>
      <c r="G1490" s="124"/>
      <c r="H1490" s="124"/>
      <c r="I1490" s="124"/>
      <c r="J1490" s="124"/>
      <c r="K1490" s="124"/>
      <c r="L1490" s="124"/>
      <c r="M1490" s="124"/>
      <c r="N1490" s="124"/>
      <c r="O1490" s="124"/>
      <c r="P1490" s="124"/>
      <c r="Q1490" s="124"/>
      <c r="R1490" s="124"/>
      <c r="S1490" s="124"/>
      <c r="T1490" s="124"/>
      <c r="U1490" s="124"/>
      <c r="V1490" s="124"/>
      <c r="W1490" s="124"/>
      <c r="X1490" s="124"/>
      <c r="Y1490" s="124"/>
    </row>
    <row r="1491">
      <c r="A1491" s="125"/>
      <c r="B1491" s="126"/>
      <c r="C1491" s="127"/>
      <c r="D1491" s="124"/>
      <c r="E1491" s="124"/>
      <c r="F1491" s="124"/>
      <c r="G1491" s="124"/>
      <c r="H1491" s="124"/>
      <c r="I1491" s="124"/>
      <c r="J1491" s="124"/>
      <c r="K1491" s="124"/>
      <c r="L1491" s="124"/>
      <c r="M1491" s="124"/>
      <c r="N1491" s="124"/>
      <c r="O1491" s="124"/>
      <c r="P1491" s="124"/>
      <c r="Q1491" s="124"/>
      <c r="R1491" s="124"/>
      <c r="S1491" s="124"/>
      <c r="T1491" s="124"/>
      <c r="U1491" s="124"/>
      <c r="V1491" s="124"/>
      <c r="W1491" s="124"/>
      <c r="X1491" s="124"/>
      <c r="Y1491" s="124"/>
    </row>
    <row r="1492">
      <c r="A1492" s="125"/>
      <c r="B1492" s="126"/>
      <c r="C1492" s="127"/>
      <c r="D1492" s="124"/>
      <c r="E1492" s="124"/>
      <c r="F1492" s="124"/>
      <c r="G1492" s="124"/>
      <c r="H1492" s="124"/>
      <c r="I1492" s="124"/>
      <c r="J1492" s="124"/>
      <c r="K1492" s="124"/>
      <c r="L1492" s="124"/>
      <c r="M1492" s="124"/>
      <c r="N1492" s="124"/>
      <c r="O1492" s="124"/>
      <c r="P1492" s="124"/>
      <c r="Q1492" s="124"/>
      <c r="R1492" s="124"/>
      <c r="S1492" s="124"/>
      <c r="T1492" s="124"/>
      <c r="U1492" s="124"/>
      <c r="V1492" s="124"/>
      <c r="W1492" s="124"/>
      <c r="X1492" s="124"/>
      <c r="Y1492" s="124"/>
    </row>
    <row r="1493">
      <c r="A1493" s="125"/>
      <c r="B1493" s="126"/>
      <c r="C1493" s="127"/>
      <c r="D1493" s="124"/>
      <c r="E1493" s="124"/>
      <c r="F1493" s="124"/>
      <c r="G1493" s="124"/>
      <c r="H1493" s="124"/>
      <c r="I1493" s="124"/>
      <c r="J1493" s="124"/>
      <c r="K1493" s="124"/>
      <c r="L1493" s="124"/>
      <c r="M1493" s="124"/>
      <c r="N1493" s="124"/>
      <c r="O1493" s="124"/>
      <c r="P1493" s="124"/>
      <c r="Q1493" s="124"/>
      <c r="R1493" s="124"/>
      <c r="S1493" s="124"/>
      <c r="T1493" s="124"/>
      <c r="U1493" s="124"/>
      <c r="V1493" s="124"/>
      <c r="W1493" s="124"/>
      <c r="X1493" s="124"/>
      <c r="Y1493" s="124"/>
    </row>
    <row r="1494">
      <c r="A1494" s="125"/>
      <c r="B1494" s="126"/>
      <c r="C1494" s="127"/>
      <c r="D1494" s="124"/>
      <c r="E1494" s="124"/>
      <c r="F1494" s="124"/>
      <c r="G1494" s="124"/>
      <c r="H1494" s="124"/>
      <c r="I1494" s="124"/>
      <c r="J1494" s="124"/>
      <c r="K1494" s="124"/>
      <c r="L1494" s="124"/>
      <c r="M1494" s="124"/>
      <c r="N1494" s="124"/>
      <c r="O1494" s="124"/>
      <c r="P1494" s="124"/>
      <c r="Q1494" s="124"/>
      <c r="R1494" s="124"/>
      <c r="S1494" s="124"/>
      <c r="T1494" s="124"/>
      <c r="U1494" s="124"/>
      <c r="V1494" s="124"/>
      <c r="W1494" s="124"/>
      <c r="X1494" s="124"/>
      <c r="Y1494" s="124"/>
    </row>
    <row r="1495">
      <c r="A1495" s="125"/>
      <c r="B1495" s="126"/>
      <c r="C1495" s="127"/>
      <c r="D1495" s="124"/>
      <c r="E1495" s="124"/>
      <c r="F1495" s="124"/>
      <c r="G1495" s="124"/>
      <c r="H1495" s="124"/>
      <c r="I1495" s="124"/>
      <c r="J1495" s="124"/>
      <c r="K1495" s="124"/>
      <c r="L1495" s="124"/>
      <c r="M1495" s="124"/>
      <c r="N1495" s="124"/>
      <c r="O1495" s="124"/>
      <c r="P1495" s="124"/>
      <c r="Q1495" s="124"/>
      <c r="R1495" s="124"/>
      <c r="S1495" s="124"/>
      <c r="T1495" s="124"/>
      <c r="U1495" s="124"/>
      <c r="V1495" s="124"/>
      <c r="W1495" s="124"/>
      <c r="X1495" s="124"/>
      <c r="Y1495" s="124"/>
    </row>
    <row r="1496">
      <c r="A1496" s="125"/>
      <c r="B1496" s="126"/>
      <c r="C1496" s="127"/>
      <c r="D1496" s="124"/>
      <c r="E1496" s="124"/>
      <c r="F1496" s="124"/>
      <c r="G1496" s="124"/>
      <c r="H1496" s="124"/>
      <c r="I1496" s="124"/>
      <c r="J1496" s="124"/>
      <c r="K1496" s="124"/>
      <c r="L1496" s="124"/>
      <c r="M1496" s="124"/>
      <c r="N1496" s="124"/>
      <c r="O1496" s="124"/>
      <c r="P1496" s="124"/>
      <c r="Q1496" s="124"/>
      <c r="R1496" s="124"/>
      <c r="S1496" s="124"/>
      <c r="T1496" s="124"/>
      <c r="U1496" s="124"/>
      <c r="V1496" s="124"/>
      <c r="W1496" s="124"/>
      <c r="X1496" s="124"/>
      <c r="Y1496" s="124"/>
    </row>
    <row r="1497">
      <c r="A1497" s="125"/>
      <c r="B1497" s="126"/>
      <c r="C1497" s="127"/>
      <c r="D1497" s="124"/>
      <c r="E1497" s="124"/>
      <c r="F1497" s="124"/>
      <c r="G1497" s="124"/>
      <c r="H1497" s="124"/>
      <c r="I1497" s="124"/>
      <c r="J1497" s="124"/>
      <c r="K1497" s="124"/>
      <c r="L1497" s="124"/>
      <c r="M1497" s="124"/>
      <c r="N1497" s="124"/>
      <c r="O1497" s="124"/>
      <c r="P1497" s="124"/>
      <c r="Q1497" s="124"/>
      <c r="R1497" s="124"/>
      <c r="S1497" s="124"/>
      <c r="T1497" s="124"/>
      <c r="U1497" s="124"/>
      <c r="V1497" s="124"/>
      <c r="W1497" s="124"/>
      <c r="X1497" s="124"/>
      <c r="Y1497" s="124"/>
    </row>
    <row r="1498">
      <c r="A1498" s="125"/>
      <c r="B1498" s="126"/>
      <c r="C1498" s="127"/>
      <c r="D1498" s="124"/>
      <c r="E1498" s="124"/>
      <c r="F1498" s="124"/>
      <c r="G1498" s="124"/>
      <c r="H1498" s="124"/>
      <c r="I1498" s="124"/>
      <c r="J1498" s="124"/>
      <c r="K1498" s="124"/>
      <c r="L1498" s="124"/>
      <c r="M1498" s="124"/>
      <c r="N1498" s="124"/>
      <c r="O1498" s="124"/>
      <c r="P1498" s="124"/>
      <c r="Q1498" s="124"/>
      <c r="R1498" s="124"/>
      <c r="S1498" s="124"/>
      <c r="T1498" s="124"/>
      <c r="U1498" s="124"/>
      <c r="V1498" s="124"/>
      <c r="W1498" s="124"/>
      <c r="X1498" s="124"/>
      <c r="Y1498" s="124"/>
    </row>
    <row r="1499">
      <c r="A1499" s="125"/>
      <c r="B1499" s="126"/>
      <c r="C1499" s="127"/>
      <c r="D1499" s="124"/>
      <c r="E1499" s="124"/>
      <c r="F1499" s="124"/>
      <c r="G1499" s="124"/>
      <c r="H1499" s="124"/>
      <c r="I1499" s="124"/>
      <c r="J1499" s="124"/>
      <c r="K1499" s="124"/>
      <c r="L1499" s="124"/>
      <c r="M1499" s="124"/>
      <c r="N1499" s="124"/>
      <c r="O1499" s="124"/>
      <c r="P1499" s="124"/>
      <c r="Q1499" s="124"/>
      <c r="R1499" s="124"/>
      <c r="S1499" s="124"/>
      <c r="T1499" s="124"/>
      <c r="U1499" s="124"/>
      <c r="V1499" s="124"/>
      <c r="W1499" s="124"/>
      <c r="X1499" s="124"/>
      <c r="Y1499" s="124"/>
    </row>
    <row r="1500">
      <c r="A1500" s="125"/>
      <c r="B1500" s="126"/>
      <c r="C1500" s="127"/>
      <c r="D1500" s="124"/>
      <c r="E1500" s="124"/>
      <c r="F1500" s="124"/>
      <c r="G1500" s="124"/>
      <c r="H1500" s="124"/>
      <c r="I1500" s="124"/>
      <c r="J1500" s="124"/>
      <c r="K1500" s="124"/>
      <c r="L1500" s="124"/>
      <c r="M1500" s="124"/>
      <c r="N1500" s="124"/>
      <c r="O1500" s="124"/>
      <c r="P1500" s="124"/>
      <c r="Q1500" s="124"/>
      <c r="R1500" s="124"/>
      <c r="S1500" s="124"/>
      <c r="T1500" s="124"/>
      <c r="U1500" s="124"/>
      <c r="V1500" s="124"/>
      <c r="W1500" s="124"/>
      <c r="X1500" s="124"/>
      <c r="Y1500" s="124"/>
    </row>
    <row r="1501">
      <c r="A1501" s="125"/>
      <c r="B1501" s="126"/>
      <c r="C1501" s="127"/>
      <c r="D1501" s="124"/>
      <c r="E1501" s="124"/>
      <c r="F1501" s="124"/>
      <c r="G1501" s="124"/>
      <c r="H1501" s="124"/>
      <c r="I1501" s="124"/>
      <c r="J1501" s="124"/>
      <c r="K1501" s="124"/>
      <c r="L1501" s="124"/>
      <c r="M1501" s="124"/>
      <c r="N1501" s="124"/>
      <c r="O1501" s="124"/>
      <c r="P1501" s="124"/>
      <c r="Q1501" s="124"/>
      <c r="R1501" s="124"/>
      <c r="S1501" s="124"/>
      <c r="T1501" s="124"/>
      <c r="U1501" s="124"/>
      <c r="V1501" s="124"/>
      <c r="W1501" s="124"/>
      <c r="X1501" s="124"/>
      <c r="Y1501" s="124"/>
    </row>
    <row r="1502">
      <c r="A1502" s="125"/>
      <c r="B1502" s="126"/>
      <c r="C1502" s="127"/>
      <c r="D1502" s="124"/>
      <c r="E1502" s="124"/>
      <c r="F1502" s="124"/>
      <c r="G1502" s="124"/>
      <c r="H1502" s="124"/>
      <c r="I1502" s="124"/>
      <c r="J1502" s="124"/>
      <c r="K1502" s="124"/>
      <c r="L1502" s="124"/>
      <c r="M1502" s="124"/>
      <c r="N1502" s="124"/>
      <c r="O1502" s="124"/>
      <c r="P1502" s="124"/>
      <c r="Q1502" s="124"/>
      <c r="R1502" s="124"/>
      <c r="S1502" s="124"/>
      <c r="T1502" s="124"/>
      <c r="U1502" s="124"/>
      <c r="V1502" s="124"/>
      <c r="W1502" s="124"/>
      <c r="X1502" s="124"/>
      <c r="Y1502" s="124"/>
    </row>
    <row r="1503">
      <c r="A1503" s="125"/>
      <c r="B1503" s="126"/>
      <c r="C1503" s="127"/>
      <c r="D1503" s="124"/>
      <c r="E1503" s="124"/>
      <c r="F1503" s="124"/>
      <c r="G1503" s="124"/>
      <c r="H1503" s="124"/>
      <c r="I1503" s="124"/>
      <c r="J1503" s="124"/>
      <c r="K1503" s="124"/>
      <c r="L1503" s="124"/>
      <c r="M1503" s="124"/>
      <c r="N1503" s="124"/>
      <c r="O1503" s="124"/>
      <c r="P1503" s="124"/>
      <c r="Q1503" s="124"/>
      <c r="R1503" s="124"/>
      <c r="S1503" s="124"/>
      <c r="T1503" s="124"/>
      <c r="U1503" s="124"/>
      <c r="V1503" s="124"/>
      <c r="W1503" s="124"/>
      <c r="X1503" s="124"/>
      <c r="Y1503" s="124"/>
    </row>
    <row r="1504">
      <c r="A1504" s="125"/>
      <c r="B1504" s="126"/>
      <c r="C1504" s="127"/>
      <c r="D1504" s="124"/>
      <c r="E1504" s="124"/>
      <c r="F1504" s="124"/>
      <c r="G1504" s="124"/>
      <c r="H1504" s="124"/>
      <c r="I1504" s="124"/>
      <c r="J1504" s="124"/>
      <c r="K1504" s="124"/>
      <c r="L1504" s="124"/>
      <c r="M1504" s="124"/>
      <c r="N1504" s="124"/>
      <c r="O1504" s="124"/>
      <c r="P1504" s="124"/>
      <c r="Q1504" s="124"/>
      <c r="R1504" s="124"/>
      <c r="S1504" s="124"/>
      <c r="T1504" s="124"/>
      <c r="U1504" s="124"/>
      <c r="V1504" s="124"/>
      <c r="W1504" s="124"/>
      <c r="X1504" s="124"/>
      <c r="Y1504" s="124"/>
    </row>
    <row r="1505">
      <c r="A1505" s="125"/>
      <c r="B1505" s="126"/>
      <c r="C1505" s="127"/>
      <c r="D1505" s="124"/>
      <c r="E1505" s="124"/>
      <c r="F1505" s="124"/>
      <c r="G1505" s="124"/>
      <c r="H1505" s="124"/>
      <c r="I1505" s="124"/>
      <c r="J1505" s="124"/>
      <c r="K1505" s="124"/>
      <c r="L1505" s="124"/>
      <c r="M1505" s="124"/>
      <c r="N1505" s="124"/>
      <c r="O1505" s="124"/>
      <c r="P1505" s="124"/>
      <c r="Q1505" s="124"/>
      <c r="R1505" s="124"/>
      <c r="S1505" s="124"/>
      <c r="T1505" s="124"/>
      <c r="U1505" s="124"/>
      <c r="V1505" s="124"/>
      <c r="W1505" s="124"/>
      <c r="X1505" s="124"/>
      <c r="Y1505" s="124"/>
    </row>
    <row r="1506">
      <c r="A1506" s="125"/>
      <c r="B1506" s="126"/>
      <c r="C1506" s="127"/>
      <c r="D1506" s="124"/>
      <c r="E1506" s="124"/>
      <c r="F1506" s="124"/>
      <c r="G1506" s="124"/>
      <c r="H1506" s="124"/>
      <c r="I1506" s="124"/>
      <c r="J1506" s="124"/>
      <c r="K1506" s="124"/>
      <c r="L1506" s="124"/>
      <c r="M1506" s="124"/>
      <c r="N1506" s="124"/>
      <c r="O1506" s="124"/>
      <c r="P1506" s="124"/>
      <c r="Q1506" s="124"/>
      <c r="R1506" s="124"/>
      <c r="S1506" s="124"/>
      <c r="T1506" s="124"/>
      <c r="U1506" s="124"/>
      <c r="V1506" s="124"/>
      <c r="W1506" s="124"/>
      <c r="X1506" s="124"/>
      <c r="Y1506" s="124"/>
    </row>
    <row r="1507">
      <c r="A1507" s="125"/>
      <c r="B1507" s="126"/>
      <c r="C1507" s="127"/>
      <c r="D1507" s="124"/>
      <c r="E1507" s="124"/>
      <c r="F1507" s="124"/>
      <c r="G1507" s="124"/>
      <c r="H1507" s="124"/>
      <c r="I1507" s="124"/>
      <c r="J1507" s="124"/>
      <c r="K1507" s="124"/>
      <c r="L1507" s="124"/>
      <c r="M1507" s="124"/>
      <c r="N1507" s="124"/>
      <c r="O1507" s="124"/>
      <c r="P1507" s="124"/>
      <c r="Q1507" s="124"/>
      <c r="R1507" s="124"/>
      <c r="S1507" s="124"/>
      <c r="T1507" s="124"/>
      <c r="U1507" s="124"/>
      <c r="V1507" s="124"/>
      <c r="W1507" s="124"/>
      <c r="X1507" s="124"/>
      <c r="Y1507" s="124"/>
    </row>
    <row r="1508">
      <c r="A1508" s="125"/>
      <c r="B1508" s="126"/>
      <c r="C1508" s="127"/>
      <c r="D1508" s="124"/>
      <c r="E1508" s="124"/>
      <c r="F1508" s="124"/>
      <c r="G1508" s="124"/>
      <c r="H1508" s="124"/>
      <c r="I1508" s="124"/>
      <c r="J1508" s="124"/>
      <c r="K1508" s="124"/>
      <c r="L1508" s="124"/>
      <c r="M1508" s="124"/>
      <c r="N1508" s="124"/>
      <c r="O1508" s="124"/>
      <c r="P1508" s="124"/>
      <c r="Q1508" s="124"/>
      <c r="R1508" s="124"/>
      <c r="S1508" s="124"/>
      <c r="T1508" s="124"/>
      <c r="U1508" s="124"/>
      <c r="V1508" s="124"/>
      <c r="W1508" s="124"/>
      <c r="X1508" s="124"/>
      <c r="Y1508" s="124"/>
    </row>
    <row r="1509">
      <c r="A1509" s="125"/>
      <c r="B1509" s="126"/>
      <c r="C1509" s="127"/>
      <c r="D1509" s="124"/>
      <c r="E1509" s="124"/>
      <c r="F1509" s="124"/>
      <c r="G1509" s="124"/>
      <c r="H1509" s="124"/>
      <c r="I1509" s="124"/>
      <c r="J1509" s="124"/>
      <c r="K1509" s="124"/>
      <c r="L1509" s="124"/>
      <c r="M1509" s="124"/>
      <c r="N1509" s="124"/>
      <c r="O1509" s="124"/>
      <c r="P1509" s="124"/>
      <c r="Q1509" s="124"/>
      <c r="R1509" s="124"/>
      <c r="S1509" s="124"/>
      <c r="T1509" s="124"/>
      <c r="U1509" s="124"/>
      <c r="V1509" s="124"/>
      <c r="W1509" s="124"/>
      <c r="X1509" s="124"/>
      <c r="Y1509" s="124"/>
    </row>
    <row r="1510">
      <c r="A1510" s="125"/>
      <c r="B1510" s="126"/>
      <c r="C1510" s="127"/>
      <c r="D1510" s="124"/>
      <c r="E1510" s="124"/>
      <c r="F1510" s="124"/>
      <c r="G1510" s="124"/>
      <c r="H1510" s="124"/>
      <c r="I1510" s="124"/>
      <c r="J1510" s="124"/>
      <c r="K1510" s="124"/>
      <c r="L1510" s="124"/>
      <c r="M1510" s="124"/>
      <c r="N1510" s="124"/>
      <c r="O1510" s="124"/>
      <c r="P1510" s="124"/>
      <c r="Q1510" s="124"/>
      <c r="R1510" s="124"/>
      <c r="S1510" s="124"/>
      <c r="T1510" s="124"/>
      <c r="U1510" s="124"/>
      <c r="V1510" s="124"/>
      <c r="W1510" s="124"/>
      <c r="X1510" s="124"/>
      <c r="Y1510" s="124"/>
    </row>
    <row r="1511">
      <c r="A1511" s="125"/>
      <c r="B1511" s="126"/>
      <c r="C1511" s="127"/>
      <c r="D1511" s="124"/>
      <c r="E1511" s="124"/>
      <c r="F1511" s="124"/>
      <c r="G1511" s="124"/>
      <c r="H1511" s="124"/>
      <c r="I1511" s="124"/>
      <c r="J1511" s="124"/>
      <c r="K1511" s="124"/>
      <c r="L1511" s="124"/>
      <c r="M1511" s="124"/>
      <c r="N1511" s="124"/>
      <c r="O1511" s="124"/>
      <c r="P1511" s="124"/>
      <c r="Q1511" s="124"/>
      <c r="R1511" s="124"/>
      <c r="S1511" s="124"/>
      <c r="T1511" s="124"/>
      <c r="U1511" s="124"/>
      <c r="V1511" s="124"/>
      <c r="W1511" s="124"/>
      <c r="X1511" s="124"/>
      <c r="Y1511" s="124"/>
    </row>
    <row r="1512">
      <c r="A1512" s="125"/>
      <c r="B1512" s="126"/>
      <c r="C1512" s="127"/>
      <c r="D1512" s="124"/>
      <c r="E1512" s="124"/>
      <c r="F1512" s="124"/>
      <c r="G1512" s="124"/>
      <c r="H1512" s="124"/>
      <c r="I1512" s="124"/>
      <c r="J1512" s="124"/>
      <c r="K1512" s="124"/>
      <c r="L1512" s="124"/>
      <c r="M1512" s="124"/>
      <c r="N1512" s="124"/>
      <c r="O1512" s="124"/>
      <c r="P1512" s="124"/>
      <c r="Q1512" s="124"/>
      <c r="R1512" s="124"/>
      <c r="S1512" s="124"/>
      <c r="T1512" s="124"/>
      <c r="U1512" s="124"/>
      <c r="V1512" s="124"/>
      <c r="W1512" s="124"/>
      <c r="X1512" s="124"/>
      <c r="Y1512" s="124"/>
    </row>
    <row r="1513">
      <c r="A1513" s="125"/>
      <c r="B1513" s="126"/>
      <c r="C1513" s="127"/>
      <c r="D1513" s="124"/>
      <c r="E1513" s="124"/>
      <c r="F1513" s="124"/>
      <c r="G1513" s="124"/>
      <c r="H1513" s="124"/>
      <c r="I1513" s="124"/>
      <c r="J1513" s="124"/>
      <c r="K1513" s="124"/>
      <c r="L1513" s="124"/>
      <c r="M1513" s="124"/>
      <c r="N1513" s="124"/>
      <c r="O1513" s="124"/>
      <c r="P1513" s="124"/>
      <c r="Q1513" s="124"/>
      <c r="R1513" s="124"/>
      <c r="S1513" s="124"/>
      <c r="T1513" s="124"/>
      <c r="U1513" s="124"/>
      <c r="V1513" s="124"/>
      <c r="W1513" s="124"/>
      <c r="X1513" s="124"/>
      <c r="Y1513" s="124"/>
    </row>
    <row r="1514">
      <c r="A1514" s="125"/>
      <c r="B1514" s="126"/>
      <c r="C1514" s="127"/>
      <c r="D1514" s="124"/>
      <c r="E1514" s="124"/>
      <c r="F1514" s="124"/>
      <c r="G1514" s="124"/>
      <c r="H1514" s="124"/>
      <c r="I1514" s="124"/>
      <c r="J1514" s="124"/>
      <c r="K1514" s="124"/>
      <c r="L1514" s="124"/>
      <c r="M1514" s="124"/>
      <c r="N1514" s="124"/>
      <c r="O1514" s="124"/>
      <c r="P1514" s="124"/>
      <c r="Q1514" s="124"/>
      <c r="R1514" s="124"/>
      <c r="S1514" s="124"/>
      <c r="T1514" s="124"/>
      <c r="U1514" s="124"/>
      <c r="V1514" s="124"/>
      <c r="W1514" s="124"/>
      <c r="X1514" s="124"/>
      <c r="Y1514" s="124"/>
    </row>
    <row r="1515">
      <c r="A1515" s="125"/>
      <c r="B1515" s="126"/>
      <c r="C1515" s="127"/>
      <c r="D1515" s="124"/>
      <c r="E1515" s="124"/>
      <c r="F1515" s="124"/>
      <c r="G1515" s="124"/>
      <c r="H1515" s="124"/>
      <c r="I1515" s="124"/>
      <c r="J1515" s="124"/>
      <c r="K1515" s="124"/>
      <c r="L1515" s="124"/>
      <c r="M1515" s="124"/>
      <c r="N1515" s="124"/>
      <c r="O1515" s="124"/>
      <c r="P1515" s="124"/>
      <c r="Q1515" s="124"/>
      <c r="R1515" s="124"/>
      <c r="S1515" s="124"/>
      <c r="T1515" s="124"/>
      <c r="U1515" s="124"/>
      <c r="V1515" s="124"/>
      <c r="W1515" s="124"/>
      <c r="X1515" s="124"/>
      <c r="Y1515" s="124"/>
    </row>
    <row r="1516">
      <c r="A1516" s="125"/>
      <c r="B1516" s="126"/>
      <c r="C1516" s="127"/>
      <c r="D1516" s="124"/>
      <c r="E1516" s="124"/>
      <c r="F1516" s="124"/>
      <c r="G1516" s="124"/>
      <c r="H1516" s="124"/>
      <c r="I1516" s="124"/>
      <c r="J1516" s="124"/>
      <c r="K1516" s="124"/>
      <c r="L1516" s="124"/>
      <c r="M1516" s="124"/>
      <c r="N1516" s="124"/>
      <c r="O1516" s="124"/>
      <c r="P1516" s="124"/>
      <c r="Q1516" s="124"/>
      <c r="R1516" s="124"/>
      <c r="S1516" s="124"/>
      <c r="T1516" s="124"/>
      <c r="U1516" s="124"/>
      <c r="V1516" s="124"/>
      <c r="W1516" s="124"/>
      <c r="X1516" s="124"/>
      <c r="Y1516" s="124"/>
    </row>
    <row r="1517">
      <c r="A1517" s="125"/>
      <c r="B1517" s="126"/>
      <c r="C1517" s="127"/>
      <c r="D1517" s="124"/>
      <c r="E1517" s="124"/>
      <c r="F1517" s="124"/>
      <c r="G1517" s="124"/>
      <c r="H1517" s="124"/>
      <c r="I1517" s="124"/>
      <c r="J1517" s="124"/>
      <c r="K1517" s="124"/>
      <c r="L1517" s="124"/>
      <c r="M1517" s="124"/>
      <c r="N1517" s="124"/>
      <c r="O1517" s="124"/>
      <c r="P1517" s="124"/>
      <c r="Q1517" s="124"/>
      <c r="R1517" s="124"/>
      <c r="S1517" s="124"/>
      <c r="T1517" s="124"/>
      <c r="U1517" s="124"/>
      <c r="V1517" s="124"/>
      <c r="W1517" s="124"/>
      <c r="X1517" s="124"/>
      <c r="Y1517" s="124"/>
    </row>
    <row r="1518">
      <c r="A1518" s="125"/>
      <c r="B1518" s="126"/>
      <c r="C1518" s="127"/>
      <c r="D1518" s="124"/>
      <c r="E1518" s="124"/>
      <c r="F1518" s="124"/>
      <c r="G1518" s="124"/>
      <c r="H1518" s="124"/>
      <c r="I1518" s="124"/>
      <c r="J1518" s="124"/>
      <c r="K1518" s="124"/>
      <c r="L1518" s="124"/>
      <c r="M1518" s="124"/>
      <c r="N1518" s="124"/>
      <c r="O1518" s="124"/>
      <c r="P1518" s="124"/>
      <c r="Q1518" s="124"/>
      <c r="R1518" s="124"/>
      <c r="S1518" s="124"/>
      <c r="T1518" s="124"/>
      <c r="U1518" s="124"/>
      <c r="V1518" s="124"/>
      <c r="W1518" s="124"/>
      <c r="X1518" s="124"/>
      <c r="Y1518" s="124"/>
    </row>
    <row r="1519">
      <c r="A1519" s="125"/>
      <c r="B1519" s="126"/>
      <c r="C1519" s="127"/>
      <c r="D1519" s="124"/>
      <c r="E1519" s="124"/>
      <c r="F1519" s="124"/>
      <c r="G1519" s="124"/>
      <c r="H1519" s="124"/>
      <c r="I1519" s="124"/>
      <c r="J1519" s="124"/>
      <c r="K1519" s="124"/>
      <c r="L1519" s="124"/>
      <c r="M1519" s="124"/>
      <c r="N1519" s="124"/>
      <c r="O1519" s="124"/>
      <c r="P1519" s="124"/>
      <c r="Q1519" s="124"/>
      <c r="R1519" s="124"/>
      <c r="S1519" s="124"/>
      <c r="T1519" s="124"/>
      <c r="U1519" s="124"/>
      <c r="V1519" s="124"/>
      <c r="W1519" s="124"/>
      <c r="X1519" s="124"/>
      <c r="Y1519" s="124"/>
    </row>
    <row r="1520">
      <c r="A1520" s="125"/>
      <c r="B1520" s="126"/>
      <c r="C1520" s="127"/>
      <c r="D1520" s="124"/>
      <c r="E1520" s="124"/>
      <c r="F1520" s="124"/>
      <c r="G1520" s="124"/>
      <c r="H1520" s="124"/>
      <c r="I1520" s="124"/>
      <c r="J1520" s="124"/>
      <c r="K1520" s="124"/>
      <c r="L1520" s="124"/>
      <c r="M1520" s="124"/>
      <c r="N1520" s="124"/>
      <c r="O1520" s="124"/>
      <c r="P1520" s="124"/>
      <c r="Q1520" s="124"/>
      <c r="R1520" s="124"/>
      <c r="S1520" s="124"/>
      <c r="T1520" s="124"/>
      <c r="U1520" s="124"/>
      <c r="V1520" s="124"/>
      <c r="W1520" s="124"/>
      <c r="X1520" s="124"/>
      <c r="Y1520" s="124"/>
    </row>
    <row r="1521">
      <c r="A1521" s="125"/>
      <c r="B1521" s="126"/>
      <c r="C1521" s="127"/>
      <c r="D1521" s="124"/>
      <c r="E1521" s="124"/>
      <c r="F1521" s="124"/>
      <c r="G1521" s="124"/>
      <c r="H1521" s="124"/>
      <c r="I1521" s="124"/>
      <c r="J1521" s="124"/>
      <c r="K1521" s="124"/>
      <c r="L1521" s="124"/>
      <c r="M1521" s="124"/>
      <c r="N1521" s="124"/>
      <c r="O1521" s="124"/>
      <c r="P1521" s="124"/>
      <c r="Q1521" s="124"/>
      <c r="R1521" s="124"/>
      <c r="S1521" s="124"/>
      <c r="T1521" s="124"/>
      <c r="U1521" s="124"/>
      <c r="V1521" s="124"/>
      <c r="W1521" s="124"/>
      <c r="X1521" s="124"/>
      <c r="Y1521" s="124"/>
    </row>
    <row r="1522">
      <c r="A1522" s="125"/>
      <c r="B1522" s="126"/>
      <c r="C1522" s="127"/>
      <c r="D1522" s="124"/>
      <c r="E1522" s="124"/>
      <c r="F1522" s="124"/>
      <c r="G1522" s="124"/>
      <c r="H1522" s="124"/>
      <c r="I1522" s="124"/>
      <c r="J1522" s="124"/>
      <c r="K1522" s="124"/>
      <c r="L1522" s="124"/>
      <c r="M1522" s="124"/>
      <c r="N1522" s="124"/>
      <c r="O1522" s="124"/>
      <c r="P1522" s="124"/>
      <c r="Q1522" s="124"/>
      <c r="R1522" s="124"/>
      <c r="S1522" s="124"/>
      <c r="T1522" s="124"/>
      <c r="U1522" s="124"/>
      <c r="V1522" s="124"/>
      <c r="W1522" s="124"/>
      <c r="X1522" s="124"/>
      <c r="Y1522" s="124"/>
    </row>
    <row r="1523">
      <c r="A1523" s="125"/>
      <c r="B1523" s="126"/>
      <c r="C1523" s="127"/>
      <c r="D1523" s="124"/>
      <c r="E1523" s="124"/>
      <c r="F1523" s="124"/>
      <c r="G1523" s="124"/>
      <c r="H1523" s="124"/>
      <c r="I1523" s="124"/>
      <c r="J1523" s="124"/>
      <c r="K1523" s="124"/>
      <c r="L1523" s="124"/>
      <c r="M1523" s="124"/>
      <c r="N1523" s="124"/>
      <c r="O1523" s="124"/>
      <c r="P1523" s="124"/>
      <c r="Q1523" s="124"/>
      <c r="R1523" s="124"/>
      <c r="S1523" s="124"/>
      <c r="T1523" s="124"/>
      <c r="U1523" s="124"/>
      <c r="V1523" s="124"/>
      <c r="W1523" s="124"/>
      <c r="X1523" s="124"/>
      <c r="Y1523" s="124"/>
    </row>
    <row r="1524">
      <c r="A1524" s="125"/>
      <c r="B1524" s="126"/>
      <c r="C1524" s="127"/>
      <c r="D1524" s="124"/>
      <c r="E1524" s="124"/>
      <c r="F1524" s="124"/>
      <c r="G1524" s="124"/>
      <c r="H1524" s="124"/>
      <c r="I1524" s="124"/>
      <c r="J1524" s="124"/>
      <c r="K1524" s="124"/>
      <c r="L1524" s="124"/>
      <c r="M1524" s="124"/>
      <c r="N1524" s="124"/>
      <c r="O1524" s="124"/>
      <c r="P1524" s="124"/>
      <c r="Q1524" s="124"/>
      <c r="R1524" s="124"/>
      <c r="S1524" s="124"/>
      <c r="T1524" s="124"/>
      <c r="U1524" s="124"/>
      <c r="V1524" s="124"/>
      <c r="W1524" s="124"/>
      <c r="X1524" s="124"/>
      <c r="Y1524" s="124"/>
    </row>
    <row r="1525">
      <c r="A1525" s="125"/>
      <c r="B1525" s="126"/>
      <c r="C1525" s="127"/>
      <c r="D1525" s="124"/>
      <c r="E1525" s="124"/>
      <c r="F1525" s="124"/>
      <c r="G1525" s="124"/>
      <c r="H1525" s="124"/>
      <c r="I1525" s="124"/>
      <c r="J1525" s="124"/>
      <c r="K1525" s="124"/>
      <c r="L1525" s="124"/>
      <c r="M1525" s="124"/>
      <c r="N1525" s="124"/>
      <c r="O1525" s="124"/>
      <c r="P1525" s="124"/>
      <c r="Q1525" s="124"/>
      <c r="R1525" s="124"/>
      <c r="S1525" s="124"/>
      <c r="T1525" s="124"/>
      <c r="U1525" s="124"/>
      <c r="V1525" s="124"/>
      <c r="W1525" s="124"/>
      <c r="X1525" s="124"/>
      <c r="Y1525" s="124"/>
    </row>
    <row r="1526">
      <c r="A1526" s="125"/>
      <c r="B1526" s="126"/>
      <c r="C1526" s="127"/>
      <c r="D1526" s="124"/>
      <c r="E1526" s="124"/>
      <c r="F1526" s="124"/>
      <c r="G1526" s="124"/>
      <c r="H1526" s="124"/>
      <c r="I1526" s="124"/>
      <c r="J1526" s="124"/>
      <c r="K1526" s="124"/>
      <c r="L1526" s="124"/>
      <c r="M1526" s="124"/>
      <c r="N1526" s="124"/>
      <c r="O1526" s="124"/>
      <c r="P1526" s="124"/>
      <c r="Q1526" s="124"/>
      <c r="R1526" s="124"/>
      <c r="S1526" s="124"/>
      <c r="T1526" s="124"/>
      <c r="U1526" s="124"/>
      <c r="V1526" s="124"/>
      <c r="W1526" s="124"/>
      <c r="X1526" s="124"/>
      <c r="Y1526" s="124"/>
    </row>
    <row r="1527">
      <c r="A1527" s="125"/>
      <c r="B1527" s="126"/>
      <c r="C1527" s="127"/>
      <c r="D1527" s="124"/>
      <c r="E1527" s="124"/>
      <c r="F1527" s="124"/>
      <c r="G1527" s="124"/>
      <c r="H1527" s="124"/>
      <c r="I1527" s="124"/>
      <c r="J1527" s="124"/>
      <c r="K1527" s="124"/>
      <c r="L1527" s="124"/>
      <c r="M1527" s="124"/>
      <c r="N1527" s="124"/>
      <c r="O1527" s="124"/>
      <c r="P1527" s="124"/>
      <c r="Q1527" s="124"/>
      <c r="R1527" s="124"/>
      <c r="S1527" s="124"/>
      <c r="T1527" s="124"/>
      <c r="U1527" s="124"/>
      <c r="V1527" s="124"/>
      <c r="W1527" s="124"/>
      <c r="X1527" s="124"/>
      <c r="Y1527" s="124"/>
    </row>
    <row r="1528">
      <c r="A1528" s="125"/>
      <c r="B1528" s="126"/>
      <c r="C1528" s="127"/>
      <c r="D1528" s="124"/>
      <c r="E1528" s="124"/>
      <c r="F1528" s="124"/>
      <c r="G1528" s="124"/>
      <c r="H1528" s="124"/>
      <c r="I1528" s="124"/>
      <c r="J1528" s="124"/>
      <c r="K1528" s="124"/>
      <c r="L1528" s="124"/>
      <c r="M1528" s="124"/>
      <c r="N1528" s="124"/>
      <c r="O1528" s="124"/>
      <c r="P1528" s="124"/>
      <c r="Q1528" s="124"/>
      <c r="R1528" s="124"/>
      <c r="S1528" s="124"/>
      <c r="T1528" s="124"/>
      <c r="U1528" s="124"/>
      <c r="V1528" s="124"/>
      <c r="W1528" s="124"/>
      <c r="X1528" s="124"/>
      <c r="Y1528" s="124"/>
    </row>
    <row r="1529">
      <c r="A1529" s="125"/>
      <c r="B1529" s="126"/>
      <c r="C1529" s="127"/>
      <c r="D1529" s="124"/>
      <c r="E1529" s="124"/>
      <c r="F1529" s="124"/>
      <c r="G1529" s="124"/>
      <c r="H1529" s="124"/>
      <c r="I1529" s="124"/>
      <c r="J1529" s="124"/>
      <c r="K1529" s="124"/>
      <c r="L1529" s="124"/>
      <c r="M1529" s="124"/>
      <c r="N1529" s="124"/>
      <c r="O1529" s="124"/>
      <c r="P1529" s="124"/>
      <c r="Q1529" s="124"/>
      <c r="R1529" s="124"/>
      <c r="S1529" s="124"/>
      <c r="T1529" s="124"/>
      <c r="U1529" s="124"/>
      <c r="V1529" s="124"/>
      <c r="W1529" s="124"/>
      <c r="X1529" s="124"/>
      <c r="Y1529" s="124"/>
    </row>
    <row r="1530">
      <c r="A1530" s="125"/>
      <c r="B1530" s="126"/>
      <c r="C1530" s="127"/>
      <c r="D1530" s="124"/>
      <c r="E1530" s="124"/>
      <c r="F1530" s="124"/>
      <c r="G1530" s="124"/>
      <c r="H1530" s="124"/>
      <c r="I1530" s="124"/>
      <c r="J1530" s="124"/>
      <c r="K1530" s="124"/>
      <c r="L1530" s="124"/>
      <c r="M1530" s="124"/>
      <c r="N1530" s="124"/>
      <c r="O1530" s="124"/>
      <c r="P1530" s="124"/>
      <c r="Q1530" s="124"/>
      <c r="R1530" s="124"/>
      <c r="S1530" s="124"/>
      <c r="T1530" s="124"/>
      <c r="U1530" s="124"/>
      <c r="V1530" s="124"/>
      <c r="W1530" s="124"/>
      <c r="X1530" s="124"/>
      <c r="Y1530" s="124"/>
    </row>
    <row r="1531">
      <c r="A1531" s="125"/>
      <c r="B1531" s="126"/>
      <c r="C1531" s="127"/>
      <c r="D1531" s="124"/>
      <c r="E1531" s="124"/>
      <c r="F1531" s="124"/>
      <c r="G1531" s="124"/>
      <c r="H1531" s="124"/>
      <c r="I1531" s="124"/>
      <c r="J1531" s="124"/>
      <c r="K1531" s="124"/>
      <c r="L1531" s="124"/>
      <c r="M1531" s="124"/>
      <c r="N1531" s="124"/>
      <c r="O1531" s="124"/>
      <c r="P1531" s="124"/>
      <c r="Q1531" s="124"/>
      <c r="R1531" s="124"/>
      <c r="S1531" s="124"/>
      <c r="T1531" s="124"/>
      <c r="U1531" s="124"/>
      <c r="V1531" s="124"/>
      <c r="W1531" s="124"/>
      <c r="X1531" s="124"/>
      <c r="Y1531" s="124"/>
    </row>
    <row r="1532">
      <c r="A1532" s="125"/>
      <c r="B1532" s="126"/>
      <c r="C1532" s="127"/>
      <c r="D1532" s="124"/>
      <c r="E1532" s="124"/>
      <c r="F1532" s="124"/>
      <c r="G1532" s="124"/>
      <c r="H1532" s="124"/>
      <c r="I1532" s="124"/>
      <c r="J1532" s="124"/>
      <c r="K1532" s="124"/>
      <c r="L1532" s="124"/>
      <c r="M1532" s="124"/>
      <c r="N1532" s="124"/>
      <c r="O1532" s="124"/>
      <c r="P1532" s="124"/>
      <c r="Q1532" s="124"/>
      <c r="R1532" s="124"/>
      <c r="S1532" s="124"/>
      <c r="T1532" s="124"/>
      <c r="U1532" s="124"/>
      <c r="V1532" s="124"/>
      <c r="W1532" s="124"/>
      <c r="X1532" s="124"/>
      <c r="Y1532" s="124"/>
    </row>
    <row r="1533">
      <c r="A1533" s="125"/>
      <c r="B1533" s="126"/>
      <c r="C1533" s="127"/>
      <c r="D1533" s="124"/>
      <c r="E1533" s="124"/>
      <c r="F1533" s="124"/>
      <c r="G1533" s="124"/>
      <c r="H1533" s="124"/>
      <c r="I1533" s="124"/>
      <c r="J1533" s="124"/>
      <c r="K1533" s="124"/>
      <c r="L1533" s="124"/>
      <c r="M1533" s="124"/>
      <c r="N1533" s="124"/>
      <c r="O1533" s="124"/>
      <c r="P1533" s="124"/>
      <c r="Q1533" s="124"/>
      <c r="R1533" s="124"/>
      <c r="S1533" s="124"/>
      <c r="T1533" s="124"/>
      <c r="U1533" s="124"/>
      <c r="V1533" s="124"/>
      <c r="W1533" s="124"/>
      <c r="X1533" s="124"/>
      <c r="Y1533" s="124"/>
    </row>
    <row r="1534">
      <c r="A1534" s="125"/>
      <c r="B1534" s="126"/>
      <c r="C1534" s="127"/>
      <c r="D1534" s="124"/>
      <c r="E1534" s="124"/>
      <c r="F1534" s="124"/>
      <c r="G1534" s="124"/>
      <c r="H1534" s="124"/>
      <c r="I1534" s="124"/>
      <c r="J1534" s="124"/>
      <c r="K1534" s="124"/>
      <c r="L1534" s="124"/>
      <c r="M1534" s="124"/>
      <c r="N1534" s="124"/>
      <c r="O1534" s="124"/>
      <c r="P1534" s="124"/>
      <c r="Q1534" s="124"/>
      <c r="R1534" s="124"/>
      <c r="S1534" s="124"/>
      <c r="T1534" s="124"/>
      <c r="U1534" s="124"/>
      <c r="V1534" s="124"/>
      <c r="W1534" s="124"/>
      <c r="X1534" s="124"/>
      <c r="Y1534" s="124"/>
    </row>
    <row r="1535">
      <c r="A1535" s="125"/>
      <c r="B1535" s="126"/>
      <c r="C1535" s="127"/>
      <c r="D1535" s="124"/>
      <c r="E1535" s="124"/>
      <c r="F1535" s="124"/>
      <c r="G1535" s="124"/>
      <c r="H1535" s="124"/>
      <c r="I1535" s="124"/>
      <c r="J1535" s="124"/>
      <c r="K1535" s="124"/>
      <c r="L1535" s="124"/>
      <c r="M1535" s="124"/>
      <c r="N1535" s="124"/>
      <c r="O1535" s="124"/>
      <c r="P1535" s="124"/>
      <c r="Q1535" s="124"/>
      <c r="R1535" s="124"/>
      <c r="S1535" s="124"/>
      <c r="T1535" s="124"/>
      <c r="U1535" s="124"/>
      <c r="V1535" s="124"/>
      <c r="W1535" s="124"/>
      <c r="X1535" s="124"/>
      <c r="Y1535" s="124"/>
    </row>
    <row r="1536">
      <c r="A1536" s="125"/>
      <c r="B1536" s="126"/>
      <c r="C1536" s="127"/>
      <c r="D1536" s="124"/>
      <c r="E1536" s="124"/>
      <c r="F1536" s="124"/>
      <c r="G1536" s="124"/>
      <c r="H1536" s="124"/>
      <c r="I1536" s="124"/>
      <c r="J1536" s="124"/>
      <c r="K1536" s="124"/>
      <c r="L1536" s="124"/>
      <c r="M1536" s="124"/>
      <c r="N1536" s="124"/>
      <c r="O1536" s="124"/>
      <c r="P1536" s="124"/>
      <c r="Q1536" s="124"/>
      <c r="R1536" s="124"/>
      <c r="S1536" s="124"/>
      <c r="T1536" s="124"/>
      <c r="U1536" s="124"/>
      <c r="V1536" s="124"/>
      <c r="W1536" s="124"/>
      <c r="X1536" s="124"/>
      <c r="Y1536" s="124"/>
    </row>
    <row r="1537">
      <c r="A1537" s="125"/>
      <c r="B1537" s="126"/>
      <c r="C1537" s="127"/>
      <c r="D1537" s="124"/>
      <c r="E1537" s="124"/>
      <c r="F1537" s="124"/>
      <c r="G1537" s="124"/>
      <c r="H1537" s="124"/>
      <c r="I1537" s="124"/>
      <c r="J1537" s="124"/>
      <c r="K1537" s="124"/>
      <c r="L1537" s="124"/>
      <c r="M1537" s="124"/>
      <c r="N1537" s="124"/>
      <c r="O1537" s="124"/>
      <c r="P1537" s="124"/>
      <c r="Q1537" s="124"/>
      <c r="R1537" s="124"/>
      <c r="S1537" s="124"/>
      <c r="T1537" s="124"/>
      <c r="U1537" s="124"/>
      <c r="V1537" s="124"/>
      <c r="W1537" s="124"/>
      <c r="X1537" s="124"/>
      <c r="Y1537" s="124"/>
    </row>
    <row r="1538">
      <c r="A1538" s="125"/>
      <c r="B1538" s="126"/>
      <c r="C1538" s="127"/>
      <c r="D1538" s="124"/>
      <c r="E1538" s="124"/>
      <c r="F1538" s="124"/>
      <c r="G1538" s="124"/>
      <c r="H1538" s="124"/>
      <c r="I1538" s="124"/>
      <c r="J1538" s="124"/>
      <c r="K1538" s="124"/>
      <c r="L1538" s="124"/>
      <c r="M1538" s="124"/>
      <c r="N1538" s="124"/>
      <c r="O1538" s="124"/>
      <c r="P1538" s="124"/>
      <c r="Q1538" s="124"/>
      <c r="R1538" s="124"/>
      <c r="S1538" s="124"/>
      <c r="T1538" s="124"/>
      <c r="U1538" s="124"/>
      <c r="V1538" s="124"/>
      <c r="W1538" s="124"/>
      <c r="X1538" s="124"/>
      <c r="Y1538" s="124"/>
    </row>
    <row r="1539">
      <c r="A1539" s="125"/>
      <c r="B1539" s="126"/>
      <c r="C1539" s="127"/>
      <c r="D1539" s="124"/>
      <c r="E1539" s="124"/>
      <c r="F1539" s="124"/>
      <c r="G1539" s="124"/>
      <c r="H1539" s="124"/>
      <c r="I1539" s="124"/>
      <c r="J1539" s="124"/>
      <c r="K1539" s="124"/>
      <c r="L1539" s="124"/>
      <c r="M1539" s="124"/>
      <c r="N1539" s="124"/>
      <c r="O1539" s="124"/>
      <c r="P1539" s="124"/>
      <c r="Q1539" s="124"/>
      <c r="R1539" s="124"/>
      <c r="S1539" s="124"/>
      <c r="T1539" s="124"/>
      <c r="U1539" s="124"/>
      <c r="V1539" s="124"/>
      <c r="W1539" s="124"/>
      <c r="X1539" s="124"/>
      <c r="Y1539" s="124"/>
    </row>
    <row r="1540">
      <c r="A1540" s="125"/>
      <c r="B1540" s="126"/>
      <c r="C1540" s="127"/>
      <c r="D1540" s="124"/>
      <c r="E1540" s="124"/>
      <c r="F1540" s="124"/>
      <c r="G1540" s="124"/>
      <c r="H1540" s="124"/>
      <c r="I1540" s="124"/>
      <c r="J1540" s="124"/>
      <c r="K1540" s="124"/>
      <c r="L1540" s="124"/>
      <c r="M1540" s="124"/>
      <c r="N1540" s="124"/>
      <c r="O1540" s="124"/>
      <c r="P1540" s="124"/>
      <c r="Q1540" s="124"/>
      <c r="R1540" s="124"/>
      <c r="S1540" s="124"/>
      <c r="T1540" s="124"/>
      <c r="U1540" s="124"/>
      <c r="V1540" s="124"/>
      <c r="W1540" s="124"/>
      <c r="X1540" s="124"/>
      <c r="Y1540" s="124"/>
    </row>
    <row r="1541">
      <c r="A1541" s="125"/>
      <c r="B1541" s="126"/>
      <c r="C1541" s="127"/>
      <c r="D1541" s="124"/>
      <c r="E1541" s="124"/>
      <c r="F1541" s="124"/>
      <c r="G1541" s="124"/>
      <c r="H1541" s="124"/>
      <c r="I1541" s="124"/>
      <c r="J1541" s="124"/>
      <c r="K1541" s="124"/>
      <c r="L1541" s="124"/>
      <c r="M1541" s="124"/>
      <c r="N1541" s="124"/>
      <c r="O1541" s="124"/>
      <c r="P1541" s="124"/>
      <c r="Q1541" s="124"/>
      <c r="R1541" s="124"/>
      <c r="S1541" s="124"/>
      <c r="T1541" s="124"/>
      <c r="U1541" s="124"/>
      <c r="V1541" s="124"/>
      <c r="W1541" s="124"/>
      <c r="X1541" s="124"/>
      <c r="Y1541" s="124"/>
    </row>
    <row r="1542">
      <c r="A1542" s="125"/>
      <c r="B1542" s="126"/>
      <c r="C1542" s="127"/>
      <c r="D1542" s="124"/>
      <c r="E1542" s="124"/>
      <c r="F1542" s="124"/>
      <c r="G1542" s="124"/>
      <c r="H1542" s="124"/>
      <c r="I1542" s="124"/>
      <c r="J1542" s="124"/>
      <c r="K1542" s="124"/>
      <c r="L1542" s="124"/>
      <c r="M1542" s="124"/>
      <c r="N1542" s="124"/>
      <c r="O1542" s="124"/>
      <c r="P1542" s="124"/>
      <c r="Q1542" s="124"/>
      <c r="R1542" s="124"/>
      <c r="S1542" s="124"/>
      <c r="T1542" s="124"/>
      <c r="U1542" s="124"/>
      <c r="V1542" s="124"/>
      <c r="W1542" s="124"/>
      <c r="X1542" s="124"/>
      <c r="Y1542" s="124"/>
    </row>
    <row r="1543">
      <c r="A1543" s="125"/>
      <c r="B1543" s="126"/>
      <c r="C1543" s="127"/>
      <c r="D1543" s="124"/>
      <c r="E1543" s="124"/>
      <c r="F1543" s="124"/>
      <c r="G1543" s="124"/>
      <c r="H1543" s="124"/>
      <c r="I1543" s="124"/>
      <c r="J1543" s="124"/>
      <c r="K1543" s="124"/>
      <c r="L1543" s="124"/>
      <c r="M1543" s="124"/>
      <c r="N1543" s="124"/>
      <c r="O1543" s="124"/>
      <c r="P1543" s="124"/>
      <c r="Q1543" s="124"/>
      <c r="R1543" s="124"/>
      <c r="S1543" s="124"/>
      <c r="T1543" s="124"/>
      <c r="U1543" s="124"/>
      <c r="V1543" s="124"/>
      <c r="W1543" s="124"/>
      <c r="X1543" s="124"/>
      <c r="Y1543" s="124"/>
    </row>
    <row r="1544">
      <c r="A1544" s="125"/>
      <c r="B1544" s="126"/>
      <c r="C1544" s="127"/>
      <c r="D1544" s="124"/>
      <c r="E1544" s="124"/>
      <c r="F1544" s="124"/>
      <c r="G1544" s="124"/>
      <c r="H1544" s="124"/>
      <c r="I1544" s="124"/>
      <c r="J1544" s="124"/>
      <c r="K1544" s="124"/>
      <c r="L1544" s="124"/>
      <c r="M1544" s="124"/>
      <c r="N1544" s="124"/>
      <c r="O1544" s="124"/>
      <c r="P1544" s="124"/>
      <c r="Q1544" s="124"/>
      <c r="R1544" s="124"/>
      <c r="S1544" s="124"/>
      <c r="T1544" s="124"/>
      <c r="U1544" s="124"/>
      <c r="V1544" s="124"/>
      <c r="W1544" s="124"/>
      <c r="X1544" s="124"/>
      <c r="Y1544" s="124"/>
    </row>
    <row r="1545">
      <c r="A1545" s="125"/>
      <c r="B1545" s="126"/>
      <c r="C1545" s="127"/>
      <c r="D1545" s="124"/>
      <c r="E1545" s="124"/>
      <c r="F1545" s="124"/>
      <c r="G1545" s="124"/>
      <c r="H1545" s="124"/>
      <c r="I1545" s="124"/>
      <c r="J1545" s="124"/>
      <c r="K1545" s="124"/>
      <c r="L1545" s="124"/>
      <c r="M1545" s="124"/>
      <c r="N1545" s="124"/>
      <c r="O1545" s="124"/>
      <c r="P1545" s="124"/>
      <c r="Q1545" s="124"/>
      <c r="R1545" s="124"/>
      <c r="S1545" s="124"/>
      <c r="T1545" s="124"/>
      <c r="U1545" s="124"/>
      <c r="V1545" s="124"/>
      <c r="W1545" s="124"/>
      <c r="X1545" s="124"/>
      <c r="Y1545" s="124"/>
    </row>
    <row r="1546">
      <c r="A1546" s="125"/>
      <c r="B1546" s="126"/>
      <c r="C1546" s="127"/>
      <c r="D1546" s="124"/>
      <c r="E1546" s="124"/>
      <c r="F1546" s="124"/>
      <c r="G1546" s="124"/>
      <c r="H1546" s="124"/>
      <c r="I1546" s="124"/>
      <c r="J1546" s="124"/>
      <c r="K1546" s="124"/>
      <c r="L1546" s="124"/>
      <c r="M1546" s="124"/>
      <c r="N1546" s="124"/>
      <c r="O1546" s="124"/>
      <c r="P1546" s="124"/>
      <c r="Q1546" s="124"/>
      <c r="R1546" s="124"/>
      <c r="S1546" s="124"/>
      <c r="T1546" s="124"/>
      <c r="U1546" s="124"/>
      <c r="V1546" s="124"/>
      <c r="W1546" s="124"/>
      <c r="X1546" s="124"/>
      <c r="Y1546" s="124"/>
    </row>
    <row r="1547">
      <c r="A1547" s="125"/>
      <c r="B1547" s="126"/>
      <c r="C1547" s="127"/>
      <c r="D1547" s="124"/>
      <c r="E1547" s="124"/>
      <c r="F1547" s="124"/>
      <c r="G1547" s="124"/>
      <c r="H1547" s="124"/>
      <c r="I1547" s="124"/>
      <c r="J1547" s="124"/>
      <c r="K1547" s="124"/>
      <c r="L1547" s="124"/>
      <c r="M1547" s="124"/>
      <c r="N1547" s="124"/>
      <c r="O1547" s="124"/>
      <c r="P1547" s="124"/>
      <c r="Q1547" s="124"/>
      <c r="R1547" s="124"/>
      <c r="S1547" s="124"/>
      <c r="T1547" s="124"/>
      <c r="U1547" s="124"/>
      <c r="V1547" s="124"/>
      <c r="W1547" s="124"/>
      <c r="X1547" s="124"/>
      <c r="Y1547" s="124"/>
    </row>
    <row r="1548">
      <c r="A1548" s="125"/>
      <c r="B1548" s="126"/>
      <c r="C1548" s="127"/>
      <c r="D1548" s="124"/>
      <c r="E1548" s="124"/>
      <c r="F1548" s="124"/>
      <c r="G1548" s="124"/>
      <c r="H1548" s="124"/>
      <c r="I1548" s="124"/>
      <c r="J1548" s="124"/>
      <c r="K1548" s="124"/>
      <c r="L1548" s="124"/>
      <c r="M1548" s="124"/>
      <c r="N1548" s="124"/>
      <c r="O1548" s="124"/>
      <c r="P1548" s="124"/>
      <c r="Q1548" s="124"/>
      <c r="R1548" s="124"/>
      <c r="S1548" s="124"/>
      <c r="T1548" s="124"/>
      <c r="U1548" s="124"/>
      <c r="V1548" s="124"/>
      <c r="W1548" s="124"/>
      <c r="X1548" s="124"/>
      <c r="Y1548" s="124"/>
    </row>
    <row r="1549">
      <c r="A1549" s="125"/>
      <c r="B1549" s="126"/>
      <c r="C1549" s="127"/>
      <c r="D1549" s="124"/>
      <c r="E1549" s="124"/>
      <c r="F1549" s="124"/>
      <c r="G1549" s="124"/>
      <c r="H1549" s="124"/>
      <c r="I1549" s="124"/>
      <c r="J1549" s="124"/>
      <c r="K1549" s="124"/>
      <c r="L1549" s="124"/>
      <c r="M1549" s="124"/>
      <c r="N1549" s="124"/>
      <c r="O1549" s="124"/>
      <c r="P1549" s="124"/>
      <c r="Q1549" s="124"/>
      <c r="R1549" s="124"/>
      <c r="S1549" s="124"/>
      <c r="T1549" s="124"/>
      <c r="U1549" s="124"/>
      <c r="V1549" s="124"/>
      <c r="W1549" s="124"/>
      <c r="X1549" s="124"/>
      <c r="Y1549" s="124"/>
    </row>
    <row r="1550">
      <c r="A1550" s="125"/>
      <c r="B1550" s="126"/>
      <c r="C1550" s="127"/>
      <c r="D1550" s="124"/>
      <c r="E1550" s="124"/>
      <c r="F1550" s="124"/>
      <c r="G1550" s="124"/>
      <c r="H1550" s="124"/>
      <c r="I1550" s="124"/>
      <c r="J1550" s="124"/>
      <c r="K1550" s="124"/>
      <c r="L1550" s="124"/>
      <c r="M1550" s="124"/>
      <c r="N1550" s="124"/>
      <c r="O1550" s="124"/>
      <c r="P1550" s="124"/>
      <c r="Q1550" s="124"/>
      <c r="R1550" s="124"/>
      <c r="S1550" s="124"/>
      <c r="T1550" s="124"/>
      <c r="U1550" s="124"/>
      <c r="V1550" s="124"/>
      <c r="W1550" s="124"/>
      <c r="X1550" s="124"/>
      <c r="Y1550" s="124"/>
    </row>
    <row r="1551">
      <c r="A1551" s="125"/>
      <c r="B1551" s="126"/>
      <c r="C1551" s="127"/>
      <c r="D1551" s="124"/>
      <c r="E1551" s="124"/>
      <c r="F1551" s="124"/>
      <c r="G1551" s="124"/>
      <c r="H1551" s="124"/>
      <c r="I1551" s="124"/>
      <c r="J1551" s="124"/>
      <c r="K1551" s="124"/>
      <c r="L1551" s="124"/>
      <c r="M1551" s="124"/>
      <c r="N1551" s="124"/>
      <c r="O1551" s="124"/>
      <c r="P1551" s="124"/>
      <c r="Q1551" s="124"/>
      <c r="R1551" s="124"/>
      <c r="S1551" s="124"/>
      <c r="T1551" s="124"/>
      <c r="U1551" s="124"/>
      <c r="V1551" s="124"/>
      <c r="W1551" s="124"/>
      <c r="X1551" s="124"/>
      <c r="Y1551" s="124"/>
    </row>
    <row r="1552">
      <c r="A1552" s="125"/>
      <c r="B1552" s="126"/>
      <c r="C1552" s="127"/>
      <c r="D1552" s="124"/>
      <c r="E1552" s="124"/>
      <c r="F1552" s="124"/>
      <c r="G1552" s="124"/>
      <c r="H1552" s="124"/>
      <c r="I1552" s="124"/>
      <c r="J1552" s="124"/>
      <c r="K1552" s="124"/>
      <c r="L1552" s="124"/>
      <c r="M1552" s="124"/>
      <c r="N1552" s="124"/>
      <c r="O1552" s="124"/>
      <c r="P1552" s="124"/>
      <c r="Q1552" s="124"/>
      <c r="R1552" s="124"/>
      <c r="S1552" s="124"/>
      <c r="T1552" s="124"/>
      <c r="U1552" s="124"/>
      <c r="V1552" s="124"/>
      <c r="W1552" s="124"/>
      <c r="X1552" s="124"/>
      <c r="Y1552" s="124"/>
    </row>
    <row r="1553">
      <c r="A1553" s="125"/>
      <c r="B1553" s="126"/>
      <c r="C1553" s="127"/>
      <c r="D1553" s="124"/>
      <c r="E1553" s="124"/>
      <c r="F1553" s="124"/>
      <c r="G1553" s="124"/>
      <c r="H1553" s="124"/>
      <c r="I1553" s="124"/>
      <c r="J1553" s="124"/>
      <c r="K1553" s="124"/>
      <c r="L1553" s="124"/>
      <c r="M1553" s="124"/>
      <c r="N1553" s="124"/>
      <c r="O1553" s="124"/>
      <c r="P1553" s="124"/>
      <c r="Q1553" s="124"/>
      <c r="R1553" s="124"/>
      <c r="S1553" s="124"/>
      <c r="T1553" s="124"/>
      <c r="U1553" s="124"/>
      <c r="V1553" s="124"/>
      <c r="W1553" s="124"/>
      <c r="X1553" s="124"/>
      <c r="Y1553" s="124"/>
    </row>
    <row r="1554">
      <c r="A1554" s="125"/>
      <c r="B1554" s="126"/>
      <c r="C1554" s="127"/>
      <c r="D1554" s="124"/>
      <c r="E1554" s="124"/>
      <c r="F1554" s="124"/>
      <c r="G1554" s="124"/>
      <c r="H1554" s="124"/>
      <c r="I1554" s="124"/>
      <c r="J1554" s="124"/>
      <c r="K1554" s="124"/>
      <c r="L1554" s="124"/>
      <c r="M1554" s="124"/>
      <c r="N1554" s="124"/>
      <c r="O1554" s="124"/>
      <c r="P1554" s="124"/>
      <c r="Q1554" s="124"/>
      <c r="R1554" s="124"/>
      <c r="S1554" s="124"/>
      <c r="T1554" s="124"/>
      <c r="U1554" s="124"/>
      <c r="V1554" s="124"/>
      <c r="W1554" s="124"/>
      <c r="X1554" s="124"/>
      <c r="Y1554" s="124"/>
    </row>
    <row r="1555">
      <c r="A1555" s="125"/>
      <c r="B1555" s="126"/>
      <c r="C1555" s="127"/>
      <c r="D1555" s="124"/>
      <c r="E1555" s="124"/>
      <c r="F1555" s="124"/>
      <c r="G1555" s="124"/>
      <c r="H1555" s="124"/>
      <c r="I1555" s="124"/>
      <c r="J1555" s="124"/>
      <c r="K1555" s="124"/>
      <c r="L1555" s="124"/>
      <c r="M1555" s="124"/>
      <c r="N1555" s="124"/>
      <c r="O1555" s="124"/>
      <c r="P1555" s="124"/>
      <c r="Q1555" s="124"/>
      <c r="R1555" s="124"/>
      <c r="S1555" s="124"/>
      <c r="T1555" s="124"/>
      <c r="U1555" s="124"/>
      <c r="V1555" s="124"/>
      <c r="W1555" s="124"/>
      <c r="X1555" s="124"/>
      <c r="Y1555" s="124"/>
    </row>
    <row r="1556">
      <c r="A1556" s="125"/>
      <c r="B1556" s="126"/>
      <c r="C1556" s="127"/>
      <c r="D1556" s="124"/>
      <c r="E1556" s="124"/>
      <c r="F1556" s="124"/>
      <c r="G1556" s="124"/>
      <c r="H1556" s="124"/>
      <c r="I1556" s="124"/>
      <c r="J1556" s="124"/>
      <c r="K1556" s="124"/>
      <c r="L1556" s="124"/>
      <c r="M1556" s="124"/>
      <c r="N1556" s="124"/>
      <c r="O1556" s="124"/>
      <c r="P1556" s="124"/>
      <c r="Q1556" s="124"/>
      <c r="R1556" s="124"/>
      <c r="S1556" s="124"/>
      <c r="T1556" s="124"/>
      <c r="U1556" s="124"/>
      <c r="V1556" s="124"/>
      <c r="W1556" s="124"/>
      <c r="X1556" s="124"/>
      <c r="Y1556" s="124"/>
    </row>
    <row r="1557">
      <c r="A1557" s="125"/>
      <c r="B1557" s="126"/>
      <c r="C1557" s="127"/>
      <c r="D1557" s="124"/>
      <c r="E1557" s="124"/>
      <c r="F1557" s="124"/>
      <c r="G1557" s="124"/>
      <c r="H1557" s="124"/>
      <c r="I1557" s="124"/>
      <c r="J1557" s="124"/>
      <c r="K1557" s="124"/>
      <c r="L1557" s="124"/>
      <c r="M1557" s="124"/>
      <c r="N1557" s="124"/>
      <c r="O1557" s="124"/>
      <c r="P1557" s="124"/>
      <c r="Q1557" s="124"/>
      <c r="R1557" s="124"/>
      <c r="S1557" s="124"/>
      <c r="T1557" s="124"/>
      <c r="U1557" s="124"/>
      <c r="V1557" s="124"/>
      <c r="W1557" s="124"/>
      <c r="X1557" s="124"/>
      <c r="Y1557" s="124"/>
    </row>
    <row r="1558">
      <c r="A1558" s="125"/>
      <c r="B1558" s="126"/>
      <c r="C1558" s="127"/>
      <c r="D1558" s="124"/>
      <c r="E1558" s="124"/>
      <c r="F1558" s="124"/>
      <c r="G1558" s="124"/>
      <c r="H1558" s="124"/>
      <c r="I1558" s="124"/>
      <c r="J1558" s="124"/>
      <c r="K1558" s="124"/>
      <c r="L1558" s="124"/>
      <c r="M1558" s="124"/>
      <c r="N1558" s="124"/>
      <c r="O1558" s="124"/>
      <c r="P1558" s="124"/>
      <c r="Q1558" s="124"/>
      <c r="R1558" s="124"/>
      <c r="S1558" s="124"/>
      <c r="T1558" s="124"/>
      <c r="U1558" s="124"/>
      <c r="V1558" s="124"/>
      <c r="W1558" s="124"/>
      <c r="X1558" s="124"/>
      <c r="Y1558" s="124"/>
    </row>
    <row r="1559">
      <c r="A1559" s="125"/>
      <c r="B1559" s="126"/>
      <c r="C1559" s="127"/>
      <c r="D1559" s="124"/>
      <c r="E1559" s="124"/>
      <c r="F1559" s="124"/>
      <c r="G1559" s="124"/>
      <c r="H1559" s="124"/>
      <c r="I1559" s="124"/>
      <c r="J1559" s="124"/>
      <c r="K1559" s="124"/>
      <c r="L1559" s="124"/>
      <c r="M1559" s="124"/>
      <c r="N1559" s="124"/>
      <c r="O1559" s="124"/>
      <c r="P1559" s="124"/>
      <c r="Q1559" s="124"/>
      <c r="R1559" s="124"/>
      <c r="S1559" s="124"/>
      <c r="T1559" s="124"/>
      <c r="U1559" s="124"/>
      <c r="V1559" s="124"/>
      <c r="W1559" s="124"/>
      <c r="X1559" s="124"/>
      <c r="Y1559" s="124"/>
    </row>
    <row r="1560">
      <c r="A1560" s="125"/>
      <c r="B1560" s="126"/>
      <c r="C1560" s="127"/>
      <c r="D1560" s="124"/>
      <c r="E1560" s="124"/>
      <c r="F1560" s="124"/>
      <c r="G1560" s="124"/>
      <c r="H1560" s="124"/>
      <c r="I1560" s="124"/>
      <c r="J1560" s="124"/>
      <c r="K1560" s="124"/>
      <c r="L1560" s="124"/>
      <c r="M1560" s="124"/>
      <c r="N1560" s="124"/>
      <c r="O1560" s="124"/>
      <c r="P1560" s="124"/>
      <c r="Q1560" s="124"/>
      <c r="R1560" s="124"/>
      <c r="S1560" s="124"/>
      <c r="T1560" s="124"/>
      <c r="U1560" s="124"/>
      <c r="V1560" s="124"/>
      <c r="W1560" s="124"/>
      <c r="X1560" s="124"/>
      <c r="Y1560" s="124"/>
    </row>
    <row r="1561">
      <c r="A1561" s="125"/>
      <c r="B1561" s="126"/>
      <c r="C1561" s="127"/>
      <c r="D1561" s="124"/>
      <c r="E1561" s="124"/>
      <c r="F1561" s="124"/>
      <c r="G1561" s="124"/>
      <c r="H1561" s="124"/>
      <c r="I1561" s="124"/>
      <c r="J1561" s="124"/>
      <c r="K1561" s="124"/>
      <c r="L1561" s="124"/>
      <c r="M1561" s="124"/>
      <c r="N1561" s="124"/>
      <c r="O1561" s="124"/>
      <c r="P1561" s="124"/>
      <c r="Q1561" s="124"/>
      <c r="R1561" s="124"/>
      <c r="S1561" s="124"/>
      <c r="T1561" s="124"/>
      <c r="U1561" s="124"/>
      <c r="V1561" s="124"/>
      <c r="W1561" s="124"/>
      <c r="X1561" s="124"/>
      <c r="Y1561" s="124"/>
    </row>
    <row r="1562">
      <c r="A1562" s="125"/>
      <c r="B1562" s="126"/>
      <c r="C1562" s="127"/>
      <c r="D1562" s="124"/>
      <c r="E1562" s="124"/>
      <c r="F1562" s="124"/>
      <c r="G1562" s="124"/>
      <c r="H1562" s="124"/>
      <c r="I1562" s="124"/>
      <c r="J1562" s="124"/>
      <c r="K1562" s="124"/>
      <c r="L1562" s="124"/>
      <c r="M1562" s="124"/>
      <c r="N1562" s="124"/>
      <c r="O1562" s="124"/>
      <c r="P1562" s="124"/>
      <c r="Q1562" s="124"/>
      <c r="R1562" s="124"/>
      <c r="S1562" s="124"/>
      <c r="T1562" s="124"/>
      <c r="U1562" s="124"/>
      <c r="V1562" s="124"/>
      <c r="W1562" s="124"/>
      <c r="X1562" s="124"/>
      <c r="Y1562" s="124"/>
    </row>
    <row r="1563">
      <c r="A1563" s="125"/>
      <c r="B1563" s="126"/>
      <c r="C1563" s="127"/>
      <c r="D1563" s="124"/>
      <c r="E1563" s="124"/>
      <c r="F1563" s="124"/>
      <c r="G1563" s="124"/>
      <c r="H1563" s="124"/>
      <c r="I1563" s="124"/>
      <c r="J1563" s="124"/>
      <c r="K1563" s="124"/>
      <c r="L1563" s="124"/>
      <c r="M1563" s="124"/>
      <c r="N1563" s="124"/>
      <c r="O1563" s="124"/>
      <c r="P1563" s="124"/>
      <c r="Q1563" s="124"/>
      <c r="R1563" s="124"/>
      <c r="S1563" s="124"/>
      <c r="T1563" s="124"/>
      <c r="U1563" s="124"/>
      <c r="V1563" s="124"/>
      <c r="W1563" s="124"/>
      <c r="X1563" s="124"/>
      <c r="Y1563" s="124"/>
    </row>
    <row r="1564">
      <c r="A1564" s="125"/>
      <c r="B1564" s="126"/>
      <c r="C1564" s="127"/>
      <c r="D1564" s="124"/>
      <c r="E1564" s="124"/>
      <c r="F1564" s="124"/>
      <c r="G1564" s="124"/>
      <c r="H1564" s="124"/>
      <c r="I1564" s="124"/>
      <c r="J1564" s="124"/>
      <c r="K1564" s="124"/>
      <c r="L1564" s="124"/>
      <c r="M1564" s="124"/>
      <c r="N1564" s="124"/>
      <c r="O1564" s="124"/>
      <c r="P1564" s="124"/>
      <c r="Q1564" s="124"/>
      <c r="R1564" s="124"/>
      <c r="S1564" s="124"/>
      <c r="T1564" s="124"/>
      <c r="U1564" s="124"/>
      <c r="V1564" s="124"/>
      <c r="W1564" s="124"/>
      <c r="X1564" s="124"/>
      <c r="Y1564" s="124"/>
    </row>
    <row r="1565">
      <c r="A1565" s="125"/>
      <c r="B1565" s="126"/>
      <c r="C1565" s="127"/>
      <c r="D1565" s="124"/>
      <c r="E1565" s="124"/>
      <c r="F1565" s="124"/>
      <c r="G1565" s="124"/>
      <c r="H1565" s="124"/>
      <c r="I1565" s="124"/>
      <c r="J1565" s="124"/>
      <c r="K1565" s="124"/>
      <c r="L1565" s="124"/>
      <c r="M1565" s="124"/>
      <c r="N1565" s="124"/>
      <c r="O1565" s="124"/>
      <c r="P1565" s="124"/>
      <c r="Q1565" s="124"/>
      <c r="R1565" s="124"/>
      <c r="S1565" s="124"/>
      <c r="T1565" s="124"/>
      <c r="U1565" s="124"/>
      <c r="V1565" s="124"/>
      <c r="W1565" s="124"/>
      <c r="X1565" s="124"/>
      <c r="Y1565" s="124"/>
    </row>
    <row r="1566">
      <c r="A1566" s="125"/>
      <c r="B1566" s="126"/>
      <c r="C1566" s="127"/>
      <c r="D1566" s="124"/>
      <c r="E1566" s="124"/>
      <c r="F1566" s="124"/>
      <c r="G1566" s="124"/>
      <c r="H1566" s="124"/>
      <c r="I1566" s="124"/>
      <c r="J1566" s="124"/>
      <c r="K1566" s="124"/>
      <c r="L1566" s="124"/>
      <c r="M1566" s="124"/>
      <c r="N1566" s="124"/>
      <c r="O1566" s="124"/>
      <c r="P1566" s="124"/>
      <c r="Q1566" s="124"/>
      <c r="R1566" s="124"/>
      <c r="S1566" s="124"/>
      <c r="T1566" s="124"/>
      <c r="U1566" s="124"/>
      <c r="V1566" s="124"/>
      <c r="W1566" s="124"/>
      <c r="X1566" s="124"/>
      <c r="Y1566" s="124"/>
    </row>
    <row r="1567">
      <c r="A1567" s="125"/>
      <c r="B1567" s="126"/>
      <c r="C1567" s="127"/>
      <c r="D1567" s="124"/>
      <c r="E1567" s="124"/>
      <c r="F1567" s="124"/>
      <c r="G1567" s="124"/>
      <c r="H1567" s="124"/>
      <c r="I1567" s="124"/>
      <c r="J1567" s="124"/>
      <c r="K1567" s="124"/>
      <c r="L1567" s="124"/>
      <c r="M1567" s="124"/>
      <c r="N1567" s="124"/>
      <c r="O1567" s="124"/>
      <c r="P1567" s="124"/>
      <c r="Q1567" s="124"/>
      <c r="R1567" s="124"/>
      <c r="S1567" s="124"/>
      <c r="T1567" s="124"/>
      <c r="U1567" s="124"/>
      <c r="V1567" s="124"/>
      <c r="W1567" s="124"/>
      <c r="X1567" s="124"/>
      <c r="Y1567" s="124"/>
    </row>
    <row r="1568">
      <c r="A1568" s="125"/>
      <c r="B1568" s="126"/>
      <c r="C1568" s="127"/>
      <c r="D1568" s="124"/>
      <c r="E1568" s="124"/>
      <c r="F1568" s="124"/>
      <c r="G1568" s="124"/>
      <c r="H1568" s="124"/>
      <c r="I1568" s="124"/>
      <c r="J1568" s="124"/>
      <c r="K1568" s="124"/>
      <c r="L1568" s="124"/>
      <c r="M1568" s="124"/>
      <c r="N1568" s="124"/>
      <c r="O1568" s="124"/>
      <c r="P1568" s="124"/>
      <c r="Q1568" s="124"/>
      <c r="R1568" s="124"/>
      <c r="S1568" s="124"/>
      <c r="T1568" s="124"/>
      <c r="U1568" s="124"/>
      <c r="V1568" s="124"/>
      <c r="W1568" s="124"/>
      <c r="X1568" s="124"/>
      <c r="Y1568" s="124"/>
    </row>
    <row r="1569">
      <c r="A1569" s="125"/>
      <c r="B1569" s="126"/>
      <c r="C1569" s="127"/>
      <c r="D1569" s="124"/>
      <c r="E1569" s="124"/>
      <c r="F1569" s="124"/>
      <c r="G1569" s="124"/>
      <c r="H1569" s="124"/>
      <c r="I1569" s="124"/>
      <c r="J1569" s="124"/>
      <c r="K1569" s="124"/>
      <c r="L1569" s="124"/>
      <c r="M1569" s="124"/>
      <c r="N1569" s="124"/>
      <c r="O1569" s="124"/>
      <c r="P1569" s="124"/>
      <c r="Q1569" s="124"/>
      <c r="R1569" s="124"/>
      <c r="S1569" s="124"/>
      <c r="T1569" s="124"/>
      <c r="U1569" s="124"/>
      <c r="V1569" s="124"/>
      <c r="W1569" s="124"/>
      <c r="X1569" s="124"/>
      <c r="Y1569" s="124"/>
    </row>
    <row r="1570">
      <c r="A1570" s="125"/>
      <c r="B1570" s="126"/>
      <c r="C1570" s="127"/>
      <c r="D1570" s="124"/>
      <c r="E1570" s="124"/>
      <c r="F1570" s="124"/>
      <c r="G1570" s="124"/>
      <c r="H1570" s="124"/>
      <c r="I1570" s="124"/>
      <c r="J1570" s="124"/>
      <c r="K1570" s="124"/>
      <c r="L1570" s="124"/>
      <c r="M1570" s="124"/>
      <c r="N1570" s="124"/>
      <c r="O1570" s="124"/>
      <c r="P1570" s="124"/>
      <c r="Q1570" s="124"/>
      <c r="R1570" s="124"/>
      <c r="S1570" s="124"/>
      <c r="T1570" s="124"/>
      <c r="U1570" s="124"/>
      <c r="V1570" s="124"/>
      <c r="W1570" s="124"/>
      <c r="X1570" s="124"/>
      <c r="Y1570" s="124"/>
    </row>
    <row r="1571">
      <c r="A1571" s="125"/>
      <c r="B1571" s="126"/>
      <c r="C1571" s="127"/>
      <c r="D1571" s="124"/>
      <c r="E1571" s="124"/>
      <c r="F1571" s="124"/>
      <c r="G1571" s="124"/>
      <c r="H1571" s="124"/>
      <c r="I1571" s="124"/>
      <c r="J1571" s="124"/>
      <c r="K1571" s="124"/>
      <c r="L1571" s="124"/>
      <c r="M1571" s="124"/>
      <c r="N1571" s="124"/>
      <c r="O1571" s="124"/>
      <c r="P1571" s="124"/>
      <c r="Q1571" s="124"/>
      <c r="R1571" s="124"/>
      <c r="S1571" s="124"/>
      <c r="T1571" s="124"/>
      <c r="U1571" s="124"/>
      <c r="V1571" s="124"/>
      <c r="W1571" s="124"/>
      <c r="X1571" s="124"/>
      <c r="Y1571" s="124"/>
    </row>
    <row r="1572">
      <c r="A1572" s="125"/>
      <c r="B1572" s="126"/>
      <c r="C1572" s="127"/>
      <c r="D1572" s="124"/>
      <c r="E1572" s="124"/>
      <c r="F1572" s="124"/>
      <c r="G1572" s="124"/>
      <c r="H1572" s="124"/>
      <c r="I1572" s="124"/>
      <c r="J1572" s="124"/>
      <c r="K1572" s="124"/>
      <c r="L1572" s="124"/>
      <c r="M1572" s="124"/>
      <c r="N1572" s="124"/>
      <c r="O1572" s="124"/>
      <c r="P1572" s="124"/>
      <c r="Q1572" s="124"/>
      <c r="R1572" s="124"/>
      <c r="S1572" s="124"/>
      <c r="T1572" s="124"/>
      <c r="U1572" s="124"/>
      <c r="V1572" s="124"/>
      <c r="W1572" s="124"/>
      <c r="X1572" s="124"/>
      <c r="Y1572" s="124"/>
    </row>
    <row r="1573">
      <c r="A1573" s="125"/>
      <c r="B1573" s="126"/>
      <c r="C1573" s="127"/>
      <c r="D1573" s="124"/>
      <c r="E1573" s="124"/>
      <c r="F1573" s="124"/>
      <c r="G1573" s="124"/>
      <c r="H1573" s="124"/>
      <c r="I1573" s="124"/>
      <c r="J1573" s="124"/>
      <c r="K1573" s="124"/>
      <c r="L1573" s="124"/>
      <c r="M1573" s="124"/>
      <c r="N1573" s="124"/>
      <c r="O1573" s="124"/>
      <c r="P1573" s="124"/>
      <c r="Q1573" s="124"/>
      <c r="R1573" s="124"/>
      <c r="S1573" s="124"/>
      <c r="T1573" s="124"/>
      <c r="U1573" s="124"/>
      <c r="V1573" s="124"/>
      <c r="W1573" s="124"/>
      <c r="X1573" s="124"/>
      <c r="Y1573" s="124"/>
    </row>
    <row r="1574">
      <c r="A1574" s="125"/>
      <c r="B1574" s="126"/>
      <c r="C1574" s="127"/>
      <c r="D1574" s="124"/>
      <c r="E1574" s="124"/>
      <c r="F1574" s="124"/>
      <c r="G1574" s="124"/>
      <c r="H1574" s="124"/>
      <c r="I1574" s="124"/>
      <c r="J1574" s="124"/>
      <c r="K1574" s="124"/>
      <c r="L1574" s="124"/>
      <c r="M1574" s="124"/>
      <c r="N1574" s="124"/>
      <c r="O1574" s="124"/>
      <c r="P1574" s="124"/>
      <c r="Q1574" s="124"/>
      <c r="R1574" s="124"/>
      <c r="S1574" s="124"/>
      <c r="T1574" s="124"/>
      <c r="U1574" s="124"/>
      <c r="V1574" s="124"/>
      <c r="W1574" s="124"/>
      <c r="X1574" s="124"/>
      <c r="Y1574" s="124"/>
    </row>
    <row r="1575">
      <c r="A1575" s="125"/>
      <c r="B1575" s="126"/>
      <c r="C1575" s="127"/>
      <c r="D1575" s="124"/>
      <c r="E1575" s="124"/>
      <c r="F1575" s="124"/>
      <c r="G1575" s="124"/>
      <c r="H1575" s="124"/>
      <c r="I1575" s="124"/>
      <c r="J1575" s="124"/>
      <c r="K1575" s="124"/>
      <c r="L1575" s="124"/>
      <c r="M1575" s="124"/>
      <c r="N1575" s="124"/>
      <c r="O1575" s="124"/>
      <c r="P1575" s="124"/>
      <c r="Q1575" s="124"/>
      <c r="R1575" s="124"/>
      <c r="S1575" s="124"/>
      <c r="T1575" s="124"/>
      <c r="U1575" s="124"/>
      <c r="V1575" s="124"/>
      <c r="W1575" s="124"/>
      <c r="X1575" s="124"/>
      <c r="Y1575" s="124"/>
    </row>
    <row r="1576">
      <c r="A1576" s="125"/>
      <c r="B1576" s="126"/>
      <c r="C1576" s="127"/>
      <c r="D1576" s="124"/>
      <c r="E1576" s="124"/>
      <c r="F1576" s="124"/>
      <c r="G1576" s="124"/>
      <c r="H1576" s="124"/>
      <c r="I1576" s="124"/>
      <c r="J1576" s="124"/>
      <c r="K1576" s="124"/>
      <c r="L1576" s="124"/>
      <c r="M1576" s="124"/>
      <c r="N1576" s="124"/>
      <c r="O1576" s="124"/>
      <c r="P1576" s="124"/>
      <c r="Q1576" s="124"/>
      <c r="R1576" s="124"/>
      <c r="S1576" s="124"/>
      <c r="T1576" s="124"/>
      <c r="U1576" s="124"/>
      <c r="V1576" s="124"/>
      <c r="W1576" s="124"/>
      <c r="X1576" s="124"/>
      <c r="Y1576" s="124"/>
    </row>
    <row r="1577">
      <c r="A1577" s="125"/>
      <c r="B1577" s="126"/>
      <c r="C1577" s="127"/>
      <c r="D1577" s="124"/>
      <c r="E1577" s="124"/>
      <c r="F1577" s="124"/>
      <c r="G1577" s="124"/>
      <c r="H1577" s="124"/>
      <c r="I1577" s="124"/>
      <c r="J1577" s="124"/>
      <c r="K1577" s="124"/>
      <c r="L1577" s="124"/>
      <c r="M1577" s="124"/>
      <c r="N1577" s="124"/>
      <c r="O1577" s="124"/>
      <c r="P1577" s="124"/>
      <c r="Q1577" s="124"/>
      <c r="R1577" s="124"/>
      <c r="S1577" s="124"/>
      <c r="T1577" s="124"/>
      <c r="U1577" s="124"/>
      <c r="V1577" s="124"/>
      <c r="W1577" s="124"/>
      <c r="X1577" s="124"/>
      <c r="Y1577" s="124"/>
    </row>
    <row r="1578">
      <c r="A1578" s="125"/>
      <c r="B1578" s="126"/>
      <c r="C1578" s="127"/>
      <c r="D1578" s="124"/>
      <c r="E1578" s="124"/>
      <c r="F1578" s="124"/>
      <c r="G1578" s="124"/>
      <c r="H1578" s="124"/>
      <c r="I1578" s="124"/>
      <c r="J1578" s="124"/>
      <c r="K1578" s="124"/>
      <c r="L1578" s="124"/>
      <c r="M1578" s="124"/>
      <c r="N1578" s="124"/>
      <c r="O1578" s="124"/>
      <c r="P1578" s="124"/>
      <c r="Q1578" s="124"/>
      <c r="R1578" s="124"/>
      <c r="S1578" s="124"/>
      <c r="T1578" s="124"/>
      <c r="U1578" s="124"/>
      <c r="V1578" s="124"/>
      <c r="W1578" s="124"/>
      <c r="X1578" s="124"/>
      <c r="Y1578" s="124"/>
    </row>
    <row r="1579">
      <c r="A1579" s="125"/>
      <c r="B1579" s="126"/>
      <c r="C1579" s="127"/>
      <c r="D1579" s="124"/>
      <c r="E1579" s="124"/>
      <c r="F1579" s="124"/>
      <c r="G1579" s="124"/>
      <c r="H1579" s="124"/>
      <c r="I1579" s="124"/>
      <c r="J1579" s="124"/>
      <c r="K1579" s="124"/>
      <c r="L1579" s="124"/>
      <c r="M1579" s="124"/>
      <c r="N1579" s="124"/>
      <c r="O1579" s="124"/>
      <c r="P1579" s="124"/>
      <c r="Q1579" s="124"/>
      <c r="R1579" s="124"/>
      <c r="S1579" s="124"/>
      <c r="T1579" s="124"/>
      <c r="U1579" s="124"/>
      <c r="V1579" s="124"/>
      <c r="W1579" s="124"/>
      <c r="X1579" s="124"/>
      <c r="Y1579" s="124"/>
    </row>
    <row r="1580">
      <c r="A1580" s="125"/>
      <c r="B1580" s="126"/>
      <c r="C1580" s="127"/>
      <c r="D1580" s="124"/>
      <c r="E1580" s="124"/>
      <c r="F1580" s="124"/>
      <c r="G1580" s="124"/>
      <c r="H1580" s="124"/>
      <c r="I1580" s="124"/>
      <c r="J1580" s="124"/>
      <c r="K1580" s="124"/>
      <c r="L1580" s="124"/>
      <c r="M1580" s="124"/>
      <c r="N1580" s="124"/>
      <c r="O1580" s="124"/>
      <c r="P1580" s="124"/>
      <c r="Q1580" s="124"/>
      <c r="R1580" s="124"/>
      <c r="S1580" s="124"/>
      <c r="T1580" s="124"/>
      <c r="U1580" s="124"/>
      <c r="V1580" s="124"/>
      <c r="W1580" s="124"/>
      <c r="X1580" s="124"/>
      <c r="Y1580" s="124"/>
    </row>
    <row r="1581">
      <c r="A1581" s="125"/>
      <c r="B1581" s="126"/>
      <c r="C1581" s="127"/>
      <c r="D1581" s="124"/>
      <c r="E1581" s="124"/>
      <c r="F1581" s="124"/>
      <c r="G1581" s="124"/>
      <c r="H1581" s="124"/>
      <c r="I1581" s="124"/>
      <c r="J1581" s="124"/>
      <c r="K1581" s="124"/>
      <c r="L1581" s="124"/>
      <c r="M1581" s="124"/>
      <c r="N1581" s="124"/>
      <c r="O1581" s="124"/>
      <c r="P1581" s="124"/>
      <c r="Q1581" s="124"/>
      <c r="R1581" s="124"/>
      <c r="S1581" s="124"/>
      <c r="T1581" s="124"/>
      <c r="U1581" s="124"/>
      <c r="V1581" s="124"/>
      <c r="W1581" s="124"/>
      <c r="X1581" s="124"/>
      <c r="Y1581" s="124"/>
    </row>
    <row r="1582">
      <c r="A1582" s="125"/>
      <c r="B1582" s="126"/>
      <c r="C1582" s="127"/>
      <c r="D1582" s="124"/>
      <c r="E1582" s="124"/>
      <c r="F1582" s="124"/>
      <c r="G1582" s="124"/>
      <c r="H1582" s="124"/>
      <c r="I1582" s="124"/>
      <c r="J1582" s="124"/>
      <c r="K1582" s="124"/>
      <c r="L1582" s="124"/>
      <c r="M1582" s="124"/>
      <c r="N1582" s="124"/>
      <c r="O1582" s="124"/>
      <c r="P1582" s="124"/>
      <c r="Q1582" s="124"/>
      <c r="R1582" s="124"/>
      <c r="S1582" s="124"/>
      <c r="T1582" s="124"/>
      <c r="U1582" s="124"/>
      <c r="V1582" s="124"/>
      <c r="W1582" s="124"/>
      <c r="X1582" s="124"/>
      <c r="Y1582" s="124"/>
    </row>
    <row r="1583">
      <c r="A1583" s="125"/>
      <c r="B1583" s="126"/>
      <c r="C1583" s="127"/>
      <c r="D1583" s="124"/>
      <c r="E1583" s="124"/>
      <c r="F1583" s="124"/>
      <c r="G1583" s="124"/>
      <c r="H1583" s="124"/>
      <c r="I1583" s="124"/>
      <c r="J1583" s="124"/>
      <c r="K1583" s="124"/>
      <c r="L1583" s="124"/>
      <c r="M1583" s="124"/>
      <c r="N1583" s="124"/>
      <c r="O1583" s="124"/>
      <c r="P1583" s="124"/>
      <c r="Q1583" s="124"/>
      <c r="R1583" s="124"/>
      <c r="S1583" s="124"/>
      <c r="T1583" s="124"/>
      <c r="U1583" s="124"/>
      <c r="V1583" s="124"/>
      <c r="W1583" s="124"/>
      <c r="X1583" s="124"/>
      <c r="Y1583" s="124"/>
    </row>
    <row r="1584">
      <c r="A1584" s="125"/>
      <c r="B1584" s="126"/>
      <c r="C1584" s="127"/>
      <c r="D1584" s="124"/>
      <c r="E1584" s="124"/>
      <c r="F1584" s="124"/>
      <c r="G1584" s="124"/>
      <c r="H1584" s="124"/>
      <c r="I1584" s="124"/>
      <c r="J1584" s="124"/>
      <c r="K1584" s="124"/>
      <c r="L1584" s="124"/>
      <c r="M1584" s="124"/>
      <c r="N1584" s="124"/>
      <c r="O1584" s="124"/>
      <c r="P1584" s="124"/>
      <c r="Q1584" s="124"/>
      <c r="R1584" s="124"/>
      <c r="S1584" s="124"/>
      <c r="T1584" s="124"/>
      <c r="U1584" s="124"/>
      <c r="V1584" s="124"/>
      <c r="W1584" s="124"/>
      <c r="X1584" s="124"/>
      <c r="Y1584" s="124"/>
    </row>
    <row r="1585">
      <c r="A1585" s="125"/>
      <c r="B1585" s="126"/>
      <c r="C1585" s="127"/>
      <c r="D1585" s="124"/>
      <c r="E1585" s="124"/>
      <c r="F1585" s="124"/>
      <c r="G1585" s="124"/>
      <c r="H1585" s="124"/>
      <c r="I1585" s="124"/>
      <c r="J1585" s="124"/>
      <c r="K1585" s="124"/>
      <c r="L1585" s="124"/>
      <c r="M1585" s="124"/>
      <c r="N1585" s="124"/>
      <c r="O1585" s="124"/>
      <c r="P1585" s="124"/>
      <c r="Q1585" s="124"/>
      <c r="R1585" s="124"/>
      <c r="S1585" s="124"/>
      <c r="T1585" s="124"/>
      <c r="U1585" s="124"/>
      <c r="V1585" s="124"/>
      <c r="W1585" s="124"/>
      <c r="X1585" s="124"/>
      <c r="Y1585" s="124"/>
    </row>
    <row r="1586">
      <c r="A1586" s="125"/>
      <c r="B1586" s="126"/>
      <c r="C1586" s="127"/>
      <c r="D1586" s="124"/>
      <c r="E1586" s="124"/>
      <c r="F1586" s="124"/>
      <c r="G1586" s="124"/>
      <c r="H1586" s="124"/>
      <c r="I1586" s="124"/>
      <c r="J1586" s="124"/>
      <c r="K1586" s="124"/>
      <c r="L1586" s="124"/>
      <c r="M1586" s="124"/>
      <c r="N1586" s="124"/>
      <c r="O1586" s="124"/>
      <c r="P1586" s="124"/>
      <c r="Q1586" s="124"/>
      <c r="R1586" s="124"/>
      <c r="S1586" s="124"/>
      <c r="T1586" s="124"/>
      <c r="U1586" s="124"/>
      <c r="V1586" s="124"/>
      <c r="W1586" s="124"/>
      <c r="X1586" s="124"/>
      <c r="Y1586" s="124"/>
    </row>
    <row r="1587">
      <c r="A1587" s="125"/>
      <c r="B1587" s="126"/>
      <c r="C1587" s="127"/>
      <c r="D1587" s="124"/>
      <c r="E1587" s="124"/>
      <c r="F1587" s="124"/>
      <c r="G1587" s="124"/>
      <c r="H1587" s="124"/>
      <c r="I1587" s="124"/>
      <c r="J1587" s="124"/>
      <c r="K1587" s="124"/>
      <c r="L1587" s="124"/>
      <c r="M1587" s="124"/>
      <c r="N1587" s="124"/>
      <c r="O1587" s="124"/>
      <c r="P1587" s="124"/>
      <c r="Q1587" s="124"/>
      <c r="R1587" s="124"/>
      <c r="S1587" s="124"/>
      <c r="T1587" s="124"/>
      <c r="U1587" s="124"/>
      <c r="V1587" s="124"/>
      <c r="W1587" s="124"/>
      <c r="X1587" s="124"/>
      <c r="Y1587" s="124"/>
    </row>
    <row r="1588">
      <c r="A1588" s="125"/>
      <c r="B1588" s="126"/>
      <c r="C1588" s="127"/>
      <c r="D1588" s="124"/>
      <c r="E1588" s="124"/>
      <c r="F1588" s="124"/>
      <c r="G1588" s="124"/>
      <c r="H1588" s="124"/>
      <c r="I1588" s="124"/>
      <c r="J1588" s="124"/>
      <c r="K1588" s="124"/>
      <c r="L1588" s="124"/>
      <c r="M1588" s="124"/>
      <c r="N1588" s="124"/>
      <c r="O1588" s="124"/>
      <c r="P1588" s="124"/>
      <c r="Q1588" s="124"/>
      <c r="R1588" s="124"/>
      <c r="S1588" s="124"/>
      <c r="T1588" s="124"/>
      <c r="U1588" s="124"/>
      <c r="V1588" s="124"/>
      <c r="W1588" s="124"/>
      <c r="X1588" s="124"/>
      <c r="Y1588" s="124"/>
    </row>
    <row r="1589">
      <c r="A1589" s="125"/>
      <c r="B1589" s="126"/>
      <c r="C1589" s="127"/>
      <c r="D1589" s="124"/>
      <c r="E1589" s="124"/>
      <c r="F1589" s="124"/>
      <c r="G1589" s="124"/>
      <c r="H1589" s="124"/>
      <c r="I1589" s="124"/>
      <c r="J1589" s="124"/>
      <c r="K1589" s="124"/>
      <c r="L1589" s="124"/>
      <c r="M1589" s="124"/>
      <c r="N1589" s="124"/>
      <c r="O1589" s="124"/>
      <c r="P1589" s="124"/>
      <c r="Q1589" s="124"/>
      <c r="R1589" s="124"/>
      <c r="S1589" s="124"/>
      <c r="T1589" s="124"/>
      <c r="U1589" s="124"/>
      <c r="V1589" s="124"/>
      <c r="W1589" s="124"/>
      <c r="X1589" s="124"/>
      <c r="Y1589" s="124"/>
    </row>
    <row r="1590">
      <c r="A1590" s="125"/>
      <c r="B1590" s="126"/>
      <c r="C1590" s="127"/>
      <c r="D1590" s="124"/>
      <c r="E1590" s="124"/>
      <c r="F1590" s="124"/>
      <c r="G1590" s="124"/>
      <c r="H1590" s="124"/>
      <c r="I1590" s="124"/>
      <c r="J1590" s="124"/>
      <c r="K1590" s="124"/>
      <c r="L1590" s="124"/>
      <c r="M1590" s="124"/>
      <c r="N1590" s="124"/>
      <c r="O1590" s="124"/>
      <c r="P1590" s="124"/>
      <c r="Q1590" s="124"/>
      <c r="R1590" s="124"/>
      <c r="S1590" s="124"/>
      <c r="T1590" s="124"/>
      <c r="U1590" s="124"/>
      <c r="V1590" s="124"/>
      <c r="W1590" s="124"/>
      <c r="X1590" s="124"/>
      <c r="Y1590" s="124"/>
    </row>
    <row r="1591">
      <c r="A1591" s="125"/>
      <c r="B1591" s="126"/>
      <c r="C1591" s="127"/>
      <c r="D1591" s="124"/>
      <c r="E1591" s="124"/>
      <c r="F1591" s="124"/>
      <c r="G1591" s="124"/>
      <c r="H1591" s="124"/>
      <c r="I1591" s="124"/>
      <c r="J1591" s="124"/>
      <c r="K1591" s="124"/>
      <c r="L1591" s="124"/>
      <c r="M1591" s="124"/>
      <c r="N1591" s="124"/>
      <c r="O1591" s="124"/>
      <c r="P1591" s="124"/>
      <c r="Q1591" s="124"/>
      <c r="R1591" s="124"/>
      <c r="S1591" s="124"/>
      <c r="T1591" s="124"/>
      <c r="U1591" s="124"/>
      <c r="V1591" s="124"/>
      <c r="W1591" s="124"/>
      <c r="X1591" s="124"/>
      <c r="Y1591" s="124"/>
    </row>
    <row r="1592">
      <c r="A1592" s="125"/>
      <c r="B1592" s="126"/>
      <c r="C1592" s="127"/>
      <c r="D1592" s="124"/>
      <c r="E1592" s="124"/>
      <c r="F1592" s="124"/>
      <c r="G1592" s="124"/>
      <c r="H1592" s="124"/>
      <c r="I1592" s="124"/>
      <c r="J1592" s="124"/>
      <c r="K1592" s="124"/>
      <c r="L1592" s="124"/>
      <c r="M1592" s="124"/>
      <c r="N1592" s="124"/>
      <c r="O1592" s="124"/>
      <c r="P1592" s="124"/>
      <c r="Q1592" s="124"/>
      <c r="R1592" s="124"/>
      <c r="S1592" s="124"/>
      <c r="T1592" s="124"/>
      <c r="U1592" s="124"/>
      <c r="V1592" s="124"/>
      <c r="W1592" s="124"/>
      <c r="X1592" s="124"/>
      <c r="Y1592" s="124"/>
    </row>
    <row r="1593">
      <c r="A1593" s="125"/>
      <c r="B1593" s="126"/>
      <c r="C1593" s="127"/>
      <c r="D1593" s="124"/>
      <c r="E1593" s="124"/>
      <c r="F1593" s="124"/>
      <c r="G1593" s="124"/>
      <c r="H1593" s="124"/>
      <c r="I1593" s="124"/>
      <c r="J1593" s="124"/>
      <c r="K1593" s="124"/>
      <c r="L1593" s="124"/>
      <c r="M1593" s="124"/>
      <c r="N1593" s="124"/>
      <c r="O1593" s="124"/>
      <c r="P1593" s="124"/>
      <c r="Q1593" s="124"/>
      <c r="R1593" s="124"/>
      <c r="S1593" s="124"/>
      <c r="T1593" s="124"/>
      <c r="U1593" s="124"/>
      <c r="V1593" s="124"/>
      <c r="W1593" s="124"/>
      <c r="X1593" s="124"/>
      <c r="Y1593" s="124"/>
    </row>
    <row r="1594">
      <c r="A1594" s="125"/>
      <c r="B1594" s="126"/>
      <c r="C1594" s="127"/>
      <c r="D1594" s="124"/>
      <c r="E1594" s="124"/>
      <c r="F1594" s="124"/>
      <c r="G1594" s="124"/>
      <c r="H1594" s="124"/>
      <c r="I1594" s="124"/>
      <c r="J1594" s="124"/>
      <c r="K1594" s="124"/>
      <c r="L1594" s="124"/>
      <c r="M1594" s="124"/>
      <c r="N1594" s="124"/>
      <c r="O1594" s="124"/>
      <c r="P1594" s="124"/>
      <c r="Q1594" s="124"/>
      <c r="R1594" s="124"/>
      <c r="S1594" s="124"/>
      <c r="T1594" s="124"/>
      <c r="U1594" s="124"/>
      <c r="V1594" s="124"/>
      <c r="W1594" s="124"/>
      <c r="X1594" s="124"/>
      <c r="Y1594" s="124"/>
    </row>
    <row r="1595">
      <c r="A1595" s="125"/>
      <c r="B1595" s="126"/>
      <c r="C1595" s="127"/>
      <c r="D1595" s="124"/>
      <c r="E1595" s="124"/>
      <c r="F1595" s="124"/>
      <c r="G1595" s="124"/>
      <c r="H1595" s="124"/>
      <c r="I1595" s="124"/>
      <c r="J1595" s="124"/>
      <c r="K1595" s="124"/>
      <c r="L1595" s="124"/>
      <c r="M1595" s="124"/>
      <c r="N1595" s="124"/>
      <c r="O1595" s="124"/>
      <c r="P1595" s="124"/>
      <c r="Q1595" s="124"/>
      <c r="R1595" s="124"/>
      <c r="S1595" s="124"/>
      <c r="T1595" s="124"/>
      <c r="U1595" s="124"/>
      <c r="V1595" s="124"/>
      <c r="W1595" s="124"/>
      <c r="X1595" s="124"/>
      <c r="Y1595" s="124"/>
    </row>
    <row r="1596">
      <c r="A1596" s="125"/>
      <c r="B1596" s="126"/>
      <c r="C1596" s="127"/>
      <c r="D1596" s="124"/>
      <c r="E1596" s="124"/>
      <c r="F1596" s="124"/>
      <c r="G1596" s="124"/>
      <c r="H1596" s="124"/>
      <c r="I1596" s="124"/>
      <c r="J1596" s="124"/>
      <c r="K1596" s="124"/>
      <c r="L1596" s="124"/>
      <c r="M1596" s="124"/>
      <c r="N1596" s="124"/>
      <c r="O1596" s="124"/>
      <c r="P1596" s="124"/>
      <c r="Q1596" s="124"/>
      <c r="R1596" s="124"/>
      <c r="S1596" s="124"/>
      <c r="T1596" s="124"/>
      <c r="U1596" s="124"/>
      <c r="V1596" s="124"/>
      <c r="W1596" s="124"/>
      <c r="X1596" s="124"/>
      <c r="Y1596" s="124"/>
    </row>
    <row r="1597">
      <c r="A1597" s="125"/>
      <c r="B1597" s="126"/>
      <c r="C1597" s="127"/>
      <c r="D1597" s="124"/>
      <c r="E1597" s="124"/>
      <c r="F1597" s="124"/>
      <c r="G1597" s="124"/>
      <c r="H1597" s="124"/>
      <c r="I1597" s="124"/>
      <c r="J1597" s="124"/>
      <c r="K1597" s="124"/>
      <c r="L1597" s="124"/>
      <c r="M1597" s="124"/>
      <c r="N1597" s="124"/>
      <c r="O1597" s="124"/>
      <c r="P1597" s="124"/>
      <c r="Q1597" s="124"/>
      <c r="R1597" s="124"/>
      <c r="S1597" s="124"/>
      <c r="T1597" s="124"/>
      <c r="U1597" s="124"/>
      <c r="V1597" s="124"/>
      <c r="W1597" s="124"/>
      <c r="X1597" s="124"/>
      <c r="Y1597" s="124"/>
    </row>
    <row r="1598">
      <c r="A1598" s="125"/>
      <c r="B1598" s="126"/>
      <c r="C1598" s="127"/>
      <c r="D1598" s="124"/>
      <c r="E1598" s="124"/>
      <c r="F1598" s="124"/>
      <c r="G1598" s="124"/>
      <c r="H1598" s="124"/>
      <c r="I1598" s="124"/>
      <c r="J1598" s="124"/>
      <c r="K1598" s="124"/>
      <c r="L1598" s="124"/>
      <c r="M1598" s="124"/>
      <c r="N1598" s="124"/>
      <c r="O1598" s="124"/>
      <c r="P1598" s="124"/>
      <c r="Q1598" s="124"/>
      <c r="R1598" s="124"/>
      <c r="S1598" s="124"/>
      <c r="T1598" s="124"/>
      <c r="U1598" s="124"/>
      <c r="V1598" s="124"/>
      <c r="W1598" s="124"/>
      <c r="X1598" s="124"/>
      <c r="Y1598" s="124"/>
    </row>
    <row r="1599">
      <c r="A1599" s="125"/>
      <c r="B1599" s="126"/>
      <c r="C1599" s="127"/>
      <c r="D1599" s="124"/>
      <c r="E1599" s="124"/>
      <c r="F1599" s="124"/>
      <c r="G1599" s="124"/>
      <c r="H1599" s="124"/>
      <c r="I1599" s="124"/>
      <c r="J1599" s="124"/>
      <c r="K1599" s="124"/>
      <c r="L1599" s="124"/>
      <c r="M1599" s="124"/>
      <c r="N1599" s="124"/>
      <c r="O1599" s="124"/>
      <c r="P1599" s="124"/>
      <c r="Q1599" s="124"/>
      <c r="R1599" s="124"/>
      <c r="S1599" s="124"/>
      <c r="T1599" s="124"/>
      <c r="U1599" s="124"/>
      <c r="V1599" s="124"/>
      <c r="W1599" s="124"/>
      <c r="X1599" s="124"/>
      <c r="Y1599" s="124"/>
    </row>
    <row r="1600">
      <c r="A1600" s="125"/>
      <c r="B1600" s="126"/>
      <c r="C1600" s="127"/>
      <c r="D1600" s="124"/>
      <c r="E1600" s="124"/>
      <c r="F1600" s="124"/>
      <c r="G1600" s="124"/>
      <c r="H1600" s="124"/>
      <c r="I1600" s="124"/>
      <c r="J1600" s="124"/>
      <c r="K1600" s="124"/>
      <c r="L1600" s="124"/>
      <c r="M1600" s="124"/>
      <c r="N1600" s="124"/>
      <c r="O1600" s="124"/>
      <c r="P1600" s="124"/>
      <c r="Q1600" s="124"/>
      <c r="R1600" s="124"/>
      <c r="S1600" s="124"/>
      <c r="T1600" s="124"/>
      <c r="U1600" s="124"/>
      <c r="V1600" s="124"/>
      <c r="W1600" s="124"/>
      <c r="X1600" s="124"/>
      <c r="Y1600" s="124"/>
    </row>
    <row r="1601">
      <c r="A1601" s="125"/>
      <c r="B1601" s="126"/>
      <c r="C1601" s="127"/>
      <c r="D1601" s="124"/>
      <c r="E1601" s="124"/>
      <c r="F1601" s="124"/>
      <c r="G1601" s="124"/>
      <c r="H1601" s="124"/>
      <c r="I1601" s="124"/>
      <c r="J1601" s="124"/>
      <c r="K1601" s="124"/>
      <c r="L1601" s="124"/>
      <c r="M1601" s="124"/>
      <c r="N1601" s="124"/>
      <c r="O1601" s="124"/>
      <c r="P1601" s="124"/>
      <c r="Q1601" s="124"/>
      <c r="R1601" s="124"/>
      <c r="S1601" s="124"/>
      <c r="T1601" s="124"/>
      <c r="U1601" s="124"/>
      <c r="V1601" s="124"/>
      <c r="W1601" s="124"/>
      <c r="X1601" s="124"/>
      <c r="Y1601" s="124"/>
    </row>
    <row r="1602">
      <c r="A1602" s="125"/>
      <c r="B1602" s="126"/>
      <c r="C1602" s="127"/>
      <c r="D1602" s="124"/>
      <c r="E1602" s="124"/>
      <c r="F1602" s="124"/>
      <c r="G1602" s="124"/>
      <c r="H1602" s="124"/>
      <c r="I1602" s="124"/>
      <c r="J1602" s="124"/>
      <c r="K1602" s="124"/>
      <c r="L1602" s="124"/>
      <c r="M1602" s="124"/>
      <c r="N1602" s="124"/>
      <c r="O1602" s="124"/>
      <c r="P1602" s="124"/>
      <c r="Q1602" s="124"/>
      <c r="R1602" s="124"/>
      <c r="S1602" s="124"/>
      <c r="T1602" s="124"/>
      <c r="U1602" s="124"/>
      <c r="V1602" s="124"/>
      <c r="W1602" s="124"/>
      <c r="X1602" s="124"/>
      <c r="Y1602" s="124"/>
    </row>
    <row r="1603">
      <c r="A1603" s="125"/>
      <c r="B1603" s="126"/>
      <c r="C1603" s="127"/>
      <c r="D1603" s="124"/>
      <c r="E1603" s="124"/>
      <c r="F1603" s="124"/>
      <c r="G1603" s="124"/>
      <c r="H1603" s="124"/>
      <c r="I1603" s="124"/>
      <c r="J1603" s="124"/>
      <c r="K1603" s="124"/>
      <c r="L1603" s="124"/>
      <c r="M1603" s="124"/>
      <c r="N1603" s="124"/>
      <c r="O1603" s="124"/>
      <c r="P1603" s="124"/>
      <c r="Q1603" s="124"/>
      <c r="R1603" s="124"/>
      <c r="S1603" s="124"/>
      <c r="T1603" s="124"/>
      <c r="U1603" s="124"/>
      <c r="V1603" s="124"/>
      <c r="W1603" s="124"/>
      <c r="X1603" s="124"/>
      <c r="Y1603" s="124"/>
    </row>
    <row r="1604">
      <c r="A1604" s="125"/>
      <c r="B1604" s="126"/>
      <c r="C1604" s="127"/>
      <c r="D1604" s="124"/>
      <c r="E1604" s="124"/>
      <c r="F1604" s="124"/>
      <c r="G1604" s="124"/>
      <c r="H1604" s="124"/>
      <c r="I1604" s="124"/>
      <c r="J1604" s="124"/>
      <c r="K1604" s="124"/>
      <c r="L1604" s="124"/>
      <c r="M1604" s="124"/>
      <c r="N1604" s="124"/>
      <c r="O1604" s="124"/>
      <c r="P1604" s="124"/>
      <c r="Q1604" s="124"/>
      <c r="R1604" s="124"/>
      <c r="S1604" s="124"/>
      <c r="T1604" s="124"/>
      <c r="U1604" s="124"/>
      <c r="V1604" s="124"/>
      <c r="W1604" s="124"/>
      <c r="X1604" s="124"/>
      <c r="Y1604" s="124"/>
    </row>
    <row r="1605">
      <c r="A1605" s="125"/>
      <c r="B1605" s="126"/>
      <c r="C1605" s="127"/>
      <c r="D1605" s="124"/>
      <c r="E1605" s="124"/>
      <c r="F1605" s="124"/>
      <c r="G1605" s="124"/>
      <c r="H1605" s="124"/>
      <c r="I1605" s="124"/>
      <c r="J1605" s="124"/>
      <c r="K1605" s="124"/>
      <c r="L1605" s="124"/>
      <c r="M1605" s="124"/>
      <c r="N1605" s="124"/>
      <c r="O1605" s="124"/>
      <c r="P1605" s="124"/>
      <c r="Q1605" s="124"/>
      <c r="R1605" s="124"/>
      <c r="S1605" s="124"/>
      <c r="T1605" s="124"/>
      <c r="U1605" s="124"/>
      <c r="V1605" s="124"/>
      <c r="W1605" s="124"/>
      <c r="X1605" s="124"/>
      <c r="Y1605" s="124"/>
    </row>
    <row r="1606">
      <c r="A1606" s="125"/>
      <c r="B1606" s="126"/>
      <c r="C1606" s="127"/>
      <c r="D1606" s="124"/>
      <c r="E1606" s="124"/>
      <c r="F1606" s="124"/>
      <c r="G1606" s="124"/>
      <c r="H1606" s="124"/>
      <c r="I1606" s="124"/>
      <c r="J1606" s="124"/>
      <c r="K1606" s="124"/>
      <c r="L1606" s="124"/>
      <c r="M1606" s="124"/>
      <c r="N1606" s="124"/>
      <c r="O1606" s="124"/>
      <c r="P1606" s="124"/>
      <c r="Q1606" s="124"/>
      <c r="R1606" s="124"/>
      <c r="S1606" s="124"/>
      <c r="T1606" s="124"/>
      <c r="U1606" s="124"/>
      <c r="V1606" s="124"/>
      <c r="W1606" s="124"/>
      <c r="X1606" s="124"/>
      <c r="Y1606" s="124"/>
    </row>
    <row r="1607">
      <c r="A1607" s="125"/>
      <c r="B1607" s="126"/>
      <c r="C1607" s="127"/>
      <c r="D1607" s="124"/>
      <c r="E1607" s="124"/>
      <c r="F1607" s="124"/>
      <c r="G1607" s="124"/>
      <c r="H1607" s="124"/>
      <c r="I1607" s="124"/>
      <c r="J1607" s="124"/>
      <c r="K1607" s="124"/>
      <c r="L1607" s="124"/>
      <c r="M1607" s="124"/>
      <c r="N1607" s="124"/>
      <c r="O1607" s="124"/>
      <c r="P1607" s="124"/>
      <c r="Q1607" s="124"/>
      <c r="R1607" s="124"/>
      <c r="S1607" s="124"/>
      <c r="T1607" s="124"/>
      <c r="U1607" s="124"/>
      <c r="V1607" s="124"/>
      <c r="W1607" s="124"/>
      <c r="X1607" s="124"/>
      <c r="Y1607" s="124"/>
    </row>
    <row r="1608">
      <c r="A1608" s="125"/>
      <c r="B1608" s="126"/>
      <c r="C1608" s="127"/>
      <c r="D1608" s="124"/>
      <c r="E1608" s="124"/>
      <c r="F1608" s="124"/>
      <c r="G1608" s="124"/>
      <c r="H1608" s="124"/>
      <c r="I1608" s="124"/>
      <c r="J1608" s="124"/>
      <c r="K1608" s="124"/>
      <c r="L1608" s="124"/>
      <c r="M1608" s="124"/>
      <c r="N1608" s="124"/>
      <c r="O1608" s="124"/>
      <c r="P1608" s="124"/>
      <c r="Q1608" s="124"/>
      <c r="R1608" s="124"/>
      <c r="S1608" s="124"/>
      <c r="T1608" s="124"/>
      <c r="U1608" s="124"/>
      <c r="V1608" s="124"/>
      <c r="W1608" s="124"/>
      <c r="X1608" s="124"/>
      <c r="Y1608" s="124"/>
    </row>
    <row r="1609">
      <c r="A1609" s="125"/>
      <c r="B1609" s="126"/>
      <c r="C1609" s="127"/>
      <c r="D1609" s="124"/>
      <c r="E1609" s="124"/>
      <c r="F1609" s="124"/>
      <c r="G1609" s="124"/>
      <c r="H1609" s="124"/>
      <c r="I1609" s="124"/>
      <c r="J1609" s="124"/>
      <c r="K1609" s="124"/>
      <c r="L1609" s="124"/>
      <c r="M1609" s="124"/>
      <c r="N1609" s="124"/>
      <c r="O1609" s="124"/>
      <c r="P1609" s="124"/>
      <c r="Q1609" s="124"/>
      <c r="R1609" s="124"/>
      <c r="S1609" s="124"/>
      <c r="T1609" s="124"/>
      <c r="U1609" s="124"/>
      <c r="V1609" s="124"/>
      <c r="W1609" s="124"/>
      <c r="X1609" s="124"/>
      <c r="Y1609" s="124"/>
    </row>
    <row r="1610">
      <c r="A1610" s="125"/>
      <c r="B1610" s="126"/>
      <c r="C1610" s="127"/>
      <c r="D1610" s="124"/>
      <c r="E1610" s="124"/>
      <c r="F1610" s="124"/>
      <c r="G1610" s="124"/>
      <c r="H1610" s="124"/>
      <c r="I1610" s="124"/>
      <c r="J1610" s="124"/>
      <c r="K1610" s="124"/>
      <c r="L1610" s="124"/>
      <c r="M1610" s="124"/>
      <c r="N1610" s="124"/>
      <c r="O1610" s="124"/>
      <c r="P1610" s="124"/>
      <c r="Q1610" s="124"/>
      <c r="R1610" s="124"/>
      <c r="S1610" s="124"/>
      <c r="T1610" s="124"/>
      <c r="U1610" s="124"/>
      <c r="V1610" s="124"/>
      <c r="W1610" s="124"/>
      <c r="X1610" s="124"/>
      <c r="Y1610" s="124"/>
    </row>
    <row r="1611">
      <c r="A1611" s="125"/>
      <c r="B1611" s="126"/>
      <c r="C1611" s="127"/>
      <c r="D1611" s="124"/>
      <c r="E1611" s="124"/>
      <c r="F1611" s="124"/>
      <c r="G1611" s="124"/>
      <c r="H1611" s="124"/>
      <c r="I1611" s="124"/>
      <c r="J1611" s="124"/>
      <c r="K1611" s="124"/>
      <c r="L1611" s="124"/>
      <c r="M1611" s="124"/>
      <c r="N1611" s="124"/>
      <c r="O1611" s="124"/>
      <c r="P1611" s="124"/>
      <c r="Q1611" s="124"/>
      <c r="R1611" s="124"/>
      <c r="S1611" s="124"/>
      <c r="T1611" s="124"/>
      <c r="U1611" s="124"/>
      <c r="V1611" s="124"/>
      <c r="W1611" s="124"/>
      <c r="X1611" s="124"/>
      <c r="Y1611" s="124"/>
    </row>
    <row r="1612">
      <c r="A1612" s="125"/>
      <c r="B1612" s="126"/>
      <c r="C1612" s="127"/>
      <c r="D1612" s="124"/>
      <c r="E1612" s="124"/>
      <c r="F1612" s="124"/>
      <c r="G1612" s="124"/>
      <c r="H1612" s="124"/>
      <c r="I1612" s="124"/>
      <c r="J1612" s="124"/>
      <c r="K1612" s="124"/>
      <c r="L1612" s="124"/>
      <c r="M1612" s="124"/>
      <c r="N1612" s="124"/>
      <c r="O1612" s="124"/>
      <c r="P1612" s="124"/>
      <c r="Q1612" s="124"/>
      <c r="R1612" s="124"/>
      <c r="S1612" s="124"/>
      <c r="T1612" s="124"/>
      <c r="U1612" s="124"/>
      <c r="V1612" s="124"/>
      <c r="W1612" s="124"/>
      <c r="X1612" s="124"/>
      <c r="Y1612" s="124"/>
    </row>
    <row r="1613">
      <c r="A1613" s="125"/>
      <c r="B1613" s="126"/>
      <c r="C1613" s="127"/>
      <c r="D1613" s="124"/>
      <c r="E1613" s="124"/>
      <c r="F1613" s="124"/>
      <c r="G1613" s="124"/>
      <c r="H1613" s="124"/>
      <c r="I1613" s="124"/>
      <c r="J1613" s="124"/>
      <c r="K1613" s="124"/>
      <c r="L1613" s="124"/>
      <c r="M1613" s="124"/>
      <c r="N1613" s="124"/>
      <c r="O1613" s="124"/>
      <c r="P1613" s="124"/>
      <c r="Q1613" s="124"/>
      <c r="R1613" s="124"/>
      <c r="S1613" s="124"/>
      <c r="T1613" s="124"/>
      <c r="U1613" s="124"/>
      <c r="V1613" s="124"/>
      <c r="W1613" s="124"/>
      <c r="X1613" s="124"/>
      <c r="Y1613" s="124"/>
    </row>
    <row r="1614">
      <c r="A1614" s="125"/>
      <c r="B1614" s="126"/>
      <c r="C1614" s="127"/>
      <c r="D1614" s="124"/>
      <c r="E1614" s="124"/>
      <c r="F1614" s="124"/>
      <c r="G1614" s="124"/>
      <c r="H1614" s="124"/>
      <c r="I1614" s="124"/>
      <c r="J1614" s="124"/>
      <c r="K1614" s="124"/>
      <c r="L1614" s="124"/>
      <c r="M1614" s="124"/>
      <c r="N1614" s="124"/>
      <c r="O1614" s="124"/>
      <c r="P1614" s="124"/>
      <c r="Q1614" s="124"/>
      <c r="R1614" s="124"/>
      <c r="S1614" s="124"/>
      <c r="T1614" s="124"/>
      <c r="U1614" s="124"/>
      <c r="V1614" s="124"/>
      <c r="W1614" s="124"/>
      <c r="X1614" s="124"/>
      <c r="Y1614" s="124"/>
    </row>
    <row r="1615">
      <c r="A1615" s="125"/>
      <c r="B1615" s="126"/>
      <c r="C1615" s="127"/>
      <c r="D1615" s="124"/>
      <c r="E1615" s="124"/>
      <c r="F1615" s="124"/>
      <c r="G1615" s="124"/>
      <c r="H1615" s="124"/>
      <c r="I1615" s="124"/>
      <c r="J1615" s="124"/>
      <c r="K1615" s="124"/>
      <c r="L1615" s="124"/>
      <c r="M1615" s="124"/>
      <c r="N1615" s="124"/>
      <c r="O1615" s="124"/>
      <c r="P1615" s="124"/>
      <c r="Q1615" s="124"/>
      <c r="R1615" s="124"/>
      <c r="S1615" s="124"/>
      <c r="T1615" s="124"/>
      <c r="U1615" s="124"/>
      <c r="V1615" s="124"/>
      <c r="W1615" s="124"/>
      <c r="X1615" s="124"/>
      <c r="Y1615" s="124"/>
    </row>
    <row r="1616">
      <c r="A1616" s="125"/>
      <c r="B1616" s="126"/>
      <c r="C1616" s="127"/>
      <c r="D1616" s="124"/>
      <c r="E1616" s="124"/>
      <c r="F1616" s="124"/>
      <c r="G1616" s="124"/>
      <c r="H1616" s="124"/>
      <c r="I1616" s="124"/>
      <c r="J1616" s="124"/>
      <c r="K1616" s="124"/>
      <c r="L1616" s="124"/>
      <c r="M1616" s="124"/>
      <c r="N1616" s="124"/>
      <c r="O1616" s="124"/>
      <c r="P1616" s="124"/>
      <c r="Q1616" s="124"/>
      <c r="R1616" s="124"/>
      <c r="S1616" s="124"/>
      <c r="T1616" s="124"/>
      <c r="U1616" s="124"/>
      <c r="V1616" s="124"/>
      <c r="W1616" s="124"/>
      <c r="X1616" s="124"/>
      <c r="Y1616" s="124"/>
    </row>
    <row r="1617">
      <c r="A1617" s="125"/>
      <c r="B1617" s="126"/>
      <c r="C1617" s="127"/>
      <c r="D1617" s="124"/>
      <c r="E1617" s="124"/>
      <c r="F1617" s="124"/>
      <c r="G1617" s="124"/>
      <c r="H1617" s="124"/>
      <c r="I1617" s="124"/>
      <c r="J1617" s="124"/>
      <c r="K1617" s="124"/>
      <c r="L1617" s="124"/>
      <c r="M1617" s="124"/>
      <c r="N1617" s="124"/>
      <c r="O1617" s="124"/>
      <c r="P1617" s="124"/>
      <c r="Q1617" s="124"/>
      <c r="R1617" s="124"/>
      <c r="S1617" s="124"/>
      <c r="T1617" s="124"/>
      <c r="U1617" s="124"/>
      <c r="V1617" s="124"/>
      <c r="W1617" s="124"/>
      <c r="X1617" s="124"/>
      <c r="Y1617" s="124"/>
    </row>
    <row r="1618">
      <c r="A1618" s="125"/>
      <c r="B1618" s="126"/>
      <c r="C1618" s="127"/>
      <c r="D1618" s="124"/>
      <c r="E1618" s="124"/>
      <c r="F1618" s="124"/>
      <c r="G1618" s="124"/>
      <c r="H1618" s="124"/>
      <c r="I1618" s="124"/>
      <c r="J1618" s="124"/>
      <c r="K1618" s="124"/>
      <c r="L1618" s="124"/>
      <c r="M1618" s="124"/>
      <c r="N1618" s="124"/>
      <c r="O1618" s="124"/>
      <c r="P1618" s="124"/>
      <c r="Q1618" s="124"/>
      <c r="R1618" s="124"/>
      <c r="S1618" s="124"/>
      <c r="T1618" s="124"/>
      <c r="U1618" s="124"/>
      <c r="V1618" s="124"/>
      <c r="W1618" s="124"/>
      <c r="X1618" s="124"/>
      <c r="Y1618" s="124"/>
    </row>
    <row r="1619">
      <c r="A1619" s="125"/>
      <c r="B1619" s="126"/>
      <c r="C1619" s="127"/>
      <c r="D1619" s="124"/>
      <c r="E1619" s="124"/>
      <c r="F1619" s="124"/>
      <c r="G1619" s="124"/>
      <c r="H1619" s="124"/>
      <c r="I1619" s="124"/>
      <c r="J1619" s="124"/>
      <c r="K1619" s="124"/>
      <c r="L1619" s="124"/>
      <c r="M1619" s="124"/>
      <c r="N1619" s="124"/>
      <c r="O1619" s="124"/>
      <c r="P1619" s="124"/>
      <c r="Q1619" s="124"/>
      <c r="R1619" s="124"/>
      <c r="S1619" s="124"/>
      <c r="T1619" s="124"/>
      <c r="U1619" s="124"/>
      <c r="V1619" s="124"/>
      <c r="W1619" s="124"/>
      <c r="X1619" s="124"/>
      <c r="Y1619" s="124"/>
    </row>
    <row r="1620">
      <c r="A1620" s="125"/>
      <c r="B1620" s="126"/>
      <c r="C1620" s="127"/>
      <c r="D1620" s="124"/>
      <c r="E1620" s="124"/>
      <c r="F1620" s="124"/>
      <c r="G1620" s="124"/>
      <c r="H1620" s="124"/>
      <c r="I1620" s="124"/>
      <c r="J1620" s="124"/>
      <c r="K1620" s="124"/>
      <c r="L1620" s="124"/>
      <c r="M1620" s="124"/>
      <c r="N1620" s="124"/>
      <c r="O1620" s="124"/>
      <c r="P1620" s="124"/>
      <c r="Q1620" s="124"/>
      <c r="R1620" s="124"/>
      <c r="S1620" s="124"/>
      <c r="T1620" s="124"/>
      <c r="U1620" s="124"/>
      <c r="V1620" s="124"/>
      <c r="W1620" s="124"/>
      <c r="X1620" s="124"/>
      <c r="Y1620" s="124"/>
    </row>
    <row r="1621">
      <c r="A1621" s="125"/>
      <c r="B1621" s="126"/>
      <c r="C1621" s="127"/>
      <c r="D1621" s="124"/>
      <c r="E1621" s="124"/>
      <c r="F1621" s="124"/>
      <c r="G1621" s="124"/>
      <c r="H1621" s="124"/>
      <c r="I1621" s="124"/>
      <c r="J1621" s="124"/>
      <c r="K1621" s="124"/>
      <c r="L1621" s="124"/>
      <c r="M1621" s="124"/>
      <c r="N1621" s="124"/>
      <c r="O1621" s="124"/>
      <c r="P1621" s="124"/>
      <c r="Q1621" s="124"/>
      <c r="R1621" s="124"/>
      <c r="S1621" s="124"/>
      <c r="T1621" s="124"/>
      <c r="U1621" s="124"/>
      <c r="V1621" s="124"/>
      <c r="W1621" s="124"/>
      <c r="X1621" s="124"/>
      <c r="Y1621" s="124"/>
    </row>
    <row r="1622">
      <c r="A1622" s="125"/>
      <c r="B1622" s="126"/>
      <c r="C1622" s="127"/>
      <c r="D1622" s="124"/>
      <c r="E1622" s="124"/>
      <c r="F1622" s="124"/>
      <c r="G1622" s="124"/>
      <c r="H1622" s="124"/>
      <c r="I1622" s="124"/>
      <c r="J1622" s="124"/>
      <c r="K1622" s="124"/>
      <c r="L1622" s="124"/>
      <c r="M1622" s="124"/>
      <c r="N1622" s="124"/>
      <c r="O1622" s="124"/>
      <c r="P1622" s="124"/>
      <c r="Q1622" s="124"/>
      <c r="R1622" s="124"/>
      <c r="S1622" s="124"/>
      <c r="T1622" s="124"/>
      <c r="U1622" s="124"/>
      <c r="V1622" s="124"/>
      <c r="W1622" s="124"/>
      <c r="X1622" s="124"/>
      <c r="Y1622" s="124"/>
    </row>
    <row r="1623">
      <c r="A1623" s="125"/>
      <c r="B1623" s="126"/>
      <c r="C1623" s="127"/>
      <c r="D1623" s="124"/>
      <c r="E1623" s="124"/>
      <c r="F1623" s="124"/>
      <c r="G1623" s="124"/>
      <c r="H1623" s="124"/>
      <c r="I1623" s="124"/>
      <c r="J1623" s="124"/>
      <c r="K1623" s="124"/>
      <c r="L1623" s="124"/>
      <c r="M1623" s="124"/>
      <c r="N1623" s="124"/>
      <c r="O1623" s="124"/>
      <c r="P1623" s="124"/>
      <c r="Q1623" s="124"/>
      <c r="R1623" s="124"/>
      <c r="S1623" s="124"/>
      <c r="T1623" s="124"/>
      <c r="U1623" s="124"/>
      <c r="V1623" s="124"/>
      <c r="W1623" s="124"/>
      <c r="X1623" s="124"/>
      <c r="Y1623" s="124"/>
    </row>
    <row r="1624">
      <c r="A1624" s="125"/>
      <c r="B1624" s="126"/>
      <c r="C1624" s="127"/>
      <c r="D1624" s="124"/>
      <c r="E1624" s="124"/>
      <c r="F1624" s="124"/>
      <c r="G1624" s="124"/>
      <c r="H1624" s="124"/>
      <c r="I1624" s="124"/>
      <c r="J1624" s="124"/>
      <c r="K1624" s="124"/>
      <c r="L1624" s="124"/>
      <c r="M1624" s="124"/>
      <c r="N1624" s="124"/>
      <c r="O1624" s="124"/>
      <c r="P1624" s="124"/>
      <c r="Q1624" s="124"/>
      <c r="R1624" s="124"/>
      <c r="S1624" s="124"/>
      <c r="T1624" s="124"/>
      <c r="U1624" s="124"/>
      <c r="V1624" s="124"/>
      <c r="W1624" s="124"/>
      <c r="X1624" s="124"/>
      <c r="Y1624" s="124"/>
    </row>
    <row r="1625">
      <c r="A1625" s="125"/>
      <c r="B1625" s="126"/>
      <c r="C1625" s="127"/>
      <c r="D1625" s="124"/>
      <c r="E1625" s="124"/>
      <c r="F1625" s="124"/>
      <c r="G1625" s="124"/>
      <c r="H1625" s="124"/>
      <c r="I1625" s="124"/>
      <c r="J1625" s="124"/>
      <c r="K1625" s="124"/>
      <c r="L1625" s="124"/>
      <c r="M1625" s="124"/>
      <c r="N1625" s="124"/>
      <c r="O1625" s="124"/>
      <c r="P1625" s="124"/>
      <c r="Q1625" s="124"/>
      <c r="R1625" s="124"/>
      <c r="S1625" s="124"/>
      <c r="T1625" s="124"/>
      <c r="U1625" s="124"/>
      <c r="V1625" s="124"/>
      <c r="W1625" s="124"/>
      <c r="X1625" s="124"/>
      <c r="Y1625" s="124"/>
    </row>
    <row r="1626">
      <c r="A1626" s="125"/>
      <c r="B1626" s="126"/>
      <c r="C1626" s="127"/>
      <c r="D1626" s="124"/>
      <c r="E1626" s="124"/>
      <c r="F1626" s="124"/>
      <c r="G1626" s="124"/>
      <c r="H1626" s="124"/>
      <c r="I1626" s="124"/>
      <c r="J1626" s="124"/>
      <c r="K1626" s="124"/>
      <c r="L1626" s="124"/>
      <c r="M1626" s="124"/>
      <c r="N1626" s="124"/>
      <c r="O1626" s="124"/>
      <c r="P1626" s="124"/>
      <c r="Q1626" s="124"/>
      <c r="R1626" s="124"/>
      <c r="S1626" s="124"/>
      <c r="T1626" s="124"/>
      <c r="U1626" s="124"/>
      <c r="V1626" s="124"/>
      <c r="W1626" s="124"/>
      <c r="X1626" s="124"/>
      <c r="Y1626" s="124"/>
    </row>
    <row r="1627">
      <c r="A1627" s="125"/>
      <c r="B1627" s="126"/>
      <c r="C1627" s="127"/>
      <c r="D1627" s="124"/>
      <c r="E1627" s="124"/>
      <c r="F1627" s="124"/>
      <c r="G1627" s="124"/>
      <c r="H1627" s="124"/>
      <c r="I1627" s="124"/>
      <c r="J1627" s="124"/>
      <c r="K1627" s="124"/>
      <c r="L1627" s="124"/>
      <c r="M1627" s="124"/>
      <c r="N1627" s="124"/>
      <c r="O1627" s="124"/>
      <c r="P1627" s="124"/>
      <c r="Q1627" s="124"/>
      <c r="R1627" s="124"/>
      <c r="S1627" s="124"/>
      <c r="T1627" s="124"/>
      <c r="U1627" s="124"/>
      <c r="V1627" s="124"/>
      <c r="W1627" s="124"/>
      <c r="X1627" s="124"/>
      <c r="Y1627" s="124"/>
    </row>
    <row r="1628">
      <c r="A1628" s="125"/>
      <c r="B1628" s="126"/>
      <c r="C1628" s="127"/>
      <c r="D1628" s="124"/>
      <c r="E1628" s="124"/>
      <c r="F1628" s="124"/>
      <c r="G1628" s="124"/>
      <c r="H1628" s="124"/>
      <c r="I1628" s="124"/>
      <c r="J1628" s="124"/>
      <c r="K1628" s="124"/>
      <c r="L1628" s="124"/>
      <c r="M1628" s="124"/>
      <c r="N1628" s="124"/>
      <c r="O1628" s="124"/>
      <c r="P1628" s="124"/>
      <c r="Q1628" s="124"/>
      <c r="R1628" s="124"/>
      <c r="S1628" s="124"/>
      <c r="T1628" s="124"/>
      <c r="U1628" s="124"/>
      <c r="V1628" s="124"/>
      <c r="W1628" s="124"/>
      <c r="X1628" s="124"/>
      <c r="Y1628" s="124"/>
    </row>
    <row r="1629">
      <c r="A1629" s="125"/>
      <c r="B1629" s="126"/>
      <c r="C1629" s="127"/>
      <c r="D1629" s="124"/>
      <c r="E1629" s="124"/>
      <c r="F1629" s="124"/>
      <c r="G1629" s="124"/>
      <c r="H1629" s="124"/>
      <c r="I1629" s="124"/>
      <c r="J1629" s="124"/>
      <c r="K1629" s="124"/>
      <c r="L1629" s="124"/>
      <c r="M1629" s="124"/>
      <c r="N1629" s="124"/>
      <c r="O1629" s="124"/>
      <c r="P1629" s="124"/>
      <c r="Q1629" s="124"/>
      <c r="R1629" s="124"/>
      <c r="S1629" s="124"/>
      <c r="T1629" s="124"/>
      <c r="U1629" s="124"/>
      <c r="V1629" s="124"/>
      <c r="W1629" s="124"/>
      <c r="X1629" s="124"/>
      <c r="Y1629" s="124"/>
    </row>
    <row r="1630">
      <c r="A1630" s="125"/>
      <c r="B1630" s="126"/>
      <c r="C1630" s="127"/>
      <c r="D1630" s="124"/>
      <c r="E1630" s="124"/>
      <c r="F1630" s="124"/>
      <c r="G1630" s="124"/>
      <c r="H1630" s="124"/>
      <c r="I1630" s="124"/>
      <c r="J1630" s="124"/>
      <c r="K1630" s="124"/>
      <c r="L1630" s="124"/>
      <c r="M1630" s="124"/>
      <c r="N1630" s="124"/>
      <c r="O1630" s="124"/>
      <c r="P1630" s="124"/>
      <c r="Q1630" s="124"/>
      <c r="R1630" s="124"/>
      <c r="S1630" s="124"/>
      <c r="T1630" s="124"/>
      <c r="U1630" s="124"/>
      <c r="V1630" s="124"/>
      <c r="W1630" s="124"/>
      <c r="X1630" s="124"/>
      <c r="Y1630" s="124"/>
    </row>
    <row r="1631">
      <c r="A1631" s="125"/>
      <c r="B1631" s="126"/>
      <c r="C1631" s="127"/>
      <c r="D1631" s="124"/>
      <c r="E1631" s="124"/>
      <c r="F1631" s="124"/>
      <c r="G1631" s="124"/>
      <c r="H1631" s="124"/>
      <c r="I1631" s="124"/>
      <c r="J1631" s="124"/>
      <c r="K1631" s="124"/>
      <c r="L1631" s="124"/>
      <c r="M1631" s="124"/>
      <c r="N1631" s="124"/>
      <c r="O1631" s="124"/>
      <c r="P1631" s="124"/>
      <c r="Q1631" s="124"/>
      <c r="R1631" s="124"/>
      <c r="S1631" s="124"/>
      <c r="T1631" s="124"/>
      <c r="U1631" s="124"/>
      <c r="V1631" s="124"/>
      <c r="W1631" s="124"/>
      <c r="X1631" s="124"/>
      <c r="Y1631" s="124"/>
    </row>
    <row r="1632">
      <c r="A1632" s="125"/>
      <c r="B1632" s="126"/>
      <c r="C1632" s="127"/>
      <c r="D1632" s="124"/>
      <c r="E1632" s="124"/>
      <c r="F1632" s="124"/>
      <c r="G1632" s="124"/>
      <c r="H1632" s="124"/>
      <c r="I1632" s="124"/>
      <c r="J1632" s="124"/>
      <c r="K1632" s="124"/>
      <c r="L1632" s="124"/>
      <c r="M1632" s="124"/>
      <c r="N1632" s="124"/>
      <c r="O1632" s="124"/>
      <c r="P1632" s="124"/>
      <c r="Q1632" s="124"/>
      <c r="R1632" s="124"/>
      <c r="S1632" s="124"/>
      <c r="T1632" s="124"/>
      <c r="U1632" s="124"/>
      <c r="V1632" s="124"/>
      <c r="W1632" s="124"/>
      <c r="X1632" s="124"/>
      <c r="Y1632" s="124"/>
    </row>
    <row r="1633">
      <c r="A1633" s="125"/>
      <c r="B1633" s="126"/>
      <c r="C1633" s="127"/>
      <c r="D1633" s="124"/>
      <c r="E1633" s="124"/>
      <c r="F1633" s="124"/>
      <c r="G1633" s="124"/>
      <c r="H1633" s="124"/>
      <c r="I1633" s="124"/>
      <c r="J1633" s="124"/>
      <c r="K1633" s="124"/>
      <c r="L1633" s="124"/>
      <c r="M1633" s="124"/>
      <c r="N1633" s="124"/>
      <c r="O1633" s="124"/>
      <c r="P1633" s="124"/>
      <c r="Q1633" s="124"/>
      <c r="R1633" s="124"/>
      <c r="S1633" s="124"/>
      <c r="T1633" s="124"/>
      <c r="U1633" s="124"/>
      <c r="V1633" s="124"/>
      <c r="W1633" s="124"/>
      <c r="X1633" s="124"/>
      <c r="Y1633" s="124"/>
    </row>
    <row r="1634">
      <c r="A1634" s="125"/>
      <c r="B1634" s="126"/>
      <c r="C1634" s="127"/>
      <c r="D1634" s="124"/>
      <c r="E1634" s="124"/>
      <c r="F1634" s="124"/>
      <c r="G1634" s="124"/>
      <c r="H1634" s="124"/>
      <c r="I1634" s="124"/>
      <c r="J1634" s="124"/>
      <c r="K1634" s="124"/>
      <c r="L1634" s="124"/>
      <c r="M1634" s="124"/>
      <c r="N1634" s="124"/>
      <c r="O1634" s="124"/>
      <c r="P1634" s="124"/>
      <c r="Q1634" s="124"/>
      <c r="R1634" s="124"/>
      <c r="S1634" s="124"/>
      <c r="T1634" s="124"/>
      <c r="U1634" s="124"/>
      <c r="V1634" s="124"/>
      <c r="W1634" s="124"/>
      <c r="X1634" s="124"/>
      <c r="Y1634" s="124"/>
    </row>
    <row r="1635">
      <c r="A1635" s="125"/>
      <c r="B1635" s="126"/>
      <c r="C1635" s="127"/>
      <c r="D1635" s="124"/>
      <c r="E1635" s="124"/>
      <c r="F1635" s="124"/>
      <c r="G1635" s="124"/>
      <c r="H1635" s="124"/>
      <c r="I1635" s="124"/>
      <c r="J1635" s="124"/>
      <c r="K1635" s="124"/>
      <c r="L1635" s="124"/>
      <c r="M1635" s="124"/>
      <c r="N1635" s="124"/>
      <c r="O1635" s="124"/>
      <c r="P1635" s="124"/>
      <c r="Q1635" s="124"/>
      <c r="R1635" s="124"/>
      <c r="S1635" s="124"/>
      <c r="T1635" s="124"/>
      <c r="U1635" s="124"/>
      <c r="V1635" s="124"/>
      <c r="W1635" s="124"/>
      <c r="X1635" s="124"/>
      <c r="Y1635" s="124"/>
    </row>
    <row r="1636">
      <c r="A1636" s="125"/>
      <c r="B1636" s="126"/>
      <c r="C1636" s="127"/>
      <c r="D1636" s="124"/>
      <c r="E1636" s="124"/>
      <c r="F1636" s="124"/>
      <c r="G1636" s="124"/>
      <c r="H1636" s="124"/>
      <c r="I1636" s="124"/>
      <c r="J1636" s="124"/>
      <c r="K1636" s="124"/>
      <c r="L1636" s="124"/>
      <c r="M1636" s="124"/>
      <c r="N1636" s="124"/>
      <c r="O1636" s="124"/>
      <c r="P1636" s="124"/>
      <c r="Q1636" s="124"/>
      <c r="R1636" s="124"/>
      <c r="S1636" s="124"/>
      <c r="T1636" s="124"/>
      <c r="U1636" s="124"/>
      <c r="V1636" s="124"/>
      <c r="W1636" s="124"/>
      <c r="X1636" s="124"/>
      <c r="Y1636" s="124"/>
    </row>
    <row r="1637">
      <c r="A1637" s="125"/>
      <c r="B1637" s="126"/>
      <c r="C1637" s="127"/>
      <c r="D1637" s="124"/>
      <c r="E1637" s="124"/>
      <c r="F1637" s="124"/>
      <c r="G1637" s="124"/>
      <c r="H1637" s="124"/>
      <c r="I1637" s="124"/>
      <c r="J1637" s="124"/>
      <c r="K1637" s="124"/>
      <c r="L1637" s="124"/>
      <c r="M1637" s="124"/>
      <c r="N1637" s="124"/>
      <c r="O1637" s="124"/>
      <c r="P1637" s="124"/>
      <c r="Q1637" s="124"/>
      <c r="R1637" s="124"/>
      <c r="S1637" s="124"/>
      <c r="T1637" s="124"/>
      <c r="U1637" s="124"/>
      <c r="V1637" s="124"/>
      <c r="W1637" s="124"/>
      <c r="X1637" s="124"/>
      <c r="Y1637" s="124"/>
    </row>
    <row r="1638">
      <c r="A1638" s="125"/>
      <c r="B1638" s="126"/>
      <c r="C1638" s="127"/>
      <c r="D1638" s="124"/>
      <c r="E1638" s="124"/>
      <c r="F1638" s="124"/>
      <c r="G1638" s="124"/>
      <c r="H1638" s="124"/>
      <c r="I1638" s="124"/>
      <c r="J1638" s="124"/>
      <c r="K1638" s="124"/>
      <c r="L1638" s="124"/>
      <c r="M1638" s="124"/>
      <c r="N1638" s="124"/>
      <c r="O1638" s="124"/>
      <c r="P1638" s="124"/>
      <c r="Q1638" s="124"/>
      <c r="R1638" s="124"/>
      <c r="S1638" s="124"/>
      <c r="T1638" s="124"/>
      <c r="U1638" s="124"/>
      <c r="V1638" s="124"/>
      <c r="W1638" s="124"/>
      <c r="X1638" s="124"/>
      <c r="Y1638" s="124"/>
    </row>
    <row r="1639">
      <c r="A1639" s="125"/>
      <c r="B1639" s="126"/>
      <c r="C1639" s="127"/>
      <c r="D1639" s="124"/>
      <c r="E1639" s="124"/>
      <c r="F1639" s="124"/>
      <c r="G1639" s="124"/>
      <c r="H1639" s="124"/>
      <c r="I1639" s="124"/>
      <c r="J1639" s="124"/>
      <c r="K1639" s="124"/>
      <c r="L1639" s="124"/>
      <c r="M1639" s="124"/>
      <c r="N1639" s="124"/>
      <c r="O1639" s="124"/>
      <c r="P1639" s="124"/>
      <c r="Q1639" s="124"/>
      <c r="R1639" s="124"/>
      <c r="S1639" s="124"/>
      <c r="T1639" s="124"/>
      <c r="U1639" s="124"/>
      <c r="V1639" s="124"/>
      <c r="W1639" s="124"/>
      <c r="X1639" s="124"/>
      <c r="Y1639" s="124"/>
    </row>
    <row r="1640">
      <c r="A1640" s="125"/>
      <c r="B1640" s="126"/>
      <c r="C1640" s="127"/>
      <c r="D1640" s="124"/>
      <c r="E1640" s="124"/>
      <c r="F1640" s="124"/>
      <c r="G1640" s="124"/>
      <c r="H1640" s="124"/>
      <c r="I1640" s="124"/>
      <c r="J1640" s="124"/>
      <c r="K1640" s="124"/>
      <c r="L1640" s="124"/>
      <c r="M1640" s="124"/>
      <c r="N1640" s="124"/>
      <c r="O1640" s="124"/>
      <c r="P1640" s="124"/>
      <c r="Q1640" s="124"/>
      <c r="R1640" s="124"/>
      <c r="S1640" s="124"/>
      <c r="T1640" s="124"/>
      <c r="U1640" s="124"/>
      <c r="V1640" s="124"/>
      <c r="W1640" s="124"/>
      <c r="X1640" s="124"/>
      <c r="Y1640" s="124"/>
    </row>
    <row r="1641">
      <c r="A1641" s="125"/>
      <c r="B1641" s="126"/>
      <c r="C1641" s="127"/>
      <c r="D1641" s="124"/>
      <c r="E1641" s="124"/>
      <c r="F1641" s="124"/>
      <c r="G1641" s="124"/>
      <c r="H1641" s="124"/>
      <c r="I1641" s="124"/>
      <c r="J1641" s="124"/>
      <c r="K1641" s="124"/>
      <c r="L1641" s="124"/>
      <c r="M1641" s="124"/>
      <c r="N1641" s="124"/>
      <c r="O1641" s="124"/>
      <c r="P1641" s="124"/>
      <c r="Q1641" s="124"/>
      <c r="R1641" s="124"/>
      <c r="S1641" s="124"/>
      <c r="T1641" s="124"/>
      <c r="U1641" s="124"/>
      <c r="V1641" s="124"/>
      <c r="W1641" s="124"/>
      <c r="X1641" s="124"/>
      <c r="Y1641" s="124"/>
    </row>
    <row r="1642">
      <c r="A1642" s="125"/>
      <c r="B1642" s="126"/>
      <c r="C1642" s="127"/>
      <c r="D1642" s="124"/>
      <c r="E1642" s="124"/>
      <c r="F1642" s="124"/>
      <c r="G1642" s="124"/>
      <c r="H1642" s="124"/>
      <c r="I1642" s="124"/>
      <c r="J1642" s="124"/>
      <c r="K1642" s="124"/>
      <c r="L1642" s="124"/>
      <c r="M1642" s="124"/>
      <c r="N1642" s="124"/>
      <c r="O1642" s="124"/>
      <c r="P1642" s="124"/>
      <c r="Q1642" s="124"/>
      <c r="R1642" s="124"/>
      <c r="S1642" s="124"/>
      <c r="T1642" s="124"/>
      <c r="U1642" s="124"/>
      <c r="V1642" s="124"/>
      <c r="W1642" s="124"/>
      <c r="X1642" s="124"/>
      <c r="Y1642" s="124"/>
    </row>
    <row r="1643">
      <c r="A1643" s="125"/>
      <c r="B1643" s="126"/>
      <c r="C1643" s="127"/>
      <c r="D1643" s="124"/>
      <c r="E1643" s="124"/>
      <c r="F1643" s="124"/>
      <c r="G1643" s="124"/>
      <c r="H1643" s="124"/>
      <c r="I1643" s="124"/>
      <c r="J1643" s="124"/>
      <c r="K1643" s="124"/>
      <c r="L1643" s="124"/>
      <c r="M1643" s="124"/>
      <c r="N1643" s="124"/>
      <c r="O1643" s="124"/>
      <c r="P1643" s="124"/>
      <c r="Q1643" s="124"/>
      <c r="R1643" s="124"/>
      <c r="S1643" s="124"/>
      <c r="T1643" s="124"/>
      <c r="U1643" s="124"/>
      <c r="V1643" s="124"/>
      <c r="W1643" s="124"/>
      <c r="X1643" s="124"/>
      <c r="Y1643" s="124"/>
    </row>
    <row r="1644">
      <c r="A1644" s="125"/>
      <c r="B1644" s="126"/>
      <c r="C1644" s="127"/>
      <c r="D1644" s="124"/>
      <c r="E1644" s="124"/>
      <c r="F1644" s="124"/>
      <c r="G1644" s="124"/>
      <c r="H1644" s="124"/>
      <c r="I1644" s="124"/>
      <c r="J1644" s="124"/>
      <c r="K1644" s="124"/>
      <c r="L1644" s="124"/>
      <c r="M1644" s="124"/>
      <c r="N1644" s="124"/>
      <c r="O1644" s="124"/>
      <c r="P1644" s="124"/>
      <c r="Q1644" s="124"/>
      <c r="R1644" s="124"/>
      <c r="S1644" s="124"/>
      <c r="T1644" s="124"/>
      <c r="U1644" s="124"/>
      <c r="V1644" s="124"/>
      <c r="W1644" s="124"/>
      <c r="X1644" s="124"/>
      <c r="Y1644" s="124"/>
    </row>
    <row r="1645">
      <c r="A1645" s="125"/>
      <c r="B1645" s="126"/>
      <c r="C1645" s="127"/>
      <c r="D1645" s="124"/>
      <c r="E1645" s="124"/>
      <c r="F1645" s="124"/>
      <c r="G1645" s="124"/>
      <c r="H1645" s="124"/>
      <c r="I1645" s="124"/>
      <c r="J1645" s="124"/>
      <c r="K1645" s="124"/>
      <c r="L1645" s="124"/>
      <c r="M1645" s="124"/>
      <c r="N1645" s="124"/>
      <c r="O1645" s="124"/>
      <c r="P1645" s="124"/>
      <c r="Q1645" s="124"/>
      <c r="R1645" s="124"/>
      <c r="S1645" s="124"/>
      <c r="T1645" s="124"/>
      <c r="U1645" s="124"/>
      <c r="V1645" s="124"/>
      <c r="W1645" s="124"/>
      <c r="X1645" s="124"/>
      <c r="Y1645" s="124"/>
    </row>
    <row r="1646">
      <c r="A1646" s="125"/>
      <c r="B1646" s="126"/>
      <c r="C1646" s="127"/>
      <c r="D1646" s="124"/>
      <c r="E1646" s="124"/>
      <c r="F1646" s="124"/>
      <c r="G1646" s="124"/>
      <c r="H1646" s="124"/>
      <c r="I1646" s="124"/>
      <c r="J1646" s="124"/>
      <c r="K1646" s="124"/>
      <c r="L1646" s="124"/>
      <c r="M1646" s="124"/>
      <c r="N1646" s="124"/>
      <c r="O1646" s="124"/>
      <c r="P1646" s="124"/>
      <c r="Q1646" s="124"/>
      <c r="R1646" s="124"/>
      <c r="S1646" s="124"/>
      <c r="T1646" s="124"/>
      <c r="U1646" s="124"/>
      <c r="V1646" s="124"/>
      <c r="W1646" s="124"/>
      <c r="X1646" s="124"/>
      <c r="Y1646" s="124"/>
    </row>
    <row r="1647">
      <c r="A1647" s="125"/>
      <c r="B1647" s="126"/>
      <c r="C1647" s="127"/>
      <c r="D1647" s="124"/>
      <c r="E1647" s="124"/>
      <c r="F1647" s="124"/>
      <c r="G1647" s="124"/>
      <c r="H1647" s="124"/>
      <c r="I1647" s="124"/>
      <c r="J1647" s="124"/>
      <c r="K1647" s="124"/>
      <c r="L1647" s="124"/>
      <c r="M1647" s="124"/>
      <c r="N1647" s="124"/>
      <c r="O1647" s="124"/>
      <c r="P1647" s="124"/>
      <c r="Q1647" s="124"/>
      <c r="R1647" s="124"/>
      <c r="S1647" s="124"/>
      <c r="T1647" s="124"/>
      <c r="U1647" s="124"/>
      <c r="V1647" s="124"/>
      <c r="W1647" s="124"/>
      <c r="X1647" s="124"/>
      <c r="Y1647" s="124"/>
    </row>
    <row r="1648">
      <c r="A1648" s="125"/>
      <c r="B1648" s="126"/>
      <c r="C1648" s="127"/>
      <c r="D1648" s="124"/>
      <c r="E1648" s="124"/>
      <c r="F1648" s="124"/>
      <c r="G1648" s="124"/>
      <c r="H1648" s="124"/>
      <c r="I1648" s="124"/>
      <c r="J1648" s="124"/>
      <c r="K1648" s="124"/>
      <c r="L1648" s="124"/>
      <c r="M1648" s="124"/>
      <c r="N1648" s="124"/>
      <c r="O1648" s="124"/>
      <c r="P1648" s="124"/>
      <c r="Q1648" s="124"/>
      <c r="R1648" s="124"/>
      <c r="S1648" s="124"/>
      <c r="T1648" s="124"/>
      <c r="U1648" s="124"/>
      <c r="V1648" s="124"/>
      <c r="W1648" s="124"/>
      <c r="X1648" s="124"/>
      <c r="Y1648" s="124"/>
    </row>
    <row r="1649">
      <c r="A1649" s="125"/>
      <c r="B1649" s="126"/>
      <c r="C1649" s="127"/>
      <c r="D1649" s="124"/>
      <c r="E1649" s="124"/>
      <c r="F1649" s="124"/>
      <c r="G1649" s="124"/>
      <c r="H1649" s="124"/>
      <c r="I1649" s="124"/>
      <c r="J1649" s="124"/>
      <c r="K1649" s="124"/>
      <c r="L1649" s="124"/>
      <c r="M1649" s="124"/>
      <c r="N1649" s="124"/>
      <c r="O1649" s="124"/>
      <c r="P1649" s="124"/>
      <c r="Q1649" s="124"/>
      <c r="R1649" s="124"/>
      <c r="S1649" s="124"/>
      <c r="T1649" s="124"/>
      <c r="U1649" s="124"/>
      <c r="V1649" s="124"/>
      <c r="W1649" s="124"/>
      <c r="X1649" s="124"/>
      <c r="Y1649" s="124"/>
    </row>
    <row r="1650">
      <c r="A1650" s="125"/>
      <c r="B1650" s="126"/>
      <c r="C1650" s="127"/>
      <c r="D1650" s="124"/>
      <c r="E1650" s="124"/>
      <c r="F1650" s="124"/>
      <c r="G1650" s="124"/>
      <c r="H1650" s="124"/>
      <c r="I1650" s="124"/>
      <c r="J1650" s="124"/>
      <c r="K1650" s="124"/>
      <c r="L1650" s="124"/>
      <c r="M1650" s="124"/>
      <c r="N1650" s="124"/>
      <c r="O1650" s="124"/>
      <c r="P1650" s="124"/>
      <c r="Q1650" s="124"/>
      <c r="R1650" s="124"/>
      <c r="S1650" s="124"/>
      <c r="T1650" s="124"/>
      <c r="U1650" s="124"/>
      <c r="V1650" s="124"/>
      <c r="W1650" s="124"/>
      <c r="X1650" s="124"/>
      <c r="Y1650" s="124"/>
    </row>
    <row r="1651">
      <c r="A1651" s="125"/>
      <c r="B1651" s="126"/>
      <c r="C1651" s="127"/>
      <c r="D1651" s="124"/>
      <c r="E1651" s="124"/>
      <c r="F1651" s="124"/>
      <c r="G1651" s="124"/>
      <c r="H1651" s="124"/>
      <c r="I1651" s="124"/>
      <c r="J1651" s="124"/>
      <c r="K1651" s="124"/>
      <c r="L1651" s="124"/>
      <c r="M1651" s="124"/>
      <c r="N1651" s="124"/>
      <c r="O1651" s="124"/>
      <c r="P1651" s="124"/>
      <c r="Q1651" s="124"/>
      <c r="R1651" s="124"/>
      <c r="S1651" s="124"/>
      <c r="T1651" s="124"/>
      <c r="U1651" s="124"/>
      <c r="V1651" s="124"/>
      <c r="W1651" s="124"/>
      <c r="X1651" s="124"/>
      <c r="Y1651" s="124"/>
    </row>
    <row r="1652">
      <c r="A1652" s="125"/>
      <c r="B1652" s="126"/>
      <c r="C1652" s="127"/>
      <c r="D1652" s="124"/>
      <c r="E1652" s="124"/>
      <c r="F1652" s="124"/>
      <c r="G1652" s="124"/>
      <c r="H1652" s="124"/>
      <c r="I1652" s="124"/>
      <c r="J1652" s="124"/>
      <c r="K1652" s="124"/>
      <c r="L1652" s="124"/>
      <c r="M1652" s="124"/>
      <c r="N1652" s="124"/>
      <c r="O1652" s="124"/>
      <c r="P1652" s="124"/>
      <c r="Q1652" s="124"/>
      <c r="R1652" s="124"/>
      <c r="S1652" s="124"/>
      <c r="T1652" s="124"/>
      <c r="U1652" s="124"/>
      <c r="V1652" s="124"/>
      <c r="W1652" s="124"/>
      <c r="X1652" s="124"/>
      <c r="Y1652" s="124"/>
    </row>
    <row r="1653">
      <c r="A1653" s="125"/>
      <c r="B1653" s="126"/>
      <c r="C1653" s="127"/>
      <c r="D1653" s="124"/>
      <c r="E1653" s="124"/>
      <c r="F1653" s="124"/>
      <c r="G1653" s="124"/>
      <c r="H1653" s="124"/>
      <c r="I1653" s="124"/>
      <c r="J1653" s="124"/>
      <c r="K1653" s="124"/>
      <c r="L1653" s="124"/>
      <c r="M1653" s="124"/>
      <c r="N1653" s="124"/>
      <c r="O1653" s="124"/>
      <c r="P1653" s="124"/>
      <c r="Q1653" s="124"/>
      <c r="R1653" s="124"/>
      <c r="S1653" s="124"/>
      <c r="T1653" s="124"/>
      <c r="U1653" s="124"/>
      <c r="V1653" s="124"/>
      <c r="W1653" s="124"/>
      <c r="X1653" s="124"/>
      <c r="Y1653" s="124"/>
    </row>
    <row r="1654">
      <c r="A1654" s="125"/>
      <c r="B1654" s="126"/>
      <c r="C1654" s="127"/>
      <c r="D1654" s="124"/>
      <c r="E1654" s="124"/>
      <c r="F1654" s="124"/>
      <c r="G1654" s="124"/>
      <c r="H1654" s="124"/>
      <c r="I1654" s="124"/>
      <c r="J1654" s="124"/>
      <c r="K1654" s="124"/>
      <c r="L1654" s="124"/>
      <c r="M1654" s="124"/>
      <c r="N1654" s="124"/>
      <c r="O1654" s="124"/>
      <c r="P1654" s="124"/>
      <c r="Q1654" s="124"/>
      <c r="R1654" s="124"/>
      <c r="S1654" s="124"/>
      <c r="T1654" s="124"/>
      <c r="U1654" s="124"/>
      <c r="V1654" s="124"/>
      <c r="W1654" s="124"/>
      <c r="X1654" s="124"/>
      <c r="Y1654" s="124"/>
    </row>
    <row r="1655">
      <c r="A1655" s="125"/>
      <c r="B1655" s="126"/>
      <c r="C1655" s="127"/>
      <c r="D1655" s="124"/>
      <c r="E1655" s="124"/>
      <c r="F1655" s="124"/>
      <c r="G1655" s="124"/>
      <c r="H1655" s="124"/>
      <c r="I1655" s="124"/>
      <c r="J1655" s="124"/>
      <c r="K1655" s="124"/>
      <c r="L1655" s="124"/>
      <c r="M1655" s="124"/>
      <c r="N1655" s="124"/>
      <c r="O1655" s="124"/>
      <c r="P1655" s="124"/>
      <c r="Q1655" s="124"/>
      <c r="R1655" s="124"/>
      <c r="S1655" s="124"/>
      <c r="T1655" s="124"/>
      <c r="U1655" s="124"/>
      <c r="V1655" s="124"/>
      <c r="W1655" s="124"/>
      <c r="X1655" s="124"/>
      <c r="Y1655" s="124"/>
    </row>
    <row r="1656">
      <c r="A1656" s="125"/>
      <c r="B1656" s="126"/>
      <c r="C1656" s="127"/>
      <c r="D1656" s="124"/>
      <c r="E1656" s="124"/>
      <c r="F1656" s="124"/>
      <c r="G1656" s="124"/>
      <c r="H1656" s="124"/>
      <c r="I1656" s="124"/>
      <c r="J1656" s="124"/>
      <c r="K1656" s="124"/>
      <c r="L1656" s="124"/>
      <c r="M1656" s="124"/>
      <c r="N1656" s="124"/>
      <c r="O1656" s="124"/>
      <c r="P1656" s="124"/>
      <c r="Q1656" s="124"/>
      <c r="R1656" s="124"/>
      <c r="S1656" s="124"/>
      <c r="T1656" s="124"/>
      <c r="U1656" s="124"/>
      <c r="V1656" s="124"/>
      <c r="W1656" s="124"/>
      <c r="X1656" s="124"/>
      <c r="Y1656" s="124"/>
    </row>
    <row r="1657">
      <c r="A1657" s="125"/>
      <c r="B1657" s="126"/>
      <c r="C1657" s="127"/>
      <c r="D1657" s="124"/>
      <c r="E1657" s="124"/>
      <c r="F1657" s="124"/>
      <c r="G1657" s="124"/>
      <c r="H1657" s="124"/>
      <c r="I1657" s="124"/>
      <c r="J1657" s="124"/>
      <c r="K1657" s="124"/>
      <c r="L1657" s="124"/>
      <c r="M1657" s="124"/>
      <c r="N1657" s="124"/>
      <c r="O1657" s="124"/>
      <c r="P1657" s="124"/>
      <c r="Q1657" s="124"/>
      <c r="R1657" s="124"/>
      <c r="S1657" s="124"/>
      <c r="T1657" s="124"/>
      <c r="U1657" s="124"/>
      <c r="V1657" s="124"/>
      <c r="W1657" s="124"/>
      <c r="X1657" s="124"/>
      <c r="Y1657" s="124"/>
    </row>
    <row r="1658">
      <c r="A1658" s="125"/>
      <c r="B1658" s="126"/>
      <c r="C1658" s="127"/>
      <c r="D1658" s="124"/>
      <c r="E1658" s="124"/>
      <c r="F1658" s="124"/>
      <c r="G1658" s="124"/>
      <c r="H1658" s="124"/>
      <c r="I1658" s="124"/>
      <c r="J1658" s="124"/>
      <c r="K1658" s="124"/>
      <c r="L1658" s="124"/>
      <c r="M1658" s="124"/>
      <c r="N1658" s="124"/>
      <c r="O1658" s="124"/>
      <c r="P1658" s="124"/>
      <c r="Q1658" s="124"/>
      <c r="R1658" s="124"/>
      <c r="S1658" s="124"/>
      <c r="T1658" s="124"/>
      <c r="U1658" s="124"/>
      <c r="V1658" s="124"/>
      <c r="W1658" s="124"/>
      <c r="X1658" s="124"/>
      <c r="Y1658" s="124"/>
    </row>
    <row r="1659">
      <c r="A1659" s="125"/>
      <c r="B1659" s="126"/>
      <c r="C1659" s="127"/>
      <c r="D1659" s="124"/>
      <c r="E1659" s="124"/>
      <c r="F1659" s="124"/>
      <c r="G1659" s="124"/>
      <c r="H1659" s="124"/>
      <c r="I1659" s="124"/>
      <c r="J1659" s="124"/>
      <c r="K1659" s="124"/>
      <c r="L1659" s="124"/>
      <c r="M1659" s="124"/>
      <c r="N1659" s="124"/>
      <c r="O1659" s="124"/>
      <c r="P1659" s="124"/>
      <c r="Q1659" s="124"/>
      <c r="R1659" s="124"/>
      <c r="S1659" s="124"/>
      <c r="T1659" s="124"/>
      <c r="U1659" s="124"/>
      <c r="V1659" s="124"/>
      <c r="W1659" s="124"/>
      <c r="X1659" s="124"/>
      <c r="Y1659" s="124"/>
    </row>
    <row r="1660">
      <c r="A1660" s="125"/>
      <c r="B1660" s="126"/>
      <c r="C1660" s="127"/>
      <c r="D1660" s="124"/>
      <c r="E1660" s="124"/>
      <c r="F1660" s="124"/>
      <c r="G1660" s="124"/>
      <c r="H1660" s="124"/>
      <c r="I1660" s="124"/>
      <c r="J1660" s="124"/>
      <c r="K1660" s="124"/>
      <c r="L1660" s="124"/>
      <c r="M1660" s="124"/>
      <c r="N1660" s="124"/>
      <c r="O1660" s="124"/>
      <c r="P1660" s="124"/>
      <c r="Q1660" s="124"/>
      <c r="R1660" s="124"/>
      <c r="S1660" s="124"/>
      <c r="T1660" s="124"/>
      <c r="U1660" s="124"/>
      <c r="V1660" s="124"/>
      <c r="W1660" s="124"/>
      <c r="X1660" s="124"/>
      <c r="Y1660" s="124"/>
    </row>
    <row r="1661">
      <c r="A1661" s="125"/>
      <c r="B1661" s="126"/>
      <c r="C1661" s="127"/>
      <c r="D1661" s="124"/>
      <c r="E1661" s="124"/>
      <c r="F1661" s="124"/>
      <c r="G1661" s="124"/>
      <c r="H1661" s="124"/>
      <c r="I1661" s="124"/>
      <c r="J1661" s="124"/>
      <c r="K1661" s="124"/>
      <c r="L1661" s="124"/>
      <c r="M1661" s="124"/>
      <c r="N1661" s="124"/>
      <c r="O1661" s="124"/>
      <c r="P1661" s="124"/>
      <c r="Q1661" s="124"/>
      <c r="R1661" s="124"/>
      <c r="S1661" s="124"/>
      <c r="T1661" s="124"/>
      <c r="U1661" s="124"/>
      <c r="V1661" s="124"/>
      <c r="W1661" s="124"/>
      <c r="X1661" s="124"/>
      <c r="Y1661" s="124"/>
    </row>
    <row r="1662">
      <c r="A1662" s="125"/>
      <c r="B1662" s="126"/>
      <c r="C1662" s="127"/>
      <c r="D1662" s="124"/>
      <c r="E1662" s="124"/>
      <c r="F1662" s="124"/>
      <c r="G1662" s="124"/>
      <c r="H1662" s="124"/>
      <c r="I1662" s="124"/>
      <c r="J1662" s="124"/>
      <c r="K1662" s="124"/>
      <c r="L1662" s="124"/>
      <c r="M1662" s="124"/>
      <c r="N1662" s="124"/>
      <c r="O1662" s="124"/>
      <c r="P1662" s="124"/>
      <c r="Q1662" s="124"/>
      <c r="R1662" s="124"/>
      <c r="S1662" s="124"/>
      <c r="T1662" s="124"/>
      <c r="U1662" s="124"/>
      <c r="V1662" s="124"/>
      <c r="W1662" s="124"/>
      <c r="X1662" s="124"/>
      <c r="Y1662" s="124"/>
    </row>
    <row r="1663">
      <c r="A1663" s="125"/>
      <c r="B1663" s="126"/>
      <c r="C1663" s="127"/>
      <c r="D1663" s="124"/>
      <c r="E1663" s="124"/>
      <c r="F1663" s="124"/>
      <c r="G1663" s="124"/>
      <c r="H1663" s="124"/>
      <c r="I1663" s="124"/>
      <c r="J1663" s="124"/>
      <c r="K1663" s="124"/>
      <c r="L1663" s="124"/>
      <c r="M1663" s="124"/>
      <c r="N1663" s="124"/>
      <c r="O1663" s="124"/>
      <c r="P1663" s="124"/>
      <c r="Q1663" s="124"/>
      <c r="R1663" s="124"/>
      <c r="S1663" s="124"/>
      <c r="T1663" s="124"/>
      <c r="U1663" s="124"/>
      <c r="V1663" s="124"/>
      <c r="W1663" s="124"/>
      <c r="X1663" s="124"/>
      <c r="Y1663" s="124"/>
    </row>
    <row r="1664">
      <c r="A1664" s="125"/>
      <c r="B1664" s="126"/>
      <c r="C1664" s="127"/>
      <c r="D1664" s="124"/>
      <c r="E1664" s="124"/>
      <c r="F1664" s="124"/>
      <c r="G1664" s="124"/>
      <c r="H1664" s="124"/>
      <c r="I1664" s="124"/>
      <c r="J1664" s="124"/>
      <c r="K1664" s="124"/>
      <c r="L1664" s="124"/>
      <c r="M1664" s="124"/>
      <c r="N1664" s="124"/>
      <c r="O1664" s="124"/>
      <c r="P1664" s="124"/>
      <c r="Q1664" s="124"/>
      <c r="R1664" s="124"/>
      <c r="S1664" s="124"/>
      <c r="T1664" s="124"/>
      <c r="U1664" s="124"/>
      <c r="V1664" s="124"/>
      <c r="W1664" s="124"/>
      <c r="X1664" s="124"/>
      <c r="Y1664" s="124"/>
    </row>
    <row r="1665">
      <c r="A1665" s="125"/>
      <c r="B1665" s="126"/>
      <c r="C1665" s="127"/>
      <c r="D1665" s="124"/>
      <c r="E1665" s="124"/>
      <c r="F1665" s="124"/>
      <c r="G1665" s="124"/>
      <c r="H1665" s="124"/>
      <c r="I1665" s="124"/>
      <c r="J1665" s="124"/>
      <c r="K1665" s="124"/>
      <c r="L1665" s="124"/>
      <c r="M1665" s="124"/>
      <c r="N1665" s="124"/>
      <c r="O1665" s="124"/>
      <c r="P1665" s="124"/>
      <c r="Q1665" s="124"/>
      <c r="R1665" s="124"/>
      <c r="S1665" s="124"/>
      <c r="T1665" s="124"/>
      <c r="U1665" s="124"/>
      <c r="V1665" s="124"/>
      <c r="W1665" s="124"/>
      <c r="X1665" s="124"/>
      <c r="Y1665" s="124"/>
    </row>
    <row r="1666">
      <c r="A1666" s="125"/>
      <c r="B1666" s="126"/>
      <c r="C1666" s="127"/>
      <c r="D1666" s="124"/>
      <c r="E1666" s="124"/>
      <c r="F1666" s="124"/>
      <c r="G1666" s="124"/>
      <c r="H1666" s="124"/>
      <c r="I1666" s="124"/>
      <c r="J1666" s="124"/>
      <c r="K1666" s="124"/>
      <c r="L1666" s="124"/>
      <c r="M1666" s="124"/>
      <c r="N1666" s="124"/>
      <c r="O1666" s="124"/>
      <c r="P1666" s="124"/>
      <c r="Q1666" s="124"/>
      <c r="R1666" s="124"/>
      <c r="S1666" s="124"/>
      <c r="T1666" s="124"/>
      <c r="U1666" s="124"/>
      <c r="V1666" s="124"/>
      <c r="W1666" s="124"/>
      <c r="X1666" s="124"/>
      <c r="Y1666" s="124"/>
    </row>
    <row r="1667">
      <c r="A1667" s="125"/>
      <c r="B1667" s="126"/>
      <c r="C1667" s="127"/>
      <c r="D1667" s="124"/>
      <c r="E1667" s="124"/>
      <c r="F1667" s="124"/>
      <c r="G1667" s="124"/>
      <c r="H1667" s="124"/>
      <c r="I1667" s="124"/>
      <c r="J1667" s="124"/>
      <c r="K1667" s="124"/>
      <c r="L1667" s="124"/>
      <c r="M1667" s="124"/>
      <c r="N1667" s="124"/>
      <c r="O1667" s="124"/>
      <c r="P1667" s="124"/>
      <c r="Q1667" s="124"/>
      <c r="R1667" s="124"/>
      <c r="S1667" s="124"/>
      <c r="T1667" s="124"/>
      <c r="U1667" s="124"/>
      <c r="V1667" s="124"/>
      <c r="W1667" s="124"/>
      <c r="X1667" s="124"/>
      <c r="Y1667" s="124"/>
    </row>
    <row r="1668">
      <c r="A1668" s="125"/>
      <c r="B1668" s="126"/>
      <c r="C1668" s="127"/>
      <c r="D1668" s="124"/>
      <c r="E1668" s="124"/>
      <c r="F1668" s="124"/>
      <c r="G1668" s="124"/>
      <c r="H1668" s="124"/>
      <c r="I1668" s="124"/>
      <c r="J1668" s="124"/>
      <c r="K1668" s="124"/>
      <c r="L1668" s="124"/>
      <c r="M1668" s="124"/>
      <c r="N1668" s="124"/>
      <c r="O1668" s="124"/>
      <c r="P1668" s="124"/>
      <c r="Q1668" s="124"/>
      <c r="R1668" s="124"/>
      <c r="S1668" s="124"/>
      <c r="T1668" s="124"/>
      <c r="U1668" s="124"/>
      <c r="V1668" s="124"/>
      <c r="W1668" s="124"/>
      <c r="X1668" s="124"/>
      <c r="Y1668" s="124"/>
    </row>
    <row r="1669">
      <c r="A1669" s="125"/>
      <c r="B1669" s="126"/>
      <c r="C1669" s="127"/>
      <c r="D1669" s="124"/>
      <c r="E1669" s="124"/>
      <c r="F1669" s="124"/>
      <c r="G1669" s="124"/>
      <c r="H1669" s="124"/>
      <c r="I1669" s="124"/>
      <c r="J1669" s="124"/>
      <c r="K1669" s="124"/>
      <c r="L1669" s="124"/>
      <c r="M1669" s="124"/>
      <c r="N1669" s="124"/>
      <c r="O1669" s="124"/>
      <c r="P1669" s="124"/>
      <c r="Q1669" s="124"/>
      <c r="R1669" s="124"/>
      <c r="S1669" s="124"/>
      <c r="T1669" s="124"/>
      <c r="U1669" s="124"/>
      <c r="V1669" s="124"/>
      <c r="W1669" s="124"/>
      <c r="X1669" s="124"/>
      <c r="Y1669" s="124"/>
    </row>
    <row r="1670">
      <c r="A1670" s="125"/>
      <c r="B1670" s="126"/>
      <c r="C1670" s="127"/>
      <c r="D1670" s="124"/>
      <c r="E1670" s="124"/>
      <c r="F1670" s="124"/>
      <c r="G1670" s="124"/>
      <c r="H1670" s="124"/>
      <c r="I1670" s="124"/>
      <c r="J1670" s="124"/>
      <c r="K1670" s="124"/>
      <c r="L1670" s="124"/>
      <c r="M1670" s="124"/>
      <c r="N1670" s="124"/>
      <c r="O1670" s="124"/>
      <c r="P1670" s="124"/>
      <c r="Q1670" s="124"/>
      <c r="R1670" s="124"/>
      <c r="S1670" s="124"/>
      <c r="T1670" s="124"/>
      <c r="U1670" s="124"/>
      <c r="V1670" s="124"/>
      <c r="W1670" s="124"/>
      <c r="X1670" s="124"/>
      <c r="Y1670" s="124"/>
    </row>
    <row r="1671">
      <c r="A1671" s="125"/>
      <c r="B1671" s="126"/>
      <c r="C1671" s="127"/>
      <c r="D1671" s="124"/>
      <c r="E1671" s="124"/>
      <c r="F1671" s="124"/>
      <c r="G1671" s="124"/>
      <c r="H1671" s="124"/>
      <c r="I1671" s="124"/>
      <c r="J1671" s="124"/>
      <c r="K1671" s="124"/>
      <c r="L1671" s="124"/>
      <c r="M1671" s="124"/>
      <c r="N1671" s="124"/>
      <c r="O1671" s="124"/>
      <c r="P1671" s="124"/>
      <c r="Q1671" s="124"/>
      <c r="R1671" s="124"/>
      <c r="S1671" s="124"/>
      <c r="T1671" s="124"/>
      <c r="U1671" s="124"/>
      <c r="V1671" s="124"/>
      <c r="W1671" s="124"/>
      <c r="X1671" s="124"/>
      <c r="Y1671" s="124"/>
    </row>
    <row r="1672">
      <c r="A1672" s="125"/>
      <c r="B1672" s="126"/>
      <c r="C1672" s="127"/>
      <c r="D1672" s="124"/>
      <c r="E1672" s="124"/>
      <c r="F1672" s="124"/>
      <c r="G1672" s="124"/>
      <c r="H1672" s="124"/>
      <c r="I1672" s="124"/>
      <c r="J1672" s="124"/>
      <c r="K1672" s="124"/>
      <c r="L1672" s="124"/>
      <c r="M1672" s="124"/>
      <c r="N1672" s="124"/>
      <c r="O1672" s="124"/>
      <c r="P1672" s="124"/>
      <c r="Q1672" s="124"/>
      <c r="R1672" s="124"/>
      <c r="S1672" s="124"/>
      <c r="T1672" s="124"/>
      <c r="U1672" s="124"/>
      <c r="V1672" s="124"/>
      <c r="W1672" s="124"/>
      <c r="X1672" s="124"/>
      <c r="Y1672" s="124"/>
    </row>
    <row r="1673">
      <c r="A1673" s="125"/>
      <c r="B1673" s="126"/>
      <c r="C1673" s="127"/>
      <c r="D1673" s="124"/>
      <c r="E1673" s="124"/>
      <c r="F1673" s="124"/>
      <c r="G1673" s="124"/>
      <c r="H1673" s="124"/>
      <c r="I1673" s="124"/>
      <c r="J1673" s="124"/>
      <c r="K1673" s="124"/>
      <c r="L1673" s="124"/>
      <c r="M1673" s="124"/>
      <c r="N1673" s="124"/>
      <c r="O1673" s="124"/>
      <c r="P1673" s="124"/>
      <c r="Q1673" s="124"/>
      <c r="R1673" s="124"/>
      <c r="S1673" s="124"/>
      <c r="T1673" s="124"/>
      <c r="U1673" s="124"/>
      <c r="V1673" s="124"/>
      <c r="W1673" s="124"/>
      <c r="X1673" s="124"/>
      <c r="Y1673" s="124"/>
    </row>
    <row r="1674">
      <c r="A1674" s="125"/>
      <c r="B1674" s="126"/>
      <c r="C1674" s="127"/>
      <c r="D1674" s="124"/>
      <c r="E1674" s="124"/>
      <c r="F1674" s="124"/>
      <c r="G1674" s="124"/>
      <c r="H1674" s="124"/>
      <c r="I1674" s="124"/>
      <c r="J1674" s="124"/>
      <c r="K1674" s="124"/>
      <c r="L1674" s="124"/>
      <c r="M1674" s="124"/>
      <c r="N1674" s="124"/>
      <c r="O1674" s="124"/>
      <c r="P1674" s="124"/>
      <c r="Q1674" s="124"/>
      <c r="R1674" s="124"/>
      <c r="S1674" s="124"/>
      <c r="T1674" s="124"/>
      <c r="U1674" s="124"/>
      <c r="V1674" s="124"/>
      <c r="W1674" s="124"/>
      <c r="X1674" s="124"/>
      <c r="Y1674" s="124"/>
    </row>
    <row r="1675">
      <c r="A1675" s="125"/>
      <c r="B1675" s="126"/>
      <c r="C1675" s="127"/>
      <c r="D1675" s="124"/>
      <c r="E1675" s="124"/>
      <c r="F1675" s="124"/>
      <c r="G1675" s="124"/>
      <c r="H1675" s="124"/>
      <c r="I1675" s="124"/>
      <c r="J1675" s="124"/>
      <c r="K1675" s="124"/>
      <c r="L1675" s="124"/>
      <c r="M1675" s="124"/>
      <c r="N1675" s="124"/>
      <c r="O1675" s="124"/>
      <c r="P1675" s="124"/>
      <c r="Q1675" s="124"/>
      <c r="R1675" s="124"/>
      <c r="S1675" s="124"/>
      <c r="T1675" s="124"/>
      <c r="U1675" s="124"/>
      <c r="V1675" s="124"/>
      <c r="W1675" s="124"/>
      <c r="X1675" s="124"/>
      <c r="Y1675" s="124"/>
    </row>
    <row r="1676">
      <c r="A1676" s="125"/>
      <c r="B1676" s="126"/>
      <c r="C1676" s="127"/>
      <c r="D1676" s="124"/>
      <c r="E1676" s="124"/>
      <c r="F1676" s="124"/>
      <c r="G1676" s="124"/>
      <c r="H1676" s="124"/>
      <c r="I1676" s="124"/>
      <c r="J1676" s="124"/>
      <c r="K1676" s="124"/>
      <c r="L1676" s="124"/>
      <c r="M1676" s="124"/>
      <c r="N1676" s="124"/>
      <c r="O1676" s="124"/>
      <c r="P1676" s="124"/>
      <c r="Q1676" s="124"/>
      <c r="R1676" s="124"/>
      <c r="S1676" s="124"/>
      <c r="T1676" s="124"/>
      <c r="U1676" s="124"/>
      <c r="V1676" s="124"/>
      <c r="W1676" s="124"/>
      <c r="X1676" s="124"/>
      <c r="Y1676" s="124"/>
    </row>
    <row r="1677">
      <c r="A1677" s="125"/>
      <c r="B1677" s="126"/>
      <c r="C1677" s="127"/>
      <c r="D1677" s="124"/>
      <c r="E1677" s="124"/>
      <c r="F1677" s="124"/>
      <c r="G1677" s="124"/>
      <c r="H1677" s="124"/>
      <c r="I1677" s="124"/>
      <c r="J1677" s="124"/>
      <c r="K1677" s="124"/>
      <c r="L1677" s="124"/>
      <c r="M1677" s="124"/>
      <c r="N1677" s="124"/>
      <c r="O1677" s="124"/>
      <c r="P1677" s="124"/>
      <c r="Q1677" s="124"/>
      <c r="R1677" s="124"/>
      <c r="S1677" s="124"/>
      <c r="T1677" s="124"/>
      <c r="U1677" s="124"/>
      <c r="V1677" s="124"/>
      <c r="W1677" s="124"/>
      <c r="X1677" s="124"/>
      <c r="Y1677" s="124"/>
    </row>
    <row r="1678">
      <c r="A1678" s="125"/>
      <c r="B1678" s="126"/>
      <c r="C1678" s="127"/>
      <c r="D1678" s="124"/>
      <c r="E1678" s="124"/>
      <c r="F1678" s="124"/>
      <c r="G1678" s="124"/>
      <c r="H1678" s="124"/>
      <c r="I1678" s="124"/>
      <c r="J1678" s="124"/>
      <c r="K1678" s="124"/>
      <c r="L1678" s="124"/>
      <c r="M1678" s="124"/>
      <c r="N1678" s="124"/>
      <c r="O1678" s="124"/>
      <c r="P1678" s="124"/>
      <c r="Q1678" s="124"/>
      <c r="R1678" s="124"/>
      <c r="S1678" s="124"/>
      <c r="T1678" s="124"/>
      <c r="U1678" s="124"/>
      <c r="V1678" s="124"/>
      <c r="W1678" s="124"/>
      <c r="X1678" s="124"/>
      <c r="Y1678" s="124"/>
    </row>
    <row r="1679">
      <c r="A1679" s="125"/>
      <c r="B1679" s="126"/>
      <c r="C1679" s="127"/>
      <c r="D1679" s="124"/>
      <c r="E1679" s="124"/>
      <c r="F1679" s="124"/>
      <c r="G1679" s="124"/>
      <c r="H1679" s="124"/>
      <c r="I1679" s="124"/>
      <c r="J1679" s="124"/>
      <c r="K1679" s="124"/>
      <c r="L1679" s="124"/>
      <c r="M1679" s="124"/>
      <c r="N1679" s="124"/>
      <c r="O1679" s="124"/>
      <c r="P1679" s="124"/>
      <c r="Q1679" s="124"/>
      <c r="R1679" s="124"/>
      <c r="S1679" s="124"/>
      <c r="T1679" s="124"/>
      <c r="U1679" s="124"/>
      <c r="V1679" s="124"/>
      <c r="W1679" s="124"/>
      <c r="X1679" s="124"/>
      <c r="Y1679" s="124"/>
    </row>
    <row r="1680">
      <c r="A1680" s="125"/>
      <c r="B1680" s="126"/>
      <c r="C1680" s="127"/>
      <c r="D1680" s="124"/>
      <c r="E1680" s="124"/>
      <c r="F1680" s="124"/>
      <c r="G1680" s="124"/>
      <c r="H1680" s="124"/>
      <c r="I1680" s="124"/>
      <c r="J1680" s="124"/>
      <c r="K1680" s="124"/>
      <c r="L1680" s="124"/>
      <c r="M1680" s="124"/>
      <c r="N1680" s="124"/>
      <c r="O1680" s="124"/>
      <c r="P1680" s="124"/>
      <c r="Q1680" s="124"/>
      <c r="R1680" s="124"/>
      <c r="S1680" s="124"/>
      <c r="T1680" s="124"/>
      <c r="U1680" s="124"/>
      <c r="V1680" s="124"/>
      <c r="W1680" s="124"/>
      <c r="X1680" s="124"/>
      <c r="Y1680" s="124"/>
    </row>
    <row r="1681">
      <c r="A1681" s="125"/>
      <c r="B1681" s="126"/>
      <c r="C1681" s="127"/>
      <c r="D1681" s="124"/>
      <c r="E1681" s="124"/>
      <c r="F1681" s="124"/>
      <c r="G1681" s="124"/>
      <c r="H1681" s="124"/>
      <c r="I1681" s="124"/>
      <c r="J1681" s="124"/>
      <c r="K1681" s="124"/>
      <c r="L1681" s="124"/>
      <c r="M1681" s="124"/>
      <c r="N1681" s="124"/>
      <c r="O1681" s="124"/>
      <c r="P1681" s="124"/>
      <c r="Q1681" s="124"/>
      <c r="R1681" s="124"/>
      <c r="S1681" s="124"/>
      <c r="T1681" s="124"/>
      <c r="U1681" s="124"/>
      <c r="V1681" s="124"/>
      <c r="W1681" s="124"/>
      <c r="X1681" s="124"/>
      <c r="Y1681" s="124"/>
    </row>
    <row r="1682">
      <c r="A1682" s="125"/>
      <c r="B1682" s="126"/>
      <c r="C1682" s="127"/>
      <c r="D1682" s="124"/>
      <c r="E1682" s="124"/>
      <c r="F1682" s="124"/>
      <c r="G1682" s="124"/>
      <c r="H1682" s="124"/>
      <c r="I1682" s="124"/>
      <c r="J1682" s="124"/>
      <c r="K1682" s="124"/>
      <c r="L1682" s="124"/>
      <c r="M1682" s="124"/>
      <c r="N1682" s="124"/>
      <c r="O1682" s="124"/>
      <c r="P1682" s="124"/>
      <c r="Q1682" s="124"/>
      <c r="R1682" s="124"/>
      <c r="S1682" s="124"/>
      <c r="T1682" s="124"/>
      <c r="U1682" s="124"/>
      <c r="V1682" s="124"/>
      <c r="W1682" s="124"/>
      <c r="X1682" s="124"/>
      <c r="Y1682" s="124"/>
    </row>
    <row r="1683">
      <c r="A1683" s="125"/>
      <c r="B1683" s="126"/>
      <c r="C1683" s="127"/>
      <c r="D1683" s="124"/>
      <c r="E1683" s="124"/>
      <c r="F1683" s="124"/>
      <c r="G1683" s="124"/>
      <c r="H1683" s="124"/>
      <c r="I1683" s="124"/>
      <c r="J1683" s="124"/>
      <c r="K1683" s="124"/>
      <c r="L1683" s="124"/>
      <c r="M1683" s="124"/>
      <c r="N1683" s="124"/>
      <c r="O1683" s="124"/>
      <c r="P1683" s="124"/>
      <c r="Q1683" s="124"/>
      <c r="R1683" s="124"/>
      <c r="S1683" s="124"/>
      <c r="T1683" s="124"/>
      <c r="U1683" s="124"/>
      <c r="V1683" s="124"/>
      <c r="W1683" s="124"/>
      <c r="X1683" s="124"/>
      <c r="Y1683" s="124"/>
    </row>
    <row r="1684">
      <c r="A1684" s="125"/>
      <c r="B1684" s="126"/>
      <c r="C1684" s="127"/>
      <c r="D1684" s="124"/>
      <c r="E1684" s="124"/>
      <c r="F1684" s="124"/>
      <c r="G1684" s="124"/>
      <c r="H1684" s="124"/>
      <c r="I1684" s="124"/>
      <c r="J1684" s="124"/>
      <c r="K1684" s="124"/>
      <c r="L1684" s="124"/>
      <c r="M1684" s="124"/>
      <c r="N1684" s="124"/>
      <c r="O1684" s="124"/>
      <c r="P1684" s="124"/>
      <c r="Q1684" s="124"/>
      <c r="R1684" s="124"/>
      <c r="S1684" s="124"/>
      <c r="T1684" s="124"/>
      <c r="U1684" s="124"/>
      <c r="V1684" s="124"/>
      <c r="W1684" s="124"/>
      <c r="X1684" s="124"/>
      <c r="Y1684" s="124"/>
    </row>
    <row r="1685">
      <c r="A1685" s="125"/>
      <c r="B1685" s="126"/>
      <c r="C1685" s="127"/>
      <c r="D1685" s="124"/>
      <c r="E1685" s="124"/>
      <c r="F1685" s="124"/>
      <c r="G1685" s="124"/>
      <c r="H1685" s="124"/>
      <c r="I1685" s="124"/>
      <c r="J1685" s="124"/>
      <c r="K1685" s="124"/>
      <c r="L1685" s="124"/>
      <c r="M1685" s="124"/>
      <c r="N1685" s="124"/>
      <c r="O1685" s="124"/>
      <c r="P1685" s="124"/>
      <c r="Q1685" s="124"/>
      <c r="R1685" s="124"/>
      <c r="S1685" s="124"/>
      <c r="T1685" s="124"/>
      <c r="U1685" s="124"/>
      <c r="V1685" s="124"/>
      <c r="W1685" s="124"/>
      <c r="X1685" s="124"/>
      <c r="Y1685" s="124"/>
    </row>
    <row r="1686">
      <c r="A1686" s="125"/>
      <c r="B1686" s="126"/>
      <c r="C1686" s="127"/>
      <c r="D1686" s="124"/>
      <c r="E1686" s="124"/>
      <c r="F1686" s="124"/>
      <c r="G1686" s="124"/>
      <c r="H1686" s="124"/>
      <c r="I1686" s="124"/>
      <c r="J1686" s="124"/>
      <c r="K1686" s="124"/>
      <c r="L1686" s="124"/>
      <c r="M1686" s="124"/>
      <c r="N1686" s="124"/>
      <c r="O1686" s="124"/>
      <c r="P1686" s="124"/>
      <c r="Q1686" s="124"/>
      <c r="R1686" s="124"/>
      <c r="S1686" s="124"/>
      <c r="T1686" s="124"/>
      <c r="U1686" s="124"/>
      <c r="V1686" s="124"/>
      <c r="W1686" s="124"/>
      <c r="X1686" s="124"/>
      <c r="Y1686" s="124"/>
    </row>
    <row r="1687">
      <c r="A1687" s="125"/>
      <c r="B1687" s="126"/>
      <c r="C1687" s="127"/>
      <c r="D1687" s="124"/>
      <c r="E1687" s="124"/>
      <c r="F1687" s="124"/>
      <c r="G1687" s="124"/>
      <c r="H1687" s="124"/>
      <c r="I1687" s="124"/>
      <c r="J1687" s="124"/>
      <c r="K1687" s="124"/>
      <c r="L1687" s="124"/>
      <c r="M1687" s="124"/>
      <c r="N1687" s="124"/>
      <c r="O1687" s="124"/>
      <c r="P1687" s="124"/>
      <c r="Q1687" s="124"/>
      <c r="R1687" s="124"/>
      <c r="S1687" s="124"/>
      <c r="T1687" s="124"/>
      <c r="U1687" s="124"/>
      <c r="V1687" s="124"/>
      <c r="W1687" s="124"/>
      <c r="X1687" s="124"/>
      <c r="Y1687" s="124"/>
    </row>
    <row r="1688">
      <c r="A1688" s="125"/>
      <c r="B1688" s="126"/>
      <c r="C1688" s="127"/>
      <c r="D1688" s="124"/>
      <c r="E1688" s="124"/>
      <c r="F1688" s="124"/>
      <c r="G1688" s="124"/>
      <c r="H1688" s="124"/>
      <c r="I1688" s="124"/>
      <c r="J1688" s="124"/>
      <c r="K1688" s="124"/>
      <c r="L1688" s="124"/>
      <c r="M1688" s="124"/>
      <c r="N1688" s="124"/>
      <c r="O1688" s="124"/>
      <c r="P1688" s="124"/>
      <c r="Q1688" s="124"/>
      <c r="R1688" s="124"/>
      <c r="S1688" s="124"/>
      <c r="T1688" s="124"/>
      <c r="U1688" s="124"/>
      <c r="V1688" s="124"/>
      <c r="W1688" s="124"/>
      <c r="X1688" s="124"/>
      <c r="Y1688" s="124"/>
    </row>
    <row r="1689">
      <c r="A1689" s="125"/>
      <c r="B1689" s="126"/>
      <c r="C1689" s="127"/>
      <c r="D1689" s="124"/>
      <c r="E1689" s="124"/>
      <c r="F1689" s="124"/>
      <c r="G1689" s="124"/>
      <c r="H1689" s="124"/>
      <c r="I1689" s="124"/>
      <c r="J1689" s="124"/>
      <c r="K1689" s="124"/>
      <c r="L1689" s="124"/>
      <c r="M1689" s="124"/>
      <c r="N1689" s="124"/>
      <c r="O1689" s="124"/>
      <c r="P1689" s="124"/>
      <c r="Q1689" s="124"/>
      <c r="R1689" s="124"/>
      <c r="S1689" s="124"/>
      <c r="T1689" s="124"/>
      <c r="U1689" s="124"/>
      <c r="V1689" s="124"/>
      <c r="W1689" s="124"/>
      <c r="X1689" s="124"/>
      <c r="Y1689" s="124"/>
    </row>
    <row r="1690">
      <c r="A1690" s="125"/>
      <c r="B1690" s="126"/>
      <c r="C1690" s="127"/>
      <c r="D1690" s="124"/>
      <c r="E1690" s="124"/>
      <c r="F1690" s="124"/>
      <c r="G1690" s="124"/>
      <c r="H1690" s="124"/>
      <c r="I1690" s="124"/>
      <c r="J1690" s="124"/>
      <c r="K1690" s="124"/>
      <c r="L1690" s="124"/>
      <c r="M1690" s="124"/>
      <c r="N1690" s="124"/>
      <c r="O1690" s="124"/>
      <c r="P1690" s="124"/>
      <c r="Q1690" s="124"/>
      <c r="R1690" s="124"/>
      <c r="S1690" s="124"/>
      <c r="T1690" s="124"/>
      <c r="U1690" s="124"/>
      <c r="V1690" s="124"/>
      <c r="W1690" s="124"/>
      <c r="X1690" s="124"/>
      <c r="Y1690" s="124"/>
    </row>
    <row r="1691">
      <c r="A1691" s="125"/>
      <c r="B1691" s="126"/>
      <c r="C1691" s="127"/>
      <c r="D1691" s="124"/>
      <c r="E1691" s="124"/>
      <c r="F1691" s="124"/>
      <c r="G1691" s="124"/>
      <c r="H1691" s="124"/>
      <c r="I1691" s="124"/>
      <c r="J1691" s="124"/>
      <c r="K1691" s="124"/>
      <c r="L1691" s="124"/>
      <c r="M1691" s="124"/>
      <c r="N1691" s="124"/>
      <c r="O1691" s="124"/>
      <c r="P1691" s="124"/>
      <c r="Q1691" s="124"/>
      <c r="R1691" s="124"/>
      <c r="S1691" s="124"/>
      <c r="T1691" s="124"/>
      <c r="U1691" s="124"/>
      <c r="V1691" s="124"/>
      <c r="W1691" s="124"/>
      <c r="X1691" s="124"/>
      <c r="Y1691" s="124"/>
    </row>
    <row r="1692">
      <c r="A1692" s="125"/>
      <c r="B1692" s="126"/>
      <c r="C1692" s="127"/>
      <c r="D1692" s="124"/>
      <c r="E1692" s="124"/>
      <c r="F1692" s="124"/>
      <c r="G1692" s="124"/>
      <c r="H1692" s="124"/>
      <c r="I1692" s="124"/>
      <c r="J1692" s="124"/>
      <c r="K1692" s="124"/>
      <c r="L1692" s="124"/>
      <c r="M1692" s="124"/>
      <c r="N1692" s="124"/>
      <c r="O1692" s="124"/>
      <c r="P1692" s="124"/>
      <c r="Q1692" s="124"/>
      <c r="R1692" s="124"/>
      <c r="S1692" s="124"/>
      <c r="T1692" s="124"/>
      <c r="U1692" s="124"/>
      <c r="V1692" s="124"/>
      <c r="W1692" s="124"/>
      <c r="X1692" s="124"/>
      <c r="Y1692" s="124"/>
    </row>
    <row r="1693">
      <c r="A1693" s="125"/>
      <c r="B1693" s="126"/>
      <c r="C1693" s="127"/>
      <c r="D1693" s="124"/>
      <c r="E1693" s="124"/>
      <c r="F1693" s="124"/>
      <c r="G1693" s="124"/>
      <c r="H1693" s="124"/>
      <c r="I1693" s="124"/>
      <c r="J1693" s="124"/>
      <c r="K1693" s="124"/>
      <c r="L1693" s="124"/>
      <c r="M1693" s="124"/>
      <c r="N1693" s="124"/>
      <c r="O1693" s="124"/>
      <c r="P1693" s="124"/>
      <c r="Q1693" s="124"/>
      <c r="R1693" s="124"/>
      <c r="S1693" s="124"/>
      <c r="T1693" s="124"/>
      <c r="U1693" s="124"/>
      <c r="V1693" s="124"/>
      <c r="W1693" s="124"/>
      <c r="X1693" s="124"/>
      <c r="Y1693" s="124"/>
    </row>
    <row r="1694">
      <c r="A1694" s="125"/>
      <c r="B1694" s="126"/>
      <c r="C1694" s="127"/>
      <c r="D1694" s="124"/>
      <c r="E1694" s="124"/>
      <c r="F1694" s="124"/>
      <c r="G1694" s="124"/>
      <c r="H1694" s="124"/>
      <c r="I1694" s="124"/>
      <c r="J1694" s="124"/>
      <c r="K1694" s="124"/>
      <c r="L1694" s="124"/>
      <c r="M1694" s="124"/>
      <c r="N1694" s="124"/>
      <c r="O1694" s="124"/>
      <c r="P1694" s="124"/>
      <c r="Q1694" s="124"/>
      <c r="R1694" s="124"/>
      <c r="S1694" s="124"/>
      <c r="T1694" s="124"/>
      <c r="U1694" s="124"/>
      <c r="V1694" s="124"/>
      <c r="W1694" s="124"/>
      <c r="X1694" s="124"/>
      <c r="Y1694" s="124"/>
    </row>
    <row r="1695">
      <c r="A1695" s="125"/>
      <c r="B1695" s="126"/>
      <c r="C1695" s="127"/>
      <c r="D1695" s="124"/>
      <c r="E1695" s="124"/>
      <c r="F1695" s="124"/>
      <c r="G1695" s="124"/>
      <c r="H1695" s="124"/>
      <c r="I1695" s="124"/>
      <c r="J1695" s="124"/>
      <c r="K1695" s="124"/>
      <c r="L1695" s="124"/>
      <c r="M1695" s="124"/>
      <c r="N1695" s="124"/>
      <c r="O1695" s="124"/>
      <c r="P1695" s="124"/>
      <c r="Q1695" s="124"/>
      <c r="R1695" s="124"/>
      <c r="S1695" s="124"/>
      <c r="T1695" s="124"/>
      <c r="U1695" s="124"/>
      <c r="V1695" s="124"/>
      <c r="W1695" s="124"/>
      <c r="X1695" s="124"/>
      <c r="Y1695" s="124"/>
    </row>
    <row r="1696">
      <c r="A1696" s="125"/>
      <c r="B1696" s="126"/>
      <c r="C1696" s="127"/>
      <c r="D1696" s="124"/>
      <c r="E1696" s="124"/>
      <c r="F1696" s="124"/>
      <c r="G1696" s="124"/>
      <c r="H1696" s="124"/>
      <c r="I1696" s="124"/>
      <c r="J1696" s="124"/>
      <c r="K1696" s="124"/>
      <c r="L1696" s="124"/>
      <c r="M1696" s="124"/>
      <c r="N1696" s="124"/>
      <c r="O1696" s="124"/>
      <c r="P1696" s="124"/>
      <c r="Q1696" s="124"/>
      <c r="R1696" s="124"/>
      <c r="S1696" s="124"/>
      <c r="T1696" s="124"/>
      <c r="U1696" s="124"/>
      <c r="V1696" s="124"/>
      <c r="W1696" s="124"/>
      <c r="X1696" s="124"/>
      <c r="Y1696" s="124"/>
    </row>
    <row r="1697">
      <c r="A1697" s="125"/>
      <c r="B1697" s="126"/>
      <c r="C1697" s="127"/>
      <c r="D1697" s="124"/>
      <c r="E1697" s="124"/>
      <c r="F1697" s="124"/>
      <c r="G1697" s="124"/>
      <c r="H1697" s="124"/>
      <c r="I1697" s="124"/>
      <c r="J1697" s="124"/>
      <c r="K1697" s="124"/>
      <c r="L1697" s="124"/>
      <c r="M1697" s="124"/>
      <c r="N1697" s="124"/>
      <c r="O1697" s="124"/>
      <c r="P1697" s="124"/>
      <c r="Q1697" s="124"/>
      <c r="R1697" s="124"/>
      <c r="S1697" s="124"/>
      <c r="T1697" s="124"/>
      <c r="U1697" s="124"/>
      <c r="V1697" s="124"/>
      <c r="W1697" s="124"/>
      <c r="X1697" s="124"/>
      <c r="Y1697" s="124"/>
    </row>
    <row r="1698">
      <c r="A1698" s="125"/>
      <c r="B1698" s="126"/>
      <c r="C1698" s="127"/>
      <c r="D1698" s="124"/>
      <c r="E1698" s="124"/>
      <c r="F1698" s="124"/>
      <c r="G1698" s="124"/>
      <c r="H1698" s="124"/>
      <c r="I1698" s="124"/>
      <c r="J1698" s="124"/>
      <c r="K1698" s="124"/>
      <c r="L1698" s="124"/>
      <c r="M1698" s="124"/>
      <c r="N1698" s="124"/>
      <c r="O1698" s="124"/>
      <c r="P1698" s="124"/>
      <c r="Q1698" s="124"/>
      <c r="R1698" s="124"/>
      <c r="S1698" s="124"/>
      <c r="T1698" s="124"/>
      <c r="U1698" s="124"/>
      <c r="V1698" s="124"/>
      <c r="W1698" s="124"/>
      <c r="X1698" s="124"/>
      <c r="Y1698" s="124"/>
    </row>
    <row r="1699">
      <c r="A1699" s="125"/>
      <c r="B1699" s="126"/>
      <c r="C1699" s="127"/>
      <c r="D1699" s="124"/>
      <c r="E1699" s="124"/>
      <c r="F1699" s="124"/>
      <c r="G1699" s="124"/>
      <c r="H1699" s="124"/>
      <c r="I1699" s="124"/>
      <c r="J1699" s="124"/>
      <c r="K1699" s="124"/>
      <c r="L1699" s="124"/>
      <c r="M1699" s="124"/>
      <c r="N1699" s="124"/>
      <c r="O1699" s="124"/>
      <c r="P1699" s="124"/>
      <c r="Q1699" s="124"/>
      <c r="R1699" s="124"/>
      <c r="S1699" s="124"/>
      <c r="T1699" s="124"/>
      <c r="U1699" s="124"/>
      <c r="V1699" s="124"/>
      <c r="W1699" s="124"/>
      <c r="X1699" s="124"/>
      <c r="Y1699" s="124"/>
    </row>
    <row r="1700">
      <c r="A1700" s="125"/>
      <c r="B1700" s="126"/>
      <c r="C1700" s="127"/>
      <c r="D1700" s="124"/>
      <c r="E1700" s="124"/>
      <c r="F1700" s="124"/>
      <c r="G1700" s="124"/>
      <c r="H1700" s="124"/>
      <c r="I1700" s="124"/>
      <c r="J1700" s="124"/>
      <c r="K1700" s="124"/>
      <c r="L1700" s="124"/>
      <c r="M1700" s="124"/>
      <c r="N1700" s="124"/>
      <c r="O1700" s="124"/>
      <c r="P1700" s="124"/>
      <c r="Q1700" s="124"/>
      <c r="R1700" s="124"/>
      <c r="S1700" s="124"/>
      <c r="T1700" s="124"/>
      <c r="U1700" s="124"/>
      <c r="V1700" s="124"/>
      <c r="W1700" s="124"/>
      <c r="X1700" s="124"/>
      <c r="Y1700" s="124"/>
    </row>
    <row r="1701">
      <c r="A1701" s="125"/>
      <c r="B1701" s="126"/>
      <c r="C1701" s="127"/>
      <c r="D1701" s="124"/>
      <c r="E1701" s="124"/>
      <c r="F1701" s="124"/>
      <c r="G1701" s="124"/>
      <c r="H1701" s="124"/>
      <c r="I1701" s="124"/>
      <c r="J1701" s="124"/>
      <c r="K1701" s="124"/>
      <c r="L1701" s="124"/>
      <c r="M1701" s="124"/>
      <c r="N1701" s="124"/>
      <c r="O1701" s="124"/>
      <c r="P1701" s="124"/>
      <c r="Q1701" s="124"/>
      <c r="R1701" s="124"/>
      <c r="S1701" s="124"/>
      <c r="T1701" s="124"/>
      <c r="U1701" s="124"/>
      <c r="V1701" s="124"/>
      <c r="W1701" s="124"/>
      <c r="X1701" s="124"/>
      <c r="Y1701" s="124"/>
    </row>
    <row r="1702">
      <c r="A1702" s="125"/>
      <c r="B1702" s="126"/>
      <c r="C1702" s="127"/>
      <c r="D1702" s="124"/>
      <c r="E1702" s="124"/>
      <c r="F1702" s="124"/>
      <c r="G1702" s="124"/>
      <c r="H1702" s="124"/>
      <c r="I1702" s="124"/>
      <c r="J1702" s="124"/>
      <c r="K1702" s="124"/>
      <c r="L1702" s="124"/>
      <c r="M1702" s="124"/>
      <c r="N1702" s="124"/>
      <c r="O1702" s="124"/>
      <c r="P1702" s="124"/>
      <c r="Q1702" s="124"/>
      <c r="R1702" s="124"/>
      <c r="S1702" s="124"/>
      <c r="T1702" s="124"/>
      <c r="U1702" s="124"/>
      <c r="V1702" s="124"/>
      <c r="W1702" s="124"/>
      <c r="X1702" s="124"/>
      <c r="Y1702" s="124"/>
    </row>
    <row r="1703">
      <c r="A1703" s="125"/>
      <c r="B1703" s="126"/>
      <c r="C1703" s="127"/>
      <c r="D1703" s="124"/>
      <c r="E1703" s="124"/>
      <c r="F1703" s="124"/>
      <c r="G1703" s="124"/>
      <c r="H1703" s="124"/>
      <c r="I1703" s="124"/>
      <c r="J1703" s="124"/>
      <c r="K1703" s="124"/>
      <c r="L1703" s="124"/>
      <c r="M1703" s="124"/>
      <c r="N1703" s="124"/>
      <c r="O1703" s="124"/>
      <c r="P1703" s="124"/>
      <c r="Q1703" s="124"/>
      <c r="R1703" s="124"/>
      <c r="S1703" s="124"/>
      <c r="T1703" s="124"/>
      <c r="U1703" s="124"/>
      <c r="V1703" s="124"/>
      <c r="W1703" s="124"/>
      <c r="X1703" s="124"/>
      <c r="Y1703" s="124"/>
    </row>
    <row r="1704">
      <c r="A1704" s="125"/>
      <c r="B1704" s="126"/>
      <c r="C1704" s="127"/>
      <c r="D1704" s="124"/>
      <c r="E1704" s="124"/>
      <c r="F1704" s="124"/>
      <c r="G1704" s="124"/>
      <c r="H1704" s="124"/>
      <c r="I1704" s="124"/>
      <c r="J1704" s="124"/>
      <c r="K1704" s="124"/>
      <c r="L1704" s="124"/>
      <c r="M1704" s="124"/>
      <c r="N1704" s="124"/>
      <c r="O1704" s="124"/>
      <c r="P1704" s="124"/>
      <c r="Q1704" s="124"/>
      <c r="R1704" s="124"/>
      <c r="S1704" s="124"/>
      <c r="T1704" s="124"/>
      <c r="U1704" s="124"/>
      <c r="V1704" s="124"/>
      <c r="W1704" s="124"/>
      <c r="X1704" s="124"/>
      <c r="Y1704" s="124"/>
    </row>
    <row r="1705">
      <c r="A1705" s="125"/>
      <c r="B1705" s="126"/>
      <c r="C1705" s="127"/>
      <c r="D1705" s="124"/>
      <c r="E1705" s="124"/>
      <c r="F1705" s="124"/>
      <c r="G1705" s="124"/>
      <c r="H1705" s="124"/>
      <c r="I1705" s="124"/>
      <c r="J1705" s="124"/>
      <c r="K1705" s="124"/>
      <c r="L1705" s="124"/>
      <c r="M1705" s="124"/>
      <c r="N1705" s="124"/>
      <c r="O1705" s="124"/>
      <c r="P1705" s="124"/>
      <c r="Q1705" s="124"/>
      <c r="R1705" s="124"/>
      <c r="S1705" s="124"/>
      <c r="T1705" s="124"/>
      <c r="U1705" s="124"/>
      <c r="V1705" s="124"/>
      <c r="W1705" s="124"/>
      <c r="X1705" s="124"/>
      <c r="Y1705" s="124"/>
    </row>
    <row r="1706">
      <c r="A1706" s="125"/>
      <c r="B1706" s="126"/>
      <c r="C1706" s="127"/>
      <c r="D1706" s="124"/>
      <c r="E1706" s="124"/>
      <c r="F1706" s="124"/>
      <c r="G1706" s="124"/>
      <c r="H1706" s="124"/>
      <c r="I1706" s="124"/>
      <c r="J1706" s="124"/>
      <c r="K1706" s="124"/>
      <c r="L1706" s="124"/>
      <c r="M1706" s="124"/>
      <c r="N1706" s="124"/>
      <c r="O1706" s="124"/>
      <c r="P1706" s="124"/>
      <c r="Q1706" s="124"/>
      <c r="R1706" s="124"/>
      <c r="S1706" s="124"/>
      <c r="T1706" s="124"/>
      <c r="U1706" s="124"/>
      <c r="V1706" s="124"/>
      <c r="W1706" s="124"/>
      <c r="X1706" s="124"/>
      <c r="Y1706" s="124"/>
    </row>
    <row r="1707">
      <c r="A1707" s="125"/>
      <c r="B1707" s="126"/>
      <c r="C1707" s="127"/>
      <c r="D1707" s="124"/>
      <c r="E1707" s="124"/>
      <c r="F1707" s="124"/>
      <c r="G1707" s="124"/>
      <c r="H1707" s="124"/>
      <c r="I1707" s="124"/>
      <c r="J1707" s="124"/>
      <c r="K1707" s="124"/>
      <c r="L1707" s="124"/>
      <c r="M1707" s="124"/>
      <c r="N1707" s="124"/>
      <c r="O1707" s="124"/>
      <c r="P1707" s="124"/>
      <c r="Q1707" s="124"/>
      <c r="R1707" s="124"/>
      <c r="S1707" s="124"/>
      <c r="T1707" s="124"/>
      <c r="U1707" s="124"/>
      <c r="V1707" s="124"/>
      <c r="W1707" s="124"/>
      <c r="X1707" s="124"/>
      <c r="Y1707" s="124"/>
    </row>
    <row r="1708">
      <c r="A1708" s="125"/>
      <c r="B1708" s="126"/>
      <c r="C1708" s="127"/>
      <c r="D1708" s="124"/>
      <c r="E1708" s="124"/>
      <c r="F1708" s="124"/>
      <c r="G1708" s="124"/>
      <c r="H1708" s="124"/>
      <c r="I1708" s="124"/>
      <c r="J1708" s="124"/>
      <c r="K1708" s="124"/>
      <c r="L1708" s="124"/>
      <c r="M1708" s="124"/>
      <c r="N1708" s="124"/>
      <c r="O1708" s="124"/>
      <c r="P1708" s="124"/>
      <c r="Q1708" s="124"/>
      <c r="R1708" s="124"/>
      <c r="S1708" s="124"/>
      <c r="T1708" s="124"/>
      <c r="U1708" s="124"/>
      <c r="V1708" s="124"/>
      <c r="W1708" s="124"/>
      <c r="X1708" s="124"/>
      <c r="Y1708" s="124"/>
    </row>
    <row r="1709">
      <c r="A1709" s="125"/>
      <c r="B1709" s="126"/>
      <c r="C1709" s="127"/>
      <c r="D1709" s="124"/>
      <c r="E1709" s="124"/>
      <c r="F1709" s="124"/>
      <c r="G1709" s="124"/>
      <c r="H1709" s="124"/>
      <c r="I1709" s="124"/>
      <c r="J1709" s="124"/>
      <c r="K1709" s="124"/>
      <c r="L1709" s="124"/>
      <c r="M1709" s="124"/>
      <c r="N1709" s="124"/>
      <c r="O1709" s="124"/>
      <c r="P1709" s="124"/>
      <c r="Q1709" s="124"/>
      <c r="R1709" s="124"/>
      <c r="S1709" s="124"/>
      <c r="T1709" s="124"/>
      <c r="U1709" s="124"/>
      <c r="V1709" s="124"/>
      <c r="W1709" s="124"/>
      <c r="X1709" s="124"/>
      <c r="Y1709" s="124"/>
    </row>
    <row r="1710">
      <c r="A1710" s="125"/>
      <c r="B1710" s="126"/>
      <c r="C1710" s="127"/>
      <c r="D1710" s="124"/>
      <c r="E1710" s="124"/>
      <c r="F1710" s="124"/>
      <c r="G1710" s="124"/>
      <c r="H1710" s="124"/>
      <c r="I1710" s="124"/>
      <c r="J1710" s="124"/>
      <c r="K1710" s="124"/>
      <c r="L1710" s="124"/>
      <c r="M1710" s="124"/>
      <c r="N1710" s="124"/>
      <c r="O1710" s="124"/>
      <c r="P1710" s="124"/>
      <c r="Q1710" s="124"/>
      <c r="R1710" s="124"/>
      <c r="S1710" s="124"/>
      <c r="T1710" s="124"/>
      <c r="U1710" s="124"/>
      <c r="V1710" s="124"/>
      <c r="W1710" s="124"/>
      <c r="X1710" s="124"/>
      <c r="Y1710" s="124"/>
    </row>
    <row r="1711">
      <c r="A1711" s="125"/>
      <c r="B1711" s="126"/>
      <c r="C1711" s="127"/>
      <c r="D1711" s="124"/>
      <c r="E1711" s="124"/>
      <c r="F1711" s="124"/>
      <c r="G1711" s="124"/>
      <c r="H1711" s="124"/>
      <c r="I1711" s="124"/>
      <c r="J1711" s="124"/>
      <c r="K1711" s="124"/>
      <c r="L1711" s="124"/>
      <c r="M1711" s="124"/>
      <c r="N1711" s="124"/>
      <c r="O1711" s="124"/>
      <c r="P1711" s="124"/>
      <c r="Q1711" s="124"/>
      <c r="R1711" s="124"/>
      <c r="S1711" s="124"/>
      <c r="T1711" s="124"/>
      <c r="U1711" s="124"/>
      <c r="V1711" s="124"/>
      <c r="W1711" s="124"/>
      <c r="X1711" s="124"/>
      <c r="Y1711" s="124"/>
    </row>
    <row r="1712">
      <c r="A1712" s="125"/>
      <c r="B1712" s="126"/>
      <c r="C1712" s="127"/>
      <c r="D1712" s="124"/>
      <c r="E1712" s="124"/>
      <c r="F1712" s="124"/>
      <c r="G1712" s="124"/>
      <c r="H1712" s="124"/>
      <c r="I1712" s="124"/>
      <c r="J1712" s="124"/>
      <c r="K1712" s="124"/>
      <c r="L1712" s="124"/>
      <c r="M1712" s="124"/>
      <c r="N1712" s="124"/>
      <c r="O1712" s="124"/>
      <c r="P1712" s="124"/>
      <c r="Q1712" s="124"/>
      <c r="R1712" s="124"/>
      <c r="S1712" s="124"/>
      <c r="T1712" s="124"/>
      <c r="U1712" s="124"/>
      <c r="V1712" s="124"/>
      <c r="W1712" s="124"/>
      <c r="X1712" s="124"/>
      <c r="Y1712" s="124"/>
    </row>
    <row r="1713">
      <c r="A1713" s="125"/>
      <c r="B1713" s="126"/>
      <c r="C1713" s="127"/>
      <c r="D1713" s="124"/>
      <c r="E1713" s="124"/>
      <c r="F1713" s="124"/>
      <c r="G1713" s="124"/>
      <c r="H1713" s="124"/>
      <c r="I1713" s="124"/>
      <c r="J1713" s="124"/>
      <c r="K1713" s="124"/>
      <c r="L1713" s="124"/>
      <c r="M1713" s="124"/>
      <c r="N1713" s="124"/>
      <c r="O1713" s="124"/>
      <c r="P1713" s="124"/>
      <c r="Q1713" s="124"/>
      <c r="R1713" s="124"/>
      <c r="S1713" s="124"/>
      <c r="T1713" s="124"/>
      <c r="U1713" s="124"/>
      <c r="V1713" s="124"/>
      <c r="W1713" s="124"/>
      <c r="X1713" s="124"/>
      <c r="Y1713" s="124"/>
    </row>
    <row r="1714">
      <c r="A1714" s="125"/>
      <c r="B1714" s="126"/>
      <c r="C1714" s="127"/>
      <c r="D1714" s="124"/>
      <c r="E1714" s="124"/>
      <c r="F1714" s="124"/>
      <c r="G1714" s="124"/>
      <c r="H1714" s="124"/>
      <c r="I1714" s="124"/>
      <c r="J1714" s="124"/>
      <c r="K1714" s="124"/>
      <c r="L1714" s="124"/>
      <c r="M1714" s="124"/>
      <c r="N1714" s="124"/>
      <c r="O1714" s="124"/>
      <c r="P1714" s="124"/>
      <c r="Q1714" s="124"/>
      <c r="R1714" s="124"/>
      <c r="S1714" s="124"/>
      <c r="T1714" s="124"/>
      <c r="U1714" s="124"/>
      <c r="V1714" s="124"/>
      <c r="W1714" s="124"/>
      <c r="X1714" s="124"/>
      <c r="Y1714" s="124"/>
    </row>
    <row r="1715">
      <c r="A1715" s="125"/>
      <c r="B1715" s="126"/>
      <c r="C1715" s="127"/>
      <c r="D1715" s="124"/>
      <c r="E1715" s="124"/>
      <c r="F1715" s="124"/>
      <c r="G1715" s="124"/>
      <c r="H1715" s="124"/>
      <c r="I1715" s="124"/>
      <c r="J1715" s="124"/>
      <c r="K1715" s="124"/>
      <c r="L1715" s="124"/>
      <c r="M1715" s="124"/>
      <c r="N1715" s="124"/>
      <c r="O1715" s="124"/>
      <c r="P1715" s="124"/>
      <c r="Q1715" s="124"/>
      <c r="R1715" s="124"/>
      <c r="S1715" s="124"/>
      <c r="T1715" s="124"/>
      <c r="U1715" s="124"/>
      <c r="V1715" s="124"/>
      <c r="W1715" s="124"/>
      <c r="X1715" s="124"/>
      <c r="Y1715" s="124"/>
    </row>
    <row r="1716">
      <c r="A1716" s="125"/>
      <c r="B1716" s="126"/>
      <c r="C1716" s="127"/>
      <c r="D1716" s="124"/>
      <c r="E1716" s="124"/>
      <c r="F1716" s="124"/>
      <c r="G1716" s="124"/>
      <c r="H1716" s="124"/>
      <c r="I1716" s="124"/>
      <c r="J1716" s="124"/>
      <c r="K1716" s="124"/>
      <c r="L1716" s="124"/>
      <c r="M1716" s="124"/>
      <c r="N1716" s="124"/>
      <c r="O1716" s="124"/>
      <c r="P1716" s="124"/>
      <c r="Q1716" s="124"/>
      <c r="R1716" s="124"/>
      <c r="S1716" s="124"/>
      <c r="T1716" s="124"/>
      <c r="U1716" s="124"/>
      <c r="V1716" s="124"/>
      <c r="W1716" s="124"/>
      <c r="X1716" s="124"/>
      <c r="Y1716" s="124"/>
    </row>
    <row r="1717">
      <c r="A1717" s="125"/>
      <c r="B1717" s="126"/>
      <c r="C1717" s="127"/>
      <c r="D1717" s="124"/>
      <c r="E1717" s="124"/>
      <c r="F1717" s="124"/>
      <c r="G1717" s="124"/>
      <c r="H1717" s="124"/>
      <c r="I1717" s="124"/>
      <c r="J1717" s="124"/>
      <c r="K1717" s="124"/>
      <c r="L1717" s="124"/>
      <c r="M1717" s="124"/>
      <c r="N1717" s="124"/>
      <c r="O1717" s="124"/>
      <c r="P1717" s="124"/>
      <c r="Q1717" s="124"/>
      <c r="R1717" s="124"/>
      <c r="S1717" s="124"/>
      <c r="T1717" s="124"/>
      <c r="U1717" s="124"/>
      <c r="V1717" s="124"/>
      <c r="W1717" s="124"/>
      <c r="X1717" s="124"/>
      <c r="Y1717" s="124"/>
    </row>
    <row r="1718">
      <c r="A1718" s="125"/>
      <c r="B1718" s="126"/>
      <c r="C1718" s="127"/>
      <c r="D1718" s="124"/>
      <c r="E1718" s="124"/>
      <c r="F1718" s="124"/>
      <c r="G1718" s="124"/>
      <c r="H1718" s="124"/>
      <c r="I1718" s="124"/>
      <c r="J1718" s="124"/>
      <c r="K1718" s="124"/>
      <c r="L1718" s="124"/>
      <c r="M1718" s="124"/>
      <c r="N1718" s="124"/>
      <c r="O1718" s="124"/>
      <c r="P1718" s="124"/>
      <c r="Q1718" s="124"/>
      <c r="R1718" s="124"/>
      <c r="S1718" s="124"/>
      <c r="T1718" s="124"/>
      <c r="U1718" s="124"/>
      <c r="V1718" s="124"/>
      <c r="W1718" s="124"/>
      <c r="X1718" s="124"/>
      <c r="Y1718" s="124"/>
    </row>
    <row r="1719">
      <c r="A1719" s="125"/>
      <c r="B1719" s="126"/>
      <c r="C1719" s="127"/>
      <c r="D1719" s="124"/>
      <c r="E1719" s="124"/>
      <c r="F1719" s="124"/>
      <c r="G1719" s="124"/>
      <c r="H1719" s="124"/>
      <c r="I1719" s="124"/>
      <c r="J1719" s="124"/>
      <c r="K1719" s="124"/>
      <c r="L1719" s="124"/>
      <c r="M1719" s="124"/>
      <c r="N1719" s="124"/>
      <c r="O1719" s="124"/>
      <c r="P1719" s="124"/>
      <c r="Q1719" s="124"/>
      <c r="R1719" s="124"/>
      <c r="S1719" s="124"/>
      <c r="T1719" s="124"/>
      <c r="U1719" s="124"/>
      <c r="V1719" s="124"/>
      <c r="W1719" s="124"/>
      <c r="X1719" s="124"/>
      <c r="Y1719" s="124"/>
    </row>
    <row r="1720">
      <c r="A1720" s="125"/>
      <c r="B1720" s="126"/>
      <c r="C1720" s="127"/>
      <c r="D1720" s="124"/>
      <c r="E1720" s="124"/>
      <c r="F1720" s="124"/>
      <c r="G1720" s="124"/>
      <c r="H1720" s="124"/>
      <c r="I1720" s="124"/>
      <c r="J1720" s="124"/>
      <c r="K1720" s="124"/>
      <c r="L1720" s="124"/>
      <c r="M1720" s="124"/>
      <c r="N1720" s="124"/>
      <c r="O1720" s="124"/>
      <c r="P1720" s="124"/>
      <c r="Q1720" s="124"/>
      <c r="R1720" s="124"/>
      <c r="S1720" s="124"/>
      <c r="T1720" s="124"/>
      <c r="U1720" s="124"/>
      <c r="V1720" s="124"/>
      <c r="W1720" s="124"/>
      <c r="X1720" s="124"/>
      <c r="Y1720" s="124"/>
    </row>
    <row r="1721">
      <c r="A1721" s="125"/>
      <c r="B1721" s="126"/>
      <c r="C1721" s="127"/>
      <c r="D1721" s="124"/>
      <c r="E1721" s="124"/>
      <c r="F1721" s="124"/>
      <c r="G1721" s="124"/>
      <c r="H1721" s="124"/>
      <c r="I1721" s="124"/>
      <c r="J1721" s="124"/>
      <c r="K1721" s="124"/>
      <c r="L1721" s="124"/>
      <c r="M1721" s="124"/>
      <c r="N1721" s="124"/>
      <c r="O1721" s="124"/>
      <c r="P1721" s="124"/>
      <c r="Q1721" s="124"/>
      <c r="R1721" s="124"/>
      <c r="S1721" s="124"/>
      <c r="T1721" s="124"/>
      <c r="U1721" s="124"/>
      <c r="V1721" s="124"/>
      <c r="W1721" s="124"/>
      <c r="X1721" s="124"/>
      <c r="Y1721" s="124"/>
    </row>
    <row r="1722">
      <c r="A1722" s="125"/>
      <c r="B1722" s="126"/>
      <c r="C1722" s="127"/>
      <c r="D1722" s="124"/>
      <c r="E1722" s="124"/>
      <c r="F1722" s="124"/>
      <c r="G1722" s="124"/>
      <c r="H1722" s="124"/>
      <c r="I1722" s="124"/>
      <c r="J1722" s="124"/>
      <c r="K1722" s="124"/>
      <c r="L1722" s="124"/>
      <c r="M1722" s="124"/>
      <c r="N1722" s="124"/>
      <c r="O1722" s="124"/>
      <c r="P1722" s="124"/>
      <c r="Q1722" s="124"/>
      <c r="R1722" s="124"/>
      <c r="S1722" s="124"/>
      <c r="T1722" s="124"/>
      <c r="U1722" s="124"/>
      <c r="V1722" s="124"/>
      <c r="W1722" s="124"/>
      <c r="X1722" s="124"/>
      <c r="Y1722" s="124"/>
    </row>
    <row r="1723">
      <c r="A1723" s="125"/>
      <c r="B1723" s="126"/>
      <c r="C1723" s="127"/>
      <c r="D1723" s="124"/>
      <c r="E1723" s="124"/>
      <c r="F1723" s="124"/>
      <c r="G1723" s="124"/>
      <c r="H1723" s="124"/>
      <c r="I1723" s="124"/>
      <c r="J1723" s="124"/>
      <c r="K1723" s="124"/>
      <c r="L1723" s="124"/>
      <c r="M1723" s="124"/>
      <c r="N1723" s="124"/>
      <c r="O1723" s="124"/>
      <c r="P1723" s="124"/>
      <c r="Q1723" s="124"/>
      <c r="R1723" s="124"/>
      <c r="S1723" s="124"/>
      <c r="T1723" s="124"/>
      <c r="U1723" s="124"/>
      <c r="V1723" s="124"/>
      <c r="W1723" s="124"/>
      <c r="X1723" s="124"/>
      <c r="Y1723" s="124"/>
    </row>
    <row r="1724">
      <c r="A1724" s="125"/>
      <c r="B1724" s="126"/>
      <c r="C1724" s="127"/>
      <c r="D1724" s="124"/>
      <c r="E1724" s="124"/>
      <c r="F1724" s="124"/>
      <c r="G1724" s="124"/>
      <c r="H1724" s="124"/>
      <c r="I1724" s="124"/>
      <c r="J1724" s="124"/>
      <c r="K1724" s="124"/>
      <c r="L1724" s="124"/>
      <c r="M1724" s="124"/>
      <c r="N1724" s="124"/>
      <c r="O1724" s="124"/>
      <c r="P1724" s="124"/>
      <c r="Q1724" s="124"/>
      <c r="R1724" s="124"/>
      <c r="S1724" s="124"/>
      <c r="T1724" s="124"/>
      <c r="U1724" s="124"/>
      <c r="V1724" s="124"/>
      <c r="W1724" s="124"/>
      <c r="X1724" s="124"/>
      <c r="Y1724" s="124"/>
    </row>
    <row r="1725">
      <c r="A1725" s="125"/>
      <c r="B1725" s="126"/>
      <c r="C1725" s="127"/>
      <c r="D1725" s="124"/>
      <c r="E1725" s="124"/>
      <c r="F1725" s="124"/>
      <c r="G1725" s="124"/>
      <c r="H1725" s="124"/>
      <c r="I1725" s="124"/>
      <c r="J1725" s="124"/>
      <c r="K1725" s="124"/>
      <c r="L1725" s="124"/>
      <c r="M1725" s="124"/>
      <c r="N1725" s="124"/>
      <c r="O1725" s="124"/>
      <c r="P1725" s="124"/>
      <c r="Q1725" s="124"/>
      <c r="R1725" s="124"/>
      <c r="S1725" s="124"/>
      <c r="T1725" s="124"/>
      <c r="U1725" s="124"/>
      <c r="V1725" s="124"/>
      <c r="W1725" s="124"/>
      <c r="X1725" s="124"/>
      <c r="Y1725" s="124"/>
    </row>
    <row r="1726">
      <c r="A1726" s="125"/>
      <c r="B1726" s="126"/>
      <c r="C1726" s="127"/>
      <c r="D1726" s="124"/>
      <c r="E1726" s="124"/>
      <c r="F1726" s="124"/>
      <c r="G1726" s="124"/>
      <c r="H1726" s="124"/>
      <c r="I1726" s="124"/>
      <c r="J1726" s="124"/>
      <c r="K1726" s="124"/>
      <c r="L1726" s="124"/>
      <c r="M1726" s="124"/>
      <c r="N1726" s="124"/>
      <c r="O1726" s="124"/>
      <c r="P1726" s="124"/>
      <c r="Q1726" s="124"/>
      <c r="R1726" s="124"/>
      <c r="S1726" s="124"/>
      <c r="T1726" s="124"/>
      <c r="U1726" s="124"/>
      <c r="V1726" s="124"/>
      <c r="W1726" s="124"/>
      <c r="X1726" s="124"/>
      <c r="Y1726" s="124"/>
    </row>
    <row r="1727">
      <c r="A1727" s="125"/>
      <c r="B1727" s="126"/>
      <c r="C1727" s="127"/>
      <c r="D1727" s="124"/>
      <c r="E1727" s="124"/>
      <c r="F1727" s="124"/>
      <c r="G1727" s="124"/>
      <c r="H1727" s="124"/>
      <c r="I1727" s="124"/>
      <c r="J1727" s="124"/>
      <c r="K1727" s="124"/>
      <c r="L1727" s="124"/>
      <c r="M1727" s="124"/>
      <c r="N1727" s="124"/>
      <c r="O1727" s="124"/>
      <c r="P1727" s="124"/>
      <c r="Q1727" s="124"/>
      <c r="R1727" s="124"/>
      <c r="S1727" s="124"/>
      <c r="T1727" s="124"/>
      <c r="U1727" s="124"/>
      <c r="V1727" s="124"/>
      <c r="W1727" s="124"/>
      <c r="X1727" s="124"/>
      <c r="Y1727" s="124"/>
    </row>
    <row r="1728">
      <c r="A1728" s="125"/>
      <c r="B1728" s="126"/>
      <c r="C1728" s="127"/>
      <c r="D1728" s="124"/>
      <c r="E1728" s="124"/>
      <c r="F1728" s="124"/>
      <c r="G1728" s="124"/>
      <c r="H1728" s="124"/>
      <c r="I1728" s="124"/>
      <c r="J1728" s="124"/>
      <c r="K1728" s="124"/>
      <c r="L1728" s="124"/>
      <c r="M1728" s="124"/>
      <c r="N1728" s="124"/>
      <c r="O1728" s="124"/>
      <c r="P1728" s="124"/>
      <c r="Q1728" s="124"/>
      <c r="R1728" s="124"/>
      <c r="S1728" s="124"/>
      <c r="T1728" s="124"/>
      <c r="U1728" s="124"/>
      <c r="V1728" s="124"/>
      <c r="W1728" s="124"/>
      <c r="X1728" s="124"/>
      <c r="Y1728" s="124"/>
    </row>
    <row r="1729">
      <c r="A1729" s="125"/>
      <c r="B1729" s="126"/>
      <c r="C1729" s="127"/>
      <c r="D1729" s="124"/>
      <c r="E1729" s="124"/>
      <c r="F1729" s="124"/>
      <c r="G1729" s="124"/>
      <c r="H1729" s="124"/>
      <c r="I1729" s="124"/>
      <c r="J1729" s="124"/>
      <c r="K1729" s="124"/>
      <c r="L1729" s="124"/>
      <c r="M1729" s="124"/>
      <c r="N1729" s="124"/>
      <c r="O1729" s="124"/>
      <c r="P1729" s="124"/>
      <c r="Q1729" s="124"/>
      <c r="R1729" s="124"/>
      <c r="S1729" s="124"/>
      <c r="T1729" s="124"/>
      <c r="U1729" s="124"/>
      <c r="V1729" s="124"/>
      <c r="W1729" s="124"/>
      <c r="X1729" s="124"/>
      <c r="Y1729" s="124"/>
    </row>
    <row r="1730">
      <c r="A1730" s="125"/>
      <c r="B1730" s="126"/>
      <c r="C1730" s="127"/>
      <c r="D1730" s="124"/>
      <c r="E1730" s="124"/>
      <c r="F1730" s="124"/>
      <c r="G1730" s="124"/>
      <c r="H1730" s="124"/>
      <c r="I1730" s="124"/>
      <c r="J1730" s="124"/>
      <c r="K1730" s="124"/>
      <c r="L1730" s="124"/>
      <c r="M1730" s="124"/>
      <c r="N1730" s="124"/>
      <c r="O1730" s="124"/>
      <c r="P1730" s="124"/>
      <c r="Q1730" s="124"/>
      <c r="R1730" s="124"/>
      <c r="S1730" s="124"/>
      <c r="T1730" s="124"/>
      <c r="U1730" s="124"/>
      <c r="V1730" s="124"/>
      <c r="W1730" s="124"/>
      <c r="X1730" s="124"/>
      <c r="Y1730" s="124"/>
    </row>
    <row r="1731">
      <c r="A1731" s="125"/>
      <c r="B1731" s="126"/>
      <c r="C1731" s="127"/>
      <c r="D1731" s="124"/>
      <c r="E1731" s="124"/>
      <c r="F1731" s="124"/>
      <c r="G1731" s="124"/>
      <c r="H1731" s="124"/>
      <c r="I1731" s="124"/>
      <c r="J1731" s="124"/>
      <c r="K1731" s="124"/>
      <c r="L1731" s="124"/>
      <c r="M1731" s="124"/>
      <c r="N1731" s="124"/>
      <c r="O1731" s="124"/>
      <c r="P1731" s="124"/>
      <c r="Q1731" s="124"/>
      <c r="R1731" s="124"/>
      <c r="S1731" s="124"/>
      <c r="T1731" s="124"/>
      <c r="U1731" s="124"/>
      <c r="V1731" s="124"/>
      <c r="W1731" s="124"/>
      <c r="X1731" s="124"/>
      <c r="Y1731" s="124"/>
    </row>
    <row r="1732">
      <c r="A1732" s="125"/>
      <c r="B1732" s="126"/>
      <c r="C1732" s="127"/>
      <c r="D1732" s="124"/>
      <c r="E1732" s="124"/>
      <c r="F1732" s="124"/>
      <c r="G1732" s="124"/>
      <c r="H1732" s="124"/>
      <c r="I1732" s="124"/>
      <c r="J1732" s="124"/>
      <c r="K1732" s="124"/>
      <c r="L1732" s="124"/>
      <c r="M1732" s="124"/>
      <c r="N1732" s="124"/>
      <c r="O1732" s="124"/>
      <c r="P1732" s="124"/>
      <c r="Q1732" s="124"/>
      <c r="R1732" s="124"/>
      <c r="S1732" s="124"/>
      <c r="T1732" s="124"/>
      <c r="U1732" s="124"/>
      <c r="V1732" s="124"/>
      <c r="W1732" s="124"/>
      <c r="X1732" s="124"/>
      <c r="Y1732" s="124"/>
    </row>
    <row r="1733">
      <c r="A1733" s="125"/>
      <c r="B1733" s="126"/>
      <c r="C1733" s="127"/>
      <c r="D1733" s="124"/>
      <c r="E1733" s="124"/>
      <c r="F1733" s="124"/>
      <c r="G1733" s="124"/>
      <c r="H1733" s="124"/>
      <c r="I1733" s="124"/>
      <c r="J1733" s="124"/>
      <c r="K1733" s="124"/>
      <c r="L1733" s="124"/>
      <c r="M1733" s="124"/>
      <c r="N1733" s="124"/>
      <c r="O1733" s="124"/>
      <c r="P1733" s="124"/>
      <c r="Q1733" s="124"/>
      <c r="R1733" s="124"/>
      <c r="S1733" s="124"/>
      <c r="T1733" s="124"/>
      <c r="U1733" s="124"/>
      <c r="V1733" s="124"/>
      <c r="W1733" s="124"/>
      <c r="X1733" s="124"/>
      <c r="Y1733" s="124"/>
    </row>
    <row r="1734">
      <c r="A1734" s="125"/>
      <c r="B1734" s="126"/>
      <c r="C1734" s="127"/>
      <c r="D1734" s="124"/>
      <c r="E1734" s="124"/>
      <c r="F1734" s="124"/>
      <c r="G1734" s="124"/>
      <c r="H1734" s="124"/>
      <c r="I1734" s="124"/>
      <c r="J1734" s="124"/>
      <c r="K1734" s="124"/>
      <c r="L1734" s="124"/>
      <c r="M1734" s="124"/>
      <c r="N1734" s="124"/>
      <c r="O1734" s="124"/>
      <c r="P1734" s="124"/>
      <c r="Q1734" s="124"/>
      <c r="R1734" s="124"/>
      <c r="S1734" s="124"/>
      <c r="T1734" s="124"/>
      <c r="U1734" s="124"/>
      <c r="V1734" s="124"/>
      <c r="W1734" s="124"/>
      <c r="X1734" s="124"/>
      <c r="Y1734" s="124"/>
    </row>
    <row r="1735">
      <c r="A1735" s="125"/>
      <c r="B1735" s="126"/>
      <c r="C1735" s="127"/>
      <c r="D1735" s="124"/>
      <c r="E1735" s="124"/>
      <c r="F1735" s="124"/>
      <c r="G1735" s="124"/>
      <c r="H1735" s="124"/>
      <c r="I1735" s="124"/>
      <c r="J1735" s="124"/>
      <c r="K1735" s="124"/>
      <c r="L1735" s="124"/>
      <c r="M1735" s="124"/>
      <c r="N1735" s="124"/>
      <c r="O1735" s="124"/>
      <c r="P1735" s="124"/>
      <c r="Q1735" s="124"/>
      <c r="R1735" s="124"/>
      <c r="S1735" s="124"/>
      <c r="T1735" s="124"/>
      <c r="U1735" s="124"/>
      <c r="V1735" s="124"/>
      <c r="W1735" s="124"/>
      <c r="X1735" s="124"/>
      <c r="Y1735" s="124"/>
    </row>
    <row r="1736">
      <c r="A1736" s="125"/>
      <c r="B1736" s="126"/>
      <c r="C1736" s="127"/>
      <c r="D1736" s="124"/>
      <c r="E1736" s="124"/>
      <c r="F1736" s="124"/>
      <c r="G1736" s="124"/>
      <c r="H1736" s="124"/>
      <c r="I1736" s="124"/>
      <c r="J1736" s="124"/>
      <c r="K1736" s="124"/>
      <c r="L1736" s="124"/>
      <c r="M1736" s="124"/>
      <c r="N1736" s="124"/>
      <c r="O1736" s="124"/>
      <c r="P1736" s="124"/>
      <c r="Q1736" s="124"/>
      <c r="R1736" s="124"/>
      <c r="S1736" s="124"/>
      <c r="T1736" s="124"/>
      <c r="U1736" s="124"/>
      <c r="V1736" s="124"/>
      <c r="W1736" s="124"/>
      <c r="X1736" s="124"/>
      <c r="Y1736" s="124"/>
    </row>
    <row r="1737">
      <c r="A1737" s="125"/>
      <c r="B1737" s="126"/>
      <c r="C1737" s="127"/>
      <c r="D1737" s="124"/>
      <c r="E1737" s="124"/>
      <c r="F1737" s="124"/>
      <c r="G1737" s="124"/>
      <c r="H1737" s="124"/>
      <c r="I1737" s="124"/>
      <c r="J1737" s="124"/>
      <c r="K1737" s="124"/>
      <c r="L1737" s="124"/>
      <c r="M1737" s="124"/>
      <c r="N1737" s="124"/>
      <c r="O1737" s="124"/>
      <c r="P1737" s="124"/>
      <c r="Q1737" s="124"/>
      <c r="R1737" s="124"/>
      <c r="S1737" s="124"/>
      <c r="T1737" s="124"/>
      <c r="U1737" s="124"/>
      <c r="V1737" s="124"/>
      <c r="W1737" s="124"/>
      <c r="X1737" s="124"/>
      <c r="Y1737" s="124"/>
    </row>
    <row r="1738">
      <c r="A1738" s="125"/>
      <c r="B1738" s="126"/>
      <c r="C1738" s="127"/>
      <c r="D1738" s="124"/>
      <c r="E1738" s="124"/>
      <c r="F1738" s="124"/>
      <c r="G1738" s="124"/>
      <c r="H1738" s="124"/>
      <c r="I1738" s="124"/>
      <c r="J1738" s="124"/>
      <c r="K1738" s="124"/>
      <c r="L1738" s="124"/>
      <c r="M1738" s="124"/>
      <c r="N1738" s="124"/>
      <c r="O1738" s="124"/>
      <c r="P1738" s="124"/>
      <c r="Q1738" s="124"/>
      <c r="R1738" s="124"/>
      <c r="S1738" s="124"/>
      <c r="T1738" s="124"/>
      <c r="U1738" s="124"/>
      <c r="V1738" s="124"/>
      <c r="W1738" s="124"/>
      <c r="X1738" s="124"/>
      <c r="Y1738" s="124"/>
    </row>
    <row r="1739">
      <c r="A1739" s="125"/>
      <c r="B1739" s="126"/>
      <c r="C1739" s="127"/>
      <c r="D1739" s="124"/>
      <c r="E1739" s="124"/>
      <c r="F1739" s="124"/>
      <c r="G1739" s="124"/>
      <c r="H1739" s="124"/>
      <c r="I1739" s="124"/>
      <c r="J1739" s="124"/>
      <c r="K1739" s="124"/>
      <c r="L1739" s="124"/>
      <c r="M1739" s="124"/>
      <c r="N1739" s="124"/>
      <c r="O1739" s="124"/>
      <c r="P1739" s="124"/>
      <c r="Q1739" s="124"/>
      <c r="R1739" s="124"/>
      <c r="S1739" s="124"/>
      <c r="T1739" s="124"/>
      <c r="U1739" s="124"/>
      <c r="V1739" s="124"/>
      <c r="W1739" s="124"/>
      <c r="X1739" s="124"/>
      <c r="Y1739" s="124"/>
    </row>
    <row r="1740">
      <c r="A1740" s="125"/>
      <c r="B1740" s="126"/>
      <c r="C1740" s="127"/>
      <c r="D1740" s="124"/>
      <c r="E1740" s="124"/>
      <c r="F1740" s="124"/>
      <c r="G1740" s="124"/>
      <c r="H1740" s="124"/>
      <c r="I1740" s="124"/>
      <c r="J1740" s="124"/>
      <c r="K1740" s="124"/>
      <c r="L1740" s="124"/>
      <c r="M1740" s="124"/>
      <c r="N1740" s="124"/>
      <c r="O1740" s="124"/>
      <c r="P1740" s="124"/>
      <c r="Q1740" s="124"/>
      <c r="R1740" s="124"/>
      <c r="S1740" s="124"/>
      <c r="T1740" s="124"/>
      <c r="U1740" s="124"/>
      <c r="V1740" s="124"/>
      <c r="W1740" s="124"/>
      <c r="X1740" s="124"/>
      <c r="Y1740" s="124"/>
    </row>
    <row r="1741">
      <c r="A1741" s="125"/>
      <c r="B1741" s="126"/>
      <c r="C1741" s="127"/>
      <c r="D1741" s="124"/>
      <c r="E1741" s="124"/>
      <c r="F1741" s="124"/>
      <c r="G1741" s="124"/>
      <c r="H1741" s="124"/>
      <c r="I1741" s="124"/>
      <c r="J1741" s="124"/>
      <c r="K1741" s="124"/>
      <c r="L1741" s="124"/>
      <c r="M1741" s="124"/>
      <c r="N1741" s="124"/>
      <c r="O1741" s="124"/>
      <c r="P1741" s="124"/>
      <c r="Q1741" s="124"/>
      <c r="R1741" s="124"/>
      <c r="S1741" s="124"/>
      <c r="T1741" s="124"/>
      <c r="U1741" s="124"/>
      <c r="V1741" s="124"/>
      <c r="W1741" s="124"/>
      <c r="X1741" s="124"/>
      <c r="Y1741" s="124"/>
    </row>
    <row r="1742">
      <c r="A1742" s="125"/>
      <c r="B1742" s="126"/>
      <c r="C1742" s="127"/>
      <c r="D1742" s="124"/>
      <c r="E1742" s="124"/>
      <c r="F1742" s="124"/>
      <c r="G1742" s="124"/>
      <c r="H1742" s="124"/>
      <c r="I1742" s="124"/>
      <c r="J1742" s="124"/>
      <c r="K1742" s="124"/>
      <c r="L1742" s="124"/>
      <c r="M1742" s="124"/>
      <c r="N1742" s="124"/>
      <c r="O1742" s="124"/>
      <c r="P1742" s="124"/>
      <c r="Q1742" s="124"/>
      <c r="R1742" s="124"/>
      <c r="S1742" s="124"/>
      <c r="T1742" s="124"/>
      <c r="U1742" s="124"/>
      <c r="V1742" s="124"/>
      <c r="W1742" s="124"/>
      <c r="X1742" s="124"/>
      <c r="Y1742" s="124"/>
    </row>
    <row r="1743">
      <c r="A1743" s="125"/>
      <c r="B1743" s="126"/>
      <c r="C1743" s="127"/>
      <c r="D1743" s="124"/>
      <c r="E1743" s="124"/>
      <c r="F1743" s="124"/>
      <c r="G1743" s="124"/>
      <c r="H1743" s="124"/>
      <c r="I1743" s="124"/>
      <c r="J1743" s="124"/>
      <c r="K1743" s="124"/>
      <c r="L1743" s="124"/>
      <c r="M1743" s="124"/>
      <c r="N1743" s="124"/>
      <c r="O1743" s="124"/>
      <c r="P1743" s="124"/>
      <c r="Q1743" s="124"/>
      <c r="R1743" s="124"/>
      <c r="S1743" s="124"/>
      <c r="T1743" s="124"/>
      <c r="U1743" s="124"/>
      <c r="V1743" s="124"/>
      <c r="W1743" s="124"/>
      <c r="X1743" s="124"/>
      <c r="Y1743" s="124"/>
    </row>
    <row r="1744">
      <c r="A1744" s="125"/>
      <c r="B1744" s="126"/>
      <c r="C1744" s="127"/>
      <c r="D1744" s="124"/>
      <c r="E1744" s="124"/>
      <c r="F1744" s="124"/>
      <c r="G1744" s="124"/>
      <c r="H1744" s="124"/>
      <c r="I1744" s="124"/>
      <c r="J1744" s="124"/>
      <c r="K1744" s="124"/>
      <c r="L1744" s="124"/>
      <c r="M1744" s="124"/>
      <c r="N1744" s="124"/>
      <c r="O1744" s="124"/>
      <c r="P1744" s="124"/>
      <c r="Q1744" s="124"/>
      <c r="R1744" s="124"/>
      <c r="S1744" s="124"/>
      <c r="T1744" s="124"/>
      <c r="U1744" s="124"/>
      <c r="V1744" s="124"/>
      <c r="W1744" s="124"/>
      <c r="X1744" s="124"/>
      <c r="Y1744" s="124"/>
    </row>
    <row r="1745">
      <c r="A1745" s="125"/>
      <c r="B1745" s="126"/>
      <c r="C1745" s="127"/>
      <c r="D1745" s="124"/>
      <c r="E1745" s="124"/>
      <c r="F1745" s="124"/>
      <c r="G1745" s="124"/>
      <c r="H1745" s="124"/>
      <c r="I1745" s="124"/>
      <c r="J1745" s="124"/>
      <c r="K1745" s="124"/>
      <c r="L1745" s="124"/>
      <c r="M1745" s="124"/>
      <c r="N1745" s="124"/>
      <c r="O1745" s="124"/>
      <c r="P1745" s="124"/>
      <c r="Q1745" s="124"/>
      <c r="R1745" s="124"/>
      <c r="S1745" s="124"/>
      <c r="T1745" s="124"/>
      <c r="U1745" s="124"/>
      <c r="V1745" s="124"/>
      <c r="W1745" s="124"/>
      <c r="X1745" s="124"/>
      <c r="Y1745" s="124"/>
    </row>
    <row r="1746">
      <c r="A1746" s="125"/>
      <c r="B1746" s="126"/>
      <c r="C1746" s="127"/>
      <c r="D1746" s="124"/>
      <c r="E1746" s="124"/>
      <c r="F1746" s="124"/>
      <c r="G1746" s="124"/>
      <c r="H1746" s="124"/>
      <c r="I1746" s="124"/>
      <c r="J1746" s="124"/>
      <c r="K1746" s="124"/>
      <c r="L1746" s="124"/>
      <c r="M1746" s="124"/>
      <c r="N1746" s="124"/>
      <c r="O1746" s="124"/>
      <c r="P1746" s="124"/>
      <c r="Q1746" s="124"/>
      <c r="R1746" s="124"/>
      <c r="S1746" s="124"/>
      <c r="T1746" s="124"/>
      <c r="U1746" s="124"/>
      <c r="V1746" s="124"/>
      <c r="W1746" s="124"/>
      <c r="X1746" s="124"/>
      <c r="Y1746" s="124"/>
    </row>
    <row r="1747">
      <c r="A1747" s="125"/>
      <c r="B1747" s="126"/>
      <c r="C1747" s="127"/>
      <c r="D1747" s="124"/>
      <c r="E1747" s="124"/>
      <c r="F1747" s="124"/>
      <c r="G1747" s="124"/>
      <c r="H1747" s="124"/>
      <c r="I1747" s="124"/>
      <c r="J1747" s="124"/>
      <c r="K1747" s="124"/>
      <c r="L1747" s="124"/>
      <c r="M1747" s="124"/>
      <c r="N1747" s="124"/>
      <c r="O1747" s="124"/>
      <c r="P1747" s="124"/>
      <c r="Q1747" s="124"/>
      <c r="R1747" s="124"/>
      <c r="S1747" s="124"/>
      <c r="T1747" s="124"/>
      <c r="U1747" s="124"/>
      <c r="V1747" s="124"/>
      <c r="W1747" s="124"/>
      <c r="X1747" s="124"/>
      <c r="Y1747" s="124"/>
    </row>
    <row r="1748">
      <c r="A1748" s="125"/>
      <c r="B1748" s="126"/>
      <c r="C1748" s="127"/>
      <c r="D1748" s="124"/>
      <c r="E1748" s="124"/>
      <c r="F1748" s="124"/>
      <c r="G1748" s="124"/>
      <c r="H1748" s="124"/>
      <c r="I1748" s="124"/>
      <c r="J1748" s="124"/>
      <c r="K1748" s="124"/>
      <c r="L1748" s="124"/>
      <c r="M1748" s="124"/>
      <c r="N1748" s="124"/>
      <c r="O1748" s="124"/>
      <c r="P1748" s="124"/>
      <c r="Q1748" s="124"/>
      <c r="R1748" s="124"/>
      <c r="S1748" s="124"/>
      <c r="T1748" s="124"/>
      <c r="U1748" s="124"/>
      <c r="V1748" s="124"/>
      <c r="W1748" s="124"/>
      <c r="X1748" s="124"/>
      <c r="Y1748" s="124"/>
    </row>
    <row r="1749">
      <c r="A1749" s="125"/>
      <c r="B1749" s="126"/>
      <c r="C1749" s="127"/>
      <c r="D1749" s="124"/>
      <c r="E1749" s="124"/>
      <c r="F1749" s="124"/>
      <c r="G1749" s="124"/>
      <c r="H1749" s="124"/>
      <c r="I1749" s="124"/>
      <c r="J1749" s="124"/>
      <c r="K1749" s="124"/>
      <c r="L1749" s="124"/>
      <c r="M1749" s="124"/>
      <c r="N1749" s="124"/>
      <c r="O1749" s="124"/>
      <c r="P1749" s="124"/>
      <c r="Q1749" s="124"/>
      <c r="R1749" s="124"/>
      <c r="S1749" s="124"/>
      <c r="T1749" s="124"/>
      <c r="U1749" s="124"/>
      <c r="V1749" s="124"/>
      <c r="W1749" s="124"/>
      <c r="X1749" s="124"/>
      <c r="Y1749" s="124"/>
    </row>
    <row r="1750">
      <c r="A1750" s="125"/>
      <c r="B1750" s="126"/>
      <c r="C1750" s="127"/>
      <c r="D1750" s="124"/>
      <c r="E1750" s="124"/>
      <c r="F1750" s="124"/>
      <c r="G1750" s="124"/>
      <c r="H1750" s="124"/>
      <c r="I1750" s="124"/>
      <c r="J1750" s="124"/>
      <c r="K1750" s="124"/>
      <c r="L1750" s="124"/>
      <c r="M1750" s="124"/>
      <c r="N1750" s="124"/>
      <c r="O1750" s="124"/>
      <c r="P1750" s="124"/>
      <c r="Q1750" s="124"/>
      <c r="R1750" s="124"/>
      <c r="S1750" s="124"/>
      <c r="T1750" s="124"/>
      <c r="U1750" s="124"/>
      <c r="V1750" s="124"/>
      <c r="W1750" s="124"/>
      <c r="X1750" s="124"/>
      <c r="Y1750" s="124"/>
    </row>
    <row r="1751">
      <c r="A1751" s="125"/>
      <c r="B1751" s="126"/>
      <c r="C1751" s="127"/>
      <c r="D1751" s="124"/>
      <c r="E1751" s="124"/>
      <c r="F1751" s="124"/>
      <c r="G1751" s="124"/>
      <c r="H1751" s="124"/>
      <c r="I1751" s="124"/>
      <c r="J1751" s="124"/>
      <c r="K1751" s="124"/>
      <c r="L1751" s="124"/>
      <c r="M1751" s="124"/>
      <c r="N1751" s="124"/>
      <c r="O1751" s="124"/>
      <c r="P1751" s="124"/>
      <c r="Q1751" s="124"/>
      <c r="R1751" s="124"/>
      <c r="S1751" s="124"/>
      <c r="T1751" s="124"/>
      <c r="U1751" s="124"/>
      <c r="V1751" s="124"/>
      <c r="W1751" s="124"/>
      <c r="X1751" s="124"/>
      <c r="Y1751" s="124"/>
    </row>
    <row r="1752">
      <c r="A1752" s="125"/>
      <c r="B1752" s="126"/>
      <c r="C1752" s="127"/>
      <c r="D1752" s="124"/>
      <c r="E1752" s="124"/>
      <c r="F1752" s="124"/>
      <c r="G1752" s="124"/>
      <c r="H1752" s="124"/>
      <c r="I1752" s="124"/>
      <c r="J1752" s="124"/>
      <c r="K1752" s="124"/>
      <c r="L1752" s="124"/>
      <c r="M1752" s="124"/>
      <c r="N1752" s="124"/>
      <c r="O1752" s="124"/>
      <c r="P1752" s="124"/>
      <c r="Q1752" s="124"/>
      <c r="R1752" s="124"/>
      <c r="S1752" s="124"/>
      <c r="T1752" s="124"/>
      <c r="U1752" s="124"/>
      <c r="V1752" s="124"/>
      <c r="W1752" s="124"/>
      <c r="X1752" s="124"/>
      <c r="Y1752" s="124"/>
    </row>
    <row r="1753">
      <c r="A1753" s="125"/>
      <c r="B1753" s="126"/>
      <c r="C1753" s="127"/>
      <c r="D1753" s="124"/>
      <c r="E1753" s="124"/>
      <c r="F1753" s="124"/>
      <c r="G1753" s="124"/>
      <c r="H1753" s="124"/>
      <c r="I1753" s="124"/>
      <c r="J1753" s="124"/>
      <c r="K1753" s="124"/>
      <c r="L1753" s="124"/>
      <c r="M1753" s="124"/>
      <c r="N1753" s="124"/>
      <c r="O1753" s="124"/>
      <c r="P1753" s="124"/>
      <c r="Q1753" s="124"/>
      <c r="R1753" s="124"/>
      <c r="S1753" s="124"/>
      <c r="T1753" s="124"/>
      <c r="U1753" s="124"/>
      <c r="V1753" s="124"/>
      <c r="W1753" s="124"/>
      <c r="X1753" s="124"/>
      <c r="Y1753" s="124"/>
    </row>
    <row r="1754">
      <c r="A1754" s="125"/>
      <c r="B1754" s="126"/>
      <c r="C1754" s="127"/>
      <c r="D1754" s="124"/>
      <c r="E1754" s="124"/>
      <c r="F1754" s="124"/>
      <c r="G1754" s="124"/>
      <c r="H1754" s="124"/>
      <c r="I1754" s="124"/>
      <c r="J1754" s="124"/>
      <c r="K1754" s="124"/>
      <c r="L1754" s="124"/>
      <c r="M1754" s="124"/>
      <c r="N1754" s="124"/>
      <c r="O1754" s="124"/>
      <c r="P1754" s="124"/>
      <c r="Q1754" s="124"/>
      <c r="R1754" s="124"/>
      <c r="S1754" s="124"/>
      <c r="T1754" s="124"/>
      <c r="U1754" s="124"/>
      <c r="V1754" s="124"/>
      <c r="W1754" s="124"/>
      <c r="X1754" s="124"/>
      <c r="Y1754" s="124"/>
    </row>
    <row r="1755">
      <c r="A1755" s="125"/>
      <c r="B1755" s="126"/>
      <c r="C1755" s="127"/>
      <c r="D1755" s="124"/>
      <c r="E1755" s="124"/>
      <c r="F1755" s="124"/>
      <c r="G1755" s="124"/>
      <c r="H1755" s="124"/>
      <c r="I1755" s="124"/>
      <c r="J1755" s="124"/>
      <c r="K1755" s="124"/>
      <c r="L1755" s="124"/>
      <c r="M1755" s="124"/>
      <c r="N1755" s="124"/>
      <c r="O1755" s="124"/>
      <c r="P1755" s="124"/>
      <c r="Q1755" s="124"/>
      <c r="R1755" s="124"/>
      <c r="S1755" s="124"/>
      <c r="T1755" s="124"/>
      <c r="U1755" s="124"/>
      <c r="V1755" s="124"/>
      <c r="W1755" s="124"/>
      <c r="X1755" s="124"/>
      <c r="Y1755" s="124"/>
    </row>
    <row r="1756">
      <c r="A1756" s="125"/>
      <c r="B1756" s="126"/>
      <c r="C1756" s="127"/>
      <c r="D1756" s="124"/>
      <c r="E1756" s="124"/>
      <c r="F1756" s="124"/>
      <c r="G1756" s="124"/>
      <c r="H1756" s="124"/>
      <c r="I1756" s="124"/>
      <c r="J1756" s="124"/>
      <c r="K1756" s="124"/>
      <c r="L1756" s="124"/>
      <c r="M1756" s="124"/>
      <c r="N1756" s="124"/>
      <c r="O1756" s="124"/>
      <c r="P1756" s="124"/>
      <c r="Q1756" s="124"/>
      <c r="R1756" s="124"/>
      <c r="S1756" s="124"/>
      <c r="T1756" s="124"/>
      <c r="U1756" s="124"/>
      <c r="V1756" s="124"/>
      <c r="W1756" s="124"/>
      <c r="X1756" s="124"/>
      <c r="Y1756" s="124"/>
    </row>
    <row r="1757">
      <c r="A1757" s="125"/>
      <c r="B1757" s="126"/>
      <c r="C1757" s="127"/>
      <c r="D1757" s="124"/>
      <c r="E1757" s="124"/>
      <c r="F1757" s="124"/>
      <c r="G1757" s="124"/>
      <c r="H1757" s="124"/>
      <c r="I1757" s="124"/>
      <c r="J1757" s="124"/>
      <c r="K1757" s="124"/>
      <c r="L1757" s="124"/>
      <c r="M1757" s="124"/>
      <c r="N1757" s="124"/>
      <c r="O1757" s="124"/>
      <c r="P1757" s="124"/>
      <c r="Q1757" s="124"/>
      <c r="R1757" s="124"/>
      <c r="S1757" s="124"/>
      <c r="T1757" s="124"/>
      <c r="U1757" s="124"/>
      <c r="V1757" s="124"/>
      <c r="W1757" s="124"/>
      <c r="X1757" s="124"/>
      <c r="Y1757" s="124"/>
    </row>
    <row r="1758">
      <c r="A1758" s="125"/>
      <c r="B1758" s="126"/>
      <c r="C1758" s="127"/>
      <c r="D1758" s="124"/>
      <c r="E1758" s="124"/>
      <c r="F1758" s="124"/>
      <c r="G1758" s="124"/>
      <c r="H1758" s="124"/>
      <c r="I1758" s="124"/>
      <c r="J1758" s="124"/>
      <c r="K1758" s="124"/>
      <c r="L1758" s="124"/>
      <c r="M1758" s="124"/>
      <c r="N1758" s="124"/>
      <c r="O1758" s="124"/>
      <c r="P1758" s="124"/>
      <c r="Q1758" s="124"/>
      <c r="R1758" s="124"/>
      <c r="S1758" s="124"/>
      <c r="T1758" s="124"/>
      <c r="U1758" s="124"/>
      <c r="V1758" s="124"/>
      <c r="W1758" s="124"/>
      <c r="X1758" s="124"/>
      <c r="Y1758" s="124"/>
    </row>
    <row r="1759">
      <c r="A1759" s="125"/>
      <c r="B1759" s="126"/>
      <c r="C1759" s="127"/>
      <c r="D1759" s="124"/>
      <c r="E1759" s="124"/>
      <c r="F1759" s="124"/>
      <c r="G1759" s="124"/>
      <c r="H1759" s="124"/>
      <c r="I1759" s="124"/>
      <c r="J1759" s="124"/>
      <c r="K1759" s="124"/>
      <c r="L1759" s="124"/>
      <c r="M1759" s="124"/>
      <c r="N1759" s="124"/>
      <c r="O1759" s="124"/>
      <c r="P1759" s="124"/>
      <c r="Q1759" s="124"/>
      <c r="R1759" s="124"/>
      <c r="S1759" s="124"/>
      <c r="T1759" s="124"/>
      <c r="U1759" s="124"/>
      <c r="V1759" s="124"/>
      <c r="W1759" s="124"/>
      <c r="X1759" s="124"/>
      <c r="Y1759" s="124"/>
    </row>
    <row r="1760">
      <c r="A1760" s="125"/>
      <c r="B1760" s="126"/>
      <c r="C1760" s="127"/>
      <c r="D1760" s="124"/>
      <c r="E1760" s="124"/>
      <c r="F1760" s="124"/>
      <c r="G1760" s="124"/>
      <c r="H1760" s="124"/>
      <c r="I1760" s="124"/>
      <c r="J1760" s="124"/>
      <c r="K1760" s="124"/>
      <c r="L1760" s="124"/>
      <c r="M1760" s="124"/>
      <c r="N1760" s="124"/>
      <c r="O1760" s="124"/>
      <c r="P1760" s="124"/>
      <c r="Q1760" s="124"/>
      <c r="R1760" s="124"/>
      <c r="S1760" s="124"/>
      <c r="T1760" s="124"/>
      <c r="U1760" s="124"/>
      <c r="V1760" s="124"/>
      <c r="W1760" s="124"/>
      <c r="X1760" s="124"/>
      <c r="Y1760" s="124"/>
    </row>
    <row r="1761">
      <c r="A1761" s="125"/>
      <c r="B1761" s="126"/>
      <c r="C1761" s="127"/>
      <c r="D1761" s="124"/>
      <c r="E1761" s="124"/>
      <c r="F1761" s="124"/>
      <c r="G1761" s="124"/>
      <c r="H1761" s="124"/>
      <c r="I1761" s="124"/>
      <c r="J1761" s="124"/>
      <c r="K1761" s="124"/>
      <c r="L1761" s="124"/>
      <c r="M1761" s="124"/>
      <c r="N1761" s="124"/>
      <c r="O1761" s="124"/>
      <c r="P1761" s="124"/>
      <c r="Q1761" s="124"/>
      <c r="R1761" s="124"/>
      <c r="S1761" s="124"/>
      <c r="T1761" s="124"/>
      <c r="U1761" s="124"/>
      <c r="V1761" s="124"/>
      <c r="W1761" s="124"/>
      <c r="X1761" s="124"/>
      <c r="Y1761" s="124"/>
    </row>
    <row r="1762">
      <c r="A1762" s="125"/>
      <c r="B1762" s="126"/>
      <c r="C1762" s="127"/>
      <c r="D1762" s="124"/>
      <c r="E1762" s="124"/>
      <c r="F1762" s="124"/>
      <c r="G1762" s="124"/>
      <c r="H1762" s="124"/>
      <c r="I1762" s="124"/>
      <c r="J1762" s="124"/>
      <c r="K1762" s="124"/>
      <c r="L1762" s="124"/>
      <c r="M1762" s="124"/>
      <c r="N1762" s="124"/>
      <c r="O1762" s="124"/>
      <c r="P1762" s="124"/>
      <c r="Q1762" s="124"/>
      <c r="R1762" s="124"/>
      <c r="S1762" s="124"/>
      <c r="T1762" s="124"/>
      <c r="U1762" s="124"/>
      <c r="V1762" s="124"/>
      <c r="W1762" s="124"/>
      <c r="X1762" s="124"/>
      <c r="Y1762" s="124"/>
    </row>
    <row r="1763">
      <c r="A1763" s="125"/>
      <c r="B1763" s="126"/>
      <c r="C1763" s="127"/>
      <c r="D1763" s="124"/>
      <c r="E1763" s="124"/>
      <c r="F1763" s="124"/>
      <c r="G1763" s="124"/>
      <c r="H1763" s="124"/>
      <c r="I1763" s="124"/>
      <c r="J1763" s="124"/>
      <c r="K1763" s="124"/>
      <c r="L1763" s="124"/>
      <c r="M1763" s="124"/>
      <c r="N1763" s="124"/>
      <c r="O1763" s="124"/>
      <c r="P1763" s="124"/>
      <c r="Q1763" s="124"/>
      <c r="R1763" s="124"/>
      <c r="S1763" s="124"/>
      <c r="T1763" s="124"/>
      <c r="U1763" s="124"/>
      <c r="V1763" s="124"/>
      <c r="W1763" s="124"/>
      <c r="X1763" s="124"/>
      <c r="Y1763" s="124"/>
    </row>
    <row r="1764">
      <c r="A1764" s="125"/>
      <c r="B1764" s="126"/>
      <c r="C1764" s="127"/>
      <c r="D1764" s="124"/>
      <c r="E1764" s="124"/>
      <c r="F1764" s="124"/>
      <c r="G1764" s="124"/>
      <c r="H1764" s="124"/>
      <c r="I1764" s="124"/>
      <c r="J1764" s="124"/>
      <c r="K1764" s="124"/>
      <c r="L1764" s="124"/>
      <c r="M1764" s="124"/>
      <c r="N1764" s="124"/>
      <c r="O1764" s="124"/>
      <c r="P1764" s="124"/>
      <c r="Q1764" s="124"/>
      <c r="R1764" s="124"/>
      <c r="S1764" s="124"/>
      <c r="T1764" s="124"/>
      <c r="U1764" s="124"/>
      <c r="V1764" s="124"/>
      <c r="W1764" s="124"/>
      <c r="X1764" s="124"/>
      <c r="Y1764" s="124"/>
    </row>
    <row r="1765">
      <c r="A1765" s="125"/>
      <c r="B1765" s="126"/>
      <c r="C1765" s="127"/>
      <c r="D1765" s="124"/>
      <c r="E1765" s="124"/>
      <c r="F1765" s="124"/>
      <c r="G1765" s="124"/>
      <c r="H1765" s="124"/>
      <c r="I1765" s="124"/>
      <c r="J1765" s="124"/>
      <c r="K1765" s="124"/>
      <c r="L1765" s="124"/>
      <c r="M1765" s="124"/>
      <c r="N1765" s="124"/>
      <c r="O1765" s="124"/>
      <c r="P1765" s="124"/>
      <c r="Q1765" s="124"/>
      <c r="R1765" s="124"/>
      <c r="S1765" s="124"/>
      <c r="T1765" s="124"/>
      <c r="U1765" s="124"/>
      <c r="V1765" s="124"/>
      <c r="W1765" s="124"/>
      <c r="X1765" s="124"/>
      <c r="Y1765" s="124"/>
    </row>
    <row r="1766">
      <c r="A1766" s="125"/>
      <c r="B1766" s="126"/>
      <c r="C1766" s="127"/>
      <c r="D1766" s="124"/>
      <c r="E1766" s="124"/>
      <c r="F1766" s="124"/>
      <c r="G1766" s="124"/>
      <c r="H1766" s="124"/>
      <c r="I1766" s="124"/>
      <c r="J1766" s="124"/>
      <c r="K1766" s="124"/>
      <c r="L1766" s="124"/>
      <c r="M1766" s="124"/>
      <c r="N1766" s="124"/>
      <c r="O1766" s="124"/>
      <c r="P1766" s="124"/>
      <c r="Q1766" s="124"/>
      <c r="R1766" s="124"/>
      <c r="S1766" s="124"/>
      <c r="T1766" s="124"/>
      <c r="U1766" s="124"/>
      <c r="V1766" s="124"/>
      <c r="W1766" s="124"/>
      <c r="X1766" s="124"/>
      <c r="Y1766" s="124"/>
    </row>
    <row r="1767">
      <c r="A1767" s="125"/>
      <c r="B1767" s="126"/>
      <c r="C1767" s="127"/>
      <c r="D1767" s="124"/>
      <c r="E1767" s="124"/>
      <c r="F1767" s="124"/>
      <c r="G1767" s="124"/>
      <c r="H1767" s="124"/>
      <c r="I1767" s="124"/>
      <c r="J1767" s="124"/>
      <c r="K1767" s="124"/>
      <c r="L1767" s="124"/>
      <c r="M1767" s="124"/>
      <c r="N1767" s="124"/>
      <c r="O1767" s="124"/>
      <c r="P1767" s="124"/>
      <c r="Q1767" s="124"/>
      <c r="R1767" s="124"/>
      <c r="S1767" s="124"/>
      <c r="T1767" s="124"/>
      <c r="U1767" s="124"/>
      <c r="V1767" s="124"/>
      <c r="W1767" s="124"/>
      <c r="X1767" s="124"/>
      <c r="Y1767" s="124"/>
    </row>
    <row r="1768">
      <c r="A1768" s="125"/>
      <c r="B1768" s="126"/>
      <c r="C1768" s="127"/>
      <c r="D1768" s="124"/>
      <c r="E1768" s="124"/>
      <c r="F1768" s="124"/>
      <c r="G1768" s="124"/>
      <c r="H1768" s="124"/>
      <c r="I1768" s="124"/>
      <c r="J1768" s="124"/>
      <c r="K1768" s="124"/>
      <c r="L1768" s="124"/>
      <c r="M1768" s="124"/>
      <c r="N1768" s="124"/>
      <c r="O1768" s="124"/>
      <c r="P1768" s="124"/>
      <c r="Q1768" s="124"/>
      <c r="R1768" s="124"/>
      <c r="S1768" s="124"/>
      <c r="T1768" s="124"/>
      <c r="U1768" s="124"/>
      <c r="V1768" s="124"/>
      <c r="W1768" s="124"/>
      <c r="X1768" s="124"/>
      <c r="Y1768" s="124"/>
    </row>
    <row r="1769">
      <c r="A1769" s="125"/>
      <c r="B1769" s="126"/>
      <c r="C1769" s="127"/>
      <c r="D1769" s="124"/>
      <c r="E1769" s="124"/>
      <c r="F1769" s="124"/>
      <c r="G1769" s="124"/>
      <c r="H1769" s="124"/>
      <c r="I1769" s="124"/>
      <c r="J1769" s="124"/>
      <c r="K1769" s="124"/>
      <c r="L1769" s="124"/>
      <c r="M1769" s="124"/>
      <c r="N1769" s="124"/>
      <c r="O1769" s="124"/>
      <c r="P1769" s="124"/>
      <c r="Q1769" s="124"/>
      <c r="R1769" s="124"/>
      <c r="S1769" s="124"/>
      <c r="T1769" s="124"/>
      <c r="U1769" s="124"/>
      <c r="V1769" s="124"/>
      <c r="W1769" s="124"/>
      <c r="X1769" s="124"/>
      <c r="Y1769" s="124"/>
    </row>
    <row r="1770">
      <c r="A1770" s="125"/>
      <c r="B1770" s="126"/>
      <c r="C1770" s="127"/>
      <c r="D1770" s="124"/>
      <c r="E1770" s="124"/>
      <c r="F1770" s="124"/>
      <c r="G1770" s="124"/>
      <c r="H1770" s="124"/>
      <c r="I1770" s="124"/>
      <c r="J1770" s="124"/>
      <c r="K1770" s="124"/>
      <c r="L1770" s="124"/>
      <c r="M1770" s="124"/>
      <c r="N1770" s="124"/>
      <c r="O1770" s="124"/>
      <c r="P1770" s="124"/>
      <c r="Q1770" s="124"/>
      <c r="R1770" s="124"/>
      <c r="S1770" s="124"/>
      <c r="T1770" s="124"/>
      <c r="U1770" s="124"/>
      <c r="V1770" s="124"/>
      <c r="W1770" s="124"/>
      <c r="X1770" s="124"/>
      <c r="Y1770" s="124"/>
    </row>
    <row r="1771">
      <c r="A1771" s="125"/>
      <c r="B1771" s="126"/>
      <c r="C1771" s="127"/>
      <c r="D1771" s="124"/>
      <c r="E1771" s="124"/>
      <c r="F1771" s="124"/>
      <c r="G1771" s="124"/>
      <c r="H1771" s="124"/>
      <c r="I1771" s="124"/>
      <c r="J1771" s="124"/>
      <c r="K1771" s="124"/>
      <c r="L1771" s="124"/>
      <c r="M1771" s="124"/>
      <c r="N1771" s="124"/>
      <c r="O1771" s="124"/>
      <c r="P1771" s="124"/>
      <c r="Q1771" s="124"/>
      <c r="R1771" s="124"/>
      <c r="S1771" s="124"/>
      <c r="T1771" s="124"/>
      <c r="U1771" s="124"/>
      <c r="V1771" s="124"/>
      <c r="W1771" s="124"/>
      <c r="X1771" s="124"/>
      <c r="Y1771" s="124"/>
    </row>
    <row r="1772">
      <c r="A1772" s="125"/>
      <c r="B1772" s="126"/>
      <c r="C1772" s="127"/>
      <c r="D1772" s="124"/>
      <c r="E1772" s="124"/>
      <c r="F1772" s="124"/>
      <c r="G1772" s="124"/>
      <c r="H1772" s="124"/>
      <c r="I1772" s="124"/>
      <c r="J1772" s="124"/>
      <c r="K1772" s="124"/>
      <c r="L1772" s="124"/>
      <c r="M1772" s="124"/>
      <c r="N1772" s="124"/>
      <c r="O1772" s="124"/>
      <c r="P1772" s="124"/>
      <c r="Q1772" s="124"/>
      <c r="R1772" s="124"/>
      <c r="S1772" s="124"/>
      <c r="T1772" s="124"/>
      <c r="U1772" s="124"/>
      <c r="V1772" s="124"/>
      <c r="W1772" s="124"/>
      <c r="X1772" s="124"/>
      <c r="Y1772" s="124"/>
    </row>
    <row r="1773">
      <c r="A1773" s="125"/>
      <c r="B1773" s="126"/>
      <c r="C1773" s="127"/>
      <c r="D1773" s="124"/>
      <c r="E1773" s="124"/>
      <c r="F1773" s="124"/>
      <c r="G1773" s="124"/>
      <c r="H1773" s="124"/>
      <c r="I1773" s="124"/>
      <c r="J1773" s="124"/>
      <c r="K1773" s="124"/>
      <c r="L1773" s="124"/>
      <c r="M1773" s="124"/>
      <c r="N1773" s="124"/>
      <c r="O1773" s="124"/>
      <c r="P1773" s="124"/>
      <c r="Q1773" s="124"/>
      <c r="R1773" s="124"/>
      <c r="S1773" s="124"/>
      <c r="T1773" s="124"/>
      <c r="U1773" s="124"/>
      <c r="V1773" s="124"/>
      <c r="W1773" s="124"/>
      <c r="X1773" s="124"/>
      <c r="Y1773" s="124"/>
    </row>
    <row r="1774">
      <c r="A1774" s="125"/>
      <c r="B1774" s="126"/>
      <c r="C1774" s="127"/>
      <c r="D1774" s="124"/>
      <c r="E1774" s="124"/>
      <c r="F1774" s="124"/>
      <c r="G1774" s="124"/>
      <c r="H1774" s="124"/>
      <c r="I1774" s="124"/>
      <c r="J1774" s="124"/>
      <c r="K1774" s="124"/>
      <c r="L1774" s="124"/>
      <c r="M1774" s="124"/>
      <c r="N1774" s="124"/>
      <c r="O1774" s="124"/>
      <c r="P1774" s="124"/>
      <c r="Q1774" s="124"/>
      <c r="R1774" s="124"/>
      <c r="S1774" s="124"/>
      <c r="T1774" s="124"/>
      <c r="U1774" s="124"/>
      <c r="V1774" s="124"/>
      <c r="W1774" s="124"/>
      <c r="X1774" s="124"/>
      <c r="Y1774" s="124"/>
    </row>
    <row r="1775">
      <c r="A1775" s="125"/>
      <c r="B1775" s="126"/>
      <c r="C1775" s="127"/>
      <c r="D1775" s="124"/>
      <c r="E1775" s="124"/>
      <c r="F1775" s="124"/>
      <c r="G1775" s="124"/>
      <c r="H1775" s="124"/>
      <c r="I1775" s="124"/>
      <c r="J1775" s="124"/>
      <c r="K1775" s="124"/>
      <c r="L1775" s="124"/>
      <c r="M1775" s="124"/>
      <c r="N1775" s="124"/>
      <c r="O1775" s="124"/>
      <c r="P1775" s="124"/>
      <c r="Q1775" s="124"/>
      <c r="R1775" s="124"/>
      <c r="S1775" s="124"/>
      <c r="T1775" s="124"/>
      <c r="U1775" s="124"/>
      <c r="V1775" s="124"/>
      <c r="W1775" s="124"/>
      <c r="X1775" s="124"/>
      <c r="Y1775" s="124"/>
    </row>
    <row r="1776">
      <c r="A1776" s="125"/>
      <c r="B1776" s="126"/>
      <c r="C1776" s="127"/>
      <c r="D1776" s="124"/>
      <c r="E1776" s="124"/>
      <c r="F1776" s="124"/>
      <c r="G1776" s="124"/>
      <c r="H1776" s="124"/>
      <c r="I1776" s="124"/>
      <c r="J1776" s="124"/>
      <c r="K1776" s="124"/>
      <c r="L1776" s="124"/>
      <c r="M1776" s="124"/>
      <c r="N1776" s="124"/>
      <c r="O1776" s="124"/>
      <c r="P1776" s="124"/>
      <c r="Q1776" s="124"/>
      <c r="R1776" s="124"/>
      <c r="S1776" s="124"/>
      <c r="T1776" s="124"/>
      <c r="U1776" s="124"/>
      <c r="V1776" s="124"/>
      <c r="W1776" s="124"/>
      <c r="X1776" s="124"/>
      <c r="Y1776" s="124"/>
    </row>
    <row r="1777">
      <c r="A1777" s="125"/>
      <c r="B1777" s="126"/>
      <c r="C1777" s="127"/>
      <c r="D1777" s="124"/>
      <c r="E1777" s="124"/>
      <c r="F1777" s="124"/>
      <c r="G1777" s="124"/>
      <c r="H1777" s="124"/>
      <c r="I1777" s="124"/>
      <c r="J1777" s="124"/>
      <c r="K1777" s="124"/>
      <c r="L1777" s="124"/>
      <c r="M1777" s="124"/>
      <c r="N1777" s="124"/>
      <c r="O1777" s="124"/>
      <c r="P1777" s="124"/>
      <c r="Q1777" s="124"/>
      <c r="R1777" s="124"/>
      <c r="S1777" s="124"/>
      <c r="T1777" s="124"/>
      <c r="U1777" s="124"/>
      <c r="V1777" s="124"/>
      <c r="W1777" s="124"/>
      <c r="X1777" s="124"/>
      <c r="Y1777" s="124"/>
    </row>
    <row r="1778">
      <c r="A1778" s="125"/>
      <c r="B1778" s="126"/>
      <c r="C1778" s="127"/>
      <c r="D1778" s="124"/>
      <c r="E1778" s="124"/>
      <c r="F1778" s="124"/>
      <c r="G1778" s="124"/>
      <c r="H1778" s="124"/>
      <c r="I1778" s="124"/>
      <c r="J1778" s="124"/>
      <c r="K1778" s="124"/>
      <c r="L1778" s="124"/>
      <c r="M1778" s="124"/>
      <c r="N1778" s="124"/>
      <c r="O1778" s="124"/>
      <c r="P1778" s="124"/>
      <c r="Q1778" s="124"/>
      <c r="R1778" s="124"/>
      <c r="S1778" s="124"/>
      <c r="T1778" s="124"/>
      <c r="U1778" s="124"/>
      <c r="V1778" s="124"/>
      <c r="W1778" s="124"/>
      <c r="X1778" s="124"/>
      <c r="Y1778" s="124"/>
    </row>
    <row r="1779">
      <c r="A1779" s="125"/>
      <c r="B1779" s="126"/>
      <c r="C1779" s="127"/>
      <c r="D1779" s="124"/>
      <c r="E1779" s="124"/>
      <c r="F1779" s="124"/>
      <c r="G1779" s="124"/>
      <c r="H1779" s="124"/>
      <c r="I1779" s="124"/>
      <c r="J1779" s="124"/>
      <c r="K1779" s="124"/>
      <c r="L1779" s="124"/>
      <c r="M1779" s="124"/>
      <c r="N1779" s="124"/>
      <c r="O1779" s="124"/>
      <c r="P1779" s="124"/>
      <c r="Q1779" s="124"/>
      <c r="R1779" s="124"/>
      <c r="S1779" s="124"/>
      <c r="T1779" s="124"/>
      <c r="U1779" s="124"/>
      <c r="V1779" s="124"/>
      <c r="W1779" s="124"/>
      <c r="X1779" s="124"/>
      <c r="Y1779" s="124"/>
    </row>
    <row r="1780">
      <c r="A1780" s="125"/>
      <c r="B1780" s="126"/>
      <c r="C1780" s="127"/>
      <c r="D1780" s="124"/>
      <c r="E1780" s="124"/>
      <c r="F1780" s="124"/>
      <c r="G1780" s="124"/>
      <c r="H1780" s="124"/>
      <c r="I1780" s="124"/>
      <c r="J1780" s="124"/>
      <c r="K1780" s="124"/>
      <c r="L1780" s="124"/>
      <c r="M1780" s="124"/>
      <c r="N1780" s="124"/>
      <c r="O1780" s="124"/>
      <c r="P1780" s="124"/>
      <c r="Q1780" s="124"/>
      <c r="R1780" s="124"/>
      <c r="S1780" s="124"/>
      <c r="T1780" s="124"/>
      <c r="U1780" s="124"/>
      <c r="V1780" s="124"/>
      <c r="W1780" s="124"/>
      <c r="X1780" s="124"/>
      <c r="Y1780" s="124"/>
    </row>
    <row r="1781">
      <c r="A1781" s="125"/>
      <c r="B1781" s="126"/>
      <c r="C1781" s="127"/>
      <c r="D1781" s="124"/>
      <c r="E1781" s="124"/>
      <c r="F1781" s="124"/>
      <c r="G1781" s="124"/>
      <c r="H1781" s="124"/>
      <c r="I1781" s="124"/>
      <c r="J1781" s="124"/>
      <c r="K1781" s="124"/>
      <c r="L1781" s="124"/>
      <c r="M1781" s="124"/>
      <c r="N1781" s="124"/>
      <c r="O1781" s="124"/>
      <c r="P1781" s="124"/>
      <c r="Q1781" s="124"/>
      <c r="R1781" s="124"/>
      <c r="S1781" s="124"/>
      <c r="T1781" s="124"/>
      <c r="U1781" s="124"/>
      <c r="V1781" s="124"/>
      <c r="W1781" s="124"/>
      <c r="X1781" s="124"/>
      <c r="Y1781" s="124"/>
    </row>
    <row r="1782">
      <c r="A1782" s="125"/>
      <c r="B1782" s="126"/>
      <c r="C1782" s="127"/>
      <c r="D1782" s="124"/>
      <c r="E1782" s="124"/>
      <c r="F1782" s="124"/>
      <c r="G1782" s="124"/>
      <c r="H1782" s="124"/>
      <c r="I1782" s="124"/>
      <c r="J1782" s="124"/>
      <c r="K1782" s="124"/>
      <c r="L1782" s="124"/>
      <c r="M1782" s="124"/>
      <c r="N1782" s="124"/>
      <c r="O1782" s="124"/>
      <c r="P1782" s="124"/>
      <c r="Q1782" s="124"/>
      <c r="R1782" s="124"/>
      <c r="S1782" s="124"/>
      <c r="T1782" s="124"/>
      <c r="U1782" s="124"/>
      <c r="V1782" s="124"/>
      <c r="W1782" s="124"/>
      <c r="X1782" s="124"/>
      <c r="Y1782" s="124"/>
    </row>
    <row r="1783">
      <c r="A1783" s="125"/>
      <c r="B1783" s="126"/>
      <c r="C1783" s="127"/>
      <c r="D1783" s="124"/>
      <c r="E1783" s="124"/>
      <c r="F1783" s="124"/>
      <c r="G1783" s="124"/>
      <c r="H1783" s="124"/>
      <c r="I1783" s="124"/>
      <c r="J1783" s="124"/>
      <c r="K1783" s="124"/>
      <c r="L1783" s="124"/>
      <c r="M1783" s="124"/>
      <c r="N1783" s="124"/>
      <c r="O1783" s="124"/>
      <c r="P1783" s="124"/>
      <c r="Q1783" s="124"/>
      <c r="R1783" s="124"/>
      <c r="S1783" s="124"/>
      <c r="T1783" s="124"/>
      <c r="U1783" s="124"/>
      <c r="V1783" s="124"/>
      <c r="W1783" s="124"/>
      <c r="X1783" s="124"/>
      <c r="Y1783" s="124"/>
    </row>
    <row r="1784">
      <c r="A1784" s="125"/>
      <c r="B1784" s="126"/>
      <c r="C1784" s="127"/>
      <c r="D1784" s="124"/>
      <c r="E1784" s="124"/>
      <c r="F1784" s="124"/>
      <c r="G1784" s="124"/>
      <c r="H1784" s="124"/>
      <c r="I1784" s="124"/>
      <c r="J1784" s="124"/>
      <c r="K1784" s="124"/>
      <c r="L1784" s="124"/>
      <c r="M1784" s="124"/>
      <c r="N1784" s="124"/>
      <c r="O1784" s="124"/>
      <c r="P1784" s="124"/>
      <c r="Q1784" s="124"/>
      <c r="R1784" s="124"/>
      <c r="S1784" s="124"/>
      <c r="T1784" s="124"/>
      <c r="U1784" s="124"/>
      <c r="V1784" s="124"/>
      <c r="W1784" s="124"/>
      <c r="X1784" s="124"/>
      <c r="Y1784" s="124"/>
    </row>
    <row r="1785">
      <c r="A1785" s="125"/>
      <c r="B1785" s="126"/>
      <c r="C1785" s="127"/>
      <c r="D1785" s="124"/>
      <c r="E1785" s="124"/>
      <c r="F1785" s="124"/>
      <c r="G1785" s="124"/>
      <c r="H1785" s="124"/>
      <c r="I1785" s="124"/>
      <c r="J1785" s="124"/>
      <c r="K1785" s="124"/>
      <c r="L1785" s="124"/>
      <c r="M1785" s="124"/>
      <c r="N1785" s="124"/>
      <c r="O1785" s="124"/>
      <c r="P1785" s="124"/>
      <c r="Q1785" s="124"/>
      <c r="R1785" s="124"/>
      <c r="S1785" s="124"/>
      <c r="T1785" s="124"/>
      <c r="U1785" s="124"/>
      <c r="V1785" s="124"/>
      <c r="W1785" s="124"/>
      <c r="X1785" s="124"/>
      <c r="Y1785" s="124"/>
    </row>
    <row r="1786">
      <c r="A1786" s="125"/>
      <c r="B1786" s="126"/>
      <c r="C1786" s="127"/>
      <c r="D1786" s="124"/>
      <c r="E1786" s="124"/>
      <c r="F1786" s="124"/>
      <c r="G1786" s="124"/>
      <c r="H1786" s="124"/>
      <c r="I1786" s="124"/>
      <c r="J1786" s="124"/>
      <c r="K1786" s="124"/>
      <c r="L1786" s="124"/>
      <c r="M1786" s="124"/>
      <c r="N1786" s="124"/>
      <c r="O1786" s="124"/>
      <c r="P1786" s="124"/>
      <c r="Q1786" s="124"/>
      <c r="R1786" s="124"/>
      <c r="S1786" s="124"/>
      <c r="T1786" s="124"/>
      <c r="U1786" s="124"/>
      <c r="V1786" s="124"/>
      <c r="W1786" s="124"/>
      <c r="X1786" s="124"/>
      <c r="Y1786" s="124"/>
    </row>
    <row r="1787">
      <c r="A1787" s="125"/>
      <c r="B1787" s="126"/>
      <c r="C1787" s="127"/>
      <c r="D1787" s="124"/>
      <c r="E1787" s="124"/>
      <c r="F1787" s="124"/>
      <c r="G1787" s="124"/>
      <c r="H1787" s="124"/>
      <c r="I1787" s="124"/>
      <c r="J1787" s="124"/>
      <c r="K1787" s="124"/>
      <c r="L1787" s="124"/>
      <c r="M1787" s="124"/>
      <c r="N1787" s="124"/>
      <c r="O1787" s="124"/>
      <c r="P1787" s="124"/>
      <c r="Q1787" s="124"/>
      <c r="R1787" s="124"/>
      <c r="S1787" s="124"/>
      <c r="T1787" s="124"/>
      <c r="U1787" s="124"/>
      <c r="V1787" s="124"/>
      <c r="W1787" s="124"/>
      <c r="X1787" s="124"/>
      <c r="Y1787" s="124"/>
    </row>
    <row r="1788">
      <c r="A1788" s="125"/>
      <c r="B1788" s="126"/>
      <c r="C1788" s="127"/>
      <c r="D1788" s="124"/>
      <c r="E1788" s="124"/>
      <c r="F1788" s="124"/>
      <c r="G1788" s="124"/>
      <c r="H1788" s="124"/>
      <c r="I1788" s="124"/>
      <c r="J1788" s="124"/>
      <c r="K1788" s="124"/>
      <c r="L1788" s="124"/>
      <c r="M1788" s="124"/>
      <c r="N1788" s="124"/>
      <c r="O1788" s="124"/>
      <c r="P1788" s="124"/>
      <c r="Q1788" s="124"/>
      <c r="R1788" s="124"/>
      <c r="S1788" s="124"/>
      <c r="T1788" s="124"/>
      <c r="U1788" s="124"/>
      <c r="V1788" s="124"/>
      <c r="W1788" s="124"/>
      <c r="X1788" s="124"/>
      <c r="Y1788" s="124"/>
    </row>
    <row r="1789">
      <c r="A1789" s="125"/>
      <c r="B1789" s="126"/>
      <c r="C1789" s="127"/>
      <c r="D1789" s="124"/>
      <c r="E1789" s="124"/>
      <c r="F1789" s="124"/>
      <c r="G1789" s="124"/>
      <c r="H1789" s="124"/>
      <c r="I1789" s="124"/>
      <c r="J1789" s="124"/>
      <c r="K1789" s="124"/>
      <c r="L1789" s="124"/>
      <c r="M1789" s="124"/>
      <c r="N1789" s="124"/>
      <c r="O1789" s="124"/>
      <c r="P1789" s="124"/>
      <c r="Q1789" s="124"/>
      <c r="R1789" s="124"/>
      <c r="S1789" s="124"/>
      <c r="T1789" s="124"/>
      <c r="U1789" s="124"/>
      <c r="V1789" s="124"/>
      <c r="W1789" s="124"/>
      <c r="X1789" s="124"/>
      <c r="Y1789" s="124"/>
    </row>
    <row r="1790">
      <c r="A1790" s="125"/>
      <c r="B1790" s="126"/>
      <c r="C1790" s="127"/>
      <c r="D1790" s="124"/>
      <c r="E1790" s="124"/>
      <c r="F1790" s="124"/>
      <c r="G1790" s="124"/>
      <c r="H1790" s="124"/>
      <c r="I1790" s="124"/>
      <c r="J1790" s="124"/>
      <c r="K1790" s="124"/>
      <c r="L1790" s="124"/>
      <c r="M1790" s="124"/>
      <c r="N1790" s="124"/>
      <c r="O1790" s="124"/>
      <c r="P1790" s="124"/>
      <c r="Q1790" s="124"/>
      <c r="R1790" s="124"/>
      <c r="S1790" s="124"/>
      <c r="T1790" s="124"/>
      <c r="U1790" s="124"/>
      <c r="V1790" s="124"/>
      <c r="W1790" s="124"/>
      <c r="X1790" s="124"/>
      <c r="Y1790" s="124"/>
    </row>
    <row r="1791">
      <c r="A1791" s="125"/>
      <c r="B1791" s="126"/>
      <c r="C1791" s="127"/>
      <c r="D1791" s="124"/>
      <c r="E1791" s="124"/>
      <c r="F1791" s="124"/>
      <c r="G1791" s="124"/>
      <c r="H1791" s="124"/>
      <c r="I1791" s="124"/>
      <c r="J1791" s="124"/>
      <c r="K1791" s="124"/>
      <c r="L1791" s="124"/>
      <c r="M1791" s="124"/>
      <c r="N1791" s="124"/>
      <c r="O1791" s="124"/>
      <c r="P1791" s="124"/>
      <c r="Q1791" s="124"/>
      <c r="R1791" s="124"/>
      <c r="S1791" s="124"/>
      <c r="T1791" s="124"/>
      <c r="U1791" s="124"/>
      <c r="V1791" s="124"/>
      <c r="W1791" s="124"/>
      <c r="X1791" s="124"/>
      <c r="Y1791" s="124"/>
    </row>
    <row r="1792">
      <c r="A1792" s="125"/>
      <c r="B1792" s="126"/>
      <c r="C1792" s="127"/>
      <c r="D1792" s="124"/>
      <c r="E1792" s="124"/>
      <c r="F1792" s="124"/>
      <c r="G1792" s="124"/>
      <c r="H1792" s="124"/>
      <c r="I1792" s="124"/>
      <c r="J1792" s="124"/>
      <c r="K1792" s="124"/>
      <c r="L1792" s="124"/>
      <c r="M1792" s="124"/>
      <c r="N1792" s="124"/>
      <c r="O1792" s="124"/>
      <c r="P1792" s="124"/>
      <c r="Q1792" s="124"/>
      <c r="R1792" s="124"/>
      <c r="S1792" s="124"/>
      <c r="T1792" s="124"/>
      <c r="U1792" s="124"/>
      <c r="V1792" s="124"/>
      <c r="W1792" s="124"/>
      <c r="X1792" s="124"/>
      <c r="Y1792" s="124"/>
    </row>
    <row r="1793">
      <c r="A1793" s="125"/>
      <c r="B1793" s="126"/>
      <c r="C1793" s="127"/>
      <c r="D1793" s="124"/>
      <c r="E1793" s="124"/>
      <c r="F1793" s="124"/>
      <c r="G1793" s="124"/>
      <c r="H1793" s="124"/>
      <c r="I1793" s="124"/>
      <c r="J1793" s="124"/>
      <c r="K1793" s="124"/>
      <c r="L1793" s="124"/>
      <c r="M1793" s="124"/>
      <c r="N1793" s="124"/>
      <c r="O1793" s="124"/>
      <c r="P1793" s="124"/>
      <c r="Q1793" s="124"/>
      <c r="R1793" s="124"/>
      <c r="S1793" s="124"/>
      <c r="T1793" s="124"/>
      <c r="U1793" s="124"/>
      <c r="V1793" s="124"/>
      <c r="W1793" s="124"/>
      <c r="X1793" s="124"/>
      <c r="Y1793" s="124"/>
    </row>
    <row r="1794">
      <c r="A1794" s="125"/>
      <c r="B1794" s="126"/>
      <c r="C1794" s="127"/>
      <c r="D1794" s="124"/>
      <c r="E1794" s="124"/>
      <c r="F1794" s="124"/>
      <c r="G1794" s="124"/>
      <c r="H1794" s="124"/>
      <c r="I1794" s="124"/>
      <c r="J1794" s="124"/>
      <c r="K1794" s="124"/>
      <c r="L1794" s="124"/>
      <c r="M1794" s="124"/>
      <c r="N1794" s="124"/>
      <c r="O1794" s="124"/>
      <c r="P1794" s="124"/>
      <c r="Q1794" s="124"/>
      <c r="R1794" s="124"/>
      <c r="S1794" s="124"/>
      <c r="T1794" s="124"/>
      <c r="U1794" s="124"/>
      <c r="V1794" s="124"/>
      <c r="W1794" s="124"/>
      <c r="X1794" s="124"/>
      <c r="Y1794" s="124"/>
    </row>
    <row r="1795">
      <c r="A1795" s="125"/>
      <c r="B1795" s="126"/>
      <c r="C1795" s="127"/>
      <c r="D1795" s="124"/>
      <c r="E1795" s="124"/>
      <c r="F1795" s="124"/>
      <c r="G1795" s="124"/>
      <c r="H1795" s="124"/>
      <c r="I1795" s="124"/>
      <c r="J1795" s="124"/>
      <c r="K1795" s="124"/>
      <c r="L1795" s="124"/>
      <c r="M1795" s="124"/>
      <c r="N1795" s="124"/>
      <c r="O1795" s="124"/>
      <c r="P1795" s="124"/>
      <c r="Q1795" s="124"/>
      <c r="R1795" s="124"/>
      <c r="S1795" s="124"/>
      <c r="T1795" s="124"/>
      <c r="U1795" s="124"/>
      <c r="V1795" s="124"/>
      <c r="W1795" s="124"/>
      <c r="X1795" s="124"/>
      <c r="Y1795" s="124"/>
    </row>
    <row r="1796">
      <c r="A1796" s="125"/>
      <c r="B1796" s="126"/>
      <c r="C1796" s="127"/>
      <c r="D1796" s="124"/>
      <c r="E1796" s="124"/>
      <c r="F1796" s="124"/>
      <c r="G1796" s="124"/>
      <c r="H1796" s="124"/>
      <c r="I1796" s="124"/>
      <c r="J1796" s="124"/>
      <c r="K1796" s="124"/>
      <c r="L1796" s="124"/>
      <c r="M1796" s="124"/>
      <c r="N1796" s="124"/>
      <c r="O1796" s="124"/>
      <c r="P1796" s="124"/>
      <c r="Q1796" s="124"/>
      <c r="R1796" s="124"/>
      <c r="S1796" s="124"/>
      <c r="T1796" s="124"/>
      <c r="U1796" s="124"/>
      <c r="V1796" s="124"/>
      <c r="W1796" s="124"/>
      <c r="X1796" s="124"/>
      <c r="Y1796" s="124"/>
    </row>
    <row r="1797">
      <c r="A1797" s="125"/>
      <c r="B1797" s="126"/>
      <c r="C1797" s="127"/>
      <c r="D1797" s="124"/>
      <c r="E1797" s="124"/>
      <c r="F1797" s="124"/>
      <c r="G1797" s="124"/>
      <c r="H1797" s="124"/>
      <c r="I1797" s="124"/>
      <c r="J1797" s="124"/>
      <c r="K1797" s="124"/>
      <c r="L1797" s="124"/>
      <c r="M1797" s="124"/>
      <c r="N1797" s="124"/>
      <c r="O1797" s="124"/>
      <c r="P1797" s="124"/>
      <c r="Q1797" s="124"/>
      <c r="R1797" s="124"/>
      <c r="S1797" s="124"/>
      <c r="T1797" s="124"/>
      <c r="U1797" s="124"/>
      <c r="V1797" s="124"/>
      <c r="W1797" s="124"/>
      <c r="X1797" s="124"/>
      <c r="Y1797" s="124"/>
    </row>
    <row r="1798">
      <c r="A1798" s="125"/>
      <c r="B1798" s="126"/>
      <c r="C1798" s="127"/>
      <c r="D1798" s="124"/>
      <c r="E1798" s="124"/>
      <c r="F1798" s="124"/>
      <c r="G1798" s="124"/>
      <c r="H1798" s="124"/>
      <c r="I1798" s="124"/>
      <c r="J1798" s="124"/>
      <c r="K1798" s="124"/>
      <c r="L1798" s="124"/>
      <c r="M1798" s="124"/>
      <c r="N1798" s="124"/>
      <c r="O1798" s="124"/>
      <c r="P1798" s="124"/>
      <c r="Q1798" s="124"/>
      <c r="R1798" s="124"/>
      <c r="S1798" s="124"/>
      <c r="T1798" s="124"/>
      <c r="U1798" s="124"/>
      <c r="V1798" s="124"/>
      <c r="W1798" s="124"/>
      <c r="X1798" s="124"/>
      <c r="Y1798" s="124"/>
    </row>
    <row r="1799">
      <c r="A1799" s="125"/>
      <c r="B1799" s="126"/>
      <c r="C1799" s="127"/>
      <c r="D1799" s="124"/>
      <c r="E1799" s="124"/>
      <c r="F1799" s="124"/>
      <c r="G1799" s="124"/>
      <c r="H1799" s="124"/>
      <c r="I1799" s="124"/>
      <c r="J1799" s="124"/>
      <c r="K1799" s="124"/>
      <c r="L1799" s="124"/>
      <c r="M1799" s="124"/>
      <c r="N1799" s="124"/>
      <c r="O1799" s="124"/>
      <c r="P1799" s="124"/>
      <c r="Q1799" s="124"/>
      <c r="R1799" s="124"/>
      <c r="S1799" s="124"/>
      <c r="T1799" s="124"/>
      <c r="U1799" s="124"/>
      <c r="V1799" s="124"/>
      <c r="W1799" s="124"/>
      <c r="X1799" s="124"/>
      <c r="Y1799" s="124"/>
    </row>
    <row r="1800">
      <c r="A1800" s="125"/>
      <c r="B1800" s="126"/>
      <c r="C1800" s="127"/>
      <c r="D1800" s="124"/>
      <c r="E1800" s="124"/>
      <c r="F1800" s="124"/>
      <c r="G1800" s="124"/>
      <c r="H1800" s="124"/>
      <c r="I1800" s="124"/>
      <c r="J1800" s="124"/>
      <c r="K1800" s="124"/>
      <c r="L1800" s="124"/>
      <c r="M1800" s="124"/>
      <c r="N1800" s="124"/>
      <c r="O1800" s="124"/>
      <c r="P1800" s="124"/>
      <c r="Q1800" s="124"/>
      <c r="R1800" s="124"/>
      <c r="S1800" s="124"/>
      <c r="T1800" s="124"/>
      <c r="U1800" s="124"/>
      <c r="V1800" s="124"/>
      <c r="W1800" s="124"/>
      <c r="X1800" s="124"/>
      <c r="Y1800" s="124"/>
    </row>
    <row r="1801">
      <c r="A1801" s="125"/>
      <c r="B1801" s="126"/>
      <c r="C1801" s="127"/>
      <c r="D1801" s="124"/>
      <c r="E1801" s="124"/>
      <c r="F1801" s="124"/>
      <c r="G1801" s="124"/>
      <c r="H1801" s="124"/>
      <c r="I1801" s="124"/>
      <c r="J1801" s="124"/>
      <c r="K1801" s="124"/>
      <c r="L1801" s="124"/>
      <c r="M1801" s="124"/>
      <c r="N1801" s="124"/>
      <c r="O1801" s="124"/>
      <c r="P1801" s="124"/>
      <c r="Q1801" s="124"/>
      <c r="R1801" s="124"/>
      <c r="S1801" s="124"/>
      <c r="T1801" s="124"/>
      <c r="U1801" s="124"/>
      <c r="V1801" s="124"/>
      <c r="W1801" s="124"/>
      <c r="X1801" s="124"/>
      <c r="Y1801" s="124"/>
    </row>
    <row r="1802">
      <c r="A1802" s="125"/>
      <c r="B1802" s="126"/>
      <c r="C1802" s="127"/>
      <c r="D1802" s="124"/>
      <c r="E1802" s="124"/>
      <c r="F1802" s="124"/>
      <c r="G1802" s="124"/>
      <c r="H1802" s="124"/>
      <c r="I1802" s="124"/>
      <c r="J1802" s="124"/>
      <c r="K1802" s="124"/>
      <c r="L1802" s="124"/>
      <c r="M1802" s="124"/>
      <c r="N1802" s="124"/>
      <c r="O1802" s="124"/>
      <c r="P1802" s="124"/>
      <c r="Q1802" s="124"/>
      <c r="R1802" s="124"/>
      <c r="S1802" s="124"/>
      <c r="T1802" s="124"/>
      <c r="U1802" s="124"/>
      <c r="V1802" s="124"/>
      <c r="W1802" s="124"/>
      <c r="X1802" s="124"/>
      <c r="Y1802" s="124"/>
    </row>
    <row r="1803">
      <c r="A1803" s="125"/>
      <c r="B1803" s="126"/>
      <c r="C1803" s="127"/>
      <c r="D1803" s="124"/>
      <c r="E1803" s="124"/>
      <c r="F1803" s="124"/>
      <c r="G1803" s="124"/>
      <c r="H1803" s="124"/>
      <c r="I1803" s="124"/>
      <c r="J1803" s="124"/>
      <c r="K1803" s="124"/>
      <c r="L1803" s="124"/>
      <c r="M1803" s="124"/>
      <c r="N1803" s="124"/>
      <c r="O1803" s="124"/>
      <c r="P1803" s="124"/>
      <c r="Q1803" s="124"/>
      <c r="R1803" s="124"/>
      <c r="S1803" s="124"/>
      <c r="T1803" s="124"/>
      <c r="U1803" s="124"/>
      <c r="V1803" s="124"/>
      <c r="W1803" s="124"/>
      <c r="X1803" s="124"/>
      <c r="Y1803" s="124"/>
    </row>
    <row r="1804">
      <c r="A1804" s="125"/>
      <c r="B1804" s="126"/>
      <c r="C1804" s="127"/>
      <c r="D1804" s="124"/>
      <c r="E1804" s="124"/>
      <c r="F1804" s="124"/>
      <c r="G1804" s="124"/>
      <c r="H1804" s="124"/>
      <c r="I1804" s="124"/>
      <c r="J1804" s="124"/>
      <c r="K1804" s="124"/>
      <c r="L1804" s="124"/>
      <c r="M1804" s="124"/>
      <c r="N1804" s="124"/>
      <c r="O1804" s="124"/>
      <c r="P1804" s="124"/>
      <c r="Q1804" s="124"/>
      <c r="R1804" s="124"/>
      <c r="S1804" s="124"/>
      <c r="T1804" s="124"/>
      <c r="U1804" s="124"/>
      <c r="V1804" s="124"/>
      <c r="W1804" s="124"/>
      <c r="X1804" s="124"/>
      <c r="Y1804" s="124"/>
    </row>
    <row r="1805">
      <c r="A1805" s="125"/>
      <c r="B1805" s="126"/>
      <c r="C1805" s="127"/>
      <c r="D1805" s="124"/>
      <c r="E1805" s="124"/>
      <c r="F1805" s="124"/>
      <c r="G1805" s="124"/>
      <c r="H1805" s="124"/>
      <c r="I1805" s="124"/>
      <c r="J1805" s="124"/>
      <c r="K1805" s="124"/>
      <c r="L1805" s="124"/>
      <c r="M1805" s="124"/>
      <c r="N1805" s="124"/>
      <c r="O1805" s="124"/>
      <c r="P1805" s="124"/>
      <c r="Q1805" s="124"/>
      <c r="R1805" s="124"/>
      <c r="S1805" s="124"/>
      <c r="T1805" s="124"/>
      <c r="U1805" s="124"/>
      <c r="V1805" s="124"/>
      <c r="W1805" s="124"/>
      <c r="X1805" s="124"/>
      <c r="Y1805" s="124"/>
    </row>
    <row r="1806">
      <c r="A1806" s="125"/>
      <c r="B1806" s="126"/>
      <c r="C1806" s="127"/>
      <c r="D1806" s="124"/>
      <c r="E1806" s="124"/>
      <c r="F1806" s="124"/>
      <c r="G1806" s="124"/>
      <c r="H1806" s="124"/>
      <c r="I1806" s="124"/>
      <c r="J1806" s="124"/>
      <c r="K1806" s="124"/>
      <c r="L1806" s="124"/>
      <c r="M1806" s="124"/>
      <c r="N1806" s="124"/>
      <c r="O1806" s="124"/>
      <c r="P1806" s="124"/>
      <c r="Q1806" s="124"/>
      <c r="R1806" s="124"/>
      <c r="S1806" s="124"/>
      <c r="T1806" s="124"/>
      <c r="U1806" s="124"/>
      <c r="V1806" s="124"/>
      <c r="W1806" s="124"/>
      <c r="X1806" s="124"/>
      <c r="Y1806" s="124"/>
    </row>
    <row r="1807">
      <c r="A1807" s="125"/>
      <c r="B1807" s="126"/>
      <c r="C1807" s="127"/>
      <c r="D1807" s="124"/>
      <c r="E1807" s="124"/>
      <c r="F1807" s="124"/>
      <c r="G1807" s="124"/>
      <c r="H1807" s="124"/>
      <c r="I1807" s="124"/>
      <c r="J1807" s="124"/>
      <c r="K1807" s="124"/>
      <c r="L1807" s="124"/>
      <c r="M1807" s="124"/>
      <c r="N1807" s="124"/>
      <c r="O1807" s="124"/>
      <c r="P1807" s="124"/>
      <c r="Q1807" s="124"/>
      <c r="R1807" s="124"/>
      <c r="S1807" s="124"/>
      <c r="T1807" s="124"/>
      <c r="U1807" s="124"/>
      <c r="V1807" s="124"/>
      <c r="W1807" s="124"/>
      <c r="X1807" s="124"/>
      <c r="Y1807" s="124"/>
    </row>
    <row r="1808">
      <c r="A1808" s="125"/>
      <c r="B1808" s="126"/>
      <c r="C1808" s="127"/>
      <c r="D1808" s="124"/>
      <c r="E1808" s="124"/>
      <c r="F1808" s="124"/>
      <c r="G1808" s="124"/>
      <c r="H1808" s="124"/>
      <c r="I1808" s="124"/>
      <c r="J1808" s="124"/>
      <c r="K1808" s="124"/>
      <c r="L1808" s="124"/>
      <c r="M1808" s="124"/>
      <c r="N1808" s="124"/>
      <c r="O1808" s="124"/>
      <c r="P1808" s="124"/>
      <c r="Q1808" s="124"/>
      <c r="R1808" s="124"/>
      <c r="S1808" s="124"/>
      <c r="T1808" s="124"/>
      <c r="U1808" s="124"/>
      <c r="V1808" s="124"/>
      <c r="W1808" s="124"/>
      <c r="X1808" s="124"/>
      <c r="Y1808" s="124"/>
    </row>
    <row r="1809">
      <c r="A1809" s="125"/>
      <c r="B1809" s="126"/>
      <c r="C1809" s="127"/>
      <c r="D1809" s="124"/>
      <c r="E1809" s="124"/>
      <c r="F1809" s="124"/>
      <c r="G1809" s="124"/>
      <c r="H1809" s="124"/>
      <c r="I1809" s="124"/>
      <c r="J1809" s="124"/>
      <c r="K1809" s="124"/>
      <c r="L1809" s="124"/>
      <c r="M1809" s="124"/>
      <c r="N1809" s="124"/>
      <c r="O1809" s="124"/>
      <c r="P1809" s="124"/>
      <c r="Q1809" s="124"/>
      <c r="R1809" s="124"/>
      <c r="S1809" s="124"/>
      <c r="T1809" s="124"/>
      <c r="U1809" s="124"/>
      <c r="V1809" s="124"/>
      <c r="W1809" s="124"/>
      <c r="X1809" s="124"/>
      <c r="Y1809" s="124"/>
    </row>
    <row r="1810">
      <c r="A1810" s="125"/>
      <c r="B1810" s="126"/>
      <c r="C1810" s="127"/>
      <c r="D1810" s="124"/>
      <c r="E1810" s="124"/>
      <c r="F1810" s="124"/>
      <c r="G1810" s="124"/>
      <c r="H1810" s="124"/>
      <c r="I1810" s="124"/>
      <c r="J1810" s="124"/>
      <c r="K1810" s="124"/>
      <c r="L1810" s="124"/>
      <c r="M1810" s="124"/>
      <c r="N1810" s="124"/>
      <c r="O1810" s="124"/>
      <c r="P1810" s="124"/>
      <c r="Q1810" s="124"/>
      <c r="R1810" s="124"/>
      <c r="S1810" s="124"/>
      <c r="T1810" s="124"/>
      <c r="U1810" s="124"/>
      <c r="V1810" s="124"/>
      <c r="W1810" s="124"/>
      <c r="X1810" s="124"/>
      <c r="Y1810" s="124"/>
    </row>
    <row r="1811">
      <c r="A1811" s="125"/>
      <c r="B1811" s="126"/>
      <c r="C1811" s="127"/>
      <c r="D1811" s="124"/>
      <c r="E1811" s="124"/>
      <c r="F1811" s="124"/>
      <c r="G1811" s="124"/>
      <c r="H1811" s="124"/>
      <c r="I1811" s="124"/>
      <c r="J1811" s="124"/>
      <c r="K1811" s="124"/>
      <c r="L1811" s="124"/>
      <c r="M1811" s="124"/>
      <c r="N1811" s="124"/>
      <c r="O1811" s="124"/>
      <c r="P1811" s="124"/>
      <c r="Q1811" s="124"/>
      <c r="R1811" s="124"/>
      <c r="S1811" s="124"/>
      <c r="T1811" s="124"/>
      <c r="U1811" s="124"/>
      <c r="V1811" s="124"/>
      <c r="W1811" s="124"/>
      <c r="X1811" s="124"/>
      <c r="Y1811" s="124"/>
    </row>
    <row r="1812">
      <c r="A1812" s="125"/>
      <c r="B1812" s="126"/>
      <c r="C1812" s="127"/>
      <c r="D1812" s="124"/>
      <c r="E1812" s="124"/>
      <c r="F1812" s="124"/>
      <c r="G1812" s="124"/>
      <c r="H1812" s="124"/>
      <c r="I1812" s="124"/>
      <c r="J1812" s="124"/>
      <c r="K1812" s="124"/>
      <c r="L1812" s="124"/>
      <c r="M1812" s="124"/>
      <c r="N1812" s="124"/>
      <c r="O1812" s="124"/>
      <c r="P1812" s="124"/>
      <c r="Q1812" s="124"/>
      <c r="R1812" s="124"/>
      <c r="S1812" s="124"/>
      <c r="T1812" s="124"/>
      <c r="U1812" s="124"/>
      <c r="V1812" s="124"/>
      <c r="W1812" s="124"/>
      <c r="X1812" s="124"/>
      <c r="Y1812" s="124"/>
    </row>
    <row r="1813">
      <c r="A1813" s="125"/>
      <c r="B1813" s="126"/>
      <c r="C1813" s="127"/>
      <c r="D1813" s="124"/>
      <c r="E1813" s="124"/>
      <c r="F1813" s="124"/>
      <c r="G1813" s="124"/>
      <c r="H1813" s="124"/>
      <c r="I1813" s="124"/>
      <c r="J1813" s="124"/>
      <c r="K1813" s="124"/>
      <c r="L1813" s="124"/>
      <c r="M1813" s="124"/>
      <c r="N1813" s="124"/>
      <c r="O1813" s="124"/>
      <c r="P1813" s="124"/>
      <c r="Q1813" s="124"/>
      <c r="R1813" s="124"/>
      <c r="S1813" s="124"/>
      <c r="T1813" s="124"/>
      <c r="U1813" s="124"/>
      <c r="V1813" s="124"/>
      <c r="W1813" s="124"/>
      <c r="X1813" s="124"/>
      <c r="Y1813" s="124"/>
    </row>
    <row r="1814">
      <c r="A1814" s="125"/>
      <c r="B1814" s="126"/>
      <c r="C1814" s="127"/>
      <c r="D1814" s="124"/>
      <c r="E1814" s="124"/>
      <c r="F1814" s="124"/>
      <c r="G1814" s="124"/>
      <c r="H1814" s="124"/>
      <c r="I1814" s="124"/>
      <c r="J1814" s="124"/>
      <c r="K1814" s="124"/>
      <c r="L1814" s="124"/>
      <c r="M1814" s="124"/>
      <c r="N1814" s="124"/>
      <c r="O1814" s="124"/>
      <c r="P1814" s="124"/>
      <c r="Q1814" s="124"/>
      <c r="R1814" s="124"/>
      <c r="S1814" s="124"/>
      <c r="T1814" s="124"/>
      <c r="U1814" s="124"/>
      <c r="V1814" s="124"/>
      <c r="W1814" s="124"/>
      <c r="X1814" s="124"/>
      <c r="Y1814" s="124"/>
    </row>
    <row r="1815">
      <c r="A1815" s="125"/>
      <c r="B1815" s="126"/>
      <c r="C1815" s="127"/>
      <c r="D1815" s="124"/>
      <c r="E1815" s="124"/>
      <c r="F1815" s="124"/>
      <c r="G1815" s="124"/>
      <c r="H1815" s="124"/>
      <c r="I1815" s="124"/>
      <c r="J1815" s="124"/>
      <c r="K1815" s="124"/>
      <c r="L1815" s="124"/>
      <c r="M1815" s="124"/>
      <c r="N1815" s="124"/>
      <c r="O1815" s="124"/>
      <c r="P1815" s="124"/>
      <c r="Q1815" s="124"/>
      <c r="R1815" s="124"/>
      <c r="S1815" s="124"/>
      <c r="T1815" s="124"/>
      <c r="U1815" s="124"/>
      <c r="V1815" s="124"/>
      <c r="W1815" s="124"/>
      <c r="X1815" s="124"/>
      <c r="Y1815" s="124"/>
    </row>
    <row r="1816">
      <c r="A1816" s="125"/>
      <c r="B1816" s="126"/>
      <c r="C1816" s="127"/>
      <c r="D1816" s="124"/>
      <c r="E1816" s="124"/>
      <c r="F1816" s="124"/>
      <c r="G1816" s="124"/>
      <c r="H1816" s="124"/>
      <c r="I1816" s="124"/>
      <c r="J1816" s="124"/>
      <c r="K1816" s="124"/>
      <c r="L1816" s="124"/>
      <c r="M1816" s="124"/>
      <c r="N1816" s="124"/>
      <c r="O1816" s="124"/>
      <c r="P1816" s="124"/>
      <c r="Q1816" s="124"/>
      <c r="R1816" s="124"/>
      <c r="S1816" s="124"/>
      <c r="T1816" s="124"/>
      <c r="U1816" s="124"/>
      <c r="V1816" s="124"/>
      <c r="W1816" s="124"/>
      <c r="X1816" s="124"/>
      <c r="Y1816" s="124"/>
    </row>
    <row r="1817">
      <c r="A1817" s="125"/>
      <c r="B1817" s="126"/>
      <c r="C1817" s="127"/>
      <c r="D1817" s="124"/>
      <c r="E1817" s="124"/>
      <c r="F1817" s="124"/>
      <c r="G1817" s="124"/>
      <c r="H1817" s="124"/>
      <c r="I1817" s="124"/>
      <c r="J1817" s="124"/>
      <c r="K1817" s="124"/>
      <c r="L1817" s="124"/>
      <c r="M1817" s="124"/>
      <c r="N1817" s="124"/>
      <c r="O1817" s="124"/>
      <c r="P1817" s="124"/>
      <c r="Q1817" s="124"/>
      <c r="R1817" s="124"/>
      <c r="S1817" s="124"/>
      <c r="T1817" s="124"/>
      <c r="U1817" s="124"/>
      <c r="V1817" s="124"/>
      <c r="W1817" s="124"/>
      <c r="X1817" s="124"/>
      <c r="Y1817" s="124"/>
    </row>
    <row r="1818">
      <c r="A1818" s="125"/>
      <c r="B1818" s="126"/>
      <c r="C1818" s="127"/>
      <c r="D1818" s="124"/>
      <c r="E1818" s="124"/>
      <c r="F1818" s="124"/>
      <c r="G1818" s="124"/>
      <c r="H1818" s="124"/>
      <c r="I1818" s="124"/>
      <c r="J1818" s="124"/>
      <c r="K1818" s="124"/>
      <c r="L1818" s="124"/>
      <c r="M1818" s="124"/>
      <c r="N1818" s="124"/>
      <c r="O1818" s="124"/>
      <c r="P1818" s="124"/>
      <c r="Q1818" s="124"/>
      <c r="R1818" s="124"/>
      <c r="S1818" s="124"/>
      <c r="T1818" s="124"/>
      <c r="U1818" s="124"/>
      <c r="V1818" s="124"/>
      <c r="W1818" s="124"/>
      <c r="X1818" s="124"/>
      <c r="Y1818" s="124"/>
    </row>
    <row r="1819">
      <c r="A1819" s="125"/>
      <c r="B1819" s="126"/>
      <c r="C1819" s="127"/>
      <c r="D1819" s="124"/>
      <c r="E1819" s="124"/>
      <c r="F1819" s="124"/>
      <c r="G1819" s="124"/>
      <c r="H1819" s="124"/>
      <c r="I1819" s="124"/>
      <c r="J1819" s="124"/>
      <c r="K1819" s="124"/>
      <c r="L1819" s="124"/>
      <c r="M1819" s="124"/>
      <c r="N1819" s="124"/>
      <c r="O1819" s="124"/>
      <c r="P1819" s="124"/>
      <c r="Q1819" s="124"/>
      <c r="R1819" s="124"/>
      <c r="S1819" s="124"/>
      <c r="T1819" s="124"/>
      <c r="U1819" s="124"/>
      <c r="V1819" s="124"/>
      <c r="W1819" s="124"/>
      <c r="X1819" s="124"/>
      <c r="Y1819" s="124"/>
    </row>
    <row r="1820">
      <c r="A1820" s="125"/>
      <c r="B1820" s="126"/>
      <c r="C1820" s="127"/>
      <c r="D1820" s="124"/>
      <c r="E1820" s="124"/>
      <c r="F1820" s="124"/>
      <c r="G1820" s="124"/>
      <c r="H1820" s="124"/>
      <c r="I1820" s="124"/>
      <c r="J1820" s="124"/>
      <c r="K1820" s="124"/>
      <c r="L1820" s="124"/>
      <c r="M1820" s="124"/>
      <c r="N1820" s="124"/>
      <c r="O1820" s="124"/>
      <c r="P1820" s="124"/>
      <c r="Q1820" s="124"/>
      <c r="R1820" s="124"/>
      <c r="S1820" s="124"/>
      <c r="T1820" s="124"/>
      <c r="U1820" s="124"/>
      <c r="V1820" s="124"/>
      <c r="W1820" s="124"/>
      <c r="X1820" s="124"/>
      <c r="Y1820" s="124"/>
    </row>
    <row r="1821">
      <c r="A1821" s="125"/>
      <c r="B1821" s="126"/>
      <c r="C1821" s="127"/>
      <c r="D1821" s="124"/>
      <c r="E1821" s="124"/>
      <c r="F1821" s="124"/>
      <c r="G1821" s="124"/>
      <c r="H1821" s="124"/>
      <c r="I1821" s="124"/>
      <c r="J1821" s="124"/>
      <c r="K1821" s="124"/>
      <c r="L1821" s="124"/>
      <c r="M1821" s="124"/>
      <c r="N1821" s="124"/>
      <c r="O1821" s="124"/>
      <c r="P1821" s="124"/>
      <c r="Q1821" s="124"/>
      <c r="R1821" s="124"/>
      <c r="S1821" s="124"/>
      <c r="T1821" s="124"/>
      <c r="U1821" s="124"/>
      <c r="V1821" s="124"/>
      <c r="W1821" s="124"/>
      <c r="X1821" s="124"/>
      <c r="Y1821" s="124"/>
    </row>
    <row r="1822">
      <c r="A1822" s="125"/>
      <c r="B1822" s="126"/>
      <c r="C1822" s="127"/>
      <c r="D1822" s="124"/>
      <c r="E1822" s="124"/>
      <c r="F1822" s="124"/>
      <c r="G1822" s="124"/>
      <c r="H1822" s="124"/>
      <c r="I1822" s="124"/>
      <c r="J1822" s="124"/>
      <c r="K1822" s="124"/>
      <c r="L1822" s="124"/>
      <c r="M1822" s="124"/>
      <c r="N1822" s="124"/>
      <c r="O1822" s="124"/>
      <c r="P1822" s="124"/>
      <c r="Q1822" s="124"/>
      <c r="R1822" s="124"/>
      <c r="S1822" s="124"/>
      <c r="T1822" s="124"/>
      <c r="U1822" s="124"/>
      <c r="V1822" s="124"/>
      <c r="W1822" s="124"/>
      <c r="X1822" s="124"/>
      <c r="Y1822" s="124"/>
    </row>
    <row r="1823">
      <c r="A1823" s="125"/>
      <c r="B1823" s="126"/>
      <c r="C1823" s="127"/>
      <c r="D1823" s="124"/>
      <c r="E1823" s="124"/>
      <c r="F1823" s="124"/>
      <c r="G1823" s="124"/>
      <c r="H1823" s="124"/>
      <c r="I1823" s="124"/>
      <c r="J1823" s="124"/>
      <c r="K1823" s="124"/>
      <c r="L1823" s="124"/>
      <c r="M1823" s="124"/>
      <c r="N1823" s="124"/>
      <c r="O1823" s="124"/>
      <c r="P1823" s="124"/>
      <c r="Q1823" s="124"/>
      <c r="R1823" s="124"/>
      <c r="S1823" s="124"/>
      <c r="T1823" s="124"/>
      <c r="U1823" s="124"/>
      <c r="V1823" s="124"/>
      <c r="W1823" s="124"/>
      <c r="X1823" s="124"/>
      <c r="Y1823" s="124"/>
    </row>
    <row r="1824">
      <c r="A1824" s="125"/>
      <c r="B1824" s="126"/>
      <c r="C1824" s="127"/>
      <c r="D1824" s="124"/>
      <c r="E1824" s="124"/>
      <c r="F1824" s="124"/>
      <c r="G1824" s="124"/>
      <c r="H1824" s="124"/>
      <c r="I1824" s="124"/>
      <c r="J1824" s="124"/>
      <c r="K1824" s="124"/>
      <c r="L1824" s="124"/>
      <c r="M1824" s="124"/>
      <c r="N1824" s="124"/>
      <c r="O1824" s="124"/>
      <c r="P1824" s="124"/>
      <c r="Q1824" s="124"/>
      <c r="R1824" s="124"/>
      <c r="S1824" s="124"/>
      <c r="T1824" s="124"/>
      <c r="U1824" s="124"/>
      <c r="V1824" s="124"/>
      <c r="W1824" s="124"/>
      <c r="X1824" s="124"/>
      <c r="Y1824" s="124"/>
    </row>
    <row r="1825">
      <c r="A1825" s="125"/>
      <c r="B1825" s="126"/>
      <c r="C1825" s="127"/>
      <c r="D1825" s="124"/>
      <c r="E1825" s="124"/>
      <c r="F1825" s="124"/>
      <c r="G1825" s="124"/>
      <c r="H1825" s="124"/>
      <c r="I1825" s="124"/>
      <c r="J1825" s="124"/>
      <c r="K1825" s="124"/>
      <c r="L1825" s="124"/>
      <c r="M1825" s="124"/>
      <c r="N1825" s="124"/>
      <c r="O1825" s="124"/>
      <c r="P1825" s="124"/>
      <c r="Q1825" s="124"/>
      <c r="R1825" s="124"/>
      <c r="S1825" s="124"/>
      <c r="T1825" s="124"/>
      <c r="U1825" s="124"/>
      <c r="V1825" s="124"/>
      <c r="W1825" s="124"/>
      <c r="X1825" s="124"/>
      <c r="Y1825" s="124"/>
    </row>
    <row r="1826">
      <c r="A1826" s="125"/>
      <c r="B1826" s="126"/>
      <c r="C1826" s="127"/>
      <c r="D1826" s="124"/>
      <c r="E1826" s="124"/>
      <c r="F1826" s="124"/>
      <c r="G1826" s="124"/>
      <c r="H1826" s="124"/>
      <c r="I1826" s="124"/>
      <c r="J1826" s="124"/>
      <c r="K1826" s="124"/>
      <c r="L1826" s="124"/>
      <c r="M1826" s="124"/>
      <c r="N1826" s="124"/>
      <c r="O1826" s="124"/>
      <c r="P1826" s="124"/>
      <c r="Q1826" s="124"/>
      <c r="R1826" s="124"/>
      <c r="S1826" s="124"/>
      <c r="T1826" s="124"/>
      <c r="U1826" s="124"/>
      <c r="V1826" s="124"/>
      <c r="W1826" s="124"/>
      <c r="X1826" s="124"/>
      <c r="Y1826" s="124"/>
    </row>
    <row r="1827">
      <c r="A1827" s="125"/>
      <c r="B1827" s="126"/>
      <c r="C1827" s="127"/>
      <c r="D1827" s="124"/>
      <c r="E1827" s="124"/>
      <c r="F1827" s="124"/>
      <c r="G1827" s="124"/>
      <c r="H1827" s="124"/>
      <c r="I1827" s="124"/>
      <c r="J1827" s="124"/>
      <c r="K1827" s="124"/>
      <c r="L1827" s="124"/>
      <c r="M1827" s="124"/>
      <c r="N1827" s="124"/>
      <c r="O1827" s="124"/>
      <c r="P1827" s="124"/>
      <c r="Q1827" s="124"/>
      <c r="R1827" s="124"/>
      <c r="S1827" s="124"/>
      <c r="T1827" s="124"/>
      <c r="U1827" s="124"/>
      <c r="V1827" s="124"/>
      <c r="W1827" s="124"/>
      <c r="X1827" s="124"/>
      <c r="Y1827" s="124"/>
    </row>
    <row r="1828">
      <c r="A1828" s="125"/>
      <c r="B1828" s="126"/>
      <c r="C1828" s="127"/>
      <c r="D1828" s="124"/>
      <c r="E1828" s="124"/>
      <c r="F1828" s="124"/>
      <c r="G1828" s="124"/>
      <c r="H1828" s="124"/>
      <c r="I1828" s="124"/>
      <c r="J1828" s="124"/>
      <c r="K1828" s="124"/>
      <c r="L1828" s="124"/>
      <c r="M1828" s="124"/>
      <c r="N1828" s="124"/>
      <c r="O1828" s="124"/>
      <c r="P1828" s="124"/>
      <c r="Q1828" s="124"/>
      <c r="R1828" s="124"/>
      <c r="S1828" s="124"/>
      <c r="T1828" s="124"/>
      <c r="U1828" s="124"/>
      <c r="V1828" s="124"/>
      <c r="W1828" s="124"/>
      <c r="X1828" s="124"/>
      <c r="Y1828" s="124"/>
    </row>
    <row r="1829">
      <c r="A1829" s="125"/>
      <c r="B1829" s="126"/>
      <c r="C1829" s="127"/>
      <c r="D1829" s="124"/>
      <c r="E1829" s="124"/>
      <c r="F1829" s="124"/>
      <c r="G1829" s="124"/>
      <c r="H1829" s="124"/>
      <c r="I1829" s="124"/>
      <c r="J1829" s="124"/>
      <c r="K1829" s="124"/>
      <c r="L1829" s="124"/>
      <c r="M1829" s="124"/>
      <c r="N1829" s="124"/>
      <c r="O1829" s="124"/>
      <c r="P1829" s="124"/>
      <c r="Q1829" s="124"/>
      <c r="R1829" s="124"/>
      <c r="S1829" s="124"/>
      <c r="T1829" s="124"/>
      <c r="U1829" s="124"/>
      <c r="V1829" s="124"/>
      <c r="W1829" s="124"/>
      <c r="X1829" s="124"/>
      <c r="Y1829" s="124"/>
    </row>
    <row r="1830">
      <c r="A1830" s="125"/>
      <c r="B1830" s="126"/>
      <c r="C1830" s="127"/>
      <c r="D1830" s="124"/>
      <c r="E1830" s="124"/>
      <c r="F1830" s="124"/>
      <c r="G1830" s="124"/>
      <c r="H1830" s="124"/>
      <c r="I1830" s="124"/>
      <c r="J1830" s="124"/>
      <c r="K1830" s="124"/>
      <c r="L1830" s="124"/>
      <c r="M1830" s="124"/>
      <c r="N1830" s="124"/>
      <c r="O1830" s="124"/>
      <c r="P1830" s="124"/>
      <c r="Q1830" s="124"/>
      <c r="R1830" s="124"/>
      <c r="S1830" s="124"/>
      <c r="T1830" s="124"/>
      <c r="U1830" s="124"/>
      <c r="V1830" s="124"/>
      <c r="W1830" s="124"/>
      <c r="X1830" s="124"/>
      <c r="Y1830" s="124"/>
    </row>
    <row r="1831">
      <c r="A1831" s="125"/>
      <c r="B1831" s="126"/>
      <c r="C1831" s="127"/>
      <c r="D1831" s="124"/>
      <c r="E1831" s="124"/>
      <c r="F1831" s="124"/>
      <c r="G1831" s="124"/>
      <c r="H1831" s="124"/>
      <c r="I1831" s="124"/>
      <c r="J1831" s="124"/>
      <c r="K1831" s="124"/>
      <c r="L1831" s="124"/>
      <c r="M1831" s="124"/>
      <c r="N1831" s="124"/>
      <c r="O1831" s="124"/>
      <c r="P1831" s="124"/>
      <c r="Q1831" s="124"/>
      <c r="R1831" s="124"/>
      <c r="S1831" s="124"/>
      <c r="T1831" s="124"/>
      <c r="U1831" s="124"/>
      <c r="V1831" s="124"/>
      <c r="W1831" s="124"/>
      <c r="X1831" s="124"/>
      <c r="Y1831" s="124"/>
    </row>
    <row r="1832">
      <c r="A1832" s="125"/>
      <c r="B1832" s="126"/>
      <c r="C1832" s="127"/>
      <c r="D1832" s="124"/>
      <c r="E1832" s="124"/>
      <c r="F1832" s="124"/>
      <c r="G1832" s="124"/>
      <c r="H1832" s="124"/>
      <c r="I1832" s="124"/>
      <c r="J1832" s="124"/>
      <c r="K1832" s="124"/>
      <c r="L1832" s="124"/>
      <c r="M1832" s="124"/>
      <c r="N1832" s="124"/>
      <c r="O1832" s="124"/>
      <c r="P1832" s="124"/>
      <c r="Q1832" s="124"/>
      <c r="R1832" s="124"/>
      <c r="S1832" s="124"/>
      <c r="T1832" s="124"/>
      <c r="U1832" s="124"/>
      <c r="V1832" s="124"/>
      <c r="W1832" s="124"/>
      <c r="X1832" s="124"/>
      <c r="Y1832" s="124"/>
    </row>
    <row r="1833">
      <c r="A1833" s="125"/>
      <c r="B1833" s="126"/>
      <c r="C1833" s="127"/>
      <c r="D1833" s="124"/>
      <c r="E1833" s="124"/>
      <c r="F1833" s="124"/>
      <c r="G1833" s="124"/>
      <c r="H1833" s="124"/>
      <c r="I1833" s="124"/>
      <c r="J1833" s="124"/>
      <c r="K1833" s="124"/>
      <c r="L1833" s="124"/>
      <c r="M1833" s="124"/>
      <c r="N1833" s="124"/>
      <c r="O1833" s="124"/>
      <c r="P1833" s="124"/>
      <c r="Q1833" s="124"/>
      <c r="R1833" s="124"/>
      <c r="S1833" s="124"/>
      <c r="T1833" s="124"/>
      <c r="U1833" s="124"/>
      <c r="V1833" s="124"/>
      <c r="W1833" s="124"/>
      <c r="X1833" s="124"/>
      <c r="Y1833" s="124"/>
    </row>
    <row r="1834">
      <c r="A1834" s="125"/>
      <c r="B1834" s="126"/>
      <c r="C1834" s="127"/>
      <c r="D1834" s="124"/>
      <c r="E1834" s="124"/>
      <c r="F1834" s="124"/>
      <c r="G1834" s="124"/>
      <c r="H1834" s="124"/>
      <c r="I1834" s="124"/>
      <c r="J1834" s="124"/>
      <c r="K1834" s="124"/>
      <c r="L1834" s="124"/>
      <c r="M1834" s="124"/>
      <c r="N1834" s="124"/>
      <c r="O1834" s="124"/>
      <c r="P1834" s="124"/>
      <c r="Q1834" s="124"/>
      <c r="R1834" s="124"/>
      <c r="S1834" s="124"/>
      <c r="T1834" s="124"/>
      <c r="U1834" s="124"/>
      <c r="V1834" s="124"/>
      <c r="W1834" s="124"/>
      <c r="X1834" s="124"/>
      <c r="Y1834" s="124"/>
    </row>
    <row r="1835">
      <c r="A1835" s="125"/>
      <c r="B1835" s="126"/>
      <c r="C1835" s="127"/>
      <c r="D1835" s="124"/>
      <c r="E1835" s="124"/>
      <c r="F1835" s="124"/>
      <c r="G1835" s="124"/>
      <c r="H1835" s="124"/>
      <c r="I1835" s="124"/>
      <c r="J1835" s="124"/>
      <c r="K1835" s="124"/>
      <c r="L1835" s="124"/>
      <c r="M1835" s="124"/>
      <c r="N1835" s="124"/>
      <c r="O1835" s="124"/>
      <c r="P1835" s="124"/>
      <c r="Q1835" s="124"/>
      <c r="R1835" s="124"/>
      <c r="S1835" s="124"/>
      <c r="T1835" s="124"/>
      <c r="U1835" s="124"/>
      <c r="V1835" s="124"/>
      <c r="W1835" s="124"/>
      <c r="X1835" s="124"/>
      <c r="Y1835" s="124"/>
    </row>
    <row r="1836">
      <c r="A1836" s="125"/>
      <c r="B1836" s="126"/>
      <c r="C1836" s="127"/>
      <c r="D1836" s="124"/>
      <c r="E1836" s="124"/>
      <c r="F1836" s="124"/>
      <c r="G1836" s="124"/>
      <c r="H1836" s="124"/>
      <c r="I1836" s="124"/>
      <c r="J1836" s="124"/>
      <c r="K1836" s="124"/>
      <c r="L1836" s="124"/>
      <c r="M1836" s="124"/>
      <c r="N1836" s="124"/>
      <c r="O1836" s="124"/>
      <c r="P1836" s="124"/>
      <c r="Q1836" s="124"/>
      <c r="R1836" s="124"/>
      <c r="S1836" s="124"/>
      <c r="T1836" s="124"/>
      <c r="U1836" s="124"/>
      <c r="V1836" s="124"/>
      <c r="W1836" s="124"/>
      <c r="X1836" s="124"/>
      <c r="Y1836" s="124"/>
    </row>
    <row r="1837">
      <c r="A1837" s="125"/>
      <c r="B1837" s="126"/>
      <c r="C1837" s="127"/>
      <c r="D1837" s="124"/>
      <c r="E1837" s="124"/>
      <c r="F1837" s="124"/>
      <c r="G1837" s="124"/>
      <c r="H1837" s="124"/>
      <c r="I1837" s="124"/>
      <c r="J1837" s="124"/>
      <c r="K1837" s="124"/>
      <c r="L1837" s="124"/>
      <c r="M1837" s="124"/>
      <c r="N1837" s="124"/>
      <c r="O1837" s="124"/>
      <c r="P1837" s="124"/>
      <c r="Q1837" s="124"/>
      <c r="R1837" s="124"/>
      <c r="S1837" s="124"/>
      <c r="T1837" s="124"/>
      <c r="U1837" s="124"/>
      <c r="V1837" s="124"/>
      <c r="W1837" s="124"/>
      <c r="X1837" s="124"/>
      <c r="Y1837" s="124"/>
    </row>
    <row r="1838">
      <c r="A1838" s="125"/>
      <c r="B1838" s="126"/>
      <c r="C1838" s="127"/>
      <c r="D1838" s="124"/>
      <c r="E1838" s="124"/>
      <c r="F1838" s="124"/>
      <c r="G1838" s="124"/>
      <c r="H1838" s="124"/>
      <c r="I1838" s="124"/>
      <c r="J1838" s="124"/>
      <c r="K1838" s="124"/>
      <c r="L1838" s="124"/>
      <c r="M1838" s="124"/>
      <c r="N1838" s="124"/>
      <c r="O1838" s="124"/>
      <c r="P1838" s="124"/>
      <c r="Q1838" s="124"/>
      <c r="R1838" s="124"/>
      <c r="S1838" s="124"/>
      <c r="T1838" s="124"/>
      <c r="U1838" s="124"/>
      <c r="V1838" s="124"/>
      <c r="W1838" s="124"/>
      <c r="X1838" s="124"/>
      <c r="Y1838" s="124"/>
    </row>
    <row r="1839">
      <c r="A1839" s="125"/>
      <c r="B1839" s="126"/>
      <c r="C1839" s="127"/>
      <c r="D1839" s="124"/>
      <c r="E1839" s="124"/>
      <c r="F1839" s="124"/>
      <c r="G1839" s="124"/>
      <c r="H1839" s="124"/>
      <c r="I1839" s="124"/>
      <c r="J1839" s="124"/>
      <c r="K1839" s="124"/>
      <c r="L1839" s="124"/>
      <c r="M1839" s="124"/>
      <c r="N1839" s="124"/>
      <c r="O1839" s="124"/>
      <c r="P1839" s="124"/>
      <c r="Q1839" s="124"/>
      <c r="R1839" s="124"/>
      <c r="S1839" s="124"/>
      <c r="T1839" s="124"/>
      <c r="U1839" s="124"/>
      <c r="V1839" s="124"/>
      <c r="W1839" s="124"/>
      <c r="X1839" s="124"/>
      <c r="Y1839" s="124"/>
    </row>
    <row r="1840">
      <c r="A1840" s="125"/>
      <c r="B1840" s="126"/>
      <c r="C1840" s="127"/>
      <c r="D1840" s="124"/>
      <c r="E1840" s="124"/>
      <c r="F1840" s="124"/>
      <c r="G1840" s="124"/>
      <c r="H1840" s="124"/>
      <c r="I1840" s="124"/>
      <c r="J1840" s="124"/>
      <c r="K1840" s="124"/>
      <c r="L1840" s="124"/>
      <c r="M1840" s="124"/>
      <c r="N1840" s="124"/>
      <c r="O1840" s="124"/>
      <c r="P1840" s="124"/>
      <c r="Q1840" s="124"/>
      <c r="R1840" s="124"/>
      <c r="S1840" s="124"/>
      <c r="T1840" s="124"/>
      <c r="U1840" s="124"/>
      <c r="V1840" s="124"/>
      <c r="W1840" s="124"/>
      <c r="X1840" s="124"/>
      <c r="Y1840" s="124"/>
    </row>
    <row r="1841">
      <c r="A1841" s="125"/>
      <c r="B1841" s="126"/>
      <c r="C1841" s="127"/>
      <c r="D1841" s="124"/>
      <c r="E1841" s="124"/>
      <c r="F1841" s="124"/>
      <c r="G1841" s="124"/>
      <c r="H1841" s="124"/>
      <c r="I1841" s="124"/>
      <c r="J1841" s="124"/>
      <c r="K1841" s="124"/>
      <c r="L1841" s="124"/>
      <c r="M1841" s="124"/>
      <c r="N1841" s="124"/>
      <c r="O1841" s="124"/>
      <c r="P1841" s="124"/>
      <c r="Q1841" s="124"/>
      <c r="R1841" s="124"/>
      <c r="S1841" s="124"/>
      <c r="T1841" s="124"/>
      <c r="U1841" s="124"/>
      <c r="V1841" s="124"/>
      <c r="W1841" s="124"/>
      <c r="X1841" s="124"/>
      <c r="Y1841" s="124"/>
    </row>
    <row r="1842">
      <c r="A1842" s="125"/>
      <c r="B1842" s="126"/>
      <c r="C1842" s="127"/>
      <c r="D1842" s="124"/>
      <c r="E1842" s="124"/>
      <c r="F1842" s="124"/>
      <c r="G1842" s="124"/>
      <c r="H1842" s="124"/>
      <c r="I1842" s="124"/>
      <c r="J1842" s="124"/>
      <c r="K1842" s="124"/>
      <c r="L1842" s="124"/>
      <c r="M1842" s="124"/>
      <c r="N1842" s="124"/>
      <c r="O1842" s="124"/>
      <c r="P1842" s="124"/>
      <c r="Q1842" s="124"/>
      <c r="R1842" s="124"/>
      <c r="S1842" s="124"/>
      <c r="T1842" s="124"/>
      <c r="U1842" s="124"/>
      <c r="V1842" s="124"/>
      <c r="W1842" s="124"/>
      <c r="X1842" s="124"/>
      <c r="Y1842" s="124"/>
    </row>
    <row r="1843">
      <c r="A1843" s="125"/>
      <c r="B1843" s="126"/>
      <c r="C1843" s="127"/>
      <c r="D1843" s="124"/>
      <c r="E1843" s="124"/>
      <c r="F1843" s="124"/>
      <c r="G1843" s="124"/>
      <c r="H1843" s="124"/>
      <c r="I1843" s="124"/>
      <c r="J1843" s="124"/>
      <c r="K1843" s="124"/>
      <c r="L1843" s="124"/>
      <c r="M1843" s="124"/>
      <c r="N1843" s="124"/>
      <c r="O1843" s="124"/>
      <c r="P1843" s="124"/>
      <c r="Q1843" s="124"/>
      <c r="R1843" s="124"/>
      <c r="S1843" s="124"/>
      <c r="T1843" s="124"/>
      <c r="U1843" s="124"/>
      <c r="V1843" s="124"/>
      <c r="W1843" s="124"/>
      <c r="X1843" s="124"/>
      <c r="Y1843" s="124"/>
    </row>
    <row r="1844">
      <c r="A1844" s="125"/>
      <c r="B1844" s="126"/>
      <c r="C1844" s="127"/>
      <c r="D1844" s="124"/>
      <c r="E1844" s="124"/>
      <c r="F1844" s="124"/>
      <c r="G1844" s="124"/>
      <c r="H1844" s="124"/>
      <c r="I1844" s="124"/>
      <c r="J1844" s="124"/>
      <c r="K1844" s="124"/>
      <c r="L1844" s="124"/>
      <c r="M1844" s="124"/>
      <c r="N1844" s="124"/>
      <c r="O1844" s="124"/>
      <c r="P1844" s="124"/>
      <c r="Q1844" s="124"/>
      <c r="R1844" s="124"/>
      <c r="S1844" s="124"/>
      <c r="T1844" s="124"/>
      <c r="U1844" s="124"/>
      <c r="V1844" s="124"/>
      <c r="W1844" s="124"/>
      <c r="X1844" s="124"/>
      <c r="Y1844" s="124"/>
    </row>
    <row r="1845">
      <c r="A1845" s="125"/>
      <c r="B1845" s="126"/>
      <c r="C1845" s="127"/>
      <c r="D1845" s="124"/>
      <c r="E1845" s="124"/>
      <c r="F1845" s="124"/>
      <c r="G1845" s="124"/>
      <c r="H1845" s="124"/>
      <c r="I1845" s="124"/>
      <c r="J1845" s="124"/>
      <c r="K1845" s="124"/>
      <c r="L1845" s="124"/>
      <c r="M1845" s="124"/>
      <c r="N1845" s="124"/>
      <c r="O1845" s="124"/>
      <c r="P1845" s="124"/>
      <c r="Q1845" s="124"/>
      <c r="R1845" s="124"/>
      <c r="S1845" s="124"/>
      <c r="T1845" s="124"/>
      <c r="U1845" s="124"/>
      <c r="V1845" s="124"/>
      <c r="W1845" s="124"/>
      <c r="X1845" s="124"/>
      <c r="Y1845" s="124"/>
    </row>
    <row r="1846">
      <c r="A1846" s="125"/>
      <c r="B1846" s="126"/>
      <c r="C1846" s="127"/>
      <c r="D1846" s="124"/>
      <c r="E1846" s="124"/>
      <c r="F1846" s="124"/>
      <c r="G1846" s="124"/>
      <c r="H1846" s="124"/>
      <c r="I1846" s="124"/>
      <c r="J1846" s="124"/>
      <c r="K1846" s="124"/>
      <c r="L1846" s="124"/>
      <c r="M1846" s="124"/>
      <c r="N1846" s="124"/>
      <c r="O1846" s="124"/>
      <c r="P1846" s="124"/>
      <c r="Q1846" s="124"/>
      <c r="R1846" s="124"/>
      <c r="S1846" s="124"/>
      <c r="T1846" s="124"/>
      <c r="U1846" s="124"/>
      <c r="V1846" s="124"/>
      <c r="W1846" s="124"/>
      <c r="X1846" s="124"/>
      <c r="Y1846" s="124"/>
    </row>
    <row r="1847">
      <c r="A1847" s="125"/>
      <c r="B1847" s="126"/>
      <c r="C1847" s="127"/>
      <c r="D1847" s="124"/>
      <c r="E1847" s="124"/>
      <c r="F1847" s="124"/>
      <c r="G1847" s="124"/>
      <c r="H1847" s="124"/>
      <c r="I1847" s="124"/>
      <c r="J1847" s="124"/>
      <c r="K1847" s="124"/>
      <c r="L1847" s="124"/>
      <c r="M1847" s="124"/>
      <c r="N1847" s="124"/>
      <c r="O1847" s="124"/>
      <c r="P1847" s="124"/>
      <c r="Q1847" s="124"/>
      <c r="R1847" s="124"/>
      <c r="S1847" s="124"/>
      <c r="T1847" s="124"/>
      <c r="U1847" s="124"/>
      <c r="V1847" s="124"/>
      <c r="W1847" s="124"/>
      <c r="X1847" s="124"/>
      <c r="Y1847" s="124"/>
    </row>
    <row r="1848">
      <c r="A1848" s="125"/>
      <c r="B1848" s="126"/>
      <c r="C1848" s="127"/>
      <c r="D1848" s="124"/>
      <c r="E1848" s="124"/>
      <c r="F1848" s="124"/>
      <c r="G1848" s="124"/>
      <c r="H1848" s="124"/>
      <c r="I1848" s="124"/>
      <c r="J1848" s="124"/>
      <c r="K1848" s="124"/>
      <c r="L1848" s="124"/>
      <c r="M1848" s="124"/>
      <c r="N1848" s="124"/>
      <c r="O1848" s="124"/>
      <c r="P1848" s="124"/>
      <c r="Q1848" s="124"/>
      <c r="R1848" s="124"/>
      <c r="S1848" s="124"/>
      <c r="T1848" s="124"/>
      <c r="U1848" s="124"/>
      <c r="V1848" s="124"/>
      <c r="W1848" s="124"/>
      <c r="X1848" s="124"/>
      <c r="Y1848" s="124"/>
    </row>
    <row r="1849">
      <c r="A1849" s="125"/>
      <c r="B1849" s="126"/>
      <c r="C1849" s="127"/>
      <c r="D1849" s="124"/>
      <c r="E1849" s="124"/>
      <c r="F1849" s="124"/>
      <c r="G1849" s="124"/>
      <c r="H1849" s="124"/>
      <c r="I1849" s="124"/>
      <c r="J1849" s="124"/>
      <c r="K1849" s="124"/>
      <c r="L1849" s="124"/>
      <c r="M1849" s="124"/>
      <c r="N1849" s="124"/>
      <c r="O1849" s="124"/>
      <c r="P1849" s="124"/>
      <c r="Q1849" s="124"/>
      <c r="R1849" s="124"/>
      <c r="S1849" s="124"/>
      <c r="T1849" s="124"/>
      <c r="U1849" s="124"/>
      <c r="V1849" s="124"/>
      <c r="W1849" s="124"/>
      <c r="X1849" s="124"/>
      <c r="Y1849" s="124"/>
    </row>
    <row r="1850">
      <c r="A1850" s="125"/>
      <c r="B1850" s="126"/>
      <c r="C1850" s="127"/>
      <c r="D1850" s="124"/>
      <c r="E1850" s="124"/>
      <c r="F1850" s="124"/>
      <c r="G1850" s="124"/>
      <c r="H1850" s="124"/>
      <c r="I1850" s="124"/>
      <c r="J1850" s="124"/>
      <c r="K1850" s="124"/>
      <c r="L1850" s="124"/>
      <c r="M1850" s="124"/>
      <c r="N1850" s="124"/>
      <c r="O1850" s="124"/>
      <c r="P1850" s="124"/>
      <c r="Q1850" s="124"/>
      <c r="R1850" s="124"/>
      <c r="S1850" s="124"/>
      <c r="T1850" s="124"/>
      <c r="U1850" s="124"/>
      <c r="V1850" s="124"/>
      <c r="W1850" s="124"/>
      <c r="X1850" s="124"/>
      <c r="Y1850" s="124"/>
    </row>
    <row r="1851">
      <c r="A1851" s="125"/>
      <c r="B1851" s="126"/>
      <c r="C1851" s="127"/>
      <c r="D1851" s="124"/>
      <c r="E1851" s="124"/>
      <c r="F1851" s="124"/>
      <c r="G1851" s="124"/>
      <c r="H1851" s="124"/>
      <c r="I1851" s="124"/>
      <c r="J1851" s="124"/>
      <c r="K1851" s="124"/>
      <c r="L1851" s="124"/>
      <c r="M1851" s="124"/>
      <c r="N1851" s="124"/>
      <c r="O1851" s="124"/>
      <c r="P1851" s="124"/>
      <c r="Q1851" s="124"/>
      <c r="R1851" s="124"/>
      <c r="S1851" s="124"/>
      <c r="T1851" s="124"/>
      <c r="U1851" s="124"/>
      <c r="V1851" s="124"/>
      <c r="W1851" s="124"/>
      <c r="X1851" s="124"/>
      <c r="Y1851" s="124"/>
    </row>
    <row r="1852">
      <c r="A1852" s="125"/>
      <c r="B1852" s="126"/>
      <c r="C1852" s="127"/>
      <c r="D1852" s="124"/>
      <c r="E1852" s="124"/>
      <c r="F1852" s="124"/>
      <c r="G1852" s="124"/>
      <c r="H1852" s="124"/>
      <c r="I1852" s="124"/>
      <c r="J1852" s="124"/>
      <c r="K1852" s="124"/>
      <c r="L1852" s="124"/>
      <c r="M1852" s="124"/>
      <c r="N1852" s="124"/>
      <c r="O1852" s="124"/>
      <c r="P1852" s="124"/>
      <c r="Q1852" s="124"/>
      <c r="R1852" s="124"/>
      <c r="S1852" s="124"/>
      <c r="T1852" s="124"/>
      <c r="U1852" s="124"/>
      <c r="V1852" s="124"/>
      <c r="W1852" s="124"/>
      <c r="X1852" s="124"/>
      <c r="Y1852" s="124"/>
    </row>
    <row r="1853">
      <c r="A1853" s="125"/>
      <c r="B1853" s="126"/>
      <c r="C1853" s="127"/>
      <c r="D1853" s="124"/>
      <c r="E1853" s="124"/>
      <c r="F1853" s="124"/>
      <c r="G1853" s="124"/>
      <c r="H1853" s="124"/>
      <c r="I1853" s="124"/>
      <c r="J1853" s="124"/>
      <c r="K1853" s="124"/>
      <c r="L1853" s="124"/>
      <c r="M1853" s="124"/>
      <c r="N1853" s="124"/>
      <c r="O1853" s="124"/>
      <c r="P1853" s="124"/>
      <c r="Q1853" s="124"/>
      <c r="R1853" s="124"/>
      <c r="S1853" s="124"/>
      <c r="T1853" s="124"/>
      <c r="U1853" s="124"/>
      <c r="V1853" s="124"/>
      <c r="W1853" s="124"/>
      <c r="X1853" s="124"/>
      <c r="Y1853" s="124"/>
    </row>
    <row r="1854">
      <c r="A1854" s="125"/>
      <c r="B1854" s="126"/>
      <c r="C1854" s="127"/>
      <c r="D1854" s="124"/>
      <c r="E1854" s="124"/>
      <c r="F1854" s="124"/>
      <c r="G1854" s="124"/>
      <c r="H1854" s="124"/>
      <c r="I1854" s="124"/>
      <c r="J1854" s="124"/>
      <c r="K1854" s="124"/>
      <c r="L1854" s="124"/>
      <c r="M1854" s="124"/>
      <c r="N1854" s="124"/>
      <c r="O1854" s="124"/>
      <c r="P1854" s="124"/>
      <c r="Q1854" s="124"/>
      <c r="R1854" s="124"/>
      <c r="S1854" s="124"/>
      <c r="T1854" s="124"/>
      <c r="U1854" s="124"/>
      <c r="V1854" s="124"/>
      <c r="W1854" s="124"/>
      <c r="X1854" s="124"/>
      <c r="Y1854" s="124"/>
    </row>
    <row r="1855">
      <c r="A1855" s="125"/>
      <c r="B1855" s="126"/>
      <c r="C1855" s="127"/>
      <c r="D1855" s="124"/>
      <c r="E1855" s="124"/>
      <c r="F1855" s="124"/>
      <c r="G1855" s="124"/>
      <c r="H1855" s="124"/>
      <c r="I1855" s="124"/>
      <c r="J1855" s="124"/>
      <c r="K1855" s="124"/>
      <c r="L1855" s="124"/>
      <c r="M1855" s="124"/>
      <c r="N1855" s="124"/>
      <c r="O1855" s="124"/>
      <c r="P1855" s="124"/>
      <c r="Q1855" s="124"/>
      <c r="R1855" s="124"/>
      <c r="S1855" s="124"/>
      <c r="T1855" s="124"/>
      <c r="U1855" s="124"/>
      <c r="V1855" s="124"/>
      <c r="W1855" s="124"/>
      <c r="X1855" s="124"/>
      <c r="Y1855" s="124"/>
    </row>
    <row r="1856">
      <c r="A1856" s="125"/>
      <c r="B1856" s="126"/>
      <c r="C1856" s="127"/>
      <c r="D1856" s="124"/>
      <c r="E1856" s="124"/>
      <c r="F1856" s="124"/>
      <c r="G1856" s="124"/>
      <c r="H1856" s="124"/>
      <c r="I1856" s="124"/>
      <c r="J1856" s="124"/>
      <c r="K1856" s="124"/>
      <c r="L1856" s="124"/>
      <c r="M1856" s="124"/>
      <c r="N1856" s="124"/>
      <c r="O1856" s="124"/>
      <c r="P1856" s="124"/>
      <c r="Q1856" s="124"/>
      <c r="R1856" s="124"/>
      <c r="S1856" s="124"/>
      <c r="T1856" s="124"/>
      <c r="U1856" s="124"/>
      <c r="V1856" s="124"/>
      <c r="W1856" s="124"/>
      <c r="X1856" s="124"/>
      <c r="Y1856" s="124"/>
    </row>
    <row r="1857">
      <c r="A1857" s="125"/>
      <c r="B1857" s="126"/>
      <c r="C1857" s="127"/>
      <c r="D1857" s="124"/>
      <c r="E1857" s="124"/>
      <c r="F1857" s="124"/>
      <c r="G1857" s="124"/>
      <c r="H1857" s="124"/>
      <c r="I1857" s="124"/>
      <c r="J1857" s="124"/>
      <c r="K1857" s="124"/>
      <c r="L1857" s="124"/>
      <c r="M1857" s="124"/>
      <c r="N1857" s="124"/>
      <c r="O1857" s="124"/>
      <c r="P1857" s="124"/>
      <c r="Q1857" s="124"/>
      <c r="R1857" s="124"/>
      <c r="S1857" s="124"/>
      <c r="T1857" s="124"/>
      <c r="U1857" s="124"/>
      <c r="V1857" s="124"/>
      <c r="W1857" s="124"/>
      <c r="X1857" s="124"/>
      <c r="Y1857" s="124"/>
    </row>
    <row r="1858">
      <c r="A1858" s="125"/>
      <c r="B1858" s="126"/>
      <c r="C1858" s="127"/>
      <c r="D1858" s="124"/>
      <c r="E1858" s="124"/>
      <c r="F1858" s="124"/>
      <c r="G1858" s="124"/>
      <c r="H1858" s="124"/>
      <c r="I1858" s="124"/>
      <c r="J1858" s="124"/>
      <c r="K1858" s="124"/>
      <c r="L1858" s="124"/>
      <c r="M1858" s="124"/>
      <c r="N1858" s="124"/>
      <c r="O1858" s="124"/>
      <c r="P1858" s="124"/>
      <c r="Q1858" s="124"/>
      <c r="R1858" s="124"/>
      <c r="S1858" s="124"/>
      <c r="T1858" s="124"/>
      <c r="U1858" s="124"/>
      <c r="V1858" s="124"/>
      <c r="W1858" s="124"/>
      <c r="X1858" s="124"/>
      <c r="Y1858" s="124"/>
    </row>
    <row r="1859">
      <c r="A1859" s="125"/>
      <c r="B1859" s="126"/>
      <c r="C1859" s="127"/>
      <c r="D1859" s="124"/>
      <c r="E1859" s="124"/>
      <c r="F1859" s="124"/>
      <c r="G1859" s="124"/>
      <c r="H1859" s="124"/>
      <c r="I1859" s="124"/>
      <c r="J1859" s="124"/>
      <c r="K1859" s="124"/>
      <c r="L1859" s="124"/>
      <c r="M1859" s="124"/>
      <c r="N1859" s="124"/>
      <c r="O1859" s="124"/>
      <c r="P1859" s="124"/>
      <c r="Q1859" s="124"/>
      <c r="R1859" s="124"/>
      <c r="S1859" s="124"/>
      <c r="T1859" s="124"/>
      <c r="U1859" s="124"/>
      <c r="V1859" s="124"/>
      <c r="W1859" s="124"/>
      <c r="X1859" s="124"/>
      <c r="Y1859" s="124"/>
    </row>
    <row r="1860">
      <c r="A1860" s="125"/>
      <c r="B1860" s="126"/>
      <c r="C1860" s="127"/>
      <c r="D1860" s="124"/>
      <c r="E1860" s="124"/>
      <c r="F1860" s="124"/>
      <c r="G1860" s="124"/>
      <c r="H1860" s="124"/>
      <c r="I1860" s="124"/>
      <c r="J1860" s="124"/>
      <c r="K1860" s="124"/>
      <c r="L1860" s="124"/>
      <c r="M1860" s="124"/>
      <c r="N1860" s="124"/>
      <c r="O1860" s="124"/>
      <c r="P1860" s="124"/>
      <c r="Q1860" s="124"/>
      <c r="R1860" s="124"/>
      <c r="S1860" s="124"/>
      <c r="T1860" s="124"/>
      <c r="U1860" s="124"/>
      <c r="V1860" s="124"/>
      <c r="W1860" s="124"/>
      <c r="X1860" s="124"/>
      <c r="Y1860" s="124"/>
    </row>
    <row r="1861">
      <c r="A1861" s="125"/>
      <c r="B1861" s="126"/>
      <c r="C1861" s="127"/>
      <c r="D1861" s="124"/>
      <c r="E1861" s="124"/>
      <c r="F1861" s="124"/>
      <c r="G1861" s="124"/>
      <c r="H1861" s="124"/>
      <c r="I1861" s="124"/>
      <c r="J1861" s="124"/>
      <c r="K1861" s="124"/>
      <c r="L1861" s="124"/>
      <c r="M1861" s="124"/>
      <c r="N1861" s="124"/>
      <c r="O1861" s="124"/>
      <c r="P1861" s="124"/>
      <c r="Q1861" s="124"/>
      <c r="R1861" s="124"/>
      <c r="S1861" s="124"/>
      <c r="T1861" s="124"/>
      <c r="U1861" s="124"/>
      <c r="V1861" s="124"/>
      <c r="W1861" s="124"/>
      <c r="X1861" s="124"/>
      <c r="Y1861" s="124"/>
    </row>
    <row r="1862">
      <c r="A1862" s="125"/>
      <c r="B1862" s="126"/>
      <c r="C1862" s="127"/>
      <c r="D1862" s="124"/>
      <c r="E1862" s="124"/>
      <c r="F1862" s="124"/>
      <c r="G1862" s="124"/>
      <c r="H1862" s="124"/>
      <c r="I1862" s="124"/>
      <c r="J1862" s="124"/>
      <c r="K1862" s="124"/>
      <c r="L1862" s="124"/>
      <c r="M1862" s="124"/>
      <c r="N1862" s="124"/>
      <c r="O1862" s="124"/>
      <c r="P1862" s="124"/>
      <c r="Q1862" s="124"/>
      <c r="R1862" s="124"/>
      <c r="S1862" s="124"/>
      <c r="T1862" s="124"/>
      <c r="U1862" s="124"/>
      <c r="V1862" s="124"/>
      <c r="W1862" s="124"/>
      <c r="X1862" s="124"/>
      <c r="Y1862" s="124"/>
    </row>
    <row r="1863">
      <c r="A1863" s="125"/>
      <c r="B1863" s="126"/>
      <c r="C1863" s="127"/>
      <c r="D1863" s="124"/>
      <c r="E1863" s="124"/>
      <c r="F1863" s="124"/>
      <c r="G1863" s="124"/>
      <c r="H1863" s="124"/>
      <c r="I1863" s="124"/>
      <c r="J1863" s="124"/>
      <c r="K1863" s="124"/>
      <c r="L1863" s="124"/>
      <c r="M1863" s="124"/>
      <c r="N1863" s="124"/>
      <c r="O1863" s="124"/>
      <c r="P1863" s="124"/>
      <c r="Q1863" s="124"/>
      <c r="R1863" s="124"/>
      <c r="S1863" s="124"/>
      <c r="T1863" s="124"/>
      <c r="U1863" s="124"/>
      <c r="V1863" s="124"/>
      <c r="W1863" s="124"/>
      <c r="X1863" s="124"/>
      <c r="Y1863" s="124"/>
    </row>
    <row r="1864">
      <c r="A1864" s="125"/>
      <c r="B1864" s="126"/>
      <c r="C1864" s="127"/>
      <c r="D1864" s="124"/>
      <c r="E1864" s="124"/>
      <c r="F1864" s="124"/>
      <c r="G1864" s="124"/>
      <c r="H1864" s="124"/>
      <c r="I1864" s="124"/>
      <c r="J1864" s="124"/>
      <c r="K1864" s="124"/>
      <c r="L1864" s="124"/>
      <c r="M1864" s="124"/>
      <c r="N1864" s="124"/>
      <c r="O1864" s="124"/>
      <c r="P1864" s="124"/>
      <c r="Q1864" s="124"/>
      <c r="R1864" s="124"/>
      <c r="S1864" s="124"/>
      <c r="T1864" s="124"/>
      <c r="U1864" s="124"/>
      <c r="V1864" s="124"/>
      <c r="W1864" s="124"/>
      <c r="X1864" s="124"/>
      <c r="Y1864" s="124"/>
    </row>
    <row r="1865">
      <c r="A1865" s="125"/>
      <c r="B1865" s="126"/>
      <c r="C1865" s="127"/>
      <c r="D1865" s="124"/>
      <c r="E1865" s="124"/>
      <c r="F1865" s="124"/>
      <c r="G1865" s="124"/>
      <c r="H1865" s="124"/>
      <c r="I1865" s="124"/>
      <c r="J1865" s="124"/>
      <c r="K1865" s="124"/>
      <c r="L1865" s="124"/>
      <c r="M1865" s="124"/>
      <c r="N1865" s="124"/>
      <c r="O1865" s="124"/>
      <c r="P1865" s="124"/>
      <c r="Q1865" s="124"/>
      <c r="R1865" s="124"/>
      <c r="S1865" s="124"/>
      <c r="T1865" s="124"/>
      <c r="U1865" s="124"/>
      <c r="V1865" s="124"/>
      <c r="W1865" s="124"/>
      <c r="X1865" s="124"/>
      <c r="Y1865" s="124"/>
    </row>
    <row r="1866">
      <c r="A1866" s="125"/>
      <c r="B1866" s="126"/>
      <c r="C1866" s="127"/>
      <c r="D1866" s="124"/>
      <c r="E1866" s="124"/>
      <c r="F1866" s="124"/>
      <c r="G1866" s="124"/>
      <c r="H1866" s="124"/>
      <c r="I1866" s="124"/>
      <c r="J1866" s="124"/>
      <c r="K1866" s="124"/>
      <c r="L1866" s="124"/>
      <c r="M1866" s="124"/>
      <c r="N1866" s="124"/>
      <c r="O1866" s="124"/>
      <c r="P1866" s="124"/>
      <c r="Q1866" s="124"/>
      <c r="R1866" s="124"/>
      <c r="S1866" s="124"/>
      <c r="T1866" s="124"/>
      <c r="U1866" s="124"/>
      <c r="V1866" s="124"/>
      <c r="W1866" s="124"/>
      <c r="X1866" s="124"/>
      <c r="Y1866" s="124"/>
    </row>
    <row r="1867">
      <c r="A1867" s="125"/>
      <c r="B1867" s="126"/>
      <c r="C1867" s="127"/>
      <c r="D1867" s="124"/>
      <c r="E1867" s="124"/>
      <c r="F1867" s="124"/>
      <c r="G1867" s="124"/>
      <c r="H1867" s="124"/>
      <c r="I1867" s="124"/>
      <c r="J1867" s="124"/>
      <c r="K1867" s="124"/>
      <c r="L1867" s="124"/>
      <c r="M1867" s="124"/>
      <c r="N1867" s="124"/>
      <c r="O1867" s="124"/>
      <c r="P1867" s="124"/>
      <c r="Q1867" s="124"/>
      <c r="R1867" s="124"/>
      <c r="S1867" s="124"/>
      <c r="T1867" s="124"/>
      <c r="U1867" s="124"/>
      <c r="V1867" s="124"/>
      <c r="W1867" s="124"/>
      <c r="X1867" s="124"/>
      <c r="Y1867" s="124"/>
    </row>
    <row r="1868">
      <c r="A1868" s="125"/>
      <c r="B1868" s="126"/>
      <c r="C1868" s="127"/>
      <c r="D1868" s="124"/>
      <c r="E1868" s="124"/>
      <c r="F1868" s="124"/>
      <c r="G1868" s="124"/>
      <c r="H1868" s="124"/>
      <c r="I1868" s="124"/>
      <c r="J1868" s="124"/>
      <c r="K1868" s="124"/>
      <c r="L1868" s="124"/>
      <c r="M1868" s="124"/>
      <c r="N1868" s="124"/>
      <c r="O1868" s="124"/>
      <c r="P1868" s="124"/>
      <c r="Q1868" s="124"/>
      <c r="R1868" s="124"/>
      <c r="S1868" s="124"/>
      <c r="T1868" s="124"/>
      <c r="U1868" s="124"/>
      <c r="V1868" s="124"/>
      <c r="W1868" s="124"/>
      <c r="X1868" s="124"/>
      <c r="Y1868" s="124"/>
    </row>
    <row r="1869">
      <c r="A1869" s="125"/>
      <c r="B1869" s="126"/>
      <c r="C1869" s="127"/>
      <c r="D1869" s="124"/>
      <c r="E1869" s="124"/>
      <c r="F1869" s="124"/>
      <c r="G1869" s="124"/>
      <c r="H1869" s="124"/>
      <c r="I1869" s="124"/>
      <c r="J1869" s="124"/>
      <c r="K1869" s="124"/>
      <c r="L1869" s="124"/>
      <c r="M1869" s="124"/>
      <c r="N1869" s="124"/>
      <c r="O1869" s="124"/>
      <c r="P1869" s="124"/>
      <c r="Q1869" s="124"/>
      <c r="R1869" s="124"/>
      <c r="S1869" s="124"/>
      <c r="T1869" s="124"/>
      <c r="U1869" s="124"/>
      <c r="V1869" s="124"/>
      <c r="W1869" s="124"/>
      <c r="X1869" s="124"/>
      <c r="Y1869" s="124"/>
    </row>
    <row r="1870">
      <c r="A1870" s="125"/>
      <c r="B1870" s="126"/>
      <c r="C1870" s="127"/>
      <c r="D1870" s="124"/>
      <c r="E1870" s="124"/>
      <c r="F1870" s="124"/>
      <c r="G1870" s="124"/>
      <c r="H1870" s="124"/>
      <c r="I1870" s="124"/>
      <c r="J1870" s="124"/>
      <c r="K1870" s="124"/>
      <c r="L1870" s="124"/>
      <c r="M1870" s="124"/>
      <c r="N1870" s="124"/>
      <c r="O1870" s="124"/>
      <c r="P1870" s="124"/>
      <c r="Q1870" s="124"/>
      <c r="R1870" s="124"/>
      <c r="S1870" s="124"/>
      <c r="T1870" s="124"/>
      <c r="U1870" s="124"/>
      <c r="V1870" s="124"/>
      <c r="W1870" s="124"/>
      <c r="X1870" s="124"/>
      <c r="Y1870" s="124"/>
    </row>
    <row r="1871">
      <c r="A1871" s="125"/>
      <c r="B1871" s="126"/>
      <c r="C1871" s="127"/>
      <c r="D1871" s="124"/>
      <c r="E1871" s="124"/>
      <c r="F1871" s="124"/>
      <c r="G1871" s="124"/>
      <c r="H1871" s="124"/>
      <c r="I1871" s="124"/>
      <c r="J1871" s="124"/>
      <c r="K1871" s="124"/>
      <c r="L1871" s="124"/>
      <c r="M1871" s="124"/>
      <c r="N1871" s="124"/>
      <c r="O1871" s="124"/>
      <c r="P1871" s="124"/>
      <c r="Q1871" s="124"/>
      <c r="R1871" s="124"/>
      <c r="S1871" s="124"/>
      <c r="T1871" s="124"/>
      <c r="U1871" s="124"/>
      <c r="V1871" s="124"/>
      <c r="W1871" s="124"/>
      <c r="X1871" s="124"/>
      <c r="Y1871" s="124"/>
    </row>
    <row r="1872">
      <c r="A1872" s="125"/>
      <c r="B1872" s="126"/>
      <c r="C1872" s="127"/>
      <c r="D1872" s="124"/>
      <c r="E1872" s="124"/>
      <c r="F1872" s="124"/>
      <c r="G1872" s="124"/>
      <c r="H1872" s="124"/>
      <c r="I1872" s="124"/>
      <c r="J1872" s="124"/>
      <c r="K1872" s="124"/>
      <c r="L1872" s="124"/>
      <c r="M1872" s="124"/>
      <c r="N1872" s="124"/>
      <c r="O1872" s="124"/>
      <c r="P1872" s="124"/>
      <c r="Q1872" s="124"/>
      <c r="R1872" s="124"/>
      <c r="S1872" s="124"/>
      <c r="T1872" s="124"/>
      <c r="U1872" s="124"/>
      <c r="V1872" s="124"/>
      <c r="W1872" s="124"/>
      <c r="X1872" s="124"/>
      <c r="Y1872" s="124"/>
    </row>
    <row r="1873">
      <c r="A1873" s="125"/>
      <c r="B1873" s="126"/>
      <c r="C1873" s="127"/>
      <c r="D1873" s="124"/>
      <c r="E1873" s="124"/>
      <c r="F1873" s="124"/>
      <c r="G1873" s="124"/>
      <c r="H1873" s="124"/>
      <c r="I1873" s="124"/>
      <c r="J1873" s="124"/>
      <c r="K1873" s="124"/>
      <c r="L1873" s="124"/>
      <c r="M1873" s="124"/>
      <c r="N1873" s="124"/>
      <c r="O1873" s="124"/>
      <c r="P1873" s="124"/>
      <c r="Q1873" s="124"/>
      <c r="R1873" s="124"/>
      <c r="S1873" s="124"/>
      <c r="T1873" s="124"/>
      <c r="U1873" s="124"/>
      <c r="V1873" s="124"/>
      <c r="W1873" s="124"/>
      <c r="X1873" s="124"/>
      <c r="Y1873" s="124"/>
    </row>
    <row r="1874">
      <c r="A1874" s="125"/>
      <c r="B1874" s="126"/>
      <c r="C1874" s="127"/>
      <c r="D1874" s="124"/>
      <c r="E1874" s="124"/>
      <c r="F1874" s="124"/>
      <c r="G1874" s="124"/>
      <c r="H1874" s="124"/>
      <c r="I1874" s="124"/>
      <c r="J1874" s="124"/>
      <c r="K1874" s="124"/>
      <c r="L1874" s="124"/>
      <c r="M1874" s="124"/>
      <c r="N1874" s="124"/>
      <c r="O1874" s="124"/>
      <c r="P1874" s="124"/>
      <c r="Q1874" s="124"/>
      <c r="R1874" s="124"/>
      <c r="S1874" s="124"/>
      <c r="T1874" s="124"/>
      <c r="U1874" s="124"/>
      <c r="V1874" s="124"/>
      <c r="W1874" s="124"/>
      <c r="X1874" s="124"/>
      <c r="Y1874" s="124"/>
    </row>
    <row r="1875">
      <c r="A1875" s="125"/>
      <c r="B1875" s="126"/>
      <c r="C1875" s="127"/>
      <c r="D1875" s="124"/>
      <c r="E1875" s="124"/>
      <c r="F1875" s="124"/>
      <c r="G1875" s="124"/>
      <c r="H1875" s="124"/>
      <c r="I1875" s="124"/>
      <c r="J1875" s="124"/>
      <c r="K1875" s="124"/>
      <c r="L1875" s="124"/>
      <c r="M1875" s="124"/>
      <c r="N1875" s="124"/>
      <c r="O1875" s="124"/>
      <c r="P1875" s="124"/>
      <c r="Q1875" s="124"/>
      <c r="R1875" s="124"/>
      <c r="S1875" s="124"/>
      <c r="T1875" s="124"/>
      <c r="U1875" s="124"/>
      <c r="V1875" s="124"/>
      <c r="W1875" s="124"/>
      <c r="X1875" s="124"/>
      <c r="Y1875" s="124"/>
    </row>
    <row r="1876">
      <c r="A1876" s="125"/>
      <c r="B1876" s="126"/>
      <c r="C1876" s="127"/>
      <c r="D1876" s="124"/>
      <c r="E1876" s="124"/>
      <c r="F1876" s="124"/>
      <c r="G1876" s="124"/>
      <c r="H1876" s="124"/>
      <c r="I1876" s="124"/>
      <c r="J1876" s="124"/>
      <c r="K1876" s="124"/>
      <c r="L1876" s="124"/>
      <c r="M1876" s="124"/>
      <c r="N1876" s="124"/>
      <c r="O1876" s="124"/>
      <c r="P1876" s="124"/>
      <c r="Q1876" s="124"/>
      <c r="R1876" s="124"/>
      <c r="S1876" s="124"/>
      <c r="T1876" s="124"/>
      <c r="U1876" s="124"/>
      <c r="V1876" s="124"/>
      <c r="W1876" s="124"/>
      <c r="X1876" s="124"/>
      <c r="Y1876" s="124"/>
    </row>
    <row r="1877">
      <c r="A1877" s="125"/>
      <c r="B1877" s="126"/>
      <c r="C1877" s="127"/>
      <c r="D1877" s="124"/>
      <c r="E1877" s="124"/>
      <c r="F1877" s="124"/>
      <c r="G1877" s="124"/>
      <c r="H1877" s="124"/>
      <c r="I1877" s="124"/>
      <c r="J1877" s="124"/>
      <c r="K1877" s="124"/>
      <c r="L1877" s="124"/>
      <c r="M1877" s="124"/>
      <c r="N1877" s="124"/>
      <c r="O1877" s="124"/>
      <c r="P1877" s="124"/>
      <c r="Q1877" s="124"/>
      <c r="R1877" s="124"/>
      <c r="S1877" s="124"/>
      <c r="T1877" s="124"/>
      <c r="U1877" s="124"/>
      <c r="V1877" s="124"/>
      <c r="W1877" s="124"/>
      <c r="X1877" s="124"/>
      <c r="Y1877" s="124"/>
    </row>
    <row r="1878">
      <c r="A1878" s="125"/>
      <c r="B1878" s="126"/>
      <c r="C1878" s="127"/>
      <c r="D1878" s="124"/>
      <c r="E1878" s="124"/>
      <c r="F1878" s="124"/>
      <c r="G1878" s="124"/>
      <c r="H1878" s="124"/>
      <c r="I1878" s="124"/>
      <c r="J1878" s="124"/>
      <c r="K1878" s="124"/>
      <c r="L1878" s="124"/>
      <c r="M1878" s="124"/>
      <c r="N1878" s="124"/>
      <c r="O1878" s="124"/>
      <c r="P1878" s="124"/>
      <c r="Q1878" s="124"/>
      <c r="R1878" s="124"/>
      <c r="S1878" s="124"/>
      <c r="T1878" s="124"/>
      <c r="U1878" s="124"/>
      <c r="V1878" s="124"/>
      <c r="W1878" s="124"/>
      <c r="X1878" s="124"/>
      <c r="Y1878" s="124"/>
    </row>
    <row r="1879">
      <c r="A1879" s="125"/>
      <c r="B1879" s="126"/>
      <c r="C1879" s="127"/>
      <c r="D1879" s="124"/>
      <c r="E1879" s="124"/>
      <c r="F1879" s="124"/>
      <c r="G1879" s="124"/>
      <c r="H1879" s="124"/>
      <c r="I1879" s="124"/>
      <c r="J1879" s="124"/>
      <c r="K1879" s="124"/>
      <c r="L1879" s="124"/>
      <c r="M1879" s="124"/>
      <c r="N1879" s="124"/>
      <c r="O1879" s="124"/>
      <c r="P1879" s="124"/>
      <c r="Q1879" s="124"/>
      <c r="R1879" s="124"/>
      <c r="S1879" s="124"/>
      <c r="T1879" s="124"/>
      <c r="U1879" s="124"/>
      <c r="V1879" s="124"/>
      <c r="W1879" s="124"/>
      <c r="X1879" s="124"/>
      <c r="Y1879" s="124"/>
    </row>
    <row r="1880">
      <c r="A1880" s="125"/>
      <c r="B1880" s="126"/>
      <c r="C1880" s="127"/>
      <c r="D1880" s="124"/>
      <c r="E1880" s="124"/>
      <c r="F1880" s="124"/>
      <c r="G1880" s="124"/>
      <c r="H1880" s="124"/>
      <c r="I1880" s="124"/>
      <c r="J1880" s="124"/>
      <c r="K1880" s="124"/>
      <c r="L1880" s="124"/>
      <c r="M1880" s="124"/>
      <c r="N1880" s="124"/>
      <c r="O1880" s="124"/>
      <c r="P1880" s="124"/>
      <c r="Q1880" s="124"/>
      <c r="R1880" s="124"/>
      <c r="S1880" s="124"/>
      <c r="T1880" s="124"/>
      <c r="U1880" s="124"/>
      <c r="V1880" s="124"/>
      <c r="W1880" s="124"/>
      <c r="X1880" s="124"/>
      <c r="Y1880" s="124"/>
    </row>
    <row r="1881">
      <c r="A1881" s="125"/>
      <c r="B1881" s="126"/>
      <c r="C1881" s="127"/>
      <c r="D1881" s="124"/>
      <c r="E1881" s="124"/>
      <c r="F1881" s="124"/>
      <c r="G1881" s="124"/>
      <c r="H1881" s="124"/>
      <c r="I1881" s="124"/>
      <c r="J1881" s="124"/>
      <c r="K1881" s="124"/>
      <c r="L1881" s="124"/>
      <c r="M1881" s="124"/>
      <c r="N1881" s="124"/>
      <c r="O1881" s="124"/>
      <c r="P1881" s="124"/>
      <c r="Q1881" s="124"/>
      <c r="R1881" s="124"/>
      <c r="S1881" s="124"/>
      <c r="T1881" s="124"/>
      <c r="U1881" s="124"/>
      <c r="V1881" s="124"/>
      <c r="W1881" s="124"/>
      <c r="X1881" s="124"/>
      <c r="Y1881" s="124"/>
    </row>
    <row r="1882">
      <c r="A1882" s="125"/>
      <c r="B1882" s="126"/>
      <c r="C1882" s="127"/>
      <c r="D1882" s="124"/>
      <c r="E1882" s="124"/>
      <c r="F1882" s="124"/>
      <c r="G1882" s="124"/>
      <c r="H1882" s="124"/>
      <c r="I1882" s="124"/>
      <c r="J1882" s="124"/>
      <c r="K1882" s="124"/>
      <c r="L1882" s="124"/>
      <c r="M1882" s="124"/>
      <c r="N1882" s="124"/>
      <c r="O1882" s="124"/>
      <c r="P1882" s="124"/>
      <c r="Q1882" s="124"/>
      <c r="R1882" s="124"/>
      <c r="S1882" s="124"/>
      <c r="T1882" s="124"/>
      <c r="U1882" s="124"/>
      <c r="V1882" s="124"/>
      <c r="W1882" s="124"/>
      <c r="X1882" s="124"/>
      <c r="Y1882" s="124"/>
    </row>
    <row r="1883">
      <c r="A1883" s="125"/>
      <c r="B1883" s="126"/>
      <c r="C1883" s="127"/>
      <c r="D1883" s="124"/>
      <c r="E1883" s="124"/>
      <c r="F1883" s="124"/>
      <c r="G1883" s="124"/>
      <c r="H1883" s="124"/>
      <c r="I1883" s="124"/>
      <c r="J1883" s="124"/>
      <c r="K1883" s="124"/>
      <c r="L1883" s="124"/>
      <c r="M1883" s="124"/>
      <c r="N1883" s="124"/>
      <c r="O1883" s="124"/>
      <c r="P1883" s="124"/>
      <c r="Q1883" s="124"/>
      <c r="R1883" s="124"/>
      <c r="S1883" s="124"/>
      <c r="T1883" s="124"/>
      <c r="U1883" s="124"/>
      <c r="V1883" s="124"/>
      <c r="W1883" s="124"/>
      <c r="X1883" s="124"/>
      <c r="Y1883" s="124"/>
    </row>
    <row r="1884">
      <c r="A1884" s="125"/>
      <c r="B1884" s="126"/>
      <c r="C1884" s="127"/>
      <c r="D1884" s="124"/>
      <c r="E1884" s="124"/>
      <c r="F1884" s="124"/>
      <c r="G1884" s="124"/>
      <c r="H1884" s="124"/>
      <c r="I1884" s="124"/>
      <c r="J1884" s="124"/>
      <c r="K1884" s="124"/>
      <c r="L1884" s="124"/>
      <c r="M1884" s="124"/>
      <c r="N1884" s="124"/>
      <c r="O1884" s="124"/>
      <c r="P1884" s="124"/>
      <c r="Q1884" s="124"/>
      <c r="R1884" s="124"/>
      <c r="S1884" s="124"/>
      <c r="T1884" s="124"/>
      <c r="U1884" s="124"/>
      <c r="V1884" s="124"/>
      <c r="W1884" s="124"/>
      <c r="X1884" s="124"/>
      <c r="Y1884" s="124"/>
    </row>
    <row r="1885">
      <c r="A1885" s="125"/>
      <c r="B1885" s="126"/>
      <c r="C1885" s="127"/>
      <c r="D1885" s="124"/>
      <c r="E1885" s="124"/>
      <c r="F1885" s="124"/>
      <c r="G1885" s="124"/>
      <c r="H1885" s="124"/>
      <c r="I1885" s="124"/>
      <c r="J1885" s="124"/>
      <c r="K1885" s="124"/>
      <c r="L1885" s="124"/>
      <c r="M1885" s="124"/>
      <c r="N1885" s="124"/>
      <c r="O1885" s="124"/>
      <c r="P1885" s="124"/>
      <c r="Q1885" s="124"/>
      <c r="R1885" s="124"/>
      <c r="S1885" s="124"/>
      <c r="T1885" s="124"/>
      <c r="U1885" s="124"/>
      <c r="V1885" s="124"/>
      <c r="W1885" s="124"/>
      <c r="X1885" s="124"/>
      <c r="Y1885" s="124"/>
    </row>
    <row r="1886">
      <c r="A1886" s="125"/>
      <c r="B1886" s="126"/>
      <c r="C1886" s="127"/>
      <c r="D1886" s="124"/>
      <c r="E1886" s="124"/>
      <c r="F1886" s="124"/>
      <c r="G1886" s="124"/>
      <c r="H1886" s="124"/>
      <c r="I1886" s="124"/>
      <c r="J1886" s="124"/>
      <c r="K1886" s="124"/>
      <c r="L1886" s="124"/>
      <c r="M1886" s="124"/>
      <c r="N1886" s="124"/>
      <c r="O1886" s="124"/>
      <c r="P1886" s="124"/>
      <c r="Q1886" s="124"/>
      <c r="R1886" s="124"/>
      <c r="S1886" s="124"/>
      <c r="T1886" s="124"/>
      <c r="U1886" s="124"/>
      <c r="V1886" s="124"/>
      <c r="W1886" s="124"/>
      <c r="X1886" s="124"/>
      <c r="Y1886" s="124"/>
    </row>
    <row r="1887">
      <c r="A1887" s="125"/>
      <c r="B1887" s="126"/>
      <c r="C1887" s="127"/>
      <c r="D1887" s="124"/>
      <c r="E1887" s="124"/>
      <c r="F1887" s="124"/>
      <c r="G1887" s="124"/>
      <c r="H1887" s="124"/>
      <c r="I1887" s="124"/>
      <c r="J1887" s="124"/>
      <c r="K1887" s="124"/>
      <c r="L1887" s="124"/>
      <c r="M1887" s="124"/>
      <c r="N1887" s="124"/>
      <c r="O1887" s="124"/>
      <c r="P1887" s="124"/>
      <c r="Q1887" s="124"/>
      <c r="R1887" s="124"/>
      <c r="S1887" s="124"/>
      <c r="T1887" s="124"/>
      <c r="U1887" s="124"/>
      <c r="V1887" s="124"/>
      <c r="W1887" s="124"/>
      <c r="X1887" s="124"/>
      <c r="Y1887" s="124"/>
    </row>
    <row r="1888">
      <c r="A1888" s="125"/>
      <c r="B1888" s="126"/>
      <c r="C1888" s="127"/>
      <c r="D1888" s="124"/>
      <c r="E1888" s="124"/>
      <c r="F1888" s="124"/>
      <c r="G1888" s="124"/>
      <c r="H1888" s="124"/>
      <c r="I1888" s="124"/>
      <c r="J1888" s="124"/>
      <c r="K1888" s="124"/>
      <c r="L1888" s="124"/>
      <c r="M1888" s="124"/>
      <c r="N1888" s="124"/>
      <c r="O1888" s="124"/>
      <c r="P1888" s="124"/>
      <c r="Q1888" s="124"/>
      <c r="R1888" s="124"/>
      <c r="S1888" s="124"/>
      <c r="T1888" s="124"/>
      <c r="U1888" s="124"/>
      <c r="V1888" s="124"/>
      <c r="W1888" s="124"/>
      <c r="X1888" s="124"/>
      <c r="Y1888" s="124"/>
    </row>
    <row r="1889">
      <c r="A1889" s="125"/>
      <c r="B1889" s="126"/>
      <c r="C1889" s="127"/>
      <c r="D1889" s="124"/>
      <c r="E1889" s="124"/>
      <c r="F1889" s="124"/>
      <c r="G1889" s="124"/>
      <c r="H1889" s="124"/>
      <c r="I1889" s="124"/>
      <c r="J1889" s="124"/>
      <c r="K1889" s="124"/>
      <c r="L1889" s="124"/>
      <c r="M1889" s="124"/>
      <c r="N1889" s="124"/>
      <c r="O1889" s="124"/>
      <c r="P1889" s="124"/>
      <c r="Q1889" s="124"/>
      <c r="R1889" s="124"/>
      <c r="S1889" s="124"/>
      <c r="T1889" s="124"/>
      <c r="U1889" s="124"/>
      <c r="V1889" s="124"/>
      <c r="W1889" s="124"/>
      <c r="X1889" s="124"/>
      <c r="Y1889" s="124"/>
    </row>
    <row r="1890">
      <c r="A1890" s="125"/>
      <c r="B1890" s="126"/>
      <c r="C1890" s="127"/>
      <c r="D1890" s="124"/>
      <c r="E1890" s="124"/>
      <c r="F1890" s="124"/>
      <c r="G1890" s="124"/>
      <c r="H1890" s="124"/>
      <c r="I1890" s="124"/>
      <c r="J1890" s="124"/>
      <c r="K1890" s="124"/>
      <c r="L1890" s="124"/>
      <c r="M1890" s="124"/>
      <c r="N1890" s="124"/>
      <c r="O1890" s="124"/>
      <c r="P1890" s="124"/>
      <c r="Q1890" s="124"/>
      <c r="R1890" s="124"/>
      <c r="S1890" s="124"/>
      <c r="T1890" s="124"/>
      <c r="U1890" s="124"/>
      <c r="V1890" s="124"/>
      <c r="W1890" s="124"/>
      <c r="X1890" s="124"/>
      <c r="Y1890" s="124"/>
    </row>
    <row r="1891">
      <c r="A1891" s="125"/>
      <c r="B1891" s="126"/>
      <c r="C1891" s="127"/>
      <c r="D1891" s="124"/>
      <c r="E1891" s="124"/>
      <c r="F1891" s="124"/>
      <c r="G1891" s="124"/>
      <c r="H1891" s="124"/>
      <c r="I1891" s="124"/>
      <c r="J1891" s="124"/>
      <c r="K1891" s="124"/>
      <c r="L1891" s="124"/>
      <c r="M1891" s="124"/>
      <c r="N1891" s="124"/>
      <c r="O1891" s="124"/>
      <c r="P1891" s="124"/>
      <c r="Q1891" s="124"/>
      <c r="R1891" s="124"/>
      <c r="S1891" s="124"/>
      <c r="T1891" s="124"/>
      <c r="U1891" s="124"/>
      <c r="V1891" s="124"/>
      <c r="W1891" s="124"/>
      <c r="X1891" s="124"/>
      <c r="Y1891" s="124"/>
    </row>
    <row r="1892">
      <c r="A1892" s="125"/>
      <c r="B1892" s="126"/>
      <c r="C1892" s="127"/>
      <c r="D1892" s="124"/>
      <c r="E1892" s="124"/>
      <c r="F1892" s="124"/>
      <c r="G1892" s="124"/>
      <c r="H1892" s="124"/>
      <c r="I1892" s="124"/>
      <c r="J1892" s="124"/>
      <c r="K1892" s="124"/>
      <c r="L1892" s="124"/>
      <c r="M1892" s="124"/>
      <c r="N1892" s="124"/>
      <c r="O1892" s="124"/>
      <c r="P1892" s="124"/>
      <c r="Q1892" s="124"/>
      <c r="R1892" s="124"/>
      <c r="S1892" s="124"/>
      <c r="T1892" s="124"/>
      <c r="U1892" s="124"/>
      <c r="V1892" s="124"/>
      <c r="W1892" s="124"/>
      <c r="X1892" s="124"/>
      <c r="Y1892" s="124"/>
    </row>
    <row r="1893">
      <c r="A1893" s="125"/>
      <c r="B1893" s="126"/>
      <c r="C1893" s="127"/>
      <c r="D1893" s="124"/>
      <c r="E1893" s="124"/>
      <c r="F1893" s="124"/>
      <c r="G1893" s="124"/>
      <c r="H1893" s="124"/>
      <c r="I1893" s="124"/>
      <c r="J1893" s="124"/>
      <c r="K1893" s="124"/>
      <c r="L1893" s="124"/>
      <c r="M1893" s="124"/>
      <c r="N1893" s="124"/>
      <c r="O1893" s="124"/>
      <c r="P1893" s="124"/>
      <c r="Q1893" s="124"/>
      <c r="R1893" s="124"/>
      <c r="S1893" s="124"/>
      <c r="T1893" s="124"/>
      <c r="U1893" s="124"/>
      <c r="V1893" s="124"/>
      <c r="W1893" s="124"/>
      <c r="X1893" s="124"/>
      <c r="Y1893" s="124"/>
    </row>
    <row r="1894">
      <c r="A1894" s="125"/>
      <c r="B1894" s="126"/>
      <c r="C1894" s="127"/>
      <c r="D1894" s="124"/>
      <c r="E1894" s="124"/>
      <c r="F1894" s="124"/>
      <c r="G1894" s="124"/>
      <c r="H1894" s="124"/>
      <c r="I1894" s="124"/>
      <c r="J1894" s="124"/>
      <c r="K1894" s="124"/>
      <c r="L1894" s="124"/>
      <c r="M1894" s="124"/>
      <c r="N1894" s="124"/>
      <c r="O1894" s="124"/>
      <c r="P1894" s="124"/>
      <c r="Q1894" s="124"/>
      <c r="R1894" s="124"/>
      <c r="S1894" s="124"/>
      <c r="T1894" s="124"/>
      <c r="U1894" s="124"/>
      <c r="V1894" s="124"/>
      <c r="W1894" s="124"/>
      <c r="X1894" s="124"/>
      <c r="Y1894" s="124"/>
    </row>
    <row r="1895">
      <c r="A1895" s="125"/>
      <c r="B1895" s="126"/>
      <c r="C1895" s="127"/>
      <c r="D1895" s="124"/>
      <c r="E1895" s="124"/>
      <c r="F1895" s="124"/>
      <c r="G1895" s="124"/>
      <c r="H1895" s="124"/>
      <c r="I1895" s="124"/>
      <c r="J1895" s="124"/>
      <c r="K1895" s="124"/>
      <c r="L1895" s="124"/>
      <c r="M1895" s="124"/>
      <c r="N1895" s="124"/>
      <c r="O1895" s="124"/>
      <c r="P1895" s="124"/>
      <c r="Q1895" s="124"/>
      <c r="R1895" s="124"/>
      <c r="S1895" s="124"/>
      <c r="T1895" s="124"/>
      <c r="U1895" s="124"/>
      <c r="V1895" s="124"/>
      <c r="W1895" s="124"/>
      <c r="X1895" s="124"/>
      <c r="Y1895" s="124"/>
    </row>
    <row r="1896">
      <c r="A1896" s="125"/>
      <c r="B1896" s="126"/>
      <c r="C1896" s="127"/>
      <c r="D1896" s="124"/>
      <c r="E1896" s="124"/>
      <c r="F1896" s="124"/>
      <c r="G1896" s="124"/>
      <c r="H1896" s="124"/>
      <c r="I1896" s="124"/>
      <c r="J1896" s="124"/>
      <c r="K1896" s="124"/>
      <c r="L1896" s="124"/>
      <c r="M1896" s="124"/>
      <c r="N1896" s="124"/>
      <c r="O1896" s="124"/>
      <c r="P1896" s="124"/>
      <c r="Q1896" s="124"/>
      <c r="R1896" s="124"/>
      <c r="S1896" s="124"/>
      <c r="T1896" s="124"/>
      <c r="U1896" s="124"/>
      <c r="V1896" s="124"/>
      <c r="W1896" s="124"/>
      <c r="X1896" s="124"/>
      <c r="Y1896" s="124"/>
    </row>
    <row r="1897">
      <c r="A1897" s="125"/>
      <c r="B1897" s="126"/>
      <c r="C1897" s="127"/>
      <c r="D1897" s="124"/>
      <c r="E1897" s="124"/>
      <c r="F1897" s="124"/>
      <c r="G1897" s="124"/>
      <c r="H1897" s="124"/>
      <c r="I1897" s="124"/>
      <c r="J1897" s="124"/>
      <c r="K1897" s="124"/>
      <c r="L1897" s="124"/>
      <c r="M1897" s="124"/>
      <c r="N1897" s="124"/>
      <c r="O1897" s="124"/>
      <c r="P1897" s="124"/>
      <c r="Q1897" s="124"/>
      <c r="R1897" s="124"/>
      <c r="S1897" s="124"/>
      <c r="T1897" s="124"/>
      <c r="U1897" s="124"/>
      <c r="V1897" s="124"/>
      <c r="W1897" s="124"/>
      <c r="X1897" s="124"/>
      <c r="Y1897" s="124"/>
    </row>
    <row r="1898">
      <c r="A1898" s="125"/>
      <c r="B1898" s="126"/>
      <c r="C1898" s="127"/>
      <c r="D1898" s="124"/>
      <c r="E1898" s="124"/>
      <c r="F1898" s="124"/>
      <c r="G1898" s="124"/>
      <c r="H1898" s="124"/>
      <c r="I1898" s="124"/>
      <c r="J1898" s="124"/>
      <c r="K1898" s="124"/>
      <c r="L1898" s="124"/>
      <c r="M1898" s="124"/>
      <c r="N1898" s="124"/>
      <c r="O1898" s="124"/>
      <c r="P1898" s="124"/>
      <c r="Q1898" s="124"/>
      <c r="R1898" s="124"/>
      <c r="S1898" s="124"/>
      <c r="T1898" s="124"/>
      <c r="U1898" s="124"/>
      <c r="V1898" s="124"/>
      <c r="W1898" s="124"/>
      <c r="X1898" s="124"/>
      <c r="Y1898" s="124"/>
    </row>
    <row r="1899">
      <c r="A1899" s="125"/>
      <c r="B1899" s="126"/>
      <c r="C1899" s="127"/>
      <c r="D1899" s="124"/>
      <c r="E1899" s="124"/>
      <c r="F1899" s="124"/>
      <c r="G1899" s="124"/>
      <c r="H1899" s="124"/>
      <c r="I1899" s="124"/>
      <c r="J1899" s="124"/>
      <c r="K1899" s="124"/>
      <c r="L1899" s="124"/>
      <c r="M1899" s="124"/>
      <c r="N1899" s="124"/>
      <c r="O1899" s="124"/>
      <c r="P1899" s="124"/>
      <c r="Q1899" s="124"/>
      <c r="R1899" s="124"/>
      <c r="S1899" s="124"/>
      <c r="T1899" s="124"/>
      <c r="U1899" s="124"/>
      <c r="V1899" s="124"/>
      <c r="W1899" s="124"/>
      <c r="X1899" s="124"/>
      <c r="Y1899" s="124"/>
    </row>
    <row r="1900">
      <c r="A1900" s="125"/>
      <c r="B1900" s="126"/>
      <c r="C1900" s="127"/>
      <c r="D1900" s="124"/>
      <c r="E1900" s="124"/>
      <c r="F1900" s="124"/>
      <c r="G1900" s="124"/>
      <c r="H1900" s="124"/>
      <c r="I1900" s="124"/>
      <c r="J1900" s="124"/>
      <c r="K1900" s="124"/>
      <c r="L1900" s="124"/>
      <c r="M1900" s="124"/>
      <c r="N1900" s="124"/>
      <c r="O1900" s="124"/>
      <c r="P1900" s="124"/>
      <c r="Q1900" s="124"/>
      <c r="R1900" s="124"/>
      <c r="S1900" s="124"/>
      <c r="T1900" s="124"/>
      <c r="U1900" s="124"/>
      <c r="V1900" s="124"/>
      <c r="W1900" s="124"/>
      <c r="X1900" s="124"/>
      <c r="Y1900" s="124"/>
    </row>
    <row r="1901">
      <c r="A1901" s="125"/>
      <c r="B1901" s="126"/>
      <c r="C1901" s="127"/>
      <c r="D1901" s="124"/>
      <c r="E1901" s="124"/>
      <c r="F1901" s="124"/>
      <c r="G1901" s="124"/>
      <c r="H1901" s="124"/>
      <c r="I1901" s="124"/>
      <c r="J1901" s="124"/>
      <c r="K1901" s="124"/>
      <c r="L1901" s="124"/>
      <c r="M1901" s="124"/>
      <c r="N1901" s="124"/>
      <c r="O1901" s="124"/>
      <c r="P1901" s="124"/>
      <c r="Q1901" s="124"/>
      <c r="R1901" s="124"/>
      <c r="S1901" s="124"/>
      <c r="T1901" s="124"/>
      <c r="U1901" s="124"/>
      <c r="V1901" s="124"/>
      <c r="W1901" s="124"/>
      <c r="X1901" s="124"/>
      <c r="Y1901" s="124"/>
    </row>
    <row r="1902">
      <c r="A1902" s="125"/>
      <c r="B1902" s="126"/>
      <c r="C1902" s="127"/>
      <c r="D1902" s="124"/>
      <c r="E1902" s="124"/>
      <c r="F1902" s="124"/>
      <c r="G1902" s="124"/>
      <c r="H1902" s="124"/>
      <c r="I1902" s="124"/>
      <c r="J1902" s="124"/>
      <c r="K1902" s="124"/>
      <c r="L1902" s="124"/>
      <c r="M1902" s="124"/>
      <c r="N1902" s="124"/>
      <c r="O1902" s="124"/>
      <c r="P1902" s="124"/>
      <c r="Q1902" s="124"/>
      <c r="R1902" s="124"/>
      <c r="S1902" s="124"/>
      <c r="T1902" s="124"/>
      <c r="U1902" s="124"/>
      <c r="V1902" s="124"/>
      <c r="W1902" s="124"/>
      <c r="X1902" s="124"/>
      <c r="Y1902" s="124"/>
    </row>
    <row r="1903">
      <c r="A1903" s="125"/>
      <c r="B1903" s="126"/>
      <c r="C1903" s="127"/>
      <c r="D1903" s="124"/>
      <c r="E1903" s="124"/>
      <c r="F1903" s="124"/>
      <c r="G1903" s="124"/>
      <c r="H1903" s="124"/>
      <c r="I1903" s="124"/>
      <c r="J1903" s="124"/>
      <c r="K1903" s="124"/>
      <c r="L1903" s="124"/>
      <c r="M1903" s="124"/>
      <c r="N1903" s="124"/>
      <c r="O1903" s="124"/>
      <c r="P1903" s="124"/>
      <c r="Q1903" s="124"/>
      <c r="R1903" s="124"/>
      <c r="S1903" s="124"/>
      <c r="T1903" s="124"/>
      <c r="U1903" s="124"/>
      <c r="V1903" s="124"/>
      <c r="W1903" s="124"/>
      <c r="X1903" s="124"/>
      <c r="Y1903" s="124"/>
    </row>
    <row r="1904">
      <c r="A1904" s="125"/>
      <c r="B1904" s="126"/>
      <c r="C1904" s="127"/>
      <c r="D1904" s="124"/>
      <c r="E1904" s="124"/>
      <c r="F1904" s="124"/>
      <c r="G1904" s="124"/>
      <c r="H1904" s="124"/>
      <c r="I1904" s="124"/>
      <c r="J1904" s="124"/>
      <c r="K1904" s="124"/>
      <c r="L1904" s="124"/>
      <c r="M1904" s="124"/>
      <c r="N1904" s="124"/>
      <c r="O1904" s="124"/>
      <c r="P1904" s="124"/>
      <c r="Q1904" s="124"/>
      <c r="R1904" s="124"/>
      <c r="S1904" s="124"/>
      <c r="T1904" s="124"/>
      <c r="U1904" s="124"/>
      <c r="V1904" s="124"/>
      <c r="W1904" s="124"/>
      <c r="X1904" s="124"/>
      <c r="Y1904" s="124"/>
    </row>
    <row r="1905">
      <c r="A1905" s="125"/>
      <c r="B1905" s="126"/>
      <c r="C1905" s="127"/>
      <c r="D1905" s="124"/>
      <c r="E1905" s="124"/>
      <c r="F1905" s="124"/>
      <c r="G1905" s="124"/>
      <c r="H1905" s="124"/>
      <c r="I1905" s="124"/>
      <c r="J1905" s="124"/>
      <c r="K1905" s="124"/>
      <c r="L1905" s="124"/>
      <c r="M1905" s="124"/>
      <c r="N1905" s="124"/>
      <c r="O1905" s="124"/>
      <c r="P1905" s="124"/>
      <c r="Q1905" s="124"/>
      <c r="R1905" s="124"/>
      <c r="S1905" s="124"/>
      <c r="T1905" s="124"/>
      <c r="U1905" s="124"/>
      <c r="V1905" s="124"/>
      <c r="W1905" s="124"/>
      <c r="X1905" s="124"/>
      <c r="Y1905" s="124"/>
    </row>
    <row r="1906">
      <c r="A1906" s="125"/>
      <c r="B1906" s="126"/>
      <c r="C1906" s="127"/>
      <c r="D1906" s="124"/>
      <c r="E1906" s="124"/>
      <c r="F1906" s="124"/>
      <c r="G1906" s="124"/>
      <c r="H1906" s="124"/>
      <c r="I1906" s="124"/>
      <c r="J1906" s="124"/>
      <c r="K1906" s="124"/>
      <c r="L1906" s="124"/>
      <c r="M1906" s="124"/>
      <c r="N1906" s="124"/>
      <c r="O1906" s="124"/>
      <c r="P1906" s="124"/>
      <c r="Q1906" s="124"/>
      <c r="R1906" s="124"/>
      <c r="S1906" s="124"/>
      <c r="T1906" s="124"/>
      <c r="U1906" s="124"/>
      <c r="V1906" s="124"/>
      <c r="W1906" s="124"/>
      <c r="X1906" s="124"/>
      <c r="Y1906" s="124"/>
    </row>
    <row r="1907">
      <c r="A1907" s="125"/>
      <c r="B1907" s="126"/>
      <c r="C1907" s="127"/>
      <c r="D1907" s="124"/>
      <c r="E1907" s="124"/>
      <c r="F1907" s="124"/>
      <c r="G1907" s="124"/>
      <c r="H1907" s="124"/>
      <c r="I1907" s="124"/>
      <c r="J1907" s="124"/>
      <c r="K1907" s="124"/>
      <c r="L1907" s="124"/>
      <c r="M1907" s="124"/>
      <c r="N1907" s="124"/>
      <c r="O1907" s="124"/>
      <c r="P1907" s="124"/>
      <c r="Q1907" s="124"/>
      <c r="R1907" s="124"/>
      <c r="S1907" s="124"/>
      <c r="T1907" s="124"/>
      <c r="U1907" s="124"/>
      <c r="V1907" s="124"/>
      <c r="W1907" s="124"/>
      <c r="X1907" s="124"/>
      <c r="Y1907" s="124"/>
    </row>
    <row r="1908">
      <c r="A1908" s="125"/>
      <c r="B1908" s="126"/>
      <c r="C1908" s="127"/>
      <c r="D1908" s="124"/>
      <c r="E1908" s="124"/>
      <c r="F1908" s="124"/>
      <c r="G1908" s="124"/>
      <c r="H1908" s="124"/>
      <c r="I1908" s="124"/>
      <c r="J1908" s="124"/>
      <c r="K1908" s="124"/>
      <c r="L1908" s="124"/>
      <c r="M1908" s="124"/>
      <c r="N1908" s="124"/>
      <c r="O1908" s="124"/>
      <c r="P1908" s="124"/>
      <c r="Q1908" s="124"/>
      <c r="R1908" s="124"/>
      <c r="S1908" s="124"/>
      <c r="T1908" s="124"/>
      <c r="U1908" s="124"/>
      <c r="V1908" s="124"/>
      <c r="W1908" s="124"/>
      <c r="X1908" s="124"/>
      <c r="Y1908" s="124"/>
    </row>
    <row r="1909">
      <c r="A1909" s="125"/>
      <c r="B1909" s="126"/>
      <c r="C1909" s="127"/>
      <c r="D1909" s="124"/>
      <c r="E1909" s="124"/>
      <c r="F1909" s="124"/>
      <c r="G1909" s="124"/>
      <c r="H1909" s="124"/>
      <c r="I1909" s="124"/>
      <c r="J1909" s="124"/>
      <c r="K1909" s="124"/>
      <c r="L1909" s="124"/>
      <c r="M1909" s="124"/>
      <c r="N1909" s="124"/>
      <c r="O1909" s="124"/>
      <c r="P1909" s="124"/>
      <c r="Q1909" s="124"/>
      <c r="R1909" s="124"/>
      <c r="S1909" s="124"/>
      <c r="T1909" s="124"/>
      <c r="U1909" s="124"/>
      <c r="V1909" s="124"/>
      <c r="W1909" s="124"/>
      <c r="X1909" s="124"/>
      <c r="Y1909" s="124"/>
    </row>
    <row r="1910">
      <c r="A1910" s="125"/>
      <c r="B1910" s="126"/>
      <c r="C1910" s="127"/>
      <c r="D1910" s="124"/>
      <c r="E1910" s="124"/>
      <c r="F1910" s="124"/>
      <c r="G1910" s="124"/>
      <c r="H1910" s="124"/>
      <c r="I1910" s="124"/>
      <c r="J1910" s="124"/>
      <c r="K1910" s="124"/>
      <c r="L1910" s="124"/>
      <c r="M1910" s="124"/>
      <c r="N1910" s="124"/>
      <c r="O1910" s="124"/>
      <c r="P1910" s="124"/>
      <c r="Q1910" s="124"/>
      <c r="R1910" s="124"/>
      <c r="S1910" s="124"/>
      <c r="T1910" s="124"/>
      <c r="U1910" s="124"/>
      <c r="V1910" s="124"/>
      <c r="W1910" s="124"/>
      <c r="X1910" s="124"/>
      <c r="Y1910" s="124"/>
    </row>
    <row r="1911">
      <c r="A1911" s="125"/>
      <c r="B1911" s="126"/>
      <c r="C1911" s="127"/>
      <c r="D1911" s="124"/>
      <c r="E1911" s="124"/>
      <c r="F1911" s="124"/>
      <c r="G1911" s="124"/>
      <c r="H1911" s="124"/>
      <c r="I1911" s="124"/>
      <c r="J1911" s="124"/>
      <c r="K1911" s="124"/>
      <c r="L1911" s="124"/>
      <c r="M1911" s="124"/>
      <c r="N1911" s="124"/>
      <c r="O1911" s="124"/>
      <c r="P1911" s="124"/>
      <c r="Q1911" s="124"/>
      <c r="R1911" s="124"/>
      <c r="S1911" s="124"/>
      <c r="T1911" s="124"/>
      <c r="U1911" s="124"/>
      <c r="V1911" s="124"/>
      <c r="W1911" s="124"/>
      <c r="X1911" s="124"/>
      <c r="Y1911" s="124"/>
    </row>
    <row r="1912">
      <c r="A1912" s="125"/>
      <c r="B1912" s="126"/>
      <c r="C1912" s="127"/>
      <c r="D1912" s="124"/>
      <c r="E1912" s="124"/>
      <c r="F1912" s="124"/>
      <c r="G1912" s="124"/>
      <c r="H1912" s="124"/>
      <c r="I1912" s="124"/>
      <c r="J1912" s="124"/>
      <c r="K1912" s="124"/>
      <c r="L1912" s="124"/>
      <c r="M1912" s="124"/>
      <c r="N1912" s="124"/>
      <c r="O1912" s="124"/>
      <c r="P1912" s="124"/>
      <c r="Q1912" s="124"/>
      <c r="R1912" s="124"/>
      <c r="S1912" s="124"/>
      <c r="T1912" s="124"/>
      <c r="U1912" s="124"/>
      <c r="V1912" s="124"/>
      <c r="W1912" s="124"/>
      <c r="X1912" s="124"/>
      <c r="Y1912" s="124"/>
    </row>
    <row r="1913">
      <c r="A1913" s="125"/>
      <c r="B1913" s="126"/>
      <c r="C1913" s="127"/>
      <c r="D1913" s="124"/>
      <c r="E1913" s="124"/>
      <c r="F1913" s="124"/>
      <c r="G1913" s="124"/>
      <c r="H1913" s="124"/>
      <c r="I1913" s="124"/>
      <c r="J1913" s="124"/>
      <c r="K1913" s="124"/>
      <c r="L1913" s="124"/>
      <c r="M1913" s="124"/>
      <c r="N1913" s="124"/>
      <c r="O1913" s="124"/>
      <c r="P1913" s="124"/>
      <c r="Q1913" s="124"/>
      <c r="R1913" s="124"/>
      <c r="S1913" s="124"/>
      <c r="T1913" s="124"/>
      <c r="U1913" s="124"/>
      <c r="V1913" s="124"/>
      <c r="W1913" s="124"/>
      <c r="X1913" s="124"/>
      <c r="Y1913" s="124"/>
    </row>
    <row r="1914">
      <c r="A1914" s="125"/>
      <c r="B1914" s="126"/>
      <c r="C1914" s="127"/>
      <c r="D1914" s="124"/>
      <c r="E1914" s="124"/>
      <c r="F1914" s="124"/>
      <c r="G1914" s="124"/>
      <c r="H1914" s="124"/>
      <c r="I1914" s="124"/>
      <c r="J1914" s="124"/>
      <c r="K1914" s="124"/>
      <c r="L1914" s="124"/>
      <c r="M1914" s="124"/>
      <c r="N1914" s="124"/>
      <c r="O1914" s="124"/>
      <c r="P1914" s="124"/>
      <c r="Q1914" s="124"/>
      <c r="R1914" s="124"/>
      <c r="S1914" s="124"/>
      <c r="T1914" s="124"/>
      <c r="U1914" s="124"/>
      <c r="V1914" s="124"/>
      <c r="W1914" s="124"/>
      <c r="X1914" s="124"/>
      <c r="Y1914" s="124"/>
    </row>
    <row r="1915">
      <c r="A1915" s="125"/>
      <c r="B1915" s="126"/>
      <c r="C1915" s="127"/>
      <c r="D1915" s="124"/>
      <c r="E1915" s="124"/>
      <c r="F1915" s="124"/>
      <c r="G1915" s="124"/>
      <c r="H1915" s="124"/>
      <c r="I1915" s="124"/>
      <c r="J1915" s="124"/>
      <c r="K1915" s="124"/>
      <c r="L1915" s="124"/>
      <c r="M1915" s="124"/>
      <c r="N1915" s="124"/>
      <c r="O1915" s="124"/>
      <c r="P1915" s="124"/>
      <c r="Q1915" s="124"/>
      <c r="R1915" s="124"/>
      <c r="S1915" s="124"/>
      <c r="T1915" s="124"/>
      <c r="U1915" s="124"/>
      <c r="V1915" s="124"/>
      <c r="W1915" s="124"/>
      <c r="X1915" s="124"/>
      <c r="Y1915" s="124"/>
    </row>
    <row r="1916">
      <c r="A1916" s="125"/>
      <c r="B1916" s="126"/>
      <c r="C1916" s="127"/>
      <c r="D1916" s="124"/>
      <c r="E1916" s="124"/>
      <c r="F1916" s="124"/>
      <c r="G1916" s="124"/>
      <c r="H1916" s="124"/>
      <c r="I1916" s="124"/>
      <c r="J1916" s="124"/>
      <c r="K1916" s="124"/>
      <c r="L1916" s="124"/>
      <c r="M1916" s="124"/>
      <c r="N1916" s="124"/>
      <c r="O1916" s="124"/>
      <c r="P1916" s="124"/>
      <c r="Q1916" s="124"/>
      <c r="R1916" s="124"/>
      <c r="S1916" s="124"/>
      <c r="T1916" s="124"/>
      <c r="U1916" s="124"/>
      <c r="V1916" s="124"/>
      <c r="W1916" s="124"/>
      <c r="X1916" s="124"/>
      <c r="Y1916" s="124"/>
    </row>
    <row r="1917">
      <c r="A1917" s="125"/>
      <c r="B1917" s="126"/>
      <c r="C1917" s="127"/>
      <c r="D1917" s="124"/>
      <c r="E1917" s="124"/>
      <c r="F1917" s="124"/>
      <c r="G1917" s="124"/>
      <c r="H1917" s="124"/>
      <c r="I1917" s="124"/>
      <c r="J1917" s="124"/>
      <c r="K1917" s="124"/>
      <c r="L1917" s="124"/>
      <c r="M1917" s="124"/>
      <c r="N1917" s="124"/>
      <c r="O1917" s="124"/>
      <c r="P1917" s="124"/>
      <c r="Q1917" s="124"/>
      <c r="R1917" s="124"/>
      <c r="S1917" s="124"/>
      <c r="T1917" s="124"/>
      <c r="U1917" s="124"/>
      <c r="V1917" s="124"/>
      <c r="W1917" s="124"/>
      <c r="X1917" s="124"/>
      <c r="Y1917" s="124"/>
    </row>
    <row r="1918">
      <c r="A1918" s="125"/>
      <c r="B1918" s="126"/>
      <c r="C1918" s="127"/>
      <c r="D1918" s="124"/>
      <c r="E1918" s="124"/>
      <c r="F1918" s="124"/>
      <c r="G1918" s="124"/>
      <c r="H1918" s="124"/>
      <c r="I1918" s="124"/>
      <c r="J1918" s="124"/>
      <c r="K1918" s="124"/>
      <c r="L1918" s="124"/>
      <c r="M1918" s="124"/>
      <c r="N1918" s="124"/>
      <c r="O1918" s="124"/>
      <c r="P1918" s="124"/>
      <c r="Q1918" s="124"/>
      <c r="R1918" s="124"/>
      <c r="S1918" s="124"/>
      <c r="T1918" s="124"/>
      <c r="U1918" s="124"/>
      <c r="V1918" s="124"/>
      <c r="W1918" s="124"/>
      <c r="X1918" s="124"/>
      <c r="Y1918" s="124"/>
    </row>
    <row r="1919">
      <c r="A1919" s="125"/>
      <c r="B1919" s="126"/>
      <c r="C1919" s="127"/>
      <c r="D1919" s="124"/>
      <c r="E1919" s="124"/>
      <c r="F1919" s="124"/>
      <c r="G1919" s="124"/>
      <c r="H1919" s="124"/>
      <c r="I1919" s="124"/>
      <c r="J1919" s="124"/>
      <c r="K1919" s="124"/>
      <c r="L1919" s="124"/>
      <c r="M1919" s="124"/>
      <c r="N1919" s="124"/>
      <c r="O1919" s="124"/>
      <c r="P1919" s="124"/>
      <c r="Q1919" s="124"/>
      <c r="R1919" s="124"/>
      <c r="S1919" s="124"/>
      <c r="T1919" s="124"/>
      <c r="U1919" s="124"/>
      <c r="V1919" s="124"/>
      <c r="W1919" s="124"/>
      <c r="X1919" s="124"/>
      <c r="Y1919" s="124"/>
    </row>
    <row r="1920">
      <c r="A1920" s="125"/>
      <c r="B1920" s="126"/>
      <c r="C1920" s="127"/>
      <c r="D1920" s="124"/>
      <c r="E1920" s="124"/>
      <c r="F1920" s="124"/>
      <c r="G1920" s="124"/>
      <c r="H1920" s="124"/>
      <c r="I1920" s="124"/>
      <c r="J1920" s="124"/>
      <c r="K1920" s="124"/>
      <c r="L1920" s="124"/>
      <c r="M1920" s="124"/>
      <c r="N1920" s="124"/>
      <c r="O1920" s="124"/>
      <c r="P1920" s="124"/>
      <c r="Q1920" s="124"/>
      <c r="R1920" s="124"/>
      <c r="S1920" s="124"/>
      <c r="T1920" s="124"/>
      <c r="U1920" s="124"/>
      <c r="V1920" s="124"/>
      <c r="W1920" s="124"/>
      <c r="X1920" s="124"/>
      <c r="Y1920" s="124"/>
    </row>
    <row r="1921">
      <c r="A1921" s="125"/>
      <c r="B1921" s="126"/>
      <c r="C1921" s="127"/>
      <c r="D1921" s="124"/>
      <c r="E1921" s="124"/>
      <c r="F1921" s="124"/>
      <c r="G1921" s="124"/>
      <c r="H1921" s="124"/>
      <c r="I1921" s="124"/>
      <c r="J1921" s="124"/>
      <c r="K1921" s="124"/>
      <c r="L1921" s="124"/>
      <c r="M1921" s="124"/>
      <c r="N1921" s="124"/>
      <c r="O1921" s="124"/>
      <c r="P1921" s="124"/>
      <c r="Q1921" s="124"/>
      <c r="R1921" s="124"/>
      <c r="S1921" s="124"/>
      <c r="T1921" s="124"/>
      <c r="U1921" s="124"/>
      <c r="V1921" s="124"/>
      <c r="W1921" s="124"/>
      <c r="X1921" s="124"/>
      <c r="Y1921" s="124"/>
    </row>
    <row r="1922">
      <c r="A1922" s="125"/>
      <c r="B1922" s="126"/>
      <c r="C1922" s="127"/>
      <c r="D1922" s="124"/>
      <c r="E1922" s="124"/>
      <c r="F1922" s="124"/>
      <c r="G1922" s="124"/>
      <c r="H1922" s="124"/>
      <c r="I1922" s="124"/>
      <c r="J1922" s="124"/>
      <c r="K1922" s="124"/>
      <c r="L1922" s="124"/>
      <c r="M1922" s="124"/>
      <c r="N1922" s="124"/>
      <c r="O1922" s="124"/>
      <c r="P1922" s="124"/>
      <c r="Q1922" s="124"/>
      <c r="R1922" s="124"/>
      <c r="S1922" s="124"/>
      <c r="T1922" s="124"/>
      <c r="U1922" s="124"/>
      <c r="V1922" s="124"/>
      <c r="W1922" s="124"/>
      <c r="X1922" s="124"/>
      <c r="Y1922" s="124"/>
    </row>
    <row r="1923">
      <c r="A1923" s="125"/>
      <c r="B1923" s="126"/>
      <c r="C1923" s="127"/>
      <c r="D1923" s="124"/>
      <c r="E1923" s="124"/>
      <c r="F1923" s="124"/>
      <c r="G1923" s="124"/>
      <c r="H1923" s="124"/>
      <c r="I1923" s="124"/>
      <c r="J1923" s="124"/>
      <c r="K1923" s="124"/>
      <c r="L1923" s="124"/>
      <c r="M1923" s="124"/>
      <c r="N1923" s="124"/>
      <c r="O1923" s="124"/>
      <c r="P1923" s="124"/>
      <c r="Q1923" s="124"/>
      <c r="R1923" s="124"/>
      <c r="S1923" s="124"/>
      <c r="T1923" s="124"/>
      <c r="U1923" s="124"/>
      <c r="V1923" s="124"/>
      <c r="W1923" s="124"/>
      <c r="X1923" s="124"/>
      <c r="Y1923" s="124"/>
    </row>
    <row r="1924">
      <c r="A1924" s="125"/>
      <c r="B1924" s="126"/>
      <c r="C1924" s="127"/>
      <c r="D1924" s="124"/>
      <c r="E1924" s="124"/>
      <c r="F1924" s="124"/>
      <c r="G1924" s="124"/>
      <c r="H1924" s="124"/>
      <c r="I1924" s="124"/>
      <c r="J1924" s="124"/>
      <c r="K1924" s="124"/>
      <c r="L1924" s="124"/>
      <c r="M1924" s="124"/>
      <c r="N1924" s="124"/>
      <c r="O1924" s="124"/>
      <c r="P1924" s="124"/>
      <c r="Q1924" s="124"/>
      <c r="R1924" s="124"/>
      <c r="S1924" s="124"/>
      <c r="T1924" s="124"/>
      <c r="U1924" s="124"/>
      <c r="V1924" s="124"/>
      <c r="W1924" s="124"/>
      <c r="X1924" s="124"/>
      <c r="Y1924" s="124"/>
    </row>
    <row r="1925">
      <c r="A1925" s="125"/>
      <c r="B1925" s="126"/>
      <c r="C1925" s="127"/>
      <c r="D1925" s="124"/>
      <c r="E1925" s="124"/>
      <c r="F1925" s="124"/>
      <c r="G1925" s="124"/>
      <c r="H1925" s="124"/>
      <c r="I1925" s="124"/>
      <c r="J1925" s="124"/>
      <c r="K1925" s="124"/>
      <c r="L1925" s="124"/>
      <c r="M1925" s="124"/>
      <c r="N1925" s="124"/>
      <c r="O1925" s="124"/>
      <c r="P1925" s="124"/>
      <c r="Q1925" s="124"/>
      <c r="R1925" s="124"/>
      <c r="S1925" s="124"/>
      <c r="T1925" s="124"/>
      <c r="U1925" s="124"/>
      <c r="V1925" s="124"/>
      <c r="W1925" s="124"/>
      <c r="X1925" s="124"/>
      <c r="Y1925" s="124"/>
    </row>
    <row r="1926">
      <c r="A1926" s="125"/>
      <c r="B1926" s="126"/>
      <c r="C1926" s="127"/>
      <c r="D1926" s="124"/>
      <c r="E1926" s="124"/>
      <c r="F1926" s="124"/>
      <c r="G1926" s="124"/>
      <c r="H1926" s="124"/>
      <c r="I1926" s="124"/>
      <c r="J1926" s="124"/>
      <c r="K1926" s="124"/>
      <c r="L1926" s="124"/>
      <c r="M1926" s="124"/>
      <c r="N1926" s="124"/>
      <c r="O1926" s="124"/>
      <c r="P1926" s="124"/>
      <c r="Q1926" s="124"/>
      <c r="R1926" s="124"/>
      <c r="S1926" s="124"/>
      <c r="T1926" s="124"/>
      <c r="U1926" s="124"/>
      <c r="V1926" s="124"/>
      <c r="W1926" s="124"/>
      <c r="X1926" s="124"/>
      <c r="Y1926" s="124"/>
    </row>
    <row r="1927">
      <c r="A1927" s="125"/>
      <c r="B1927" s="126"/>
      <c r="C1927" s="127"/>
      <c r="D1927" s="124"/>
      <c r="E1927" s="124"/>
      <c r="F1927" s="124"/>
      <c r="G1927" s="124"/>
      <c r="H1927" s="124"/>
      <c r="I1927" s="124"/>
      <c r="J1927" s="124"/>
      <c r="K1927" s="124"/>
      <c r="L1927" s="124"/>
      <c r="M1927" s="124"/>
      <c r="N1927" s="124"/>
      <c r="O1927" s="124"/>
      <c r="P1927" s="124"/>
      <c r="Q1927" s="124"/>
      <c r="R1927" s="124"/>
      <c r="S1927" s="124"/>
      <c r="T1927" s="124"/>
      <c r="U1927" s="124"/>
      <c r="V1927" s="124"/>
      <c r="W1927" s="124"/>
      <c r="X1927" s="124"/>
      <c r="Y1927" s="124"/>
    </row>
    <row r="1928">
      <c r="A1928" s="125"/>
      <c r="B1928" s="126"/>
      <c r="C1928" s="127"/>
      <c r="D1928" s="124"/>
      <c r="E1928" s="124"/>
      <c r="F1928" s="124"/>
      <c r="G1928" s="124"/>
      <c r="H1928" s="124"/>
      <c r="I1928" s="124"/>
      <c r="J1928" s="124"/>
      <c r="K1928" s="124"/>
      <c r="L1928" s="124"/>
      <c r="M1928" s="124"/>
      <c r="N1928" s="124"/>
      <c r="O1928" s="124"/>
      <c r="P1928" s="124"/>
      <c r="Q1928" s="124"/>
      <c r="R1928" s="124"/>
      <c r="S1928" s="124"/>
      <c r="T1928" s="124"/>
      <c r="U1928" s="124"/>
      <c r="V1928" s="124"/>
      <c r="W1928" s="124"/>
      <c r="X1928" s="124"/>
      <c r="Y1928" s="124"/>
    </row>
    <row r="1929">
      <c r="A1929" s="125"/>
      <c r="B1929" s="126"/>
      <c r="C1929" s="127"/>
      <c r="D1929" s="124"/>
      <c r="E1929" s="124"/>
      <c r="F1929" s="124"/>
      <c r="G1929" s="124"/>
      <c r="H1929" s="124"/>
      <c r="I1929" s="124"/>
      <c r="J1929" s="124"/>
      <c r="K1929" s="124"/>
      <c r="L1929" s="124"/>
      <c r="M1929" s="124"/>
      <c r="N1929" s="124"/>
      <c r="O1929" s="124"/>
      <c r="P1929" s="124"/>
      <c r="Q1929" s="124"/>
      <c r="R1929" s="124"/>
      <c r="S1929" s="124"/>
      <c r="T1929" s="124"/>
      <c r="U1929" s="124"/>
      <c r="V1929" s="124"/>
      <c r="W1929" s="124"/>
      <c r="X1929" s="124"/>
      <c r="Y1929" s="124"/>
    </row>
    <row r="1930">
      <c r="A1930" s="125"/>
      <c r="B1930" s="126"/>
      <c r="C1930" s="127"/>
      <c r="D1930" s="124"/>
      <c r="E1930" s="124"/>
      <c r="F1930" s="124"/>
      <c r="G1930" s="124"/>
      <c r="H1930" s="124"/>
      <c r="I1930" s="124"/>
      <c r="J1930" s="124"/>
      <c r="K1930" s="124"/>
      <c r="L1930" s="124"/>
      <c r="M1930" s="124"/>
      <c r="N1930" s="124"/>
      <c r="O1930" s="124"/>
      <c r="P1930" s="124"/>
      <c r="Q1930" s="124"/>
      <c r="R1930" s="124"/>
      <c r="S1930" s="124"/>
      <c r="T1930" s="124"/>
      <c r="U1930" s="124"/>
      <c r="V1930" s="124"/>
      <c r="W1930" s="124"/>
      <c r="X1930" s="124"/>
      <c r="Y1930" s="124"/>
    </row>
    <row r="1931">
      <c r="A1931" s="125"/>
      <c r="B1931" s="126"/>
      <c r="C1931" s="127"/>
      <c r="D1931" s="124"/>
      <c r="E1931" s="124"/>
      <c r="F1931" s="124"/>
      <c r="G1931" s="124"/>
      <c r="H1931" s="124"/>
      <c r="I1931" s="124"/>
      <c r="J1931" s="124"/>
      <c r="K1931" s="124"/>
      <c r="L1931" s="124"/>
      <c r="M1931" s="124"/>
      <c r="N1931" s="124"/>
      <c r="O1931" s="124"/>
      <c r="P1931" s="124"/>
      <c r="Q1931" s="124"/>
      <c r="R1931" s="124"/>
      <c r="S1931" s="124"/>
      <c r="T1931" s="124"/>
      <c r="U1931" s="124"/>
      <c r="V1931" s="124"/>
      <c r="W1931" s="124"/>
      <c r="X1931" s="124"/>
      <c r="Y1931" s="124"/>
    </row>
    <row r="1932">
      <c r="A1932" s="125"/>
      <c r="B1932" s="126"/>
      <c r="C1932" s="127"/>
      <c r="D1932" s="124"/>
      <c r="E1932" s="124"/>
      <c r="F1932" s="124"/>
      <c r="G1932" s="124"/>
      <c r="H1932" s="124"/>
      <c r="I1932" s="124"/>
      <c r="J1932" s="124"/>
      <c r="K1932" s="124"/>
      <c r="L1932" s="124"/>
      <c r="M1932" s="124"/>
      <c r="N1932" s="124"/>
      <c r="O1932" s="124"/>
      <c r="P1932" s="124"/>
      <c r="Q1932" s="124"/>
      <c r="R1932" s="124"/>
      <c r="S1932" s="124"/>
      <c r="T1932" s="124"/>
      <c r="U1932" s="124"/>
      <c r="V1932" s="124"/>
      <c r="W1932" s="124"/>
      <c r="X1932" s="124"/>
      <c r="Y1932" s="124"/>
    </row>
    <row r="1933">
      <c r="A1933" s="125"/>
      <c r="B1933" s="126"/>
      <c r="C1933" s="127"/>
      <c r="D1933" s="124"/>
      <c r="E1933" s="124"/>
      <c r="F1933" s="124"/>
      <c r="G1933" s="124"/>
      <c r="H1933" s="124"/>
      <c r="I1933" s="124"/>
      <c r="J1933" s="124"/>
      <c r="K1933" s="124"/>
      <c r="L1933" s="124"/>
      <c r="M1933" s="124"/>
      <c r="N1933" s="124"/>
      <c r="O1933" s="124"/>
      <c r="P1933" s="124"/>
      <c r="Q1933" s="124"/>
      <c r="R1933" s="124"/>
      <c r="S1933" s="124"/>
      <c r="T1933" s="124"/>
      <c r="U1933" s="124"/>
      <c r="V1933" s="124"/>
      <c r="W1933" s="124"/>
      <c r="X1933" s="124"/>
      <c r="Y1933" s="124"/>
    </row>
    <row r="1934">
      <c r="A1934" s="125"/>
      <c r="B1934" s="126"/>
      <c r="C1934" s="127"/>
      <c r="D1934" s="124"/>
      <c r="E1934" s="124"/>
      <c r="F1934" s="124"/>
      <c r="G1934" s="124"/>
      <c r="H1934" s="124"/>
      <c r="I1934" s="124"/>
      <c r="J1934" s="124"/>
      <c r="K1934" s="124"/>
      <c r="L1934" s="124"/>
      <c r="M1934" s="124"/>
      <c r="N1934" s="124"/>
      <c r="O1934" s="124"/>
      <c r="P1934" s="124"/>
      <c r="Q1934" s="124"/>
      <c r="R1934" s="124"/>
      <c r="S1934" s="124"/>
      <c r="T1934" s="124"/>
      <c r="U1934" s="124"/>
      <c r="V1934" s="124"/>
      <c r="W1934" s="124"/>
      <c r="X1934" s="124"/>
      <c r="Y1934" s="124"/>
    </row>
    <row r="1935">
      <c r="A1935" s="125"/>
      <c r="B1935" s="126"/>
      <c r="C1935" s="127"/>
      <c r="D1935" s="124"/>
      <c r="E1935" s="124"/>
      <c r="F1935" s="124"/>
      <c r="G1935" s="124"/>
      <c r="H1935" s="124"/>
      <c r="I1935" s="124"/>
      <c r="J1935" s="124"/>
      <c r="K1935" s="124"/>
      <c r="L1935" s="124"/>
      <c r="M1935" s="124"/>
      <c r="N1935" s="124"/>
      <c r="O1935" s="124"/>
      <c r="P1935" s="124"/>
      <c r="Q1935" s="124"/>
      <c r="R1935" s="124"/>
      <c r="S1935" s="124"/>
      <c r="T1935" s="124"/>
      <c r="U1935" s="124"/>
      <c r="V1935" s="124"/>
      <c r="W1935" s="124"/>
      <c r="X1935" s="124"/>
      <c r="Y1935" s="124"/>
    </row>
    <row r="1936">
      <c r="A1936" s="125"/>
      <c r="B1936" s="126"/>
      <c r="C1936" s="127"/>
      <c r="D1936" s="124"/>
      <c r="E1936" s="124"/>
      <c r="F1936" s="124"/>
      <c r="G1936" s="124"/>
      <c r="H1936" s="124"/>
      <c r="I1936" s="124"/>
      <c r="J1936" s="124"/>
      <c r="K1936" s="124"/>
      <c r="L1936" s="124"/>
      <c r="M1936" s="124"/>
      <c r="N1936" s="124"/>
      <c r="O1936" s="124"/>
      <c r="P1936" s="124"/>
      <c r="Q1936" s="124"/>
      <c r="R1936" s="124"/>
      <c r="S1936" s="124"/>
      <c r="T1936" s="124"/>
      <c r="U1936" s="124"/>
      <c r="V1936" s="124"/>
      <c r="W1936" s="124"/>
      <c r="X1936" s="124"/>
      <c r="Y1936" s="124"/>
    </row>
    <row r="1937">
      <c r="A1937" s="125"/>
      <c r="B1937" s="126"/>
      <c r="C1937" s="127"/>
      <c r="D1937" s="124"/>
      <c r="E1937" s="124"/>
      <c r="F1937" s="124"/>
      <c r="G1937" s="124"/>
      <c r="H1937" s="124"/>
      <c r="I1937" s="124"/>
      <c r="J1937" s="124"/>
      <c r="K1937" s="124"/>
      <c r="L1937" s="124"/>
      <c r="M1937" s="124"/>
      <c r="N1937" s="124"/>
      <c r="O1937" s="124"/>
      <c r="P1937" s="124"/>
      <c r="Q1937" s="124"/>
      <c r="R1937" s="124"/>
      <c r="S1937" s="124"/>
      <c r="T1937" s="124"/>
      <c r="U1937" s="124"/>
      <c r="V1937" s="124"/>
      <c r="W1937" s="124"/>
      <c r="X1937" s="124"/>
      <c r="Y1937" s="124"/>
    </row>
    <row r="1938">
      <c r="A1938" s="125"/>
      <c r="B1938" s="126"/>
      <c r="C1938" s="127"/>
      <c r="D1938" s="124"/>
      <c r="E1938" s="124"/>
      <c r="F1938" s="124"/>
      <c r="G1938" s="124"/>
      <c r="H1938" s="124"/>
      <c r="I1938" s="124"/>
      <c r="J1938" s="124"/>
      <c r="K1938" s="124"/>
      <c r="L1938" s="124"/>
      <c r="M1938" s="124"/>
      <c r="N1938" s="124"/>
      <c r="O1938" s="124"/>
      <c r="P1938" s="124"/>
      <c r="Q1938" s="124"/>
      <c r="R1938" s="124"/>
      <c r="S1938" s="124"/>
      <c r="T1938" s="124"/>
      <c r="U1938" s="124"/>
      <c r="V1938" s="124"/>
      <c r="W1938" s="124"/>
      <c r="X1938" s="124"/>
      <c r="Y1938" s="124"/>
    </row>
    <row r="1939">
      <c r="A1939" s="125"/>
      <c r="B1939" s="126"/>
      <c r="C1939" s="127"/>
      <c r="D1939" s="124"/>
      <c r="E1939" s="124"/>
      <c r="F1939" s="124"/>
      <c r="G1939" s="124"/>
      <c r="H1939" s="124"/>
      <c r="I1939" s="124"/>
      <c r="J1939" s="124"/>
      <c r="K1939" s="124"/>
      <c r="L1939" s="124"/>
      <c r="M1939" s="124"/>
      <c r="N1939" s="124"/>
      <c r="O1939" s="124"/>
      <c r="P1939" s="124"/>
      <c r="Q1939" s="124"/>
      <c r="R1939" s="124"/>
      <c r="S1939" s="124"/>
      <c r="T1939" s="124"/>
      <c r="U1939" s="124"/>
      <c r="V1939" s="124"/>
      <c r="W1939" s="124"/>
      <c r="X1939" s="124"/>
      <c r="Y1939" s="124"/>
    </row>
    <row r="1940">
      <c r="A1940" s="125"/>
      <c r="B1940" s="126"/>
      <c r="C1940" s="127"/>
      <c r="D1940" s="124"/>
      <c r="E1940" s="124"/>
      <c r="F1940" s="124"/>
      <c r="G1940" s="124"/>
      <c r="H1940" s="124"/>
      <c r="I1940" s="124"/>
      <c r="J1940" s="124"/>
      <c r="K1940" s="124"/>
      <c r="L1940" s="124"/>
      <c r="M1940" s="124"/>
      <c r="N1940" s="124"/>
      <c r="O1940" s="124"/>
      <c r="P1940" s="124"/>
      <c r="Q1940" s="124"/>
      <c r="R1940" s="124"/>
      <c r="S1940" s="124"/>
      <c r="T1940" s="124"/>
      <c r="U1940" s="124"/>
      <c r="V1940" s="124"/>
      <c r="W1940" s="124"/>
      <c r="X1940" s="124"/>
      <c r="Y1940" s="124"/>
    </row>
    <row r="1941">
      <c r="A1941" s="125"/>
      <c r="B1941" s="126"/>
      <c r="C1941" s="127"/>
      <c r="D1941" s="124"/>
      <c r="E1941" s="124"/>
      <c r="F1941" s="124"/>
      <c r="G1941" s="124"/>
      <c r="H1941" s="124"/>
      <c r="I1941" s="124"/>
      <c r="J1941" s="124"/>
      <c r="K1941" s="124"/>
      <c r="L1941" s="124"/>
      <c r="M1941" s="124"/>
      <c r="N1941" s="124"/>
      <c r="O1941" s="124"/>
      <c r="P1941" s="124"/>
      <c r="Q1941" s="124"/>
      <c r="R1941" s="124"/>
      <c r="S1941" s="124"/>
      <c r="T1941" s="124"/>
      <c r="U1941" s="124"/>
      <c r="V1941" s="124"/>
      <c r="W1941" s="124"/>
      <c r="X1941" s="124"/>
      <c r="Y1941" s="124"/>
    </row>
    <row r="1942">
      <c r="A1942" s="125"/>
      <c r="B1942" s="126"/>
      <c r="C1942" s="127"/>
      <c r="D1942" s="124"/>
      <c r="E1942" s="124"/>
      <c r="F1942" s="124"/>
      <c r="G1942" s="124"/>
      <c r="H1942" s="124"/>
      <c r="I1942" s="124"/>
      <c r="J1942" s="124"/>
      <c r="K1942" s="124"/>
      <c r="L1942" s="124"/>
      <c r="M1942" s="124"/>
      <c r="N1942" s="124"/>
      <c r="O1942" s="124"/>
      <c r="P1942" s="124"/>
      <c r="Q1942" s="124"/>
      <c r="R1942" s="124"/>
      <c r="S1942" s="124"/>
      <c r="T1942" s="124"/>
      <c r="U1942" s="124"/>
      <c r="V1942" s="124"/>
      <c r="W1942" s="124"/>
      <c r="X1942" s="124"/>
      <c r="Y1942" s="124"/>
    </row>
    <row r="1943">
      <c r="A1943" s="125"/>
      <c r="B1943" s="126"/>
      <c r="C1943" s="127"/>
      <c r="D1943" s="124"/>
      <c r="E1943" s="124"/>
      <c r="F1943" s="124"/>
      <c r="G1943" s="124"/>
      <c r="H1943" s="124"/>
      <c r="I1943" s="124"/>
      <c r="J1943" s="124"/>
      <c r="K1943" s="124"/>
      <c r="L1943" s="124"/>
      <c r="M1943" s="124"/>
      <c r="N1943" s="124"/>
      <c r="O1943" s="124"/>
      <c r="P1943" s="124"/>
      <c r="Q1943" s="124"/>
      <c r="R1943" s="124"/>
      <c r="S1943" s="124"/>
      <c r="T1943" s="124"/>
      <c r="U1943" s="124"/>
      <c r="V1943" s="124"/>
      <c r="W1943" s="124"/>
      <c r="X1943" s="124"/>
      <c r="Y1943" s="124"/>
    </row>
    <row r="1944">
      <c r="A1944" s="125"/>
      <c r="B1944" s="126"/>
      <c r="C1944" s="127"/>
      <c r="D1944" s="124"/>
      <c r="E1944" s="124"/>
      <c r="F1944" s="124"/>
      <c r="G1944" s="124"/>
      <c r="H1944" s="124"/>
      <c r="I1944" s="124"/>
      <c r="J1944" s="124"/>
      <c r="K1944" s="124"/>
      <c r="L1944" s="124"/>
      <c r="M1944" s="124"/>
      <c r="N1944" s="124"/>
      <c r="O1944" s="124"/>
      <c r="P1944" s="124"/>
      <c r="Q1944" s="124"/>
      <c r="R1944" s="124"/>
      <c r="S1944" s="124"/>
      <c r="T1944" s="124"/>
      <c r="U1944" s="124"/>
      <c r="V1944" s="124"/>
      <c r="W1944" s="124"/>
      <c r="X1944" s="124"/>
      <c r="Y1944" s="124"/>
    </row>
    <row r="1945">
      <c r="A1945" s="125"/>
      <c r="B1945" s="126"/>
      <c r="C1945" s="127"/>
      <c r="D1945" s="124"/>
      <c r="E1945" s="124"/>
      <c r="F1945" s="124"/>
      <c r="G1945" s="124"/>
      <c r="H1945" s="124"/>
      <c r="I1945" s="124"/>
      <c r="J1945" s="124"/>
      <c r="K1945" s="124"/>
      <c r="L1945" s="124"/>
      <c r="M1945" s="124"/>
      <c r="N1945" s="124"/>
      <c r="O1945" s="124"/>
      <c r="P1945" s="124"/>
      <c r="Q1945" s="124"/>
      <c r="R1945" s="124"/>
      <c r="S1945" s="124"/>
      <c r="T1945" s="124"/>
      <c r="U1945" s="124"/>
      <c r="V1945" s="124"/>
      <c r="W1945" s="124"/>
      <c r="X1945" s="124"/>
      <c r="Y1945" s="124"/>
    </row>
    <row r="1946">
      <c r="A1946" s="125"/>
      <c r="B1946" s="126"/>
      <c r="C1946" s="127"/>
      <c r="D1946" s="124"/>
      <c r="E1946" s="124"/>
      <c r="F1946" s="124"/>
      <c r="G1946" s="124"/>
      <c r="H1946" s="124"/>
      <c r="I1946" s="124"/>
      <c r="J1946" s="124"/>
      <c r="K1946" s="124"/>
      <c r="L1946" s="124"/>
      <c r="M1946" s="124"/>
      <c r="N1946" s="124"/>
      <c r="O1946" s="124"/>
      <c r="P1946" s="124"/>
      <c r="Q1946" s="124"/>
      <c r="R1946" s="124"/>
      <c r="S1946" s="124"/>
      <c r="T1946" s="124"/>
      <c r="U1946" s="124"/>
      <c r="V1946" s="124"/>
      <c r="W1946" s="124"/>
      <c r="X1946" s="124"/>
      <c r="Y1946" s="124"/>
    </row>
    <row r="1947">
      <c r="A1947" s="125"/>
      <c r="B1947" s="126"/>
      <c r="C1947" s="127"/>
      <c r="D1947" s="124"/>
      <c r="E1947" s="124"/>
      <c r="F1947" s="124"/>
      <c r="G1947" s="124"/>
      <c r="H1947" s="124"/>
      <c r="I1947" s="124"/>
      <c r="J1947" s="124"/>
      <c r="K1947" s="124"/>
      <c r="L1947" s="124"/>
      <c r="M1947" s="124"/>
      <c r="N1947" s="124"/>
      <c r="O1947" s="124"/>
      <c r="P1947" s="124"/>
      <c r="Q1947" s="124"/>
      <c r="R1947" s="124"/>
      <c r="S1947" s="124"/>
      <c r="T1947" s="124"/>
      <c r="U1947" s="124"/>
      <c r="V1947" s="124"/>
      <c r="W1947" s="124"/>
      <c r="X1947" s="124"/>
      <c r="Y1947" s="124"/>
    </row>
    <row r="1948">
      <c r="A1948" s="125"/>
      <c r="B1948" s="126"/>
      <c r="C1948" s="127"/>
      <c r="D1948" s="124"/>
      <c r="E1948" s="124"/>
      <c r="F1948" s="124"/>
      <c r="G1948" s="124"/>
      <c r="H1948" s="124"/>
      <c r="I1948" s="124"/>
      <c r="J1948" s="124"/>
      <c r="K1948" s="124"/>
      <c r="L1948" s="124"/>
      <c r="M1948" s="124"/>
      <c r="N1948" s="124"/>
      <c r="O1948" s="124"/>
      <c r="P1948" s="124"/>
      <c r="Q1948" s="124"/>
      <c r="R1948" s="124"/>
      <c r="S1948" s="124"/>
      <c r="T1948" s="124"/>
      <c r="U1948" s="124"/>
      <c r="V1948" s="124"/>
      <c r="W1948" s="124"/>
      <c r="X1948" s="124"/>
      <c r="Y1948" s="124"/>
    </row>
    <row r="1949">
      <c r="A1949" s="125"/>
      <c r="B1949" s="126"/>
      <c r="C1949" s="127"/>
      <c r="D1949" s="124"/>
      <c r="E1949" s="124"/>
      <c r="F1949" s="124"/>
      <c r="G1949" s="124"/>
      <c r="H1949" s="124"/>
      <c r="I1949" s="124"/>
      <c r="J1949" s="124"/>
      <c r="K1949" s="124"/>
      <c r="L1949" s="124"/>
      <c r="M1949" s="124"/>
      <c r="N1949" s="124"/>
      <c r="O1949" s="124"/>
      <c r="P1949" s="124"/>
      <c r="Q1949" s="124"/>
      <c r="R1949" s="124"/>
      <c r="S1949" s="124"/>
      <c r="T1949" s="124"/>
      <c r="U1949" s="124"/>
      <c r="V1949" s="124"/>
      <c r="W1949" s="124"/>
      <c r="X1949" s="124"/>
      <c r="Y1949" s="124"/>
    </row>
    <row r="1950">
      <c r="A1950" s="125"/>
      <c r="B1950" s="126"/>
      <c r="C1950" s="127"/>
      <c r="D1950" s="124"/>
      <c r="E1950" s="124"/>
      <c r="F1950" s="124"/>
      <c r="G1950" s="124"/>
      <c r="H1950" s="124"/>
      <c r="I1950" s="124"/>
      <c r="J1950" s="124"/>
      <c r="K1950" s="124"/>
      <c r="L1950" s="124"/>
      <c r="M1950" s="124"/>
      <c r="N1950" s="124"/>
      <c r="O1950" s="124"/>
      <c r="P1950" s="124"/>
      <c r="Q1950" s="124"/>
      <c r="R1950" s="124"/>
      <c r="S1950" s="124"/>
      <c r="T1950" s="124"/>
      <c r="U1950" s="124"/>
      <c r="V1950" s="124"/>
      <c r="W1950" s="124"/>
      <c r="X1950" s="124"/>
      <c r="Y1950" s="124"/>
    </row>
    <row r="1951">
      <c r="A1951" s="125"/>
      <c r="B1951" s="126"/>
      <c r="C1951" s="127"/>
      <c r="D1951" s="124"/>
      <c r="E1951" s="124"/>
      <c r="F1951" s="124"/>
      <c r="G1951" s="124"/>
      <c r="H1951" s="124"/>
      <c r="I1951" s="124"/>
      <c r="J1951" s="124"/>
      <c r="K1951" s="124"/>
      <c r="L1951" s="124"/>
      <c r="M1951" s="124"/>
      <c r="N1951" s="124"/>
      <c r="O1951" s="124"/>
      <c r="P1951" s="124"/>
      <c r="Q1951" s="124"/>
      <c r="R1951" s="124"/>
      <c r="S1951" s="124"/>
      <c r="T1951" s="124"/>
      <c r="U1951" s="124"/>
      <c r="V1951" s="124"/>
      <c r="W1951" s="124"/>
      <c r="X1951" s="124"/>
      <c r="Y1951" s="124"/>
    </row>
    <row r="1952">
      <c r="A1952" s="125"/>
      <c r="B1952" s="126"/>
      <c r="C1952" s="127"/>
      <c r="D1952" s="124"/>
      <c r="E1952" s="124"/>
      <c r="F1952" s="124"/>
      <c r="G1952" s="124"/>
      <c r="H1952" s="124"/>
      <c r="I1952" s="124"/>
      <c r="J1952" s="124"/>
      <c r="K1952" s="124"/>
      <c r="L1952" s="124"/>
      <c r="M1952" s="124"/>
      <c r="N1952" s="124"/>
      <c r="O1952" s="124"/>
      <c r="P1952" s="124"/>
      <c r="Q1952" s="124"/>
      <c r="R1952" s="124"/>
      <c r="S1952" s="124"/>
      <c r="T1952" s="124"/>
      <c r="U1952" s="124"/>
      <c r="V1952" s="124"/>
      <c r="W1952" s="124"/>
      <c r="X1952" s="124"/>
      <c r="Y1952" s="124"/>
    </row>
    <row r="1953">
      <c r="A1953" s="125"/>
      <c r="B1953" s="126"/>
      <c r="C1953" s="127"/>
      <c r="D1953" s="124"/>
      <c r="E1953" s="124"/>
      <c r="F1953" s="124"/>
      <c r="G1953" s="124"/>
      <c r="H1953" s="124"/>
      <c r="I1953" s="124"/>
      <c r="J1953" s="124"/>
      <c r="K1953" s="124"/>
      <c r="L1953" s="124"/>
      <c r="M1953" s="124"/>
      <c r="N1953" s="124"/>
      <c r="O1953" s="124"/>
      <c r="P1953" s="124"/>
      <c r="Q1953" s="124"/>
      <c r="R1953" s="124"/>
      <c r="S1953" s="124"/>
      <c r="T1953" s="124"/>
      <c r="U1953" s="124"/>
      <c r="V1953" s="124"/>
      <c r="W1953" s="124"/>
      <c r="X1953" s="124"/>
      <c r="Y1953" s="124"/>
    </row>
    <row r="1954">
      <c r="A1954" s="125"/>
      <c r="B1954" s="126"/>
      <c r="C1954" s="127"/>
      <c r="D1954" s="124"/>
      <c r="E1954" s="124"/>
      <c r="F1954" s="124"/>
      <c r="G1954" s="124"/>
      <c r="H1954" s="124"/>
      <c r="I1954" s="124"/>
      <c r="J1954" s="124"/>
      <c r="K1954" s="124"/>
      <c r="L1954" s="124"/>
      <c r="M1954" s="124"/>
      <c r="N1954" s="124"/>
      <c r="O1954" s="124"/>
      <c r="P1954" s="124"/>
      <c r="Q1954" s="124"/>
      <c r="R1954" s="124"/>
      <c r="S1954" s="124"/>
      <c r="T1954" s="124"/>
      <c r="U1954" s="124"/>
      <c r="V1954" s="124"/>
      <c r="W1954" s="124"/>
      <c r="X1954" s="124"/>
      <c r="Y1954" s="124"/>
    </row>
    <row r="1955">
      <c r="A1955" s="125"/>
      <c r="B1955" s="126"/>
      <c r="C1955" s="127"/>
      <c r="D1955" s="124"/>
      <c r="E1955" s="124"/>
      <c r="F1955" s="124"/>
      <c r="G1955" s="124"/>
      <c r="H1955" s="124"/>
      <c r="I1955" s="124"/>
      <c r="J1955" s="124"/>
      <c r="K1955" s="124"/>
      <c r="L1955" s="124"/>
      <c r="M1955" s="124"/>
      <c r="N1955" s="124"/>
      <c r="O1955" s="124"/>
      <c r="P1955" s="124"/>
      <c r="Q1955" s="124"/>
      <c r="R1955" s="124"/>
      <c r="S1955" s="124"/>
      <c r="T1955" s="124"/>
      <c r="U1955" s="124"/>
      <c r="V1955" s="124"/>
      <c r="W1955" s="124"/>
      <c r="X1955" s="124"/>
      <c r="Y1955" s="124"/>
    </row>
    <row r="1956">
      <c r="A1956" s="125"/>
      <c r="B1956" s="126"/>
      <c r="C1956" s="127"/>
      <c r="D1956" s="124"/>
      <c r="E1956" s="124"/>
      <c r="F1956" s="124"/>
      <c r="G1956" s="124"/>
      <c r="H1956" s="124"/>
      <c r="I1956" s="124"/>
      <c r="J1956" s="124"/>
      <c r="K1956" s="124"/>
      <c r="L1956" s="124"/>
      <c r="M1956" s="124"/>
      <c r="N1956" s="124"/>
      <c r="O1956" s="124"/>
      <c r="P1956" s="124"/>
      <c r="Q1956" s="124"/>
      <c r="R1956" s="124"/>
      <c r="S1956" s="124"/>
      <c r="T1956" s="124"/>
      <c r="U1956" s="124"/>
      <c r="V1956" s="124"/>
      <c r="W1956" s="124"/>
      <c r="X1956" s="124"/>
      <c r="Y1956" s="124"/>
    </row>
    <row r="1957">
      <c r="A1957" s="125"/>
      <c r="B1957" s="126"/>
      <c r="C1957" s="127"/>
      <c r="D1957" s="124"/>
      <c r="E1957" s="124"/>
      <c r="F1957" s="124"/>
      <c r="G1957" s="124"/>
      <c r="H1957" s="124"/>
      <c r="I1957" s="124"/>
      <c r="J1957" s="124"/>
      <c r="K1957" s="124"/>
      <c r="L1957" s="124"/>
      <c r="M1957" s="124"/>
      <c r="N1957" s="124"/>
      <c r="O1957" s="124"/>
      <c r="P1957" s="124"/>
      <c r="Q1957" s="124"/>
      <c r="R1957" s="124"/>
      <c r="S1957" s="124"/>
      <c r="T1957" s="124"/>
      <c r="U1957" s="124"/>
      <c r="V1957" s="124"/>
      <c r="W1957" s="124"/>
      <c r="X1957" s="124"/>
      <c r="Y1957" s="124"/>
    </row>
    <row r="1958">
      <c r="A1958" s="125"/>
      <c r="B1958" s="126"/>
      <c r="C1958" s="127"/>
      <c r="D1958" s="124"/>
      <c r="E1958" s="124"/>
      <c r="F1958" s="124"/>
      <c r="G1958" s="124"/>
      <c r="H1958" s="124"/>
      <c r="I1958" s="124"/>
      <c r="J1958" s="124"/>
      <c r="K1958" s="124"/>
      <c r="L1958" s="124"/>
      <c r="M1958" s="124"/>
      <c r="N1958" s="124"/>
      <c r="O1958" s="124"/>
      <c r="P1958" s="124"/>
      <c r="Q1958" s="124"/>
      <c r="R1958" s="124"/>
      <c r="S1958" s="124"/>
      <c r="T1958" s="124"/>
      <c r="U1958" s="124"/>
      <c r="V1958" s="124"/>
      <c r="W1958" s="124"/>
      <c r="X1958" s="124"/>
      <c r="Y1958" s="124"/>
    </row>
    <row r="1959">
      <c r="A1959" s="125"/>
      <c r="B1959" s="126"/>
      <c r="C1959" s="127"/>
      <c r="D1959" s="124"/>
      <c r="E1959" s="124"/>
      <c r="F1959" s="124"/>
      <c r="G1959" s="124"/>
      <c r="H1959" s="124"/>
      <c r="I1959" s="124"/>
      <c r="J1959" s="124"/>
      <c r="K1959" s="124"/>
      <c r="L1959" s="124"/>
      <c r="M1959" s="124"/>
      <c r="N1959" s="124"/>
      <c r="O1959" s="124"/>
      <c r="P1959" s="124"/>
      <c r="Q1959" s="124"/>
      <c r="R1959" s="124"/>
      <c r="S1959" s="124"/>
      <c r="T1959" s="124"/>
      <c r="U1959" s="124"/>
      <c r="V1959" s="124"/>
      <c r="W1959" s="124"/>
      <c r="X1959" s="124"/>
      <c r="Y1959" s="124"/>
    </row>
    <row r="1960">
      <c r="A1960" s="125"/>
      <c r="B1960" s="126"/>
      <c r="C1960" s="127"/>
      <c r="D1960" s="124"/>
      <c r="E1960" s="124"/>
      <c r="F1960" s="124"/>
      <c r="G1960" s="124"/>
      <c r="H1960" s="124"/>
      <c r="I1960" s="124"/>
      <c r="J1960" s="124"/>
      <c r="K1960" s="124"/>
      <c r="L1960" s="124"/>
      <c r="M1960" s="124"/>
      <c r="N1960" s="124"/>
      <c r="O1960" s="124"/>
      <c r="P1960" s="124"/>
      <c r="Q1960" s="124"/>
      <c r="R1960" s="124"/>
      <c r="S1960" s="124"/>
      <c r="T1960" s="124"/>
      <c r="U1960" s="124"/>
      <c r="V1960" s="124"/>
      <c r="W1960" s="124"/>
      <c r="X1960" s="124"/>
      <c r="Y1960" s="124"/>
    </row>
    <row r="1961">
      <c r="A1961" s="125"/>
      <c r="B1961" s="126"/>
      <c r="C1961" s="127"/>
      <c r="D1961" s="124"/>
      <c r="E1961" s="124"/>
      <c r="F1961" s="124"/>
      <c r="G1961" s="124"/>
      <c r="H1961" s="124"/>
      <c r="I1961" s="124"/>
      <c r="J1961" s="124"/>
      <c r="K1961" s="124"/>
      <c r="L1961" s="124"/>
      <c r="M1961" s="124"/>
      <c r="N1961" s="124"/>
      <c r="O1961" s="124"/>
      <c r="P1961" s="124"/>
      <c r="Q1961" s="124"/>
      <c r="R1961" s="124"/>
      <c r="S1961" s="124"/>
      <c r="T1961" s="124"/>
      <c r="U1961" s="124"/>
      <c r="V1961" s="124"/>
      <c r="W1961" s="124"/>
      <c r="X1961" s="124"/>
      <c r="Y1961" s="124"/>
    </row>
    <row r="1962">
      <c r="A1962" s="125"/>
      <c r="B1962" s="126"/>
      <c r="C1962" s="127"/>
      <c r="D1962" s="124"/>
      <c r="E1962" s="124"/>
      <c r="F1962" s="124"/>
      <c r="G1962" s="124"/>
      <c r="H1962" s="124"/>
      <c r="I1962" s="124"/>
      <c r="J1962" s="124"/>
      <c r="K1962" s="124"/>
      <c r="L1962" s="124"/>
      <c r="M1962" s="124"/>
      <c r="N1962" s="124"/>
      <c r="O1962" s="124"/>
      <c r="P1962" s="124"/>
      <c r="Q1962" s="124"/>
      <c r="R1962" s="124"/>
      <c r="S1962" s="124"/>
      <c r="T1962" s="124"/>
      <c r="U1962" s="124"/>
      <c r="V1962" s="124"/>
      <c r="W1962" s="124"/>
      <c r="X1962" s="124"/>
      <c r="Y1962" s="124"/>
    </row>
    <row r="1963">
      <c r="A1963" s="125"/>
      <c r="B1963" s="126"/>
      <c r="C1963" s="127"/>
      <c r="D1963" s="124"/>
      <c r="E1963" s="124"/>
      <c r="F1963" s="124"/>
      <c r="G1963" s="124"/>
      <c r="H1963" s="124"/>
      <c r="I1963" s="124"/>
      <c r="J1963" s="124"/>
      <c r="K1963" s="124"/>
      <c r="L1963" s="124"/>
      <c r="M1963" s="124"/>
      <c r="N1963" s="124"/>
      <c r="O1963" s="124"/>
      <c r="P1963" s="124"/>
      <c r="Q1963" s="124"/>
      <c r="R1963" s="124"/>
      <c r="S1963" s="124"/>
      <c r="T1963" s="124"/>
      <c r="U1963" s="124"/>
      <c r="V1963" s="124"/>
      <c r="W1963" s="124"/>
      <c r="X1963" s="124"/>
      <c r="Y1963" s="124"/>
    </row>
    <row r="1964">
      <c r="A1964" s="125"/>
      <c r="B1964" s="126"/>
      <c r="C1964" s="127"/>
      <c r="D1964" s="124"/>
      <c r="E1964" s="124"/>
      <c r="F1964" s="124"/>
      <c r="G1964" s="124"/>
      <c r="H1964" s="124"/>
      <c r="I1964" s="124"/>
      <c r="J1964" s="124"/>
      <c r="K1964" s="124"/>
      <c r="L1964" s="124"/>
      <c r="M1964" s="124"/>
      <c r="N1964" s="124"/>
      <c r="O1964" s="124"/>
      <c r="P1964" s="124"/>
      <c r="Q1964" s="124"/>
      <c r="R1964" s="124"/>
      <c r="S1964" s="124"/>
      <c r="T1964" s="124"/>
      <c r="U1964" s="124"/>
      <c r="V1964" s="124"/>
      <c r="W1964" s="124"/>
      <c r="X1964" s="124"/>
      <c r="Y1964" s="124"/>
    </row>
    <row r="1965">
      <c r="A1965" s="125"/>
      <c r="B1965" s="126"/>
      <c r="C1965" s="127"/>
      <c r="D1965" s="124"/>
      <c r="E1965" s="124"/>
      <c r="F1965" s="124"/>
      <c r="G1965" s="124"/>
      <c r="H1965" s="124"/>
      <c r="I1965" s="124"/>
      <c r="J1965" s="124"/>
      <c r="K1965" s="124"/>
      <c r="L1965" s="124"/>
      <c r="M1965" s="124"/>
      <c r="N1965" s="124"/>
      <c r="O1965" s="124"/>
      <c r="P1965" s="124"/>
      <c r="Q1965" s="124"/>
      <c r="R1965" s="124"/>
      <c r="S1965" s="124"/>
      <c r="T1965" s="124"/>
      <c r="U1965" s="124"/>
      <c r="V1965" s="124"/>
      <c r="W1965" s="124"/>
      <c r="X1965" s="124"/>
      <c r="Y1965" s="124"/>
    </row>
    <row r="1966">
      <c r="A1966" s="125"/>
      <c r="B1966" s="126"/>
      <c r="C1966" s="127"/>
      <c r="D1966" s="124"/>
      <c r="E1966" s="124"/>
      <c r="F1966" s="124"/>
      <c r="G1966" s="124"/>
      <c r="H1966" s="124"/>
      <c r="I1966" s="124"/>
      <c r="J1966" s="124"/>
      <c r="K1966" s="124"/>
      <c r="L1966" s="124"/>
      <c r="M1966" s="124"/>
      <c r="N1966" s="124"/>
      <c r="O1966" s="124"/>
      <c r="P1966" s="124"/>
      <c r="Q1966" s="124"/>
      <c r="R1966" s="124"/>
      <c r="S1966" s="124"/>
      <c r="T1966" s="124"/>
      <c r="U1966" s="124"/>
      <c r="V1966" s="124"/>
      <c r="W1966" s="124"/>
      <c r="X1966" s="124"/>
      <c r="Y1966" s="124"/>
    </row>
    <row r="1967">
      <c r="A1967" s="125"/>
      <c r="B1967" s="126"/>
      <c r="C1967" s="127"/>
      <c r="D1967" s="124"/>
      <c r="E1967" s="124"/>
      <c r="F1967" s="124"/>
      <c r="G1967" s="124"/>
      <c r="H1967" s="124"/>
      <c r="I1967" s="124"/>
      <c r="J1967" s="124"/>
      <c r="K1967" s="124"/>
      <c r="L1967" s="124"/>
      <c r="M1967" s="124"/>
      <c r="N1967" s="124"/>
      <c r="O1967" s="124"/>
      <c r="P1967" s="124"/>
      <c r="Q1967" s="124"/>
      <c r="R1967" s="124"/>
      <c r="S1967" s="124"/>
      <c r="T1967" s="124"/>
      <c r="U1967" s="124"/>
      <c r="V1967" s="124"/>
      <c r="W1967" s="124"/>
      <c r="X1967" s="124"/>
      <c r="Y1967" s="124"/>
    </row>
    <row r="1968">
      <c r="A1968" s="125"/>
      <c r="B1968" s="126"/>
      <c r="C1968" s="127"/>
      <c r="D1968" s="124"/>
      <c r="E1968" s="124"/>
      <c r="F1968" s="124"/>
      <c r="G1968" s="124"/>
      <c r="H1968" s="124"/>
      <c r="I1968" s="124"/>
      <c r="J1968" s="124"/>
      <c r="K1968" s="124"/>
      <c r="L1968" s="124"/>
      <c r="M1968" s="124"/>
      <c r="N1968" s="124"/>
      <c r="O1968" s="124"/>
      <c r="P1968" s="124"/>
      <c r="Q1968" s="124"/>
      <c r="R1968" s="124"/>
      <c r="S1968" s="124"/>
      <c r="T1968" s="124"/>
      <c r="U1968" s="124"/>
      <c r="V1968" s="124"/>
      <c r="W1968" s="124"/>
      <c r="X1968" s="124"/>
      <c r="Y1968" s="124"/>
    </row>
    <row r="1969">
      <c r="A1969" s="125"/>
      <c r="B1969" s="126"/>
      <c r="C1969" s="127"/>
      <c r="D1969" s="124"/>
      <c r="E1969" s="124"/>
      <c r="F1969" s="124"/>
      <c r="G1969" s="124"/>
      <c r="H1969" s="124"/>
      <c r="I1969" s="124"/>
      <c r="J1969" s="124"/>
      <c r="K1969" s="124"/>
      <c r="L1969" s="124"/>
      <c r="M1969" s="124"/>
      <c r="N1969" s="124"/>
      <c r="O1969" s="124"/>
      <c r="P1969" s="124"/>
      <c r="Q1969" s="124"/>
      <c r="R1969" s="124"/>
      <c r="S1969" s="124"/>
      <c r="T1969" s="124"/>
      <c r="U1969" s="124"/>
      <c r="V1969" s="124"/>
      <c r="W1969" s="124"/>
      <c r="X1969" s="124"/>
      <c r="Y1969" s="124"/>
    </row>
    <row r="1970">
      <c r="A1970" s="125"/>
      <c r="B1970" s="126"/>
      <c r="C1970" s="127"/>
      <c r="D1970" s="124"/>
      <c r="E1970" s="124"/>
      <c r="F1970" s="124"/>
      <c r="G1970" s="124"/>
      <c r="H1970" s="124"/>
      <c r="I1970" s="124"/>
      <c r="J1970" s="124"/>
      <c r="K1970" s="124"/>
      <c r="L1970" s="124"/>
      <c r="M1970" s="124"/>
      <c r="N1970" s="124"/>
      <c r="O1970" s="124"/>
      <c r="P1970" s="124"/>
      <c r="Q1970" s="124"/>
      <c r="R1970" s="124"/>
      <c r="S1970" s="124"/>
      <c r="T1970" s="124"/>
      <c r="U1970" s="124"/>
      <c r="V1970" s="124"/>
      <c r="W1970" s="124"/>
      <c r="X1970" s="124"/>
      <c r="Y1970" s="124"/>
    </row>
    <row r="1971">
      <c r="A1971" s="125"/>
      <c r="B1971" s="126"/>
      <c r="C1971" s="127"/>
      <c r="D1971" s="124"/>
      <c r="E1971" s="124"/>
      <c r="F1971" s="124"/>
      <c r="G1971" s="124"/>
      <c r="H1971" s="124"/>
      <c r="I1971" s="124"/>
      <c r="J1971" s="124"/>
      <c r="K1971" s="124"/>
      <c r="L1971" s="124"/>
      <c r="M1971" s="124"/>
      <c r="N1971" s="124"/>
      <c r="O1971" s="124"/>
      <c r="P1971" s="124"/>
      <c r="Q1971" s="124"/>
      <c r="R1971" s="124"/>
      <c r="S1971" s="124"/>
      <c r="T1971" s="124"/>
      <c r="U1971" s="124"/>
      <c r="V1971" s="124"/>
      <c r="W1971" s="124"/>
      <c r="X1971" s="124"/>
      <c r="Y1971" s="124"/>
    </row>
    <row r="1972">
      <c r="A1972" s="125"/>
      <c r="B1972" s="126"/>
      <c r="C1972" s="127"/>
      <c r="D1972" s="124"/>
      <c r="E1972" s="124"/>
      <c r="F1972" s="124"/>
      <c r="G1972" s="124"/>
      <c r="H1972" s="124"/>
      <c r="I1972" s="124"/>
      <c r="J1972" s="124"/>
      <c r="K1972" s="124"/>
      <c r="L1972" s="124"/>
      <c r="M1972" s="124"/>
      <c r="N1972" s="124"/>
      <c r="O1972" s="124"/>
      <c r="P1972" s="124"/>
      <c r="Q1972" s="124"/>
      <c r="R1972" s="124"/>
      <c r="S1972" s="124"/>
      <c r="T1972" s="124"/>
      <c r="U1972" s="124"/>
      <c r="V1972" s="124"/>
      <c r="W1972" s="124"/>
      <c r="X1972" s="124"/>
      <c r="Y1972" s="124"/>
    </row>
    <row r="1973">
      <c r="A1973" s="125"/>
      <c r="B1973" s="126"/>
      <c r="C1973" s="127"/>
      <c r="D1973" s="124"/>
      <c r="E1973" s="124"/>
      <c r="F1973" s="124"/>
      <c r="G1973" s="124"/>
      <c r="H1973" s="124"/>
      <c r="I1973" s="124"/>
      <c r="J1973" s="124"/>
      <c r="K1973" s="124"/>
      <c r="L1973" s="124"/>
      <c r="M1973" s="124"/>
      <c r="N1973" s="124"/>
      <c r="O1973" s="124"/>
      <c r="P1973" s="124"/>
      <c r="Q1973" s="124"/>
      <c r="R1973" s="124"/>
      <c r="S1973" s="124"/>
      <c r="T1973" s="124"/>
      <c r="U1973" s="124"/>
      <c r="V1973" s="124"/>
      <c r="W1973" s="124"/>
      <c r="X1973" s="124"/>
      <c r="Y1973" s="124"/>
    </row>
    <row r="1974">
      <c r="A1974" s="125"/>
      <c r="B1974" s="126"/>
      <c r="C1974" s="127"/>
      <c r="D1974" s="124"/>
      <c r="E1974" s="124"/>
      <c r="F1974" s="124"/>
      <c r="G1974" s="124"/>
      <c r="H1974" s="124"/>
      <c r="I1974" s="124"/>
      <c r="J1974" s="124"/>
      <c r="K1974" s="124"/>
      <c r="L1974" s="124"/>
      <c r="M1974" s="124"/>
      <c r="N1974" s="124"/>
      <c r="O1974" s="124"/>
      <c r="P1974" s="124"/>
      <c r="Q1974" s="124"/>
      <c r="R1974" s="124"/>
      <c r="S1974" s="124"/>
      <c r="T1974" s="124"/>
      <c r="U1974" s="124"/>
      <c r="V1974" s="124"/>
      <c r="W1974" s="124"/>
      <c r="X1974" s="124"/>
      <c r="Y1974" s="124"/>
    </row>
    <row r="1975">
      <c r="A1975" s="125"/>
      <c r="B1975" s="126"/>
      <c r="C1975" s="127"/>
      <c r="D1975" s="124"/>
      <c r="E1975" s="124"/>
      <c r="F1975" s="124"/>
      <c r="G1975" s="124"/>
      <c r="H1975" s="124"/>
      <c r="I1975" s="124"/>
      <c r="J1975" s="124"/>
      <c r="K1975" s="124"/>
      <c r="L1975" s="124"/>
      <c r="M1975" s="124"/>
      <c r="N1975" s="124"/>
      <c r="O1975" s="124"/>
      <c r="P1975" s="124"/>
      <c r="Q1975" s="124"/>
      <c r="R1975" s="124"/>
      <c r="S1975" s="124"/>
      <c r="T1975" s="124"/>
      <c r="U1975" s="124"/>
      <c r="V1975" s="124"/>
      <c r="W1975" s="124"/>
      <c r="X1975" s="124"/>
      <c r="Y1975" s="124"/>
    </row>
    <row r="1976">
      <c r="A1976" s="125"/>
      <c r="B1976" s="126"/>
      <c r="C1976" s="127"/>
      <c r="D1976" s="124"/>
      <c r="E1976" s="124"/>
      <c r="F1976" s="124"/>
      <c r="G1976" s="124"/>
      <c r="H1976" s="124"/>
      <c r="I1976" s="124"/>
      <c r="J1976" s="124"/>
      <c r="K1976" s="124"/>
      <c r="L1976" s="124"/>
      <c r="M1976" s="124"/>
      <c r="N1976" s="124"/>
      <c r="O1976" s="124"/>
      <c r="P1976" s="124"/>
      <c r="Q1976" s="124"/>
      <c r="R1976" s="124"/>
      <c r="S1976" s="124"/>
      <c r="T1976" s="124"/>
      <c r="U1976" s="124"/>
      <c r="V1976" s="124"/>
      <c r="W1976" s="124"/>
      <c r="X1976" s="124"/>
      <c r="Y1976" s="124"/>
    </row>
    <row r="1977">
      <c r="A1977" s="125"/>
      <c r="B1977" s="126"/>
      <c r="C1977" s="127"/>
      <c r="D1977" s="124"/>
      <c r="E1977" s="124"/>
      <c r="F1977" s="124"/>
      <c r="G1977" s="124"/>
      <c r="H1977" s="124"/>
      <c r="I1977" s="124"/>
      <c r="J1977" s="124"/>
      <c r="K1977" s="124"/>
      <c r="L1977" s="124"/>
      <c r="M1977" s="124"/>
      <c r="N1977" s="124"/>
      <c r="O1977" s="124"/>
      <c r="P1977" s="124"/>
      <c r="Q1977" s="124"/>
      <c r="R1977" s="124"/>
      <c r="S1977" s="124"/>
      <c r="T1977" s="124"/>
      <c r="U1977" s="124"/>
      <c r="V1977" s="124"/>
      <c r="W1977" s="124"/>
      <c r="X1977" s="124"/>
      <c r="Y1977" s="124"/>
    </row>
    <row r="1978">
      <c r="A1978" s="125"/>
      <c r="B1978" s="126"/>
      <c r="C1978" s="127"/>
      <c r="D1978" s="124"/>
      <c r="E1978" s="124"/>
      <c r="F1978" s="124"/>
      <c r="G1978" s="124"/>
      <c r="H1978" s="124"/>
      <c r="I1978" s="124"/>
      <c r="J1978" s="124"/>
      <c r="K1978" s="124"/>
      <c r="L1978" s="124"/>
      <c r="M1978" s="124"/>
      <c r="N1978" s="124"/>
      <c r="O1978" s="124"/>
      <c r="P1978" s="124"/>
      <c r="Q1978" s="124"/>
      <c r="R1978" s="124"/>
      <c r="S1978" s="124"/>
      <c r="T1978" s="124"/>
      <c r="U1978" s="124"/>
      <c r="V1978" s="124"/>
      <c r="W1978" s="124"/>
      <c r="X1978" s="124"/>
      <c r="Y1978" s="124"/>
    </row>
    <row r="1979">
      <c r="A1979" s="125"/>
      <c r="B1979" s="126"/>
      <c r="C1979" s="127"/>
      <c r="D1979" s="124"/>
      <c r="E1979" s="124"/>
      <c r="F1979" s="124"/>
      <c r="G1979" s="124"/>
      <c r="H1979" s="124"/>
      <c r="I1979" s="124"/>
      <c r="J1979" s="124"/>
      <c r="K1979" s="124"/>
      <c r="L1979" s="124"/>
      <c r="M1979" s="124"/>
      <c r="N1979" s="124"/>
      <c r="O1979" s="124"/>
      <c r="P1979" s="124"/>
      <c r="Q1979" s="124"/>
      <c r="R1979" s="124"/>
      <c r="S1979" s="124"/>
      <c r="T1979" s="124"/>
      <c r="U1979" s="124"/>
      <c r="V1979" s="124"/>
      <c r="W1979" s="124"/>
      <c r="X1979" s="124"/>
      <c r="Y1979" s="124"/>
    </row>
    <row r="1980">
      <c r="A1980" s="125"/>
      <c r="B1980" s="126"/>
      <c r="C1980" s="127"/>
      <c r="D1980" s="124"/>
      <c r="E1980" s="124"/>
      <c r="F1980" s="124"/>
      <c r="G1980" s="124"/>
      <c r="H1980" s="124"/>
      <c r="I1980" s="124"/>
      <c r="J1980" s="124"/>
      <c r="K1980" s="124"/>
      <c r="L1980" s="124"/>
      <c r="M1980" s="124"/>
      <c r="N1980" s="124"/>
      <c r="O1980" s="124"/>
      <c r="P1980" s="124"/>
      <c r="Q1980" s="124"/>
      <c r="R1980" s="124"/>
      <c r="S1980" s="124"/>
      <c r="T1980" s="124"/>
      <c r="U1980" s="124"/>
      <c r="V1980" s="124"/>
      <c r="W1980" s="124"/>
      <c r="X1980" s="124"/>
      <c r="Y1980" s="124"/>
    </row>
    <row r="1981">
      <c r="A1981" s="125"/>
      <c r="B1981" s="126"/>
      <c r="C1981" s="127"/>
      <c r="D1981" s="124"/>
      <c r="E1981" s="124"/>
      <c r="F1981" s="124"/>
      <c r="G1981" s="124"/>
      <c r="H1981" s="124"/>
      <c r="I1981" s="124"/>
      <c r="J1981" s="124"/>
      <c r="K1981" s="124"/>
      <c r="L1981" s="124"/>
      <c r="M1981" s="124"/>
      <c r="N1981" s="124"/>
      <c r="O1981" s="124"/>
      <c r="P1981" s="124"/>
      <c r="Q1981" s="124"/>
      <c r="R1981" s="124"/>
      <c r="S1981" s="124"/>
      <c r="T1981" s="124"/>
      <c r="U1981" s="124"/>
      <c r="V1981" s="124"/>
      <c r="W1981" s="124"/>
      <c r="X1981" s="124"/>
      <c r="Y1981" s="124"/>
    </row>
    <row r="1982">
      <c r="A1982" s="125"/>
      <c r="B1982" s="126"/>
      <c r="C1982" s="127"/>
      <c r="D1982" s="124"/>
      <c r="E1982" s="124"/>
      <c r="F1982" s="124"/>
      <c r="G1982" s="124"/>
      <c r="H1982" s="124"/>
      <c r="I1982" s="124"/>
      <c r="J1982" s="124"/>
      <c r="K1982" s="124"/>
      <c r="L1982" s="124"/>
      <c r="M1982" s="124"/>
      <c r="N1982" s="124"/>
      <c r="O1982" s="124"/>
      <c r="P1982" s="124"/>
      <c r="Q1982" s="124"/>
      <c r="R1982" s="124"/>
      <c r="S1982" s="124"/>
      <c r="T1982" s="124"/>
      <c r="U1982" s="124"/>
      <c r="V1982" s="124"/>
      <c r="W1982" s="124"/>
      <c r="X1982" s="124"/>
      <c r="Y1982" s="124"/>
    </row>
    <row r="1983">
      <c r="A1983" s="125"/>
      <c r="B1983" s="126"/>
      <c r="C1983" s="127"/>
      <c r="D1983" s="124"/>
      <c r="E1983" s="124"/>
      <c r="F1983" s="124"/>
      <c r="G1983" s="124"/>
      <c r="H1983" s="124"/>
      <c r="I1983" s="124"/>
      <c r="J1983" s="124"/>
      <c r="K1983" s="124"/>
      <c r="L1983" s="124"/>
      <c r="M1983" s="124"/>
      <c r="N1983" s="124"/>
      <c r="O1983" s="124"/>
      <c r="P1983" s="124"/>
      <c r="Q1983" s="124"/>
      <c r="R1983" s="124"/>
      <c r="S1983" s="124"/>
      <c r="T1983" s="124"/>
      <c r="U1983" s="124"/>
      <c r="V1983" s="124"/>
      <c r="W1983" s="124"/>
      <c r="X1983" s="124"/>
      <c r="Y1983" s="124"/>
    </row>
    <row r="1984">
      <c r="A1984" s="125"/>
      <c r="B1984" s="126"/>
      <c r="C1984" s="127"/>
      <c r="D1984" s="124"/>
      <c r="E1984" s="124"/>
      <c r="F1984" s="124"/>
      <c r="G1984" s="124"/>
      <c r="H1984" s="124"/>
      <c r="I1984" s="124"/>
      <c r="J1984" s="124"/>
      <c r="K1984" s="124"/>
      <c r="L1984" s="124"/>
      <c r="M1984" s="124"/>
      <c r="N1984" s="124"/>
      <c r="O1984" s="124"/>
      <c r="P1984" s="124"/>
      <c r="Q1984" s="124"/>
      <c r="R1984" s="124"/>
      <c r="S1984" s="124"/>
      <c r="T1984" s="124"/>
      <c r="U1984" s="124"/>
      <c r="V1984" s="124"/>
      <c r="W1984" s="124"/>
      <c r="X1984" s="124"/>
      <c r="Y1984" s="124"/>
    </row>
    <row r="1985">
      <c r="A1985" s="125"/>
      <c r="B1985" s="126"/>
      <c r="C1985" s="127"/>
      <c r="D1985" s="124"/>
      <c r="E1985" s="124"/>
      <c r="F1985" s="124"/>
      <c r="G1985" s="124"/>
      <c r="H1985" s="124"/>
      <c r="I1985" s="124"/>
      <c r="J1985" s="124"/>
      <c r="K1985" s="124"/>
      <c r="L1985" s="124"/>
      <c r="M1985" s="124"/>
      <c r="N1985" s="124"/>
      <c r="O1985" s="124"/>
      <c r="P1985" s="124"/>
      <c r="Q1985" s="124"/>
      <c r="R1985" s="124"/>
      <c r="S1985" s="124"/>
      <c r="T1985" s="124"/>
      <c r="U1985" s="124"/>
      <c r="V1985" s="124"/>
      <c r="W1985" s="124"/>
      <c r="X1985" s="124"/>
      <c r="Y1985" s="124"/>
    </row>
    <row r="1986">
      <c r="A1986" s="125"/>
      <c r="B1986" s="126"/>
      <c r="C1986" s="127"/>
      <c r="D1986" s="124"/>
      <c r="E1986" s="124"/>
      <c r="F1986" s="124"/>
      <c r="G1986" s="124"/>
      <c r="H1986" s="124"/>
      <c r="I1986" s="124"/>
      <c r="J1986" s="124"/>
      <c r="K1986" s="124"/>
      <c r="L1986" s="124"/>
      <c r="M1986" s="124"/>
      <c r="N1986" s="124"/>
      <c r="O1986" s="124"/>
      <c r="P1986" s="124"/>
      <c r="Q1986" s="124"/>
      <c r="R1986" s="124"/>
      <c r="S1986" s="124"/>
      <c r="T1986" s="124"/>
      <c r="U1986" s="124"/>
      <c r="V1986" s="124"/>
      <c r="W1986" s="124"/>
      <c r="X1986" s="124"/>
      <c r="Y1986" s="124"/>
    </row>
    <row r="1987">
      <c r="A1987" s="125"/>
      <c r="B1987" s="126"/>
      <c r="C1987" s="127"/>
      <c r="D1987" s="124"/>
      <c r="E1987" s="124"/>
      <c r="F1987" s="124"/>
      <c r="G1987" s="124"/>
      <c r="H1987" s="124"/>
      <c r="I1987" s="124"/>
      <c r="J1987" s="124"/>
      <c r="K1987" s="124"/>
      <c r="L1987" s="124"/>
      <c r="M1987" s="124"/>
      <c r="N1987" s="124"/>
      <c r="O1987" s="124"/>
      <c r="P1987" s="124"/>
      <c r="Q1987" s="124"/>
      <c r="R1987" s="124"/>
      <c r="S1987" s="124"/>
      <c r="T1987" s="124"/>
      <c r="U1987" s="124"/>
      <c r="V1987" s="124"/>
      <c r="W1987" s="124"/>
      <c r="X1987" s="124"/>
      <c r="Y1987" s="124"/>
    </row>
    <row r="1988">
      <c r="A1988" s="125"/>
      <c r="B1988" s="126"/>
      <c r="C1988" s="127"/>
      <c r="D1988" s="124"/>
      <c r="E1988" s="124"/>
      <c r="F1988" s="124"/>
      <c r="G1988" s="124"/>
      <c r="H1988" s="124"/>
      <c r="I1988" s="124"/>
      <c r="J1988" s="124"/>
      <c r="K1988" s="124"/>
      <c r="L1988" s="124"/>
      <c r="M1988" s="124"/>
      <c r="N1988" s="124"/>
      <c r="O1988" s="124"/>
      <c r="P1988" s="124"/>
      <c r="Q1988" s="124"/>
      <c r="R1988" s="124"/>
      <c r="S1988" s="124"/>
      <c r="T1988" s="124"/>
      <c r="U1988" s="124"/>
      <c r="V1988" s="124"/>
      <c r="W1988" s="124"/>
      <c r="X1988" s="124"/>
      <c r="Y1988" s="124"/>
    </row>
    <row r="1989">
      <c r="A1989" s="125"/>
      <c r="B1989" s="126"/>
      <c r="C1989" s="127"/>
      <c r="D1989" s="124"/>
      <c r="E1989" s="124"/>
      <c r="F1989" s="124"/>
      <c r="G1989" s="124"/>
      <c r="H1989" s="124"/>
      <c r="I1989" s="124"/>
      <c r="J1989" s="124"/>
      <c r="K1989" s="124"/>
      <c r="L1989" s="124"/>
      <c r="M1989" s="124"/>
      <c r="N1989" s="124"/>
      <c r="O1989" s="124"/>
      <c r="P1989" s="124"/>
      <c r="Q1989" s="124"/>
      <c r="R1989" s="124"/>
      <c r="S1989" s="124"/>
      <c r="T1989" s="124"/>
      <c r="U1989" s="124"/>
      <c r="V1989" s="124"/>
      <c r="W1989" s="124"/>
      <c r="X1989" s="124"/>
      <c r="Y1989" s="124"/>
    </row>
    <row r="1990">
      <c r="A1990" s="125"/>
      <c r="B1990" s="126"/>
      <c r="C1990" s="127"/>
      <c r="D1990" s="124"/>
      <c r="E1990" s="124"/>
      <c r="F1990" s="124"/>
      <c r="G1990" s="124"/>
      <c r="H1990" s="124"/>
      <c r="I1990" s="124"/>
      <c r="J1990" s="124"/>
      <c r="K1990" s="124"/>
      <c r="L1990" s="124"/>
      <c r="M1990" s="124"/>
      <c r="N1990" s="124"/>
      <c r="O1990" s="124"/>
      <c r="P1990" s="124"/>
      <c r="Q1990" s="124"/>
      <c r="R1990" s="124"/>
      <c r="S1990" s="124"/>
      <c r="T1990" s="124"/>
      <c r="U1990" s="124"/>
      <c r="V1990" s="124"/>
      <c r="W1990" s="124"/>
      <c r="X1990" s="124"/>
      <c r="Y1990" s="124"/>
    </row>
    <row r="1991">
      <c r="A1991" s="125"/>
      <c r="B1991" s="126"/>
      <c r="C1991" s="127"/>
      <c r="D1991" s="124"/>
      <c r="E1991" s="124"/>
      <c r="F1991" s="124"/>
      <c r="G1991" s="124"/>
      <c r="H1991" s="124"/>
      <c r="I1991" s="124"/>
      <c r="J1991" s="124"/>
      <c r="K1991" s="124"/>
      <c r="L1991" s="124"/>
      <c r="M1991" s="124"/>
      <c r="N1991" s="124"/>
      <c r="O1991" s="124"/>
      <c r="P1991" s="124"/>
      <c r="Q1991" s="124"/>
      <c r="R1991" s="124"/>
      <c r="S1991" s="124"/>
      <c r="T1991" s="124"/>
      <c r="U1991" s="124"/>
      <c r="V1991" s="124"/>
      <c r="W1991" s="124"/>
      <c r="X1991" s="124"/>
      <c r="Y1991" s="124"/>
    </row>
    <row r="1992">
      <c r="A1992" s="125"/>
      <c r="B1992" s="126"/>
      <c r="C1992" s="127"/>
      <c r="D1992" s="124"/>
      <c r="E1992" s="124"/>
      <c r="F1992" s="124"/>
      <c r="G1992" s="124"/>
      <c r="H1992" s="124"/>
      <c r="I1992" s="124"/>
      <c r="J1992" s="124"/>
      <c r="K1992" s="124"/>
      <c r="L1992" s="124"/>
      <c r="M1992" s="124"/>
      <c r="N1992" s="124"/>
      <c r="O1992" s="124"/>
      <c r="P1992" s="124"/>
      <c r="Q1992" s="124"/>
      <c r="R1992" s="124"/>
      <c r="S1992" s="124"/>
      <c r="T1992" s="124"/>
      <c r="U1992" s="124"/>
      <c r="V1992" s="124"/>
      <c r="W1992" s="124"/>
      <c r="X1992" s="124"/>
      <c r="Y1992" s="124"/>
    </row>
    <row r="1993">
      <c r="A1993" s="125"/>
      <c r="B1993" s="126"/>
      <c r="C1993" s="127"/>
      <c r="D1993" s="124"/>
      <c r="E1993" s="124"/>
      <c r="F1993" s="124"/>
      <c r="G1993" s="124"/>
      <c r="H1993" s="124"/>
      <c r="I1993" s="124"/>
      <c r="J1993" s="124"/>
      <c r="K1993" s="124"/>
      <c r="L1993" s="124"/>
      <c r="M1993" s="124"/>
      <c r="N1993" s="124"/>
      <c r="O1993" s="124"/>
      <c r="P1993" s="124"/>
      <c r="Q1993" s="124"/>
      <c r="R1993" s="124"/>
      <c r="S1993" s="124"/>
      <c r="T1993" s="124"/>
      <c r="U1993" s="124"/>
      <c r="V1993" s="124"/>
      <c r="W1993" s="124"/>
      <c r="X1993" s="124"/>
      <c r="Y1993" s="124"/>
    </row>
    <row r="1994">
      <c r="A1994" s="125"/>
      <c r="B1994" s="126"/>
      <c r="C1994" s="127"/>
      <c r="D1994" s="124"/>
      <c r="E1994" s="124"/>
      <c r="F1994" s="124"/>
      <c r="G1994" s="124"/>
      <c r="H1994" s="124"/>
      <c r="I1994" s="124"/>
      <c r="J1994" s="124"/>
      <c r="K1994" s="124"/>
      <c r="L1994" s="124"/>
      <c r="M1994" s="124"/>
      <c r="N1994" s="124"/>
      <c r="O1994" s="124"/>
      <c r="P1994" s="124"/>
      <c r="Q1994" s="124"/>
      <c r="R1994" s="124"/>
      <c r="S1994" s="124"/>
      <c r="T1994" s="124"/>
      <c r="U1994" s="124"/>
      <c r="V1994" s="124"/>
      <c r="W1994" s="124"/>
      <c r="X1994" s="124"/>
      <c r="Y1994" s="124"/>
    </row>
    <row r="1995">
      <c r="A1995" s="125"/>
      <c r="B1995" s="126"/>
      <c r="C1995" s="127"/>
      <c r="D1995" s="124"/>
      <c r="E1995" s="124"/>
      <c r="F1995" s="124"/>
      <c r="G1995" s="124"/>
      <c r="H1995" s="124"/>
      <c r="I1995" s="124"/>
      <c r="J1995" s="124"/>
      <c r="K1995" s="124"/>
      <c r="L1995" s="124"/>
      <c r="M1995" s="124"/>
      <c r="N1995" s="124"/>
      <c r="O1995" s="124"/>
      <c r="P1995" s="124"/>
      <c r="Q1995" s="124"/>
      <c r="R1995" s="124"/>
      <c r="S1995" s="124"/>
      <c r="T1995" s="124"/>
      <c r="U1995" s="124"/>
      <c r="V1995" s="124"/>
      <c r="W1995" s="124"/>
      <c r="X1995" s="124"/>
      <c r="Y1995" s="124"/>
    </row>
    <row r="1996">
      <c r="A1996" s="125"/>
      <c r="B1996" s="126"/>
      <c r="C1996" s="127"/>
      <c r="D1996" s="124"/>
      <c r="E1996" s="124"/>
      <c r="F1996" s="124"/>
      <c r="G1996" s="124"/>
      <c r="H1996" s="124"/>
      <c r="I1996" s="124"/>
      <c r="J1996" s="124"/>
      <c r="K1996" s="124"/>
      <c r="L1996" s="124"/>
      <c r="M1996" s="124"/>
      <c r="N1996" s="124"/>
      <c r="O1996" s="124"/>
      <c r="P1996" s="124"/>
      <c r="Q1996" s="124"/>
      <c r="R1996" s="124"/>
      <c r="S1996" s="124"/>
      <c r="T1996" s="124"/>
      <c r="U1996" s="124"/>
      <c r="V1996" s="124"/>
      <c r="W1996" s="124"/>
      <c r="X1996" s="124"/>
      <c r="Y1996" s="124"/>
    </row>
    <row r="1997">
      <c r="A1997" s="125"/>
      <c r="B1997" s="126"/>
      <c r="C1997" s="127"/>
      <c r="D1997" s="124"/>
      <c r="E1997" s="124"/>
      <c r="F1997" s="124"/>
      <c r="G1997" s="124"/>
      <c r="H1997" s="124"/>
      <c r="I1997" s="124"/>
      <c r="J1997" s="124"/>
      <c r="K1997" s="124"/>
      <c r="L1997" s="124"/>
      <c r="M1997" s="124"/>
      <c r="N1997" s="124"/>
      <c r="O1997" s="124"/>
      <c r="P1997" s="124"/>
      <c r="Q1997" s="124"/>
      <c r="R1997" s="124"/>
      <c r="S1997" s="124"/>
      <c r="T1997" s="124"/>
      <c r="U1997" s="124"/>
      <c r="V1997" s="124"/>
      <c r="W1997" s="124"/>
      <c r="X1997" s="124"/>
      <c r="Y1997" s="124"/>
    </row>
    <row r="1998">
      <c r="A1998" s="125"/>
      <c r="B1998" s="126"/>
      <c r="C1998" s="127"/>
      <c r="D1998" s="124"/>
      <c r="E1998" s="124"/>
      <c r="F1998" s="124"/>
      <c r="G1998" s="124"/>
      <c r="H1998" s="124"/>
      <c r="I1998" s="124"/>
      <c r="J1998" s="124"/>
      <c r="K1998" s="124"/>
      <c r="L1998" s="124"/>
      <c r="M1998" s="124"/>
      <c r="N1998" s="124"/>
      <c r="O1998" s="124"/>
      <c r="P1998" s="124"/>
      <c r="Q1998" s="124"/>
      <c r="R1998" s="124"/>
      <c r="S1998" s="124"/>
      <c r="T1998" s="124"/>
      <c r="U1998" s="124"/>
      <c r="V1998" s="124"/>
      <c r="W1998" s="124"/>
      <c r="X1998" s="124"/>
      <c r="Y1998" s="124"/>
    </row>
    <row r="1999">
      <c r="A1999" s="125"/>
      <c r="B1999" s="126"/>
      <c r="C1999" s="127"/>
      <c r="D1999" s="124"/>
      <c r="E1999" s="124"/>
      <c r="F1999" s="124"/>
      <c r="G1999" s="124"/>
      <c r="H1999" s="124"/>
      <c r="I1999" s="124"/>
      <c r="J1999" s="124"/>
      <c r="K1999" s="124"/>
      <c r="L1999" s="124"/>
      <c r="M1999" s="124"/>
      <c r="N1999" s="124"/>
      <c r="O1999" s="124"/>
      <c r="P1999" s="124"/>
      <c r="Q1999" s="124"/>
      <c r="R1999" s="124"/>
      <c r="S1999" s="124"/>
      <c r="T1999" s="124"/>
      <c r="U1999" s="124"/>
      <c r="V1999" s="124"/>
      <c r="W1999" s="124"/>
      <c r="X1999" s="124"/>
      <c r="Y1999" s="124"/>
    </row>
    <row r="2000">
      <c r="A2000" s="125"/>
      <c r="B2000" s="126"/>
      <c r="C2000" s="127"/>
      <c r="D2000" s="124"/>
      <c r="E2000" s="124"/>
      <c r="F2000" s="124"/>
      <c r="G2000" s="124"/>
      <c r="H2000" s="124"/>
      <c r="I2000" s="124"/>
      <c r="J2000" s="124"/>
      <c r="K2000" s="124"/>
      <c r="L2000" s="124"/>
      <c r="M2000" s="124"/>
      <c r="N2000" s="124"/>
      <c r="O2000" s="124"/>
      <c r="P2000" s="124"/>
      <c r="Q2000" s="124"/>
      <c r="R2000" s="124"/>
      <c r="S2000" s="124"/>
      <c r="T2000" s="124"/>
      <c r="U2000" s="124"/>
      <c r="V2000" s="124"/>
      <c r="W2000" s="124"/>
      <c r="X2000" s="124"/>
      <c r="Y2000" s="124"/>
    </row>
    <row r="2001">
      <c r="A2001" s="125"/>
      <c r="B2001" s="126"/>
      <c r="C2001" s="127"/>
      <c r="D2001" s="124"/>
      <c r="E2001" s="124"/>
      <c r="F2001" s="124"/>
      <c r="G2001" s="124"/>
      <c r="H2001" s="124"/>
      <c r="I2001" s="124"/>
      <c r="J2001" s="124"/>
      <c r="K2001" s="124"/>
      <c r="L2001" s="124"/>
      <c r="M2001" s="124"/>
      <c r="N2001" s="124"/>
      <c r="O2001" s="124"/>
      <c r="P2001" s="124"/>
      <c r="Q2001" s="124"/>
      <c r="R2001" s="124"/>
      <c r="S2001" s="124"/>
      <c r="T2001" s="124"/>
      <c r="U2001" s="124"/>
      <c r="V2001" s="124"/>
      <c r="W2001" s="124"/>
      <c r="X2001" s="124"/>
      <c r="Y2001" s="124"/>
    </row>
    <row r="2002">
      <c r="A2002" s="125"/>
      <c r="B2002" s="126"/>
      <c r="C2002" s="127"/>
      <c r="D2002" s="124"/>
      <c r="E2002" s="124"/>
      <c r="F2002" s="124"/>
      <c r="G2002" s="124"/>
      <c r="H2002" s="124"/>
      <c r="I2002" s="124"/>
      <c r="J2002" s="124"/>
      <c r="K2002" s="124"/>
      <c r="L2002" s="124"/>
      <c r="M2002" s="124"/>
      <c r="N2002" s="124"/>
      <c r="O2002" s="124"/>
      <c r="P2002" s="124"/>
      <c r="Q2002" s="124"/>
      <c r="R2002" s="124"/>
      <c r="S2002" s="124"/>
      <c r="T2002" s="124"/>
      <c r="U2002" s="124"/>
      <c r="V2002" s="124"/>
      <c r="W2002" s="124"/>
      <c r="X2002" s="124"/>
      <c r="Y2002" s="124"/>
    </row>
    <row r="2003">
      <c r="A2003" s="125"/>
      <c r="B2003" s="126"/>
      <c r="C2003" s="127"/>
      <c r="D2003" s="124"/>
      <c r="E2003" s="124"/>
      <c r="F2003" s="124"/>
      <c r="G2003" s="124"/>
      <c r="H2003" s="124"/>
      <c r="I2003" s="124"/>
      <c r="J2003" s="124"/>
      <c r="K2003" s="124"/>
      <c r="L2003" s="124"/>
      <c r="M2003" s="124"/>
      <c r="N2003" s="124"/>
      <c r="O2003" s="124"/>
      <c r="P2003" s="124"/>
      <c r="Q2003" s="124"/>
      <c r="R2003" s="124"/>
      <c r="S2003" s="124"/>
      <c r="T2003" s="124"/>
      <c r="U2003" s="124"/>
      <c r="V2003" s="124"/>
      <c r="W2003" s="124"/>
      <c r="X2003" s="124"/>
      <c r="Y2003" s="124"/>
    </row>
    <row r="2004">
      <c r="A2004" s="125"/>
      <c r="B2004" s="126"/>
      <c r="C2004" s="127"/>
      <c r="D2004" s="124"/>
      <c r="E2004" s="124"/>
      <c r="F2004" s="124"/>
      <c r="G2004" s="124"/>
      <c r="H2004" s="124"/>
      <c r="I2004" s="124"/>
      <c r="J2004" s="124"/>
      <c r="K2004" s="124"/>
      <c r="L2004" s="124"/>
      <c r="M2004" s="124"/>
      <c r="N2004" s="124"/>
      <c r="O2004" s="124"/>
      <c r="P2004" s="124"/>
      <c r="Q2004" s="124"/>
      <c r="R2004" s="124"/>
      <c r="S2004" s="124"/>
      <c r="T2004" s="124"/>
      <c r="U2004" s="124"/>
      <c r="V2004" s="124"/>
      <c r="W2004" s="124"/>
      <c r="X2004" s="124"/>
      <c r="Y2004" s="124"/>
    </row>
    <row r="2005">
      <c r="A2005" s="125"/>
      <c r="B2005" s="126"/>
      <c r="C2005" s="127"/>
      <c r="D2005" s="124"/>
      <c r="E2005" s="124"/>
      <c r="F2005" s="124"/>
      <c r="G2005" s="124"/>
      <c r="H2005" s="124"/>
      <c r="I2005" s="124"/>
      <c r="J2005" s="124"/>
      <c r="K2005" s="124"/>
      <c r="L2005" s="124"/>
      <c r="M2005" s="124"/>
      <c r="N2005" s="124"/>
      <c r="O2005" s="124"/>
      <c r="P2005" s="124"/>
      <c r="Q2005" s="124"/>
      <c r="R2005" s="124"/>
      <c r="S2005" s="124"/>
      <c r="T2005" s="124"/>
      <c r="U2005" s="124"/>
      <c r="V2005" s="124"/>
      <c r="W2005" s="124"/>
      <c r="X2005" s="124"/>
      <c r="Y2005" s="124"/>
    </row>
    <row r="2006">
      <c r="A2006" s="125"/>
      <c r="B2006" s="126"/>
      <c r="C2006" s="127"/>
      <c r="D2006" s="124"/>
      <c r="E2006" s="124"/>
      <c r="F2006" s="124"/>
      <c r="G2006" s="124"/>
      <c r="H2006" s="124"/>
      <c r="I2006" s="124"/>
      <c r="J2006" s="124"/>
      <c r="K2006" s="124"/>
      <c r="L2006" s="124"/>
      <c r="M2006" s="124"/>
      <c r="N2006" s="124"/>
      <c r="O2006" s="124"/>
      <c r="P2006" s="124"/>
      <c r="Q2006" s="124"/>
      <c r="R2006" s="124"/>
      <c r="S2006" s="124"/>
      <c r="T2006" s="124"/>
      <c r="U2006" s="124"/>
      <c r="V2006" s="124"/>
      <c r="W2006" s="124"/>
      <c r="X2006" s="124"/>
      <c r="Y2006" s="124"/>
    </row>
    <row r="2007">
      <c r="A2007" s="125"/>
      <c r="B2007" s="126"/>
      <c r="C2007" s="127"/>
      <c r="D2007" s="124"/>
      <c r="E2007" s="124"/>
      <c r="F2007" s="124"/>
      <c r="G2007" s="124"/>
      <c r="H2007" s="124"/>
      <c r="I2007" s="124"/>
      <c r="J2007" s="124"/>
      <c r="K2007" s="124"/>
      <c r="L2007" s="124"/>
      <c r="M2007" s="124"/>
      <c r="N2007" s="124"/>
      <c r="O2007" s="124"/>
      <c r="P2007" s="124"/>
      <c r="Q2007" s="124"/>
      <c r="R2007" s="124"/>
      <c r="S2007" s="124"/>
      <c r="T2007" s="124"/>
      <c r="U2007" s="124"/>
      <c r="V2007" s="124"/>
      <c r="W2007" s="124"/>
      <c r="X2007" s="124"/>
      <c r="Y2007" s="124"/>
    </row>
    <row r="2008">
      <c r="A2008" s="125"/>
      <c r="B2008" s="126"/>
      <c r="C2008" s="127"/>
      <c r="D2008" s="124"/>
      <c r="E2008" s="124"/>
      <c r="F2008" s="124"/>
      <c r="G2008" s="124"/>
      <c r="H2008" s="124"/>
      <c r="I2008" s="124"/>
      <c r="J2008" s="124"/>
      <c r="K2008" s="124"/>
      <c r="L2008" s="124"/>
      <c r="M2008" s="124"/>
      <c r="N2008" s="124"/>
      <c r="O2008" s="124"/>
      <c r="P2008" s="124"/>
      <c r="Q2008" s="124"/>
      <c r="R2008" s="124"/>
      <c r="S2008" s="124"/>
      <c r="T2008" s="124"/>
      <c r="U2008" s="124"/>
      <c r="V2008" s="124"/>
      <c r="W2008" s="124"/>
      <c r="X2008" s="124"/>
      <c r="Y2008" s="124"/>
    </row>
    <row r="2009">
      <c r="A2009" s="125"/>
      <c r="B2009" s="126"/>
      <c r="C2009" s="127"/>
      <c r="D2009" s="124"/>
      <c r="E2009" s="124"/>
      <c r="F2009" s="124"/>
      <c r="G2009" s="124"/>
      <c r="H2009" s="124"/>
      <c r="I2009" s="124"/>
      <c r="J2009" s="124"/>
      <c r="K2009" s="124"/>
      <c r="L2009" s="124"/>
      <c r="M2009" s="124"/>
      <c r="N2009" s="124"/>
      <c r="O2009" s="124"/>
      <c r="P2009" s="124"/>
      <c r="Q2009" s="124"/>
      <c r="R2009" s="124"/>
      <c r="S2009" s="124"/>
      <c r="T2009" s="124"/>
      <c r="U2009" s="124"/>
      <c r="V2009" s="124"/>
      <c r="W2009" s="124"/>
      <c r="X2009" s="124"/>
      <c r="Y2009" s="124"/>
    </row>
    <row r="2010">
      <c r="A2010" s="125"/>
      <c r="B2010" s="126"/>
      <c r="C2010" s="127"/>
      <c r="D2010" s="124"/>
      <c r="E2010" s="124"/>
      <c r="F2010" s="124"/>
      <c r="G2010" s="124"/>
      <c r="H2010" s="124"/>
      <c r="I2010" s="124"/>
      <c r="J2010" s="124"/>
      <c r="K2010" s="124"/>
      <c r="L2010" s="124"/>
      <c r="M2010" s="124"/>
      <c r="N2010" s="124"/>
      <c r="O2010" s="124"/>
      <c r="P2010" s="124"/>
      <c r="Q2010" s="124"/>
      <c r="R2010" s="124"/>
      <c r="S2010" s="124"/>
      <c r="T2010" s="124"/>
      <c r="U2010" s="124"/>
      <c r="V2010" s="124"/>
      <c r="W2010" s="124"/>
      <c r="X2010" s="124"/>
      <c r="Y2010" s="124"/>
    </row>
    <row r="2011">
      <c r="A2011" s="125"/>
      <c r="B2011" s="126"/>
      <c r="C2011" s="127"/>
      <c r="D2011" s="124"/>
      <c r="E2011" s="124"/>
      <c r="F2011" s="124"/>
      <c r="G2011" s="124"/>
      <c r="H2011" s="124"/>
      <c r="I2011" s="124"/>
      <c r="J2011" s="124"/>
      <c r="K2011" s="124"/>
      <c r="L2011" s="124"/>
      <c r="M2011" s="124"/>
      <c r="N2011" s="124"/>
      <c r="O2011" s="124"/>
      <c r="P2011" s="124"/>
      <c r="Q2011" s="124"/>
      <c r="R2011" s="124"/>
      <c r="S2011" s="124"/>
      <c r="T2011" s="124"/>
      <c r="U2011" s="124"/>
      <c r="V2011" s="124"/>
      <c r="W2011" s="124"/>
      <c r="X2011" s="124"/>
      <c r="Y2011" s="124"/>
    </row>
    <row r="2012">
      <c r="A2012" s="125"/>
      <c r="B2012" s="126"/>
      <c r="C2012" s="127"/>
      <c r="D2012" s="124"/>
      <c r="E2012" s="124"/>
      <c r="F2012" s="124"/>
      <c r="G2012" s="124"/>
      <c r="H2012" s="124"/>
      <c r="I2012" s="124"/>
      <c r="J2012" s="124"/>
      <c r="K2012" s="124"/>
      <c r="L2012" s="124"/>
      <c r="M2012" s="124"/>
      <c r="N2012" s="124"/>
      <c r="O2012" s="124"/>
      <c r="P2012" s="124"/>
      <c r="Q2012" s="124"/>
      <c r="R2012" s="124"/>
      <c r="S2012" s="124"/>
      <c r="T2012" s="124"/>
      <c r="U2012" s="124"/>
      <c r="V2012" s="124"/>
      <c r="W2012" s="124"/>
      <c r="X2012" s="124"/>
      <c r="Y2012" s="124"/>
    </row>
    <row r="2013">
      <c r="A2013" s="125"/>
      <c r="B2013" s="126"/>
      <c r="C2013" s="127"/>
      <c r="D2013" s="124"/>
      <c r="E2013" s="124"/>
      <c r="F2013" s="124"/>
      <c r="G2013" s="124"/>
      <c r="H2013" s="124"/>
      <c r="I2013" s="124"/>
      <c r="J2013" s="124"/>
      <c r="K2013" s="124"/>
      <c r="L2013" s="124"/>
      <c r="M2013" s="124"/>
      <c r="N2013" s="124"/>
      <c r="O2013" s="124"/>
      <c r="P2013" s="124"/>
      <c r="Q2013" s="124"/>
      <c r="R2013" s="124"/>
      <c r="S2013" s="124"/>
      <c r="T2013" s="124"/>
      <c r="U2013" s="124"/>
      <c r="V2013" s="124"/>
      <c r="W2013" s="124"/>
      <c r="X2013" s="124"/>
      <c r="Y2013" s="124"/>
    </row>
    <row r="2014">
      <c r="A2014" s="125"/>
      <c r="B2014" s="126"/>
      <c r="C2014" s="127"/>
      <c r="D2014" s="124"/>
      <c r="E2014" s="124"/>
      <c r="F2014" s="124"/>
      <c r="G2014" s="124"/>
      <c r="H2014" s="124"/>
      <c r="I2014" s="124"/>
      <c r="J2014" s="124"/>
      <c r="K2014" s="124"/>
      <c r="L2014" s="124"/>
      <c r="M2014" s="124"/>
      <c r="N2014" s="124"/>
      <c r="O2014" s="124"/>
      <c r="P2014" s="124"/>
      <c r="Q2014" s="124"/>
      <c r="R2014" s="124"/>
      <c r="S2014" s="124"/>
      <c r="T2014" s="124"/>
      <c r="U2014" s="124"/>
      <c r="V2014" s="124"/>
      <c r="W2014" s="124"/>
      <c r="X2014" s="124"/>
      <c r="Y2014" s="124"/>
    </row>
    <row r="2015">
      <c r="A2015" s="125"/>
      <c r="B2015" s="126"/>
      <c r="C2015" s="127"/>
      <c r="D2015" s="124"/>
      <c r="E2015" s="124"/>
      <c r="F2015" s="124"/>
      <c r="G2015" s="124"/>
      <c r="H2015" s="124"/>
      <c r="I2015" s="124"/>
      <c r="J2015" s="124"/>
      <c r="K2015" s="124"/>
      <c r="L2015" s="124"/>
      <c r="M2015" s="124"/>
      <c r="N2015" s="124"/>
      <c r="O2015" s="124"/>
      <c r="P2015" s="124"/>
      <c r="Q2015" s="124"/>
      <c r="R2015" s="124"/>
      <c r="S2015" s="124"/>
      <c r="T2015" s="124"/>
      <c r="U2015" s="124"/>
      <c r="V2015" s="124"/>
      <c r="W2015" s="124"/>
      <c r="X2015" s="124"/>
      <c r="Y2015" s="124"/>
    </row>
    <row r="2016">
      <c r="A2016" s="125"/>
      <c r="B2016" s="126"/>
      <c r="C2016" s="127"/>
      <c r="D2016" s="124"/>
      <c r="E2016" s="124"/>
      <c r="F2016" s="124"/>
      <c r="G2016" s="124"/>
      <c r="H2016" s="124"/>
      <c r="I2016" s="124"/>
      <c r="J2016" s="124"/>
      <c r="K2016" s="124"/>
      <c r="L2016" s="124"/>
      <c r="M2016" s="124"/>
      <c r="N2016" s="124"/>
      <c r="O2016" s="124"/>
      <c r="P2016" s="124"/>
      <c r="Q2016" s="124"/>
      <c r="R2016" s="124"/>
      <c r="S2016" s="124"/>
      <c r="T2016" s="124"/>
      <c r="U2016" s="124"/>
      <c r="V2016" s="124"/>
      <c r="W2016" s="124"/>
      <c r="X2016" s="124"/>
      <c r="Y2016" s="124"/>
    </row>
    <row r="2017">
      <c r="A2017" s="125"/>
      <c r="B2017" s="126"/>
      <c r="C2017" s="127"/>
      <c r="D2017" s="124"/>
      <c r="E2017" s="124"/>
      <c r="F2017" s="124"/>
      <c r="G2017" s="124"/>
      <c r="H2017" s="124"/>
      <c r="I2017" s="124"/>
      <c r="J2017" s="124"/>
      <c r="K2017" s="124"/>
      <c r="L2017" s="124"/>
      <c r="M2017" s="124"/>
      <c r="N2017" s="124"/>
      <c r="O2017" s="124"/>
      <c r="P2017" s="124"/>
      <c r="Q2017" s="124"/>
      <c r="R2017" s="124"/>
      <c r="S2017" s="124"/>
      <c r="T2017" s="124"/>
      <c r="U2017" s="124"/>
      <c r="V2017" s="124"/>
      <c r="W2017" s="124"/>
      <c r="X2017" s="124"/>
      <c r="Y2017" s="124"/>
    </row>
    <row r="2018">
      <c r="A2018" s="125"/>
      <c r="B2018" s="126"/>
      <c r="C2018" s="127"/>
      <c r="D2018" s="124"/>
      <c r="E2018" s="124"/>
      <c r="F2018" s="124"/>
      <c r="G2018" s="124"/>
      <c r="H2018" s="124"/>
      <c r="I2018" s="124"/>
      <c r="J2018" s="124"/>
      <c r="K2018" s="124"/>
      <c r="L2018" s="124"/>
      <c r="M2018" s="124"/>
      <c r="N2018" s="124"/>
      <c r="O2018" s="124"/>
      <c r="P2018" s="124"/>
      <c r="Q2018" s="124"/>
      <c r="R2018" s="124"/>
      <c r="S2018" s="124"/>
      <c r="T2018" s="124"/>
      <c r="U2018" s="124"/>
      <c r="V2018" s="124"/>
      <c r="W2018" s="124"/>
      <c r="X2018" s="124"/>
      <c r="Y2018" s="124"/>
    </row>
    <row r="2019">
      <c r="A2019" s="125"/>
      <c r="B2019" s="126"/>
      <c r="C2019" s="127"/>
      <c r="D2019" s="124"/>
      <c r="E2019" s="124"/>
      <c r="F2019" s="124"/>
      <c r="G2019" s="124"/>
      <c r="H2019" s="124"/>
      <c r="I2019" s="124"/>
      <c r="J2019" s="124"/>
      <c r="K2019" s="124"/>
      <c r="L2019" s="124"/>
      <c r="M2019" s="124"/>
      <c r="N2019" s="124"/>
      <c r="O2019" s="124"/>
      <c r="P2019" s="124"/>
      <c r="Q2019" s="124"/>
      <c r="R2019" s="124"/>
      <c r="S2019" s="124"/>
      <c r="T2019" s="124"/>
      <c r="U2019" s="124"/>
      <c r="V2019" s="124"/>
      <c r="W2019" s="124"/>
      <c r="X2019" s="124"/>
      <c r="Y2019" s="124"/>
    </row>
    <row r="2020">
      <c r="A2020" s="125"/>
      <c r="B2020" s="126"/>
      <c r="C2020" s="127"/>
      <c r="D2020" s="124"/>
      <c r="E2020" s="124"/>
      <c r="F2020" s="124"/>
      <c r="G2020" s="124"/>
      <c r="H2020" s="124"/>
      <c r="I2020" s="124"/>
      <c r="J2020" s="124"/>
      <c r="K2020" s="124"/>
      <c r="L2020" s="124"/>
      <c r="M2020" s="124"/>
      <c r="N2020" s="124"/>
      <c r="O2020" s="124"/>
      <c r="P2020" s="124"/>
      <c r="Q2020" s="124"/>
      <c r="R2020" s="124"/>
      <c r="S2020" s="124"/>
      <c r="T2020" s="124"/>
      <c r="U2020" s="124"/>
      <c r="V2020" s="124"/>
      <c r="W2020" s="124"/>
      <c r="X2020" s="124"/>
      <c r="Y2020" s="124"/>
    </row>
    <row r="2021">
      <c r="A2021" s="125"/>
      <c r="B2021" s="126"/>
      <c r="C2021" s="127"/>
      <c r="D2021" s="124"/>
      <c r="E2021" s="124"/>
      <c r="F2021" s="124"/>
      <c r="G2021" s="124"/>
      <c r="H2021" s="124"/>
      <c r="I2021" s="124"/>
      <c r="J2021" s="124"/>
      <c r="K2021" s="124"/>
      <c r="L2021" s="124"/>
      <c r="M2021" s="124"/>
      <c r="N2021" s="124"/>
      <c r="O2021" s="124"/>
      <c r="P2021" s="124"/>
      <c r="Q2021" s="124"/>
      <c r="R2021" s="124"/>
      <c r="S2021" s="124"/>
      <c r="T2021" s="124"/>
      <c r="U2021" s="124"/>
      <c r="V2021" s="124"/>
      <c r="W2021" s="124"/>
      <c r="X2021" s="124"/>
      <c r="Y2021" s="124"/>
    </row>
    <row r="2022">
      <c r="A2022" s="125"/>
      <c r="B2022" s="126"/>
      <c r="C2022" s="127"/>
      <c r="D2022" s="124"/>
      <c r="E2022" s="124"/>
      <c r="F2022" s="124"/>
      <c r="G2022" s="124"/>
      <c r="H2022" s="124"/>
      <c r="I2022" s="124"/>
      <c r="J2022" s="124"/>
      <c r="K2022" s="124"/>
      <c r="L2022" s="124"/>
      <c r="M2022" s="124"/>
      <c r="N2022" s="124"/>
      <c r="O2022" s="124"/>
      <c r="P2022" s="124"/>
      <c r="Q2022" s="124"/>
      <c r="R2022" s="124"/>
      <c r="S2022" s="124"/>
      <c r="T2022" s="124"/>
      <c r="U2022" s="124"/>
      <c r="V2022" s="124"/>
      <c r="W2022" s="124"/>
      <c r="X2022" s="124"/>
      <c r="Y2022" s="124"/>
    </row>
    <row r="2023">
      <c r="A2023" s="125"/>
      <c r="B2023" s="126"/>
      <c r="C2023" s="127"/>
      <c r="D2023" s="124"/>
      <c r="E2023" s="124"/>
      <c r="F2023" s="124"/>
      <c r="G2023" s="124"/>
      <c r="H2023" s="124"/>
      <c r="I2023" s="124"/>
      <c r="J2023" s="124"/>
      <c r="K2023" s="124"/>
      <c r="L2023" s="124"/>
      <c r="M2023" s="124"/>
      <c r="N2023" s="124"/>
      <c r="O2023" s="124"/>
      <c r="P2023" s="124"/>
      <c r="Q2023" s="124"/>
      <c r="R2023" s="124"/>
      <c r="S2023" s="124"/>
      <c r="T2023" s="124"/>
      <c r="U2023" s="124"/>
      <c r="V2023" s="124"/>
      <c r="W2023" s="124"/>
      <c r="X2023" s="124"/>
      <c r="Y2023" s="124"/>
    </row>
    <row r="2024">
      <c r="A2024" s="125"/>
      <c r="B2024" s="126"/>
      <c r="C2024" s="127"/>
      <c r="D2024" s="124"/>
      <c r="E2024" s="124"/>
      <c r="F2024" s="124"/>
      <c r="G2024" s="124"/>
      <c r="H2024" s="124"/>
      <c r="I2024" s="124"/>
      <c r="J2024" s="124"/>
      <c r="K2024" s="124"/>
      <c r="L2024" s="124"/>
      <c r="M2024" s="124"/>
      <c r="N2024" s="124"/>
      <c r="O2024" s="124"/>
      <c r="P2024" s="124"/>
      <c r="Q2024" s="124"/>
      <c r="R2024" s="124"/>
      <c r="S2024" s="124"/>
      <c r="T2024" s="124"/>
      <c r="U2024" s="124"/>
      <c r="V2024" s="124"/>
      <c r="W2024" s="124"/>
      <c r="X2024" s="124"/>
      <c r="Y2024" s="124"/>
    </row>
    <row r="2025">
      <c r="A2025" s="125"/>
      <c r="B2025" s="126"/>
      <c r="C2025" s="127"/>
      <c r="D2025" s="124"/>
      <c r="E2025" s="124"/>
      <c r="F2025" s="124"/>
      <c r="G2025" s="124"/>
      <c r="H2025" s="124"/>
      <c r="I2025" s="124"/>
      <c r="J2025" s="124"/>
      <c r="K2025" s="124"/>
      <c r="L2025" s="124"/>
      <c r="M2025" s="124"/>
      <c r="N2025" s="124"/>
      <c r="O2025" s="124"/>
      <c r="P2025" s="124"/>
      <c r="Q2025" s="124"/>
      <c r="R2025" s="124"/>
      <c r="S2025" s="124"/>
      <c r="T2025" s="124"/>
      <c r="U2025" s="124"/>
      <c r="V2025" s="124"/>
      <c r="W2025" s="124"/>
      <c r="X2025" s="124"/>
      <c r="Y2025" s="124"/>
    </row>
    <row r="2026">
      <c r="A2026" s="125"/>
      <c r="B2026" s="126"/>
      <c r="C2026" s="127"/>
      <c r="D2026" s="124"/>
      <c r="E2026" s="124"/>
      <c r="F2026" s="124"/>
      <c r="G2026" s="124"/>
      <c r="H2026" s="124"/>
      <c r="I2026" s="124"/>
      <c r="J2026" s="124"/>
      <c r="K2026" s="124"/>
      <c r="L2026" s="124"/>
      <c r="M2026" s="124"/>
      <c r="N2026" s="124"/>
      <c r="O2026" s="124"/>
      <c r="P2026" s="124"/>
      <c r="Q2026" s="124"/>
      <c r="R2026" s="124"/>
      <c r="S2026" s="124"/>
      <c r="T2026" s="124"/>
      <c r="U2026" s="124"/>
      <c r="V2026" s="124"/>
      <c r="W2026" s="124"/>
      <c r="X2026" s="124"/>
      <c r="Y2026" s="124"/>
    </row>
    <row r="2027">
      <c r="A2027" s="125"/>
      <c r="B2027" s="126"/>
      <c r="C2027" s="127"/>
      <c r="D2027" s="124"/>
      <c r="E2027" s="124"/>
      <c r="F2027" s="124"/>
      <c r="G2027" s="124"/>
      <c r="H2027" s="124"/>
      <c r="I2027" s="124"/>
      <c r="J2027" s="124"/>
      <c r="K2027" s="124"/>
      <c r="L2027" s="124"/>
      <c r="M2027" s="124"/>
      <c r="N2027" s="124"/>
      <c r="O2027" s="124"/>
      <c r="P2027" s="124"/>
      <c r="Q2027" s="124"/>
      <c r="R2027" s="124"/>
      <c r="S2027" s="124"/>
      <c r="T2027" s="124"/>
      <c r="U2027" s="124"/>
      <c r="V2027" s="124"/>
      <c r="W2027" s="124"/>
      <c r="X2027" s="124"/>
      <c r="Y2027" s="124"/>
    </row>
    <row r="2028">
      <c r="A2028" s="125"/>
      <c r="B2028" s="126"/>
      <c r="C2028" s="127"/>
      <c r="D2028" s="124"/>
      <c r="E2028" s="124"/>
      <c r="F2028" s="124"/>
      <c r="G2028" s="124"/>
      <c r="H2028" s="124"/>
      <c r="I2028" s="124"/>
      <c r="J2028" s="124"/>
      <c r="K2028" s="124"/>
      <c r="L2028" s="124"/>
      <c r="M2028" s="124"/>
      <c r="N2028" s="124"/>
      <c r="O2028" s="124"/>
      <c r="P2028" s="124"/>
      <c r="Q2028" s="124"/>
      <c r="R2028" s="124"/>
      <c r="S2028" s="124"/>
      <c r="T2028" s="124"/>
      <c r="U2028" s="124"/>
      <c r="V2028" s="124"/>
      <c r="W2028" s="124"/>
      <c r="X2028" s="124"/>
      <c r="Y2028" s="124"/>
    </row>
    <row r="2029">
      <c r="A2029" s="125"/>
      <c r="B2029" s="126"/>
      <c r="C2029" s="127"/>
      <c r="D2029" s="124"/>
      <c r="E2029" s="124"/>
      <c r="F2029" s="124"/>
      <c r="G2029" s="124"/>
      <c r="H2029" s="124"/>
      <c r="I2029" s="124"/>
      <c r="J2029" s="124"/>
      <c r="K2029" s="124"/>
      <c r="L2029" s="124"/>
      <c r="M2029" s="124"/>
      <c r="N2029" s="124"/>
      <c r="O2029" s="124"/>
      <c r="P2029" s="124"/>
      <c r="Q2029" s="124"/>
      <c r="R2029" s="124"/>
      <c r="S2029" s="124"/>
      <c r="T2029" s="124"/>
      <c r="U2029" s="124"/>
      <c r="V2029" s="124"/>
      <c r="W2029" s="124"/>
      <c r="X2029" s="124"/>
      <c r="Y2029" s="124"/>
    </row>
    <row r="2030">
      <c r="A2030" s="125"/>
      <c r="B2030" s="126"/>
      <c r="C2030" s="127"/>
      <c r="D2030" s="124"/>
      <c r="E2030" s="124"/>
      <c r="F2030" s="124"/>
      <c r="G2030" s="124"/>
      <c r="H2030" s="124"/>
      <c r="I2030" s="124"/>
      <c r="J2030" s="124"/>
      <c r="K2030" s="124"/>
      <c r="L2030" s="124"/>
      <c r="M2030" s="124"/>
      <c r="N2030" s="124"/>
      <c r="O2030" s="124"/>
      <c r="P2030" s="124"/>
      <c r="Q2030" s="124"/>
      <c r="R2030" s="124"/>
      <c r="S2030" s="124"/>
      <c r="T2030" s="124"/>
      <c r="U2030" s="124"/>
      <c r="V2030" s="124"/>
      <c r="W2030" s="124"/>
      <c r="X2030" s="124"/>
      <c r="Y2030" s="124"/>
    </row>
    <row r="2031">
      <c r="A2031" s="125"/>
      <c r="B2031" s="126"/>
      <c r="C2031" s="127"/>
      <c r="D2031" s="124"/>
      <c r="E2031" s="124"/>
      <c r="F2031" s="124"/>
      <c r="G2031" s="124"/>
      <c r="H2031" s="124"/>
      <c r="I2031" s="124"/>
      <c r="J2031" s="124"/>
      <c r="K2031" s="124"/>
      <c r="L2031" s="124"/>
      <c r="M2031" s="124"/>
      <c r="N2031" s="124"/>
      <c r="O2031" s="124"/>
      <c r="P2031" s="124"/>
      <c r="Q2031" s="124"/>
      <c r="R2031" s="124"/>
      <c r="S2031" s="124"/>
      <c r="T2031" s="124"/>
      <c r="U2031" s="124"/>
      <c r="V2031" s="124"/>
      <c r="W2031" s="124"/>
      <c r="X2031" s="124"/>
      <c r="Y2031" s="124"/>
    </row>
    <row r="2032">
      <c r="A2032" s="125"/>
      <c r="B2032" s="126"/>
      <c r="C2032" s="127"/>
      <c r="D2032" s="124"/>
      <c r="E2032" s="124"/>
      <c r="F2032" s="124"/>
      <c r="G2032" s="124"/>
      <c r="H2032" s="124"/>
      <c r="I2032" s="124"/>
      <c r="J2032" s="124"/>
      <c r="K2032" s="124"/>
      <c r="L2032" s="124"/>
      <c r="M2032" s="124"/>
      <c r="N2032" s="124"/>
      <c r="O2032" s="124"/>
      <c r="P2032" s="124"/>
      <c r="Q2032" s="124"/>
      <c r="R2032" s="124"/>
      <c r="S2032" s="124"/>
      <c r="T2032" s="124"/>
      <c r="U2032" s="124"/>
      <c r="V2032" s="124"/>
      <c r="W2032" s="124"/>
      <c r="X2032" s="124"/>
      <c r="Y2032" s="124"/>
    </row>
    <row r="2033">
      <c r="A2033" s="125"/>
      <c r="B2033" s="126"/>
      <c r="C2033" s="127"/>
      <c r="D2033" s="124"/>
      <c r="E2033" s="124"/>
      <c r="F2033" s="124"/>
      <c r="G2033" s="124"/>
      <c r="H2033" s="124"/>
      <c r="I2033" s="124"/>
      <c r="J2033" s="124"/>
      <c r="K2033" s="124"/>
      <c r="L2033" s="124"/>
      <c r="M2033" s="124"/>
      <c r="N2033" s="124"/>
      <c r="O2033" s="124"/>
      <c r="P2033" s="124"/>
      <c r="Q2033" s="124"/>
      <c r="R2033" s="124"/>
      <c r="S2033" s="124"/>
      <c r="T2033" s="124"/>
      <c r="U2033" s="124"/>
      <c r="V2033" s="124"/>
      <c r="W2033" s="124"/>
      <c r="X2033" s="124"/>
      <c r="Y2033" s="124"/>
    </row>
    <row r="2034">
      <c r="A2034" s="125"/>
      <c r="B2034" s="126"/>
      <c r="C2034" s="127"/>
      <c r="D2034" s="124"/>
      <c r="E2034" s="124"/>
      <c r="F2034" s="124"/>
      <c r="G2034" s="124"/>
      <c r="H2034" s="124"/>
      <c r="I2034" s="124"/>
      <c r="J2034" s="124"/>
      <c r="K2034" s="124"/>
      <c r="L2034" s="124"/>
      <c r="M2034" s="124"/>
      <c r="N2034" s="124"/>
      <c r="O2034" s="124"/>
      <c r="P2034" s="124"/>
      <c r="Q2034" s="124"/>
      <c r="R2034" s="124"/>
      <c r="S2034" s="124"/>
      <c r="T2034" s="124"/>
      <c r="U2034" s="124"/>
      <c r="V2034" s="124"/>
      <c r="W2034" s="124"/>
      <c r="X2034" s="124"/>
      <c r="Y2034" s="124"/>
    </row>
    <row r="2035">
      <c r="A2035" s="125"/>
      <c r="B2035" s="126"/>
      <c r="C2035" s="127"/>
      <c r="D2035" s="124"/>
      <c r="E2035" s="124"/>
      <c r="F2035" s="124"/>
      <c r="G2035" s="124"/>
      <c r="H2035" s="124"/>
      <c r="I2035" s="124"/>
      <c r="J2035" s="124"/>
      <c r="K2035" s="124"/>
      <c r="L2035" s="124"/>
      <c r="M2035" s="124"/>
      <c r="N2035" s="124"/>
      <c r="O2035" s="124"/>
      <c r="P2035" s="124"/>
      <c r="Q2035" s="124"/>
      <c r="R2035" s="124"/>
      <c r="S2035" s="124"/>
      <c r="T2035" s="124"/>
      <c r="U2035" s="124"/>
      <c r="V2035" s="124"/>
      <c r="W2035" s="124"/>
      <c r="X2035" s="124"/>
      <c r="Y2035" s="124"/>
    </row>
    <row r="2036">
      <c r="A2036" s="125"/>
      <c r="B2036" s="126"/>
      <c r="C2036" s="127"/>
      <c r="D2036" s="124"/>
      <c r="E2036" s="124"/>
      <c r="F2036" s="124"/>
      <c r="G2036" s="124"/>
      <c r="H2036" s="124"/>
      <c r="I2036" s="124"/>
      <c r="J2036" s="124"/>
      <c r="K2036" s="124"/>
      <c r="L2036" s="124"/>
      <c r="M2036" s="124"/>
      <c r="N2036" s="124"/>
      <c r="O2036" s="124"/>
      <c r="P2036" s="124"/>
      <c r="Q2036" s="124"/>
      <c r="R2036" s="124"/>
      <c r="S2036" s="124"/>
      <c r="T2036" s="124"/>
      <c r="U2036" s="124"/>
      <c r="V2036" s="124"/>
      <c r="W2036" s="124"/>
      <c r="X2036" s="124"/>
      <c r="Y2036" s="124"/>
    </row>
    <row r="2037">
      <c r="A2037" s="125"/>
      <c r="B2037" s="126"/>
      <c r="C2037" s="127"/>
      <c r="D2037" s="124"/>
      <c r="E2037" s="124"/>
      <c r="F2037" s="124"/>
      <c r="G2037" s="124"/>
      <c r="H2037" s="124"/>
      <c r="I2037" s="124"/>
      <c r="J2037" s="124"/>
      <c r="K2037" s="124"/>
      <c r="L2037" s="124"/>
      <c r="M2037" s="124"/>
      <c r="N2037" s="124"/>
      <c r="O2037" s="124"/>
      <c r="P2037" s="124"/>
      <c r="Q2037" s="124"/>
      <c r="R2037" s="124"/>
      <c r="S2037" s="124"/>
      <c r="T2037" s="124"/>
      <c r="U2037" s="124"/>
      <c r="V2037" s="124"/>
      <c r="W2037" s="124"/>
      <c r="X2037" s="124"/>
      <c r="Y2037" s="124"/>
    </row>
    <row r="2038">
      <c r="A2038" s="125"/>
      <c r="B2038" s="126"/>
      <c r="C2038" s="127"/>
      <c r="D2038" s="124"/>
      <c r="E2038" s="124"/>
      <c r="F2038" s="124"/>
      <c r="G2038" s="124"/>
      <c r="H2038" s="124"/>
      <c r="I2038" s="124"/>
      <c r="J2038" s="124"/>
      <c r="K2038" s="124"/>
      <c r="L2038" s="124"/>
      <c r="M2038" s="124"/>
      <c r="N2038" s="124"/>
      <c r="O2038" s="124"/>
      <c r="P2038" s="124"/>
      <c r="Q2038" s="124"/>
      <c r="R2038" s="124"/>
      <c r="S2038" s="124"/>
      <c r="T2038" s="124"/>
      <c r="U2038" s="124"/>
      <c r="V2038" s="124"/>
      <c r="W2038" s="124"/>
      <c r="X2038" s="124"/>
      <c r="Y2038" s="124"/>
    </row>
    <row r="2039">
      <c r="A2039" s="125"/>
      <c r="B2039" s="126"/>
      <c r="C2039" s="127"/>
      <c r="D2039" s="124"/>
      <c r="E2039" s="124"/>
      <c r="F2039" s="124"/>
      <c r="G2039" s="124"/>
      <c r="H2039" s="124"/>
      <c r="I2039" s="124"/>
      <c r="J2039" s="124"/>
      <c r="K2039" s="124"/>
      <c r="L2039" s="124"/>
      <c r="M2039" s="124"/>
      <c r="N2039" s="124"/>
      <c r="O2039" s="124"/>
      <c r="P2039" s="124"/>
      <c r="Q2039" s="124"/>
      <c r="R2039" s="124"/>
      <c r="S2039" s="124"/>
      <c r="T2039" s="124"/>
      <c r="U2039" s="124"/>
      <c r="V2039" s="124"/>
      <c r="W2039" s="124"/>
      <c r="X2039" s="124"/>
      <c r="Y2039" s="124"/>
    </row>
    <row r="2040">
      <c r="A2040" s="125"/>
      <c r="B2040" s="126"/>
      <c r="C2040" s="127"/>
      <c r="D2040" s="124"/>
      <c r="E2040" s="124"/>
      <c r="F2040" s="124"/>
      <c r="G2040" s="124"/>
      <c r="H2040" s="124"/>
      <c r="I2040" s="124"/>
      <c r="J2040" s="124"/>
      <c r="K2040" s="124"/>
      <c r="L2040" s="124"/>
      <c r="M2040" s="124"/>
      <c r="N2040" s="124"/>
      <c r="O2040" s="124"/>
      <c r="P2040" s="124"/>
      <c r="Q2040" s="124"/>
      <c r="R2040" s="124"/>
      <c r="S2040" s="124"/>
      <c r="T2040" s="124"/>
      <c r="U2040" s="124"/>
      <c r="V2040" s="124"/>
      <c r="W2040" s="124"/>
      <c r="X2040" s="124"/>
      <c r="Y2040" s="124"/>
    </row>
    <row r="2041">
      <c r="A2041" s="125"/>
      <c r="B2041" s="126"/>
      <c r="C2041" s="127"/>
      <c r="D2041" s="124"/>
      <c r="E2041" s="124"/>
      <c r="F2041" s="124"/>
      <c r="G2041" s="124"/>
      <c r="H2041" s="124"/>
      <c r="I2041" s="124"/>
      <c r="J2041" s="124"/>
      <c r="K2041" s="124"/>
      <c r="L2041" s="124"/>
      <c r="M2041" s="124"/>
      <c r="N2041" s="124"/>
      <c r="O2041" s="124"/>
      <c r="P2041" s="124"/>
      <c r="Q2041" s="124"/>
      <c r="R2041" s="124"/>
      <c r="S2041" s="124"/>
      <c r="T2041" s="124"/>
      <c r="U2041" s="124"/>
      <c r="V2041" s="124"/>
      <c r="W2041" s="124"/>
      <c r="X2041" s="124"/>
      <c r="Y2041" s="124"/>
    </row>
    <row r="2042">
      <c r="A2042" s="125"/>
      <c r="B2042" s="126"/>
      <c r="C2042" s="127"/>
      <c r="D2042" s="124"/>
      <c r="E2042" s="124"/>
      <c r="F2042" s="124"/>
      <c r="G2042" s="124"/>
      <c r="H2042" s="124"/>
      <c r="I2042" s="124"/>
      <c r="J2042" s="124"/>
      <c r="K2042" s="124"/>
      <c r="L2042" s="124"/>
      <c r="M2042" s="124"/>
      <c r="N2042" s="124"/>
      <c r="O2042" s="124"/>
      <c r="P2042" s="124"/>
      <c r="Q2042" s="124"/>
      <c r="R2042" s="124"/>
      <c r="S2042" s="124"/>
      <c r="T2042" s="124"/>
      <c r="U2042" s="124"/>
      <c r="V2042" s="124"/>
      <c r="W2042" s="124"/>
      <c r="X2042" s="124"/>
      <c r="Y2042" s="124"/>
    </row>
    <row r="2043">
      <c r="A2043" s="125"/>
      <c r="B2043" s="126"/>
      <c r="C2043" s="127"/>
      <c r="D2043" s="124"/>
      <c r="E2043" s="124"/>
      <c r="F2043" s="124"/>
      <c r="G2043" s="124"/>
      <c r="H2043" s="124"/>
      <c r="I2043" s="124"/>
      <c r="J2043" s="124"/>
      <c r="K2043" s="124"/>
      <c r="L2043" s="124"/>
      <c r="M2043" s="124"/>
      <c r="N2043" s="124"/>
      <c r="O2043" s="124"/>
      <c r="P2043" s="124"/>
      <c r="Q2043" s="124"/>
      <c r="R2043" s="124"/>
      <c r="S2043" s="124"/>
      <c r="T2043" s="124"/>
      <c r="U2043" s="124"/>
      <c r="V2043" s="124"/>
      <c r="W2043" s="124"/>
      <c r="X2043" s="124"/>
      <c r="Y2043" s="124"/>
    </row>
    <row r="2044">
      <c r="A2044" s="125"/>
      <c r="B2044" s="126"/>
      <c r="C2044" s="127"/>
      <c r="D2044" s="124"/>
      <c r="E2044" s="124"/>
      <c r="F2044" s="124"/>
      <c r="G2044" s="124"/>
      <c r="H2044" s="124"/>
      <c r="I2044" s="124"/>
      <c r="J2044" s="124"/>
      <c r="K2044" s="124"/>
      <c r="L2044" s="124"/>
      <c r="M2044" s="124"/>
      <c r="N2044" s="124"/>
      <c r="O2044" s="124"/>
      <c r="P2044" s="124"/>
      <c r="Q2044" s="124"/>
      <c r="R2044" s="124"/>
      <c r="S2044" s="124"/>
      <c r="T2044" s="124"/>
      <c r="U2044" s="124"/>
      <c r="V2044" s="124"/>
      <c r="W2044" s="124"/>
      <c r="X2044" s="124"/>
      <c r="Y2044" s="124"/>
    </row>
    <row r="2045">
      <c r="A2045" s="125"/>
      <c r="B2045" s="126"/>
      <c r="C2045" s="127"/>
      <c r="D2045" s="124"/>
      <c r="E2045" s="124"/>
      <c r="F2045" s="124"/>
      <c r="G2045" s="124"/>
      <c r="H2045" s="124"/>
      <c r="I2045" s="124"/>
      <c r="J2045" s="124"/>
      <c r="K2045" s="124"/>
      <c r="L2045" s="124"/>
      <c r="M2045" s="124"/>
      <c r="N2045" s="124"/>
      <c r="O2045" s="124"/>
      <c r="P2045" s="124"/>
      <c r="Q2045" s="124"/>
      <c r="R2045" s="124"/>
      <c r="S2045" s="124"/>
      <c r="T2045" s="124"/>
      <c r="U2045" s="124"/>
      <c r="V2045" s="124"/>
      <c r="W2045" s="124"/>
      <c r="X2045" s="124"/>
      <c r="Y2045" s="124"/>
    </row>
    <row r="2046">
      <c r="A2046" s="125"/>
      <c r="B2046" s="126"/>
      <c r="C2046" s="127"/>
      <c r="D2046" s="124"/>
      <c r="E2046" s="124"/>
      <c r="F2046" s="124"/>
      <c r="G2046" s="124"/>
      <c r="H2046" s="124"/>
      <c r="I2046" s="124"/>
      <c r="J2046" s="124"/>
      <c r="K2046" s="124"/>
      <c r="L2046" s="124"/>
      <c r="M2046" s="124"/>
      <c r="N2046" s="124"/>
      <c r="O2046" s="124"/>
      <c r="P2046" s="124"/>
      <c r="Q2046" s="124"/>
      <c r="R2046" s="124"/>
      <c r="S2046" s="124"/>
      <c r="T2046" s="124"/>
      <c r="U2046" s="124"/>
      <c r="V2046" s="124"/>
      <c r="W2046" s="124"/>
      <c r="X2046" s="124"/>
      <c r="Y2046" s="124"/>
    </row>
    <row r="2047">
      <c r="A2047" s="125"/>
      <c r="B2047" s="126"/>
      <c r="C2047" s="127"/>
      <c r="D2047" s="124"/>
      <c r="E2047" s="124"/>
      <c r="F2047" s="124"/>
      <c r="G2047" s="124"/>
      <c r="H2047" s="124"/>
      <c r="I2047" s="124"/>
      <c r="J2047" s="124"/>
      <c r="K2047" s="124"/>
      <c r="L2047" s="124"/>
      <c r="M2047" s="124"/>
      <c r="N2047" s="124"/>
      <c r="O2047" s="124"/>
      <c r="P2047" s="124"/>
      <c r="Q2047" s="124"/>
      <c r="R2047" s="124"/>
      <c r="S2047" s="124"/>
      <c r="T2047" s="124"/>
      <c r="U2047" s="124"/>
      <c r="V2047" s="124"/>
      <c r="W2047" s="124"/>
      <c r="X2047" s="124"/>
      <c r="Y2047" s="124"/>
    </row>
    <row r="2048">
      <c r="A2048" s="125"/>
      <c r="B2048" s="126"/>
      <c r="C2048" s="127"/>
      <c r="D2048" s="124"/>
      <c r="E2048" s="124"/>
      <c r="F2048" s="124"/>
      <c r="G2048" s="124"/>
      <c r="H2048" s="124"/>
      <c r="I2048" s="124"/>
      <c r="J2048" s="124"/>
      <c r="K2048" s="124"/>
      <c r="L2048" s="124"/>
      <c r="M2048" s="124"/>
      <c r="N2048" s="124"/>
      <c r="O2048" s="124"/>
      <c r="P2048" s="124"/>
      <c r="Q2048" s="124"/>
      <c r="R2048" s="124"/>
      <c r="S2048" s="124"/>
      <c r="T2048" s="124"/>
      <c r="U2048" s="124"/>
      <c r="V2048" s="124"/>
      <c r="W2048" s="124"/>
      <c r="X2048" s="124"/>
      <c r="Y2048" s="124"/>
    </row>
    <row r="2049">
      <c r="A2049" s="125"/>
      <c r="B2049" s="126"/>
      <c r="C2049" s="127"/>
      <c r="D2049" s="124"/>
      <c r="E2049" s="124"/>
      <c r="F2049" s="124"/>
      <c r="G2049" s="124"/>
      <c r="H2049" s="124"/>
      <c r="I2049" s="124"/>
      <c r="J2049" s="124"/>
      <c r="K2049" s="124"/>
      <c r="L2049" s="124"/>
      <c r="M2049" s="124"/>
      <c r="N2049" s="124"/>
      <c r="O2049" s="124"/>
      <c r="P2049" s="124"/>
      <c r="Q2049" s="124"/>
      <c r="R2049" s="124"/>
      <c r="S2049" s="124"/>
      <c r="T2049" s="124"/>
      <c r="U2049" s="124"/>
      <c r="V2049" s="124"/>
      <c r="W2049" s="124"/>
      <c r="X2049" s="124"/>
      <c r="Y2049" s="124"/>
    </row>
    <row r="2050">
      <c r="A2050" s="125"/>
      <c r="B2050" s="126"/>
      <c r="C2050" s="127"/>
      <c r="D2050" s="124"/>
      <c r="E2050" s="124"/>
      <c r="F2050" s="124"/>
      <c r="G2050" s="124"/>
      <c r="H2050" s="124"/>
      <c r="I2050" s="124"/>
      <c r="J2050" s="124"/>
      <c r="K2050" s="124"/>
      <c r="L2050" s="124"/>
      <c r="M2050" s="124"/>
      <c r="N2050" s="124"/>
      <c r="O2050" s="124"/>
      <c r="P2050" s="124"/>
      <c r="Q2050" s="124"/>
      <c r="R2050" s="124"/>
      <c r="S2050" s="124"/>
      <c r="T2050" s="124"/>
      <c r="U2050" s="124"/>
      <c r="V2050" s="124"/>
      <c r="W2050" s="124"/>
      <c r="X2050" s="124"/>
      <c r="Y2050" s="124"/>
    </row>
    <row r="2051">
      <c r="A2051" s="125"/>
      <c r="B2051" s="126"/>
      <c r="C2051" s="127"/>
      <c r="D2051" s="124"/>
      <c r="E2051" s="124"/>
      <c r="F2051" s="124"/>
      <c r="G2051" s="124"/>
      <c r="H2051" s="124"/>
      <c r="I2051" s="124"/>
      <c r="J2051" s="124"/>
      <c r="K2051" s="124"/>
      <c r="L2051" s="124"/>
      <c r="M2051" s="124"/>
      <c r="N2051" s="124"/>
      <c r="O2051" s="124"/>
      <c r="P2051" s="124"/>
      <c r="Q2051" s="124"/>
      <c r="R2051" s="124"/>
      <c r="S2051" s="124"/>
      <c r="T2051" s="124"/>
      <c r="U2051" s="124"/>
      <c r="V2051" s="124"/>
      <c r="W2051" s="124"/>
      <c r="X2051" s="124"/>
      <c r="Y2051" s="124"/>
    </row>
    <row r="2052">
      <c r="A2052" s="125"/>
      <c r="B2052" s="126"/>
      <c r="C2052" s="127"/>
      <c r="D2052" s="124"/>
      <c r="E2052" s="124"/>
      <c r="F2052" s="124"/>
      <c r="G2052" s="124"/>
      <c r="H2052" s="124"/>
      <c r="I2052" s="124"/>
      <c r="J2052" s="124"/>
      <c r="K2052" s="124"/>
      <c r="L2052" s="124"/>
      <c r="M2052" s="124"/>
      <c r="N2052" s="124"/>
      <c r="O2052" s="124"/>
      <c r="P2052" s="124"/>
      <c r="Q2052" s="124"/>
      <c r="R2052" s="124"/>
      <c r="S2052" s="124"/>
      <c r="T2052" s="124"/>
      <c r="U2052" s="124"/>
      <c r="V2052" s="124"/>
      <c r="W2052" s="124"/>
      <c r="X2052" s="124"/>
      <c r="Y2052" s="124"/>
    </row>
    <row r="2053">
      <c r="A2053" s="125"/>
      <c r="B2053" s="126"/>
      <c r="C2053" s="127"/>
      <c r="D2053" s="124"/>
      <c r="E2053" s="124"/>
      <c r="F2053" s="124"/>
      <c r="G2053" s="124"/>
      <c r="H2053" s="124"/>
      <c r="I2053" s="124"/>
      <c r="J2053" s="124"/>
      <c r="K2053" s="124"/>
      <c r="L2053" s="124"/>
      <c r="M2053" s="124"/>
      <c r="N2053" s="124"/>
      <c r="O2053" s="124"/>
      <c r="P2053" s="124"/>
      <c r="Q2053" s="124"/>
      <c r="R2053" s="124"/>
      <c r="S2053" s="124"/>
      <c r="T2053" s="124"/>
      <c r="U2053" s="124"/>
      <c r="V2053" s="124"/>
      <c r="W2053" s="124"/>
      <c r="X2053" s="124"/>
      <c r="Y2053" s="124"/>
    </row>
    <row r="2054">
      <c r="A2054" s="125"/>
      <c r="B2054" s="126"/>
      <c r="C2054" s="127"/>
      <c r="D2054" s="124"/>
      <c r="E2054" s="124"/>
      <c r="F2054" s="124"/>
      <c r="G2054" s="124"/>
      <c r="H2054" s="124"/>
      <c r="I2054" s="124"/>
      <c r="J2054" s="124"/>
      <c r="K2054" s="124"/>
      <c r="L2054" s="124"/>
      <c r="M2054" s="124"/>
      <c r="N2054" s="124"/>
      <c r="O2054" s="124"/>
      <c r="P2054" s="124"/>
      <c r="Q2054" s="124"/>
      <c r="R2054" s="124"/>
      <c r="S2054" s="124"/>
      <c r="T2054" s="124"/>
      <c r="U2054" s="124"/>
      <c r="V2054" s="124"/>
      <c r="W2054" s="124"/>
      <c r="X2054" s="124"/>
      <c r="Y2054" s="124"/>
    </row>
    <row r="2055">
      <c r="A2055" s="125"/>
      <c r="B2055" s="126"/>
      <c r="C2055" s="127"/>
      <c r="D2055" s="124"/>
      <c r="E2055" s="124"/>
      <c r="F2055" s="124"/>
      <c r="G2055" s="124"/>
      <c r="H2055" s="124"/>
      <c r="I2055" s="124"/>
      <c r="J2055" s="124"/>
      <c r="K2055" s="124"/>
      <c r="L2055" s="124"/>
      <c r="M2055" s="124"/>
      <c r="N2055" s="124"/>
      <c r="O2055" s="124"/>
      <c r="P2055" s="124"/>
      <c r="Q2055" s="124"/>
      <c r="R2055" s="124"/>
      <c r="S2055" s="124"/>
      <c r="T2055" s="124"/>
      <c r="U2055" s="124"/>
      <c r="V2055" s="124"/>
      <c r="W2055" s="124"/>
      <c r="X2055" s="124"/>
      <c r="Y2055" s="124"/>
    </row>
    <row r="2056">
      <c r="A2056" s="125"/>
      <c r="B2056" s="126"/>
      <c r="C2056" s="127"/>
      <c r="D2056" s="124"/>
      <c r="E2056" s="124"/>
      <c r="F2056" s="124"/>
      <c r="G2056" s="124"/>
      <c r="H2056" s="124"/>
      <c r="I2056" s="124"/>
      <c r="J2056" s="124"/>
      <c r="K2056" s="124"/>
      <c r="L2056" s="124"/>
      <c r="M2056" s="124"/>
      <c r="N2056" s="124"/>
      <c r="O2056" s="124"/>
      <c r="P2056" s="124"/>
      <c r="Q2056" s="124"/>
      <c r="R2056" s="124"/>
      <c r="S2056" s="124"/>
      <c r="T2056" s="124"/>
      <c r="U2056" s="124"/>
      <c r="V2056" s="124"/>
      <c r="W2056" s="124"/>
      <c r="X2056" s="124"/>
      <c r="Y2056" s="124"/>
    </row>
    <row r="2057">
      <c r="A2057" s="125"/>
      <c r="B2057" s="126"/>
      <c r="C2057" s="127"/>
      <c r="D2057" s="124"/>
      <c r="E2057" s="124"/>
      <c r="F2057" s="124"/>
      <c r="G2057" s="124"/>
      <c r="H2057" s="124"/>
      <c r="I2057" s="124"/>
      <c r="J2057" s="124"/>
      <c r="K2057" s="124"/>
      <c r="L2057" s="124"/>
      <c r="M2057" s="124"/>
      <c r="N2057" s="124"/>
      <c r="O2057" s="124"/>
      <c r="P2057" s="124"/>
      <c r="Q2057" s="124"/>
      <c r="R2057" s="124"/>
      <c r="S2057" s="124"/>
      <c r="T2057" s="124"/>
      <c r="U2057" s="124"/>
      <c r="V2057" s="124"/>
      <c r="W2057" s="124"/>
      <c r="X2057" s="124"/>
      <c r="Y2057" s="124"/>
    </row>
    <row r="2058">
      <c r="A2058" s="125"/>
      <c r="B2058" s="126"/>
      <c r="C2058" s="127"/>
      <c r="D2058" s="124"/>
      <c r="E2058" s="124"/>
      <c r="F2058" s="124"/>
      <c r="G2058" s="124"/>
      <c r="H2058" s="124"/>
      <c r="I2058" s="124"/>
      <c r="J2058" s="124"/>
      <c r="K2058" s="124"/>
      <c r="L2058" s="124"/>
      <c r="M2058" s="124"/>
      <c r="N2058" s="124"/>
      <c r="O2058" s="124"/>
      <c r="P2058" s="124"/>
      <c r="Q2058" s="124"/>
      <c r="R2058" s="124"/>
      <c r="S2058" s="124"/>
      <c r="T2058" s="124"/>
      <c r="U2058" s="124"/>
      <c r="V2058" s="124"/>
      <c r="W2058" s="124"/>
      <c r="X2058" s="124"/>
      <c r="Y2058" s="124"/>
    </row>
    <row r="2059">
      <c r="A2059" s="125"/>
      <c r="B2059" s="126"/>
      <c r="C2059" s="127"/>
      <c r="D2059" s="124"/>
      <c r="E2059" s="124"/>
      <c r="F2059" s="124"/>
      <c r="G2059" s="124"/>
      <c r="H2059" s="124"/>
      <c r="I2059" s="124"/>
      <c r="J2059" s="124"/>
      <c r="K2059" s="124"/>
      <c r="L2059" s="124"/>
      <c r="M2059" s="124"/>
      <c r="N2059" s="124"/>
      <c r="O2059" s="124"/>
      <c r="P2059" s="124"/>
      <c r="Q2059" s="124"/>
      <c r="R2059" s="124"/>
      <c r="S2059" s="124"/>
      <c r="T2059" s="124"/>
      <c r="U2059" s="124"/>
      <c r="V2059" s="124"/>
      <c r="W2059" s="124"/>
      <c r="X2059" s="124"/>
      <c r="Y2059" s="124"/>
    </row>
    <row r="2060">
      <c r="A2060" s="125"/>
      <c r="B2060" s="126"/>
      <c r="C2060" s="127"/>
      <c r="D2060" s="124"/>
      <c r="E2060" s="124"/>
      <c r="F2060" s="124"/>
      <c r="G2060" s="124"/>
      <c r="H2060" s="124"/>
      <c r="I2060" s="124"/>
      <c r="J2060" s="124"/>
      <c r="K2060" s="124"/>
      <c r="L2060" s="124"/>
      <c r="M2060" s="124"/>
      <c r="N2060" s="124"/>
      <c r="O2060" s="124"/>
      <c r="P2060" s="124"/>
      <c r="Q2060" s="124"/>
      <c r="R2060" s="124"/>
      <c r="S2060" s="124"/>
      <c r="T2060" s="124"/>
      <c r="U2060" s="124"/>
      <c r="V2060" s="124"/>
      <c r="W2060" s="124"/>
      <c r="X2060" s="124"/>
      <c r="Y2060" s="124"/>
    </row>
    <row r="2061">
      <c r="A2061" s="125"/>
      <c r="B2061" s="126"/>
      <c r="C2061" s="127"/>
      <c r="D2061" s="124"/>
      <c r="E2061" s="124"/>
      <c r="F2061" s="124"/>
      <c r="G2061" s="124"/>
      <c r="H2061" s="124"/>
      <c r="I2061" s="124"/>
      <c r="J2061" s="124"/>
      <c r="K2061" s="124"/>
      <c r="L2061" s="124"/>
      <c r="M2061" s="124"/>
      <c r="N2061" s="124"/>
      <c r="O2061" s="124"/>
      <c r="P2061" s="124"/>
      <c r="Q2061" s="124"/>
      <c r="R2061" s="124"/>
      <c r="S2061" s="124"/>
      <c r="T2061" s="124"/>
      <c r="U2061" s="124"/>
      <c r="V2061" s="124"/>
      <c r="W2061" s="124"/>
      <c r="X2061" s="124"/>
      <c r="Y2061" s="124"/>
    </row>
    <row r="2062">
      <c r="A2062" s="125"/>
      <c r="B2062" s="126"/>
      <c r="C2062" s="127"/>
      <c r="D2062" s="124"/>
      <c r="E2062" s="124"/>
      <c r="F2062" s="124"/>
      <c r="G2062" s="124"/>
      <c r="H2062" s="124"/>
      <c r="I2062" s="124"/>
      <c r="J2062" s="124"/>
      <c r="K2062" s="124"/>
      <c r="L2062" s="124"/>
      <c r="M2062" s="124"/>
      <c r="N2062" s="124"/>
      <c r="O2062" s="124"/>
      <c r="P2062" s="124"/>
      <c r="Q2062" s="124"/>
      <c r="R2062" s="124"/>
      <c r="S2062" s="124"/>
      <c r="T2062" s="124"/>
      <c r="U2062" s="124"/>
      <c r="V2062" s="124"/>
      <c r="W2062" s="124"/>
      <c r="X2062" s="124"/>
      <c r="Y2062" s="124"/>
    </row>
    <row r="2063">
      <c r="A2063" s="125"/>
      <c r="B2063" s="126"/>
      <c r="C2063" s="127"/>
      <c r="D2063" s="124"/>
      <c r="E2063" s="124"/>
      <c r="F2063" s="124"/>
      <c r="G2063" s="124"/>
      <c r="H2063" s="124"/>
      <c r="I2063" s="124"/>
      <c r="J2063" s="124"/>
      <c r="K2063" s="124"/>
      <c r="L2063" s="124"/>
      <c r="M2063" s="124"/>
      <c r="N2063" s="124"/>
      <c r="O2063" s="124"/>
      <c r="P2063" s="124"/>
      <c r="Q2063" s="124"/>
      <c r="R2063" s="124"/>
      <c r="S2063" s="124"/>
      <c r="T2063" s="124"/>
      <c r="U2063" s="124"/>
      <c r="V2063" s="124"/>
      <c r="W2063" s="124"/>
      <c r="X2063" s="124"/>
      <c r="Y2063" s="124"/>
    </row>
    <row r="2064">
      <c r="A2064" s="125"/>
      <c r="B2064" s="126"/>
      <c r="C2064" s="127"/>
      <c r="D2064" s="124"/>
      <c r="E2064" s="124"/>
      <c r="F2064" s="124"/>
      <c r="G2064" s="124"/>
      <c r="H2064" s="124"/>
      <c r="I2064" s="124"/>
      <c r="J2064" s="124"/>
      <c r="K2064" s="124"/>
      <c r="L2064" s="124"/>
      <c r="M2064" s="124"/>
      <c r="N2064" s="124"/>
      <c r="O2064" s="124"/>
      <c r="P2064" s="124"/>
      <c r="Q2064" s="124"/>
      <c r="R2064" s="124"/>
      <c r="S2064" s="124"/>
      <c r="T2064" s="124"/>
      <c r="U2064" s="124"/>
      <c r="V2064" s="124"/>
      <c r="W2064" s="124"/>
      <c r="X2064" s="124"/>
      <c r="Y2064" s="124"/>
    </row>
    <row r="2065">
      <c r="A2065" s="125"/>
      <c r="B2065" s="126"/>
      <c r="C2065" s="127"/>
      <c r="D2065" s="124"/>
      <c r="E2065" s="124"/>
      <c r="F2065" s="124"/>
      <c r="G2065" s="124"/>
      <c r="H2065" s="124"/>
      <c r="I2065" s="124"/>
      <c r="J2065" s="124"/>
      <c r="K2065" s="124"/>
      <c r="L2065" s="124"/>
      <c r="M2065" s="124"/>
      <c r="N2065" s="124"/>
      <c r="O2065" s="124"/>
      <c r="P2065" s="124"/>
      <c r="Q2065" s="124"/>
      <c r="R2065" s="124"/>
      <c r="S2065" s="124"/>
      <c r="T2065" s="124"/>
      <c r="U2065" s="124"/>
      <c r="V2065" s="124"/>
      <c r="W2065" s="124"/>
      <c r="X2065" s="124"/>
      <c r="Y2065" s="124"/>
    </row>
    <row r="2066">
      <c r="A2066" s="125"/>
      <c r="B2066" s="126"/>
      <c r="C2066" s="127"/>
      <c r="D2066" s="124"/>
      <c r="E2066" s="124"/>
      <c r="F2066" s="124"/>
      <c r="G2066" s="124"/>
      <c r="H2066" s="124"/>
      <c r="I2066" s="124"/>
      <c r="J2066" s="124"/>
      <c r="K2066" s="124"/>
      <c r="L2066" s="124"/>
      <c r="M2066" s="124"/>
      <c r="N2066" s="124"/>
      <c r="O2066" s="124"/>
      <c r="P2066" s="124"/>
      <c r="Q2066" s="124"/>
      <c r="R2066" s="124"/>
      <c r="S2066" s="124"/>
      <c r="T2066" s="124"/>
      <c r="U2066" s="124"/>
      <c r="V2066" s="124"/>
      <c r="W2066" s="124"/>
      <c r="X2066" s="124"/>
      <c r="Y2066" s="124"/>
    </row>
    <row r="2067">
      <c r="A2067" s="125"/>
      <c r="B2067" s="126"/>
      <c r="C2067" s="127"/>
      <c r="D2067" s="124"/>
      <c r="E2067" s="124"/>
      <c r="F2067" s="124"/>
      <c r="G2067" s="124"/>
      <c r="H2067" s="124"/>
      <c r="I2067" s="124"/>
      <c r="J2067" s="124"/>
      <c r="K2067" s="124"/>
      <c r="L2067" s="124"/>
      <c r="M2067" s="124"/>
      <c r="N2067" s="124"/>
      <c r="O2067" s="124"/>
      <c r="P2067" s="124"/>
      <c r="Q2067" s="124"/>
      <c r="R2067" s="124"/>
      <c r="S2067" s="124"/>
      <c r="T2067" s="124"/>
      <c r="U2067" s="124"/>
      <c r="V2067" s="124"/>
      <c r="W2067" s="124"/>
      <c r="X2067" s="124"/>
      <c r="Y2067" s="124"/>
    </row>
    <row r="2068">
      <c r="A2068" s="125"/>
      <c r="B2068" s="126"/>
      <c r="C2068" s="127"/>
      <c r="D2068" s="124"/>
      <c r="E2068" s="124"/>
      <c r="F2068" s="124"/>
      <c r="G2068" s="124"/>
      <c r="H2068" s="124"/>
      <c r="I2068" s="124"/>
      <c r="J2068" s="124"/>
      <c r="K2068" s="124"/>
      <c r="L2068" s="124"/>
      <c r="M2068" s="124"/>
      <c r="N2068" s="124"/>
      <c r="O2068" s="124"/>
      <c r="P2068" s="124"/>
      <c r="Q2068" s="124"/>
      <c r="R2068" s="124"/>
      <c r="S2068" s="124"/>
      <c r="T2068" s="124"/>
      <c r="U2068" s="124"/>
      <c r="V2068" s="124"/>
      <c r="W2068" s="124"/>
      <c r="X2068" s="124"/>
      <c r="Y2068" s="124"/>
    </row>
    <row r="2069">
      <c r="A2069" s="125"/>
      <c r="B2069" s="126"/>
      <c r="C2069" s="127"/>
      <c r="D2069" s="124"/>
      <c r="E2069" s="124"/>
      <c r="F2069" s="124"/>
      <c r="G2069" s="124"/>
      <c r="H2069" s="124"/>
      <c r="I2069" s="124"/>
      <c r="J2069" s="124"/>
      <c r="K2069" s="124"/>
      <c r="L2069" s="124"/>
      <c r="M2069" s="124"/>
      <c r="N2069" s="124"/>
      <c r="O2069" s="124"/>
      <c r="P2069" s="124"/>
      <c r="Q2069" s="124"/>
      <c r="R2069" s="124"/>
      <c r="S2069" s="124"/>
      <c r="T2069" s="124"/>
      <c r="U2069" s="124"/>
      <c r="V2069" s="124"/>
      <c r="W2069" s="124"/>
      <c r="X2069" s="124"/>
      <c r="Y2069" s="124"/>
    </row>
    <row r="2070">
      <c r="A2070" s="125"/>
      <c r="B2070" s="126"/>
      <c r="C2070" s="127"/>
      <c r="D2070" s="124"/>
      <c r="E2070" s="124"/>
      <c r="F2070" s="124"/>
      <c r="G2070" s="124"/>
      <c r="H2070" s="124"/>
      <c r="I2070" s="124"/>
      <c r="J2070" s="124"/>
      <c r="K2070" s="124"/>
      <c r="L2070" s="124"/>
      <c r="M2070" s="124"/>
      <c r="N2070" s="124"/>
      <c r="O2070" s="124"/>
      <c r="P2070" s="124"/>
      <c r="Q2070" s="124"/>
      <c r="R2070" s="124"/>
      <c r="S2070" s="124"/>
      <c r="T2070" s="124"/>
      <c r="U2070" s="124"/>
      <c r="V2070" s="124"/>
      <c r="W2070" s="124"/>
      <c r="X2070" s="124"/>
      <c r="Y2070" s="124"/>
    </row>
    <row r="2071">
      <c r="A2071" s="125"/>
      <c r="B2071" s="126"/>
      <c r="C2071" s="127"/>
      <c r="D2071" s="124"/>
      <c r="E2071" s="124"/>
      <c r="F2071" s="124"/>
      <c r="G2071" s="124"/>
      <c r="H2071" s="124"/>
      <c r="I2071" s="124"/>
      <c r="J2071" s="124"/>
      <c r="K2071" s="124"/>
      <c r="L2071" s="124"/>
      <c r="M2071" s="124"/>
      <c r="N2071" s="124"/>
      <c r="O2071" s="124"/>
      <c r="P2071" s="124"/>
      <c r="Q2071" s="124"/>
      <c r="R2071" s="124"/>
      <c r="S2071" s="124"/>
      <c r="T2071" s="124"/>
      <c r="U2071" s="124"/>
      <c r="V2071" s="124"/>
      <c r="W2071" s="124"/>
      <c r="X2071" s="124"/>
      <c r="Y2071" s="124"/>
    </row>
    <row r="2072">
      <c r="A2072" s="125"/>
      <c r="B2072" s="126"/>
      <c r="C2072" s="127"/>
      <c r="D2072" s="124"/>
      <c r="E2072" s="124"/>
      <c r="F2072" s="124"/>
      <c r="G2072" s="124"/>
      <c r="H2072" s="124"/>
      <c r="I2072" s="124"/>
      <c r="J2072" s="124"/>
      <c r="K2072" s="124"/>
      <c r="L2072" s="124"/>
      <c r="M2072" s="124"/>
      <c r="N2072" s="124"/>
      <c r="O2072" s="124"/>
      <c r="P2072" s="124"/>
      <c r="Q2072" s="124"/>
      <c r="R2072" s="124"/>
      <c r="S2072" s="124"/>
      <c r="T2072" s="124"/>
      <c r="U2072" s="124"/>
      <c r="V2072" s="124"/>
      <c r="W2072" s="124"/>
      <c r="X2072" s="124"/>
      <c r="Y2072" s="124"/>
    </row>
    <row r="2073">
      <c r="A2073" s="125"/>
      <c r="B2073" s="126"/>
      <c r="C2073" s="127"/>
      <c r="D2073" s="124"/>
      <c r="E2073" s="124"/>
      <c r="F2073" s="124"/>
      <c r="G2073" s="124"/>
      <c r="H2073" s="124"/>
      <c r="I2073" s="124"/>
      <c r="J2073" s="124"/>
      <c r="K2073" s="124"/>
      <c r="L2073" s="124"/>
      <c r="M2073" s="124"/>
      <c r="N2073" s="124"/>
      <c r="O2073" s="124"/>
      <c r="P2073" s="124"/>
      <c r="Q2073" s="124"/>
      <c r="R2073" s="124"/>
      <c r="S2073" s="124"/>
      <c r="T2073" s="124"/>
      <c r="U2073" s="124"/>
      <c r="V2073" s="124"/>
      <c r="W2073" s="124"/>
      <c r="X2073" s="124"/>
      <c r="Y2073" s="124"/>
    </row>
    <row r="2074">
      <c r="A2074" s="125"/>
      <c r="B2074" s="126"/>
      <c r="C2074" s="127"/>
      <c r="D2074" s="124"/>
      <c r="E2074" s="124"/>
      <c r="F2074" s="124"/>
      <c r="G2074" s="124"/>
      <c r="H2074" s="124"/>
      <c r="I2074" s="124"/>
      <c r="J2074" s="124"/>
      <c r="K2074" s="124"/>
      <c r="L2074" s="124"/>
      <c r="M2074" s="124"/>
      <c r="N2074" s="124"/>
      <c r="O2074" s="124"/>
      <c r="P2074" s="124"/>
      <c r="Q2074" s="124"/>
      <c r="R2074" s="124"/>
      <c r="S2074" s="124"/>
      <c r="T2074" s="124"/>
      <c r="U2074" s="124"/>
      <c r="V2074" s="124"/>
      <c r="W2074" s="124"/>
      <c r="X2074" s="124"/>
      <c r="Y2074" s="124"/>
    </row>
    <row r="2075">
      <c r="A2075" s="125"/>
      <c r="B2075" s="126"/>
      <c r="C2075" s="127"/>
      <c r="D2075" s="124"/>
      <c r="E2075" s="124"/>
      <c r="F2075" s="124"/>
      <c r="G2075" s="124"/>
      <c r="H2075" s="124"/>
      <c r="I2075" s="124"/>
      <c r="J2075" s="124"/>
      <c r="K2075" s="124"/>
      <c r="L2075" s="124"/>
      <c r="M2075" s="124"/>
      <c r="N2075" s="124"/>
      <c r="O2075" s="124"/>
      <c r="P2075" s="124"/>
      <c r="Q2075" s="124"/>
      <c r="R2075" s="124"/>
      <c r="S2075" s="124"/>
      <c r="T2075" s="124"/>
      <c r="U2075" s="124"/>
      <c r="V2075" s="124"/>
      <c r="W2075" s="124"/>
      <c r="X2075" s="124"/>
      <c r="Y2075" s="124"/>
    </row>
    <row r="2076">
      <c r="A2076" s="125"/>
      <c r="B2076" s="126"/>
      <c r="C2076" s="127"/>
      <c r="D2076" s="124"/>
      <c r="E2076" s="124"/>
      <c r="F2076" s="124"/>
      <c r="G2076" s="124"/>
      <c r="H2076" s="124"/>
      <c r="I2076" s="124"/>
      <c r="J2076" s="124"/>
      <c r="K2076" s="124"/>
      <c r="L2076" s="124"/>
      <c r="M2076" s="124"/>
      <c r="N2076" s="124"/>
      <c r="O2076" s="124"/>
      <c r="P2076" s="124"/>
      <c r="Q2076" s="124"/>
      <c r="R2076" s="124"/>
      <c r="S2076" s="124"/>
      <c r="T2076" s="124"/>
      <c r="U2076" s="124"/>
      <c r="V2076" s="124"/>
      <c r="W2076" s="124"/>
      <c r="X2076" s="124"/>
      <c r="Y2076" s="124"/>
    </row>
    <row r="2077">
      <c r="A2077" s="125"/>
      <c r="B2077" s="126"/>
      <c r="C2077" s="127"/>
      <c r="D2077" s="124"/>
      <c r="E2077" s="124"/>
      <c r="F2077" s="124"/>
      <c r="G2077" s="124"/>
      <c r="H2077" s="124"/>
      <c r="I2077" s="124"/>
      <c r="J2077" s="124"/>
      <c r="K2077" s="124"/>
      <c r="L2077" s="124"/>
      <c r="M2077" s="124"/>
      <c r="N2077" s="124"/>
      <c r="O2077" s="124"/>
      <c r="P2077" s="124"/>
      <c r="Q2077" s="124"/>
      <c r="R2077" s="124"/>
      <c r="S2077" s="124"/>
      <c r="T2077" s="124"/>
      <c r="U2077" s="124"/>
      <c r="V2077" s="124"/>
      <c r="W2077" s="124"/>
      <c r="X2077" s="124"/>
      <c r="Y2077" s="124"/>
    </row>
    <row r="2078">
      <c r="A2078" s="125"/>
      <c r="B2078" s="126"/>
      <c r="C2078" s="127"/>
      <c r="D2078" s="124"/>
      <c r="E2078" s="124"/>
      <c r="F2078" s="124"/>
      <c r="G2078" s="124"/>
      <c r="H2078" s="124"/>
      <c r="I2078" s="124"/>
      <c r="J2078" s="124"/>
      <c r="K2078" s="124"/>
      <c r="L2078" s="124"/>
      <c r="M2078" s="124"/>
      <c r="N2078" s="124"/>
      <c r="O2078" s="124"/>
      <c r="P2078" s="124"/>
      <c r="Q2078" s="124"/>
      <c r="R2078" s="124"/>
      <c r="S2078" s="124"/>
      <c r="T2078" s="124"/>
      <c r="U2078" s="124"/>
      <c r="V2078" s="124"/>
      <c r="W2078" s="124"/>
      <c r="X2078" s="124"/>
      <c r="Y2078" s="124"/>
    </row>
    <row r="2079">
      <c r="A2079" s="125"/>
      <c r="B2079" s="126"/>
      <c r="C2079" s="127"/>
      <c r="D2079" s="124"/>
      <c r="E2079" s="124"/>
      <c r="F2079" s="124"/>
      <c r="G2079" s="124"/>
      <c r="H2079" s="124"/>
      <c r="I2079" s="124"/>
      <c r="J2079" s="124"/>
      <c r="K2079" s="124"/>
      <c r="L2079" s="124"/>
      <c r="M2079" s="124"/>
      <c r="N2079" s="124"/>
      <c r="O2079" s="124"/>
      <c r="P2079" s="124"/>
      <c r="Q2079" s="124"/>
      <c r="R2079" s="124"/>
      <c r="S2079" s="124"/>
      <c r="T2079" s="124"/>
      <c r="U2079" s="124"/>
      <c r="V2079" s="124"/>
      <c r="W2079" s="124"/>
      <c r="X2079" s="124"/>
      <c r="Y2079" s="124"/>
    </row>
    <row r="2080">
      <c r="A2080" s="125"/>
      <c r="B2080" s="126"/>
      <c r="C2080" s="127"/>
      <c r="D2080" s="124"/>
      <c r="E2080" s="124"/>
      <c r="F2080" s="124"/>
      <c r="G2080" s="124"/>
      <c r="H2080" s="124"/>
      <c r="I2080" s="124"/>
      <c r="J2080" s="124"/>
      <c r="K2080" s="124"/>
      <c r="L2080" s="124"/>
      <c r="M2080" s="124"/>
      <c r="N2080" s="124"/>
      <c r="O2080" s="124"/>
      <c r="P2080" s="124"/>
      <c r="Q2080" s="124"/>
      <c r="R2080" s="124"/>
      <c r="S2080" s="124"/>
      <c r="T2080" s="124"/>
      <c r="U2080" s="124"/>
      <c r="V2080" s="124"/>
      <c r="W2080" s="124"/>
      <c r="X2080" s="124"/>
      <c r="Y2080" s="124"/>
    </row>
    <row r="2081">
      <c r="A2081" s="125"/>
      <c r="B2081" s="126"/>
      <c r="C2081" s="127"/>
      <c r="D2081" s="124"/>
      <c r="E2081" s="124"/>
      <c r="F2081" s="124"/>
      <c r="G2081" s="124"/>
      <c r="H2081" s="124"/>
      <c r="I2081" s="124"/>
      <c r="J2081" s="124"/>
      <c r="K2081" s="124"/>
      <c r="L2081" s="124"/>
      <c r="M2081" s="124"/>
      <c r="N2081" s="124"/>
      <c r="O2081" s="124"/>
      <c r="P2081" s="124"/>
      <c r="Q2081" s="124"/>
      <c r="R2081" s="124"/>
      <c r="S2081" s="124"/>
      <c r="T2081" s="124"/>
      <c r="U2081" s="124"/>
      <c r="V2081" s="124"/>
      <c r="W2081" s="124"/>
      <c r="X2081" s="124"/>
      <c r="Y2081" s="124"/>
    </row>
    <row r="2082">
      <c r="A2082" s="125"/>
      <c r="B2082" s="126"/>
      <c r="C2082" s="127"/>
      <c r="D2082" s="124"/>
      <c r="E2082" s="124"/>
      <c r="F2082" s="124"/>
      <c r="G2082" s="124"/>
      <c r="H2082" s="124"/>
      <c r="I2082" s="124"/>
      <c r="J2082" s="124"/>
      <c r="K2082" s="124"/>
      <c r="L2082" s="124"/>
      <c r="M2082" s="124"/>
      <c r="N2082" s="124"/>
      <c r="O2082" s="124"/>
      <c r="P2082" s="124"/>
      <c r="Q2082" s="124"/>
      <c r="R2082" s="124"/>
      <c r="S2082" s="124"/>
      <c r="T2082" s="124"/>
      <c r="U2082" s="124"/>
      <c r="V2082" s="124"/>
      <c r="W2082" s="124"/>
      <c r="X2082" s="124"/>
      <c r="Y2082" s="124"/>
    </row>
    <row r="2083">
      <c r="A2083" s="125"/>
      <c r="B2083" s="126"/>
      <c r="C2083" s="127"/>
      <c r="D2083" s="124"/>
      <c r="E2083" s="124"/>
      <c r="F2083" s="124"/>
      <c r="G2083" s="124"/>
      <c r="H2083" s="124"/>
      <c r="I2083" s="124"/>
      <c r="J2083" s="124"/>
      <c r="K2083" s="124"/>
      <c r="L2083" s="124"/>
      <c r="M2083" s="124"/>
      <c r="N2083" s="124"/>
      <c r="O2083" s="124"/>
      <c r="P2083" s="124"/>
      <c r="Q2083" s="124"/>
      <c r="R2083" s="124"/>
      <c r="S2083" s="124"/>
      <c r="T2083" s="124"/>
      <c r="U2083" s="124"/>
      <c r="V2083" s="124"/>
      <c r="W2083" s="124"/>
      <c r="X2083" s="124"/>
      <c r="Y2083" s="124"/>
    </row>
    <row r="2084">
      <c r="A2084" s="125"/>
      <c r="B2084" s="126"/>
      <c r="C2084" s="127"/>
      <c r="D2084" s="124"/>
      <c r="E2084" s="124"/>
      <c r="F2084" s="124"/>
      <c r="G2084" s="124"/>
      <c r="H2084" s="124"/>
      <c r="I2084" s="124"/>
      <c r="J2084" s="124"/>
      <c r="K2084" s="124"/>
      <c r="L2084" s="124"/>
      <c r="M2084" s="124"/>
      <c r="N2084" s="124"/>
      <c r="O2084" s="124"/>
      <c r="P2084" s="124"/>
      <c r="Q2084" s="124"/>
      <c r="R2084" s="124"/>
      <c r="S2084" s="124"/>
      <c r="T2084" s="124"/>
      <c r="U2084" s="124"/>
      <c r="V2084" s="124"/>
      <c r="W2084" s="124"/>
      <c r="X2084" s="124"/>
      <c r="Y2084" s="124"/>
    </row>
    <row r="2085">
      <c r="A2085" s="125"/>
      <c r="B2085" s="126"/>
      <c r="C2085" s="127"/>
      <c r="D2085" s="124"/>
      <c r="E2085" s="124"/>
      <c r="F2085" s="124"/>
      <c r="G2085" s="124"/>
      <c r="H2085" s="124"/>
      <c r="I2085" s="124"/>
      <c r="J2085" s="124"/>
      <c r="K2085" s="124"/>
      <c r="L2085" s="124"/>
      <c r="M2085" s="124"/>
      <c r="N2085" s="124"/>
      <c r="O2085" s="124"/>
      <c r="P2085" s="124"/>
      <c r="Q2085" s="124"/>
      <c r="R2085" s="124"/>
      <c r="S2085" s="124"/>
      <c r="T2085" s="124"/>
      <c r="U2085" s="124"/>
      <c r="V2085" s="124"/>
      <c r="W2085" s="124"/>
      <c r="X2085" s="124"/>
      <c r="Y2085" s="124"/>
    </row>
    <row r="2086">
      <c r="A2086" s="125"/>
      <c r="B2086" s="126"/>
      <c r="C2086" s="127"/>
      <c r="D2086" s="124"/>
      <c r="E2086" s="124"/>
      <c r="F2086" s="124"/>
      <c r="G2086" s="124"/>
      <c r="H2086" s="124"/>
      <c r="I2086" s="124"/>
      <c r="J2086" s="124"/>
      <c r="K2086" s="124"/>
      <c r="L2086" s="124"/>
      <c r="M2086" s="124"/>
      <c r="N2086" s="124"/>
      <c r="O2086" s="124"/>
      <c r="P2086" s="124"/>
      <c r="Q2086" s="124"/>
      <c r="R2086" s="124"/>
      <c r="S2086" s="124"/>
      <c r="T2086" s="124"/>
      <c r="U2086" s="124"/>
      <c r="V2086" s="124"/>
      <c r="W2086" s="124"/>
      <c r="X2086" s="124"/>
      <c r="Y2086" s="124"/>
    </row>
    <row r="2087">
      <c r="A2087" s="125"/>
      <c r="B2087" s="126"/>
      <c r="C2087" s="127"/>
      <c r="D2087" s="124"/>
      <c r="E2087" s="124"/>
      <c r="F2087" s="124"/>
      <c r="G2087" s="124"/>
      <c r="H2087" s="124"/>
      <c r="I2087" s="124"/>
      <c r="J2087" s="124"/>
      <c r="K2087" s="124"/>
      <c r="L2087" s="124"/>
      <c r="M2087" s="124"/>
      <c r="N2087" s="124"/>
      <c r="O2087" s="124"/>
      <c r="P2087" s="124"/>
      <c r="Q2087" s="124"/>
      <c r="R2087" s="124"/>
      <c r="S2087" s="124"/>
      <c r="T2087" s="124"/>
      <c r="U2087" s="124"/>
      <c r="V2087" s="124"/>
      <c r="W2087" s="124"/>
      <c r="X2087" s="124"/>
      <c r="Y2087" s="124"/>
    </row>
    <row r="2088">
      <c r="A2088" s="125"/>
      <c r="B2088" s="126"/>
      <c r="C2088" s="127"/>
      <c r="D2088" s="124"/>
      <c r="E2088" s="124"/>
      <c r="F2088" s="124"/>
      <c r="G2088" s="124"/>
      <c r="H2088" s="124"/>
      <c r="I2088" s="124"/>
      <c r="J2088" s="124"/>
      <c r="K2088" s="124"/>
      <c r="L2088" s="124"/>
      <c r="M2088" s="124"/>
      <c r="N2088" s="124"/>
      <c r="O2088" s="124"/>
      <c r="P2088" s="124"/>
      <c r="Q2088" s="124"/>
      <c r="R2088" s="124"/>
      <c r="S2088" s="124"/>
      <c r="T2088" s="124"/>
      <c r="U2088" s="124"/>
      <c r="V2088" s="124"/>
      <c r="W2088" s="124"/>
      <c r="X2088" s="124"/>
      <c r="Y2088" s="124"/>
    </row>
    <row r="2089">
      <c r="A2089" s="125"/>
      <c r="B2089" s="126"/>
      <c r="C2089" s="127"/>
      <c r="D2089" s="124"/>
      <c r="E2089" s="124"/>
      <c r="F2089" s="124"/>
      <c r="G2089" s="124"/>
      <c r="H2089" s="124"/>
      <c r="I2089" s="124"/>
      <c r="J2089" s="124"/>
      <c r="K2089" s="124"/>
      <c r="L2089" s="124"/>
      <c r="M2089" s="124"/>
      <c r="N2089" s="124"/>
      <c r="O2089" s="124"/>
      <c r="P2089" s="124"/>
      <c r="Q2089" s="124"/>
      <c r="R2089" s="124"/>
      <c r="S2089" s="124"/>
      <c r="T2089" s="124"/>
      <c r="U2089" s="124"/>
      <c r="V2089" s="124"/>
      <c r="W2089" s="124"/>
      <c r="X2089" s="124"/>
      <c r="Y2089" s="124"/>
    </row>
    <row r="2090">
      <c r="A2090" s="125"/>
      <c r="B2090" s="126"/>
      <c r="C2090" s="127"/>
      <c r="D2090" s="124"/>
      <c r="E2090" s="124"/>
      <c r="F2090" s="124"/>
      <c r="G2090" s="124"/>
      <c r="H2090" s="124"/>
      <c r="I2090" s="124"/>
      <c r="J2090" s="124"/>
      <c r="K2090" s="124"/>
      <c r="L2090" s="124"/>
      <c r="M2090" s="124"/>
      <c r="N2090" s="124"/>
      <c r="O2090" s="124"/>
      <c r="P2090" s="124"/>
      <c r="Q2090" s="124"/>
      <c r="R2090" s="124"/>
      <c r="S2090" s="124"/>
      <c r="T2090" s="124"/>
      <c r="U2090" s="124"/>
      <c r="V2090" s="124"/>
      <c r="W2090" s="124"/>
      <c r="X2090" s="124"/>
      <c r="Y2090" s="124"/>
    </row>
    <row r="2091">
      <c r="A2091" s="125"/>
      <c r="B2091" s="126"/>
      <c r="C2091" s="127"/>
      <c r="D2091" s="124"/>
      <c r="E2091" s="124"/>
      <c r="F2091" s="124"/>
      <c r="G2091" s="124"/>
      <c r="H2091" s="124"/>
      <c r="I2091" s="124"/>
      <c r="J2091" s="124"/>
      <c r="K2091" s="124"/>
      <c r="L2091" s="124"/>
      <c r="M2091" s="124"/>
      <c r="N2091" s="124"/>
      <c r="O2091" s="124"/>
      <c r="P2091" s="124"/>
      <c r="Q2091" s="124"/>
      <c r="R2091" s="124"/>
      <c r="S2091" s="124"/>
      <c r="T2091" s="124"/>
      <c r="U2091" s="124"/>
      <c r="V2091" s="124"/>
      <c r="W2091" s="124"/>
      <c r="X2091" s="124"/>
      <c r="Y2091" s="124"/>
    </row>
    <row r="2092">
      <c r="A2092" s="125"/>
      <c r="B2092" s="126"/>
      <c r="C2092" s="127"/>
      <c r="D2092" s="124"/>
      <c r="E2092" s="124"/>
      <c r="F2092" s="124"/>
      <c r="G2092" s="124"/>
      <c r="H2092" s="124"/>
      <c r="I2092" s="124"/>
      <c r="J2092" s="124"/>
      <c r="K2092" s="124"/>
      <c r="L2092" s="124"/>
      <c r="M2092" s="124"/>
      <c r="N2092" s="124"/>
      <c r="O2092" s="124"/>
      <c r="P2092" s="124"/>
      <c r="Q2092" s="124"/>
      <c r="R2092" s="124"/>
      <c r="S2092" s="124"/>
      <c r="T2092" s="124"/>
      <c r="U2092" s="124"/>
      <c r="V2092" s="124"/>
      <c r="W2092" s="124"/>
      <c r="X2092" s="124"/>
      <c r="Y2092" s="124"/>
    </row>
    <row r="2093">
      <c r="A2093" s="125"/>
      <c r="B2093" s="126"/>
      <c r="C2093" s="127"/>
      <c r="D2093" s="124"/>
      <c r="E2093" s="124"/>
      <c r="F2093" s="124"/>
      <c r="G2093" s="124"/>
      <c r="H2093" s="124"/>
      <c r="I2093" s="124"/>
      <c r="J2093" s="124"/>
      <c r="K2093" s="124"/>
      <c r="L2093" s="124"/>
      <c r="M2093" s="124"/>
      <c r="N2093" s="124"/>
      <c r="O2093" s="124"/>
      <c r="P2093" s="124"/>
      <c r="Q2093" s="124"/>
      <c r="R2093" s="124"/>
      <c r="S2093" s="124"/>
      <c r="T2093" s="124"/>
      <c r="U2093" s="124"/>
      <c r="V2093" s="124"/>
      <c r="W2093" s="124"/>
      <c r="X2093" s="124"/>
      <c r="Y2093" s="124"/>
    </row>
    <row r="2094">
      <c r="A2094" s="125"/>
      <c r="B2094" s="126"/>
      <c r="C2094" s="127"/>
      <c r="D2094" s="124"/>
      <c r="E2094" s="124"/>
      <c r="F2094" s="124"/>
      <c r="G2094" s="124"/>
      <c r="H2094" s="124"/>
      <c r="I2094" s="124"/>
      <c r="J2094" s="124"/>
      <c r="K2094" s="124"/>
      <c r="L2094" s="124"/>
      <c r="M2094" s="124"/>
      <c r="N2094" s="124"/>
      <c r="O2094" s="124"/>
      <c r="P2094" s="124"/>
      <c r="Q2094" s="124"/>
      <c r="R2094" s="124"/>
      <c r="S2094" s="124"/>
      <c r="T2094" s="124"/>
      <c r="U2094" s="124"/>
      <c r="V2094" s="124"/>
      <c r="W2094" s="124"/>
      <c r="X2094" s="124"/>
      <c r="Y2094" s="124"/>
    </row>
    <row r="2095">
      <c r="A2095" s="125"/>
      <c r="B2095" s="126"/>
      <c r="C2095" s="127"/>
      <c r="D2095" s="124"/>
      <c r="E2095" s="124"/>
      <c r="F2095" s="124"/>
      <c r="G2095" s="124"/>
      <c r="H2095" s="124"/>
      <c r="I2095" s="124"/>
      <c r="J2095" s="124"/>
      <c r="K2095" s="124"/>
      <c r="L2095" s="124"/>
      <c r="M2095" s="124"/>
      <c r="N2095" s="124"/>
      <c r="O2095" s="124"/>
      <c r="P2095" s="124"/>
      <c r="Q2095" s="124"/>
      <c r="R2095" s="124"/>
      <c r="S2095" s="124"/>
      <c r="T2095" s="124"/>
      <c r="U2095" s="124"/>
      <c r="V2095" s="124"/>
      <c r="W2095" s="124"/>
      <c r="X2095" s="124"/>
      <c r="Y2095" s="124"/>
    </row>
    <row r="2096">
      <c r="A2096" s="125"/>
      <c r="B2096" s="126"/>
      <c r="C2096" s="127"/>
      <c r="D2096" s="124"/>
      <c r="E2096" s="124"/>
      <c r="F2096" s="124"/>
      <c r="G2096" s="124"/>
      <c r="H2096" s="124"/>
      <c r="I2096" s="124"/>
      <c r="J2096" s="124"/>
      <c r="K2096" s="124"/>
      <c r="L2096" s="124"/>
      <c r="M2096" s="124"/>
      <c r="N2096" s="124"/>
      <c r="O2096" s="124"/>
      <c r="P2096" s="124"/>
      <c r="Q2096" s="124"/>
      <c r="R2096" s="124"/>
      <c r="S2096" s="124"/>
      <c r="T2096" s="124"/>
      <c r="U2096" s="124"/>
      <c r="V2096" s="124"/>
      <c r="W2096" s="124"/>
      <c r="X2096" s="124"/>
      <c r="Y2096" s="124"/>
    </row>
    <row r="2097">
      <c r="A2097" s="125"/>
      <c r="B2097" s="126"/>
      <c r="C2097" s="127"/>
      <c r="D2097" s="124"/>
      <c r="E2097" s="124"/>
      <c r="F2097" s="124"/>
      <c r="G2097" s="124"/>
      <c r="H2097" s="124"/>
      <c r="I2097" s="124"/>
      <c r="J2097" s="124"/>
      <c r="K2097" s="124"/>
      <c r="L2097" s="124"/>
      <c r="M2097" s="124"/>
      <c r="N2097" s="124"/>
      <c r="O2097" s="124"/>
      <c r="P2097" s="124"/>
      <c r="Q2097" s="124"/>
      <c r="R2097" s="124"/>
      <c r="S2097" s="124"/>
      <c r="T2097" s="124"/>
      <c r="U2097" s="124"/>
      <c r="V2097" s="124"/>
      <c r="W2097" s="124"/>
      <c r="X2097" s="124"/>
      <c r="Y2097" s="124"/>
    </row>
    <row r="2098">
      <c r="A2098" s="125"/>
      <c r="B2098" s="126"/>
      <c r="C2098" s="127"/>
      <c r="D2098" s="124"/>
      <c r="E2098" s="124"/>
      <c r="F2098" s="124"/>
      <c r="G2098" s="124"/>
      <c r="H2098" s="124"/>
      <c r="I2098" s="124"/>
      <c r="J2098" s="124"/>
      <c r="K2098" s="124"/>
      <c r="L2098" s="124"/>
      <c r="M2098" s="124"/>
      <c r="N2098" s="124"/>
      <c r="O2098" s="124"/>
      <c r="P2098" s="124"/>
      <c r="Q2098" s="124"/>
      <c r="R2098" s="124"/>
      <c r="S2098" s="124"/>
      <c r="T2098" s="124"/>
      <c r="U2098" s="124"/>
      <c r="V2098" s="124"/>
      <c r="W2098" s="124"/>
      <c r="X2098" s="124"/>
      <c r="Y2098" s="124"/>
    </row>
    <row r="2099">
      <c r="A2099" s="125"/>
      <c r="B2099" s="126"/>
      <c r="C2099" s="127"/>
      <c r="D2099" s="124"/>
      <c r="E2099" s="124"/>
      <c r="F2099" s="124"/>
      <c r="G2099" s="124"/>
      <c r="H2099" s="124"/>
      <c r="I2099" s="124"/>
      <c r="J2099" s="124"/>
      <c r="K2099" s="124"/>
      <c r="L2099" s="124"/>
      <c r="M2099" s="124"/>
      <c r="N2099" s="124"/>
      <c r="O2099" s="124"/>
      <c r="P2099" s="124"/>
      <c r="Q2099" s="124"/>
      <c r="R2099" s="124"/>
      <c r="S2099" s="124"/>
      <c r="T2099" s="124"/>
      <c r="U2099" s="124"/>
      <c r="V2099" s="124"/>
      <c r="W2099" s="124"/>
      <c r="X2099" s="124"/>
      <c r="Y2099" s="124"/>
    </row>
    <row r="2100">
      <c r="A2100" s="125"/>
      <c r="B2100" s="126"/>
      <c r="C2100" s="127"/>
      <c r="D2100" s="124"/>
      <c r="E2100" s="124"/>
      <c r="F2100" s="124"/>
      <c r="G2100" s="124"/>
      <c r="H2100" s="124"/>
      <c r="I2100" s="124"/>
      <c r="J2100" s="124"/>
      <c r="K2100" s="124"/>
      <c r="L2100" s="124"/>
      <c r="M2100" s="124"/>
      <c r="N2100" s="124"/>
      <c r="O2100" s="124"/>
      <c r="P2100" s="124"/>
      <c r="Q2100" s="124"/>
      <c r="R2100" s="124"/>
      <c r="S2100" s="124"/>
      <c r="T2100" s="124"/>
      <c r="U2100" s="124"/>
      <c r="V2100" s="124"/>
      <c r="W2100" s="124"/>
      <c r="X2100" s="124"/>
      <c r="Y2100" s="124"/>
    </row>
    <row r="2101">
      <c r="A2101" s="125"/>
      <c r="B2101" s="126"/>
      <c r="C2101" s="127"/>
      <c r="D2101" s="124"/>
      <c r="E2101" s="124"/>
      <c r="F2101" s="124"/>
      <c r="G2101" s="124"/>
      <c r="H2101" s="124"/>
      <c r="I2101" s="124"/>
      <c r="J2101" s="124"/>
      <c r="K2101" s="124"/>
      <c r="L2101" s="124"/>
      <c r="M2101" s="124"/>
      <c r="N2101" s="124"/>
      <c r="O2101" s="124"/>
      <c r="P2101" s="124"/>
      <c r="Q2101" s="124"/>
      <c r="R2101" s="124"/>
      <c r="S2101" s="124"/>
      <c r="T2101" s="124"/>
      <c r="U2101" s="124"/>
      <c r="V2101" s="124"/>
      <c r="W2101" s="124"/>
      <c r="X2101" s="124"/>
      <c r="Y2101" s="124"/>
    </row>
    <row r="2102">
      <c r="A2102" s="125"/>
      <c r="B2102" s="126"/>
      <c r="C2102" s="127"/>
      <c r="D2102" s="124"/>
      <c r="E2102" s="124"/>
      <c r="F2102" s="124"/>
      <c r="G2102" s="124"/>
      <c r="H2102" s="124"/>
      <c r="I2102" s="124"/>
      <c r="J2102" s="124"/>
      <c r="K2102" s="124"/>
      <c r="L2102" s="124"/>
      <c r="M2102" s="124"/>
      <c r="N2102" s="124"/>
      <c r="O2102" s="124"/>
      <c r="P2102" s="124"/>
      <c r="Q2102" s="124"/>
      <c r="R2102" s="124"/>
      <c r="S2102" s="124"/>
      <c r="T2102" s="124"/>
      <c r="U2102" s="124"/>
      <c r="V2102" s="124"/>
      <c r="W2102" s="124"/>
      <c r="X2102" s="124"/>
      <c r="Y2102" s="124"/>
    </row>
    <row r="2103">
      <c r="A2103" s="125"/>
      <c r="B2103" s="126"/>
      <c r="C2103" s="127"/>
      <c r="D2103" s="124"/>
      <c r="E2103" s="124"/>
      <c r="F2103" s="124"/>
      <c r="G2103" s="124"/>
      <c r="H2103" s="124"/>
      <c r="I2103" s="124"/>
      <c r="J2103" s="124"/>
      <c r="K2103" s="124"/>
      <c r="L2103" s="124"/>
      <c r="M2103" s="124"/>
      <c r="N2103" s="124"/>
      <c r="O2103" s="124"/>
      <c r="P2103" s="124"/>
      <c r="Q2103" s="124"/>
      <c r="R2103" s="124"/>
      <c r="S2103" s="124"/>
      <c r="T2103" s="124"/>
      <c r="U2103" s="124"/>
      <c r="V2103" s="124"/>
      <c r="W2103" s="124"/>
      <c r="X2103" s="124"/>
      <c r="Y2103" s="124"/>
    </row>
    <row r="2104">
      <c r="A2104" s="125"/>
      <c r="B2104" s="126"/>
      <c r="C2104" s="127"/>
      <c r="D2104" s="124"/>
      <c r="E2104" s="124"/>
      <c r="F2104" s="124"/>
      <c r="G2104" s="124"/>
      <c r="H2104" s="124"/>
      <c r="I2104" s="124"/>
      <c r="J2104" s="124"/>
      <c r="K2104" s="124"/>
      <c r="L2104" s="124"/>
      <c r="M2104" s="124"/>
      <c r="N2104" s="124"/>
      <c r="O2104" s="124"/>
      <c r="P2104" s="124"/>
      <c r="Q2104" s="124"/>
      <c r="R2104" s="124"/>
      <c r="S2104" s="124"/>
      <c r="T2104" s="124"/>
      <c r="U2104" s="124"/>
      <c r="V2104" s="124"/>
      <c r="W2104" s="124"/>
      <c r="X2104" s="124"/>
      <c r="Y2104" s="124"/>
    </row>
    <row r="2105">
      <c r="A2105" s="125"/>
      <c r="B2105" s="126"/>
      <c r="C2105" s="127"/>
      <c r="D2105" s="124"/>
      <c r="E2105" s="124"/>
      <c r="F2105" s="124"/>
      <c r="G2105" s="124"/>
      <c r="H2105" s="124"/>
      <c r="I2105" s="124"/>
      <c r="J2105" s="124"/>
      <c r="K2105" s="124"/>
      <c r="L2105" s="124"/>
      <c r="M2105" s="124"/>
      <c r="N2105" s="124"/>
      <c r="O2105" s="124"/>
      <c r="P2105" s="124"/>
      <c r="Q2105" s="124"/>
      <c r="R2105" s="124"/>
      <c r="S2105" s="124"/>
      <c r="T2105" s="124"/>
      <c r="U2105" s="124"/>
      <c r="V2105" s="124"/>
      <c r="W2105" s="124"/>
      <c r="X2105" s="124"/>
      <c r="Y2105" s="124"/>
    </row>
    <row r="2106">
      <c r="A2106" s="125"/>
      <c r="B2106" s="126"/>
      <c r="C2106" s="127"/>
      <c r="D2106" s="124"/>
      <c r="E2106" s="124"/>
      <c r="F2106" s="124"/>
      <c r="G2106" s="124"/>
      <c r="H2106" s="124"/>
      <c r="I2106" s="124"/>
      <c r="J2106" s="124"/>
      <c r="K2106" s="124"/>
      <c r="L2106" s="124"/>
      <c r="M2106" s="124"/>
      <c r="N2106" s="124"/>
      <c r="O2106" s="124"/>
      <c r="P2106" s="124"/>
      <c r="Q2106" s="124"/>
      <c r="R2106" s="124"/>
      <c r="S2106" s="124"/>
      <c r="T2106" s="124"/>
      <c r="U2106" s="124"/>
      <c r="V2106" s="124"/>
      <c r="W2106" s="124"/>
      <c r="X2106" s="124"/>
      <c r="Y2106" s="124"/>
    </row>
    <row r="2107">
      <c r="A2107" s="125"/>
      <c r="B2107" s="126"/>
      <c r="C2107" s="127"/>
      <c r="D2107" s="124"/>
      <c r="E2107" s="124"/>
      <c r="F2107" s="124"/>
      <c r="G2107" s="124"/>
      <c r="H2107" s="124"/>
      <c r="I2107" s="124"/>
      <c r="J2107" s="124"/>
      <c r="K2107" s="124"/>
      <c r="L2107" s="124"/>
      <c r="M2107" s="124"/>
      <c r="N2107" s="124"/>
      <c r="O2107" s="124"/>
      <c r="P2107" s="124"/>
      <c r="Q2107" s="124"/>
      <c r="R2107" s="124"/>
      <c r="S2107" s="124"/>
      <c r="T2107" s="124"/>
      <c r="U2107" s="124"/>
      <c r="V2107" s="124"/>
      <c r="W2107" s="124"/>
      <c r="X2107" s="124"/>
      <c r="Y2107" s="124"/>
    </row>
    <row r="2108">
      <c r="A2108" s="125"/>
      <c r="B2108" s="126"/>
      <c r="C2108" s="127"/>
      <c r="D2108" s="124"/>
      <c r="E2108" s="124"/>
      <c r="F2108" s="124"/>
      <c r="G2108" s="124"/>
      <c r="H2108" s="124"/>
      <c r="I2108" s="124"/>
      <c r="J2108" s="124"/>
      <c r="K2108" s="124"/>
      <c r="L2108" s="124"/>
      <c r="M2108" s="124"/>
      <c r="N2108" s="124"/>
      <c r="O2108" s="124"/>
      <c r="P2108" s="124"/>
      <c r="Q2108" s="124"/>
      <c r="R2108" s="124"/>
      <c r="S2108" s="124"/>
      <c r="T2108" s="124"/>
      <c r="U2108" s="124"/>
      <c r="V2108" s="124"/>
      <c r="W2108" s="124"/>
      <c r="X2108" s="124"/>
      <c r="Y2108" s="124"/>
    </row>
    <row r="2109">
      <c r="A2109" s="125"/>
      <c r="B2109" s="126"/>
      <c r="C2109" s="127"/>
      <c r="D2109" s="124"/>
      <c r="E2109" s="124"/>
      <c r="F2109" s="124"/>
      <c r="G2109" s="124"/>
      <c r="H2109" s="124"/>
      <c r="I2109" s="124"/>
      <c r="J2109" s="124"/>
      <c r="K2109" s="124"/>
      <c r="L2109" s="124"/>
      <c r="M2109" s="124"/>
      <c r="N2109" s="124"/>
      <c r="O2109" s="124"/>
      <c r="P2109" s="124"/>
      <c r="Q2109" s="124"/>
      <c r="R2109" s="124"/>
      <c r="S2109" s="124"/>
      <c r="T2109" s="124"/>
      <c r="U2109" s="124"/>
      <c r="V2109" s="124"/>
      <c r="W2109" s="124"/>
      <c r="X2109" s="124"/>
      <c r="Y2109" s="124"/>
    </row>
    <row r="2110">
      <c r="A2110" s="125"/>
      <c r="B2110" s="126"/>
      <c r="C2110" s="127"/>
      <c r="D2110" s="124"/>
      <c r="E2110" s="124"/>
      <c r="F2110" s="124"/>
      <c r="G2110" s="124"/>
      <c r="H2110" s="124"/>
      <c r="I2110" s="124"/>
      <c r="J2110" s="124"/>
      <c r="K2110" s="124"/>
      <c r="L2110" s="124"/>
      <c r="M2110" s="124"/>
      <c r="N2110" s="124"/>
      <c r="O2110" s="124"/>
      <c r="P2110" s="124"/>
      <c r="Q2110" s="124"/>
      <c r="R2110" s="124"/>
      <c r="S2110" s="124"/>
      <c r="T2110" s="124"/>
      <c r="U2110" s="124"/>
      <c r="V2110" s="124"/>
      <c r="W2110" s="124"/>
      <c r="X2110" s="124"/>
      <c r="Y2110" s="124"/>
    </row>
    <row r="2111">
      <c r="A2111" s="125"/>
      <c r="B2111" s="126"/>
      <c r="C2111" s="127"/>
      <c r="D2111" s="124"/>
      <c r="E2111" s="124"/>
      <c r="F2111" s="124"/>
      <c r="G2111" s="124"/>
      <c r="H2111" s="124"/>
      <c r="I2111" s="124"/>
      <c r="J2111" s="124"/>
      <c r="K2111" s="124"/>
      <c r="L2111" s="124"/>
      <c r="M2111" s="124"/>
      <c r="N2111" s="124"/>
      <c r="O2111" s="124"/>
      <c r="P2111" s="124"/>
      <c r="Q2111" s="124"/>
      <c r="R2111" s="124"/>
      <c r="S2111" s="124"/>
      <c r="T2111" s="124"/>
      <c r="U2111" s="124"/>
      <c r="V2111" s="124"/>
      <c r="W2111" s="124"/>
      <c r="X2111" s="124"/>
      <c r="Y2111" s="124"/>
    </row>
    <row r="2112">
      <c r="A2112" s="125"/>
      <c r="B2112" s="126"/>
      <c r="C2112" s="127"/>
      <c r="D2112" s="124"/>
      <c r="E2112" s="124"/>
      <c r="F2112" s="124"/>
      <c r="G2112" s="124"/>
      <c r="H2112" s="124"/>
      <c r="I2112" s="124"/>
      <c r="J2112" s="124"/>
      <c r="K2112" s="124"/>
      <c r="L2112" s="124"/>
      <c r="M2112" s="124"/>
      <c r="N2112" s="124"/>
      <c r="O2112" s="124"/>
      <c r="P2112" s="124"/>
      <c r="Q2112" s="124"/>
      <c r="R2112" s="124"/>
      <c r="S2112" s="124"/>
      <c r="T2112" s="124"/>
      <c r="U2112" s="124"/>
      <c r="V2112" s="124"/>
      <c r="W2112" s="124"/>
      <c r="X2112" s="124"/>
      <c r="Y2112" s="124"/>
    </row>
    <row r="2113">
      <c r="A2113" s="125"/>
      <c r="B2113" s="126"/>
      <c r="C2113" s="127"/>
      <c r="D2113" s="124"/>
      <c r="E2113" s="124"/>
      <c r="F2113" s="124"/>
      <c r="G2113" s="124"/>
      <c r="H2113" s="124"/>
      <c r="I2113" s="124"/>
      <c r="J2113" s="124"/>
      <c r="K2113" s="124"/>
      <c r="L2113" s="124"/>
      <c r="M2113" s="124"/>
      <c r="N2113" s="124"/>
      <c r="O2113" s="124"/>
      <c r="P2113" s="124"/>
      <c r="Q2113" s="124"/>
      <c r="R2113" s="124"/>
      <c r="S2113" s="124"/>
      <c r="T2113" s="124"/>
      <c r="U2113" s="124"/>
      <c r="V2113" s="124"/>
      <c r="W2113" s="124"/>
      <c r="X2113" s="124"/>
      <c r="Y2113" s="124"/>
    </row>
    <row r="2114">
      <c r="A2114" s="125"/>
      <c r="B2114" s="126"/>
      <c r="C2114" s="127"/>
      <c r="D2114" s="124"/>
      <c r="E2114" s="124"/>
      <c r="F2114" s="124"/>
      <c r="G2114" s="124"/>
      <c r="H2114" s="124"/>
      <c r="I2114" s="124"/>
      <c r="J2114" s="124"/>
      <c r="K2114" s="124"/>
      <c r="L2114" s="124"/>
      <c r="M2114" s="124"/>
      <c r="N2114" s="124"/>
      <c r="O2114" s="124"/>
      <c r="P2114" s="124"/>
      <c r="Q2114" s="124"/>
      <c r="R2114" s="124"/>
      <c r="S2114" s="124"/>
      <c r="T2114" s="124"/>
      <c r="U2114" s="124"/>
      <c r="V2114" s="124"/>
      <c r="W2114" s="124"/>
      <c r="X2114" s="124"/>
      <c r="Y2114" s="124"/>
    </row>
    <row r="2115">
      <c r="A2115" s="125"/>
      <c r="B2115" s="126"/>
      <c r="C2115" s="127"/>
      <c r="D2115" s="124"/>
      <c r="E2115" s="124"/>
      <c r="F2115" s="124"/>
      <c r="G2115" s="124"/>
      <c r="H2115" s="124"/>
      <c r="I2115" s="124"/>
      <c r="J2115" s="124"/>
      <c r="K2115" s="124"/>
      <c r="L2115" s="124"/>
      <c r="M2115" s="124"/>
      <c r="N2115" s="124"/>
      <c r="O2115" s="124"/>
      <c r="P2115" s="124"/>
      <c r="Q2115" s="124"/>
      <c r="R2115" s="124"/>
      <c r="S2115" s="124"/>
      <c r="T2115" s="124"/>
      <c r="U2115" s="124"/>
      <c r="V2115" s="124"/>
      <c r="W2115" s="124"/>
      <c r="X2115" s="124"/>
      <c r="Y2115" s="124"/>
    </row>
    <row r="2116">
      <c r="A2116" s="125"/>
      <c r="B2116" s="126"/>
      <c r="C2116" s="127"/>
      <c r="D2116" s="124"/>
      <c r="E2116" s="124"/>
      <c r="F2116" s="124"/>
      <c r="G2116" s="124"/>
      <c r="H2116" s="124"/>
      <c r="I2116" s="124"/>
      <c r="J2116" s="124"/>
      <c r="K2116" s="124"/>
      <c r="L2116" s="124"/>
      <c r="M2116" s="124"/>
      <c r="N2116" s="124"/>
      <c r="O2116" s="124"/>
      <c r="P2116" s="124"/>
      <c r="Q2116" s="124"/>
      <c r="R2116" s="124"/>
      <c r="S2116" s="124"/>
      <c r="T2116" s="124"/>
      <c r="U2116" s="124"/>
      <c r="V2116" s="124"/>
      <c r="W2116" s="124"/>
      <c r="X2116" s="124"/>
      <c r="Y2116" s="124"/>
    </row>
    <row r="2117">
      <c r="A2117" s="125"/>
      <c r="B2117" s="126"/>
      <c r="C2117" s="127"/>
      <c r="D2117" s="124"/>
      <c r="E2117" s="124"/>
      <c r="F2117" s="124"/>
      <c r="G2117" s="124"/>
      <c r="H2117" s="124"/>
      <c r="I2117" s="124"/>
      <c r="J2117" s="124"/>
      <c r="K2117" s="124"/>
      <c r="L2117" s="124"/>
      <c r="M2117" s="124"/>
      <c r="N2117" s="124"/>
      <c r="O2117" s="124"/>
      <c r="P2117" s="124"/>
      <c r="Q2117" s="124"/>
      <c r="R2117" s="124"/>
      <c r="S2117" s="124"/>
      <c r="T2117" s="124"/>
      <c r="U2117" s="124"/>
      <c r="V2117" s="124"/>
      <c r="W2117" s="124"/>
      <c r="X2117" s="124"/>
      <c r="Y2117" s="124"/>
    </row>
    <row r="2118">
      <c r="A2118" s="125"/>
      <c r="B2118" s="126"/>
      <c r="C2118" s="127"/>
      <c r="D2118" s="124"/>
      <c r="E2118" s="124"/>
      <c r="F2118" s="124"/>
      <c r="G2118" s="124"/>
      <c r="H2118" s="124"/>
      <c r="I2118" s="124"/>
      <c r="J2118" s="124"/>
      <c r="K2118" s="124"/>
      <c r="L2118" s="124"/>
      <c r="M2118" s="124"/>
      <c r="N2118" s="124"/>
      <c r="O2118" s="124"/>
      <c r="P2118" s="124"/>
      <c r="Q2118" s="124"/>
      <c r="R2118" s="124"/>
      <c r="S2118" s="124"/>
      <c r="T2118" s="124"/>
      <c r="U2118" s="124"/>
      <c r="V2118" s="124"/>
      <c r="W2118" s="124"/>
      <c r="X2118" s="124"/>
      <c r="Y2118" s="124"/>
    </row>
    <row r="2119">
      <c r="A2119" s="125"/>
      <c r="B2119" s="126"/>
      <c r="C2119" s="127"/>
      <c r="D2119" s="124"/>
      <c r="E2119" s="124"/>
      <c r="F2119" s="124"/>
      <c r="G2119" s="124"/>
      <c r="H2119" s="124"/>
      <c r="I2119" s="124"/>
      <c r="J2119" s="124"/>
      <c r="K2119" s="124"/>
      <c r="L2119" s="124"/>
      <c r="M2119" s="124"/>
      <c r="N2119" s="124"/>
      <c r="O2119" s="124"/>
      <c r="P2119" s="124"/>
      <c r="Q2119" s="124"/>
      <c r="R2119" s="124"/>
      <c r="S2119" s="124"/>
      <c r="T2119" s="124"/>
      <c r="U2119" s="124"/>
      <c r="V2119" s="124"/>
      <c r="W2119" s="124"/>
      <c r="X2119" s="124"/>
      <c r="Y2119" s="124"/>
    </row>
    <row r="2120">
      <c r="A2120" s="125"/>
      <c r="B2120" s="126"/>
      <c r="C2120" s="127"/>
      <c r="D2120" s="124"/>
      <c r="E2120" s="124"/>
      <c r="F2120" s="124"/>
      <c r="G2120" s="124"/>
      <c r="H2120" s="124"/>
      <c r="I2120" s="124"/>
      <c r="J2120" s="124"/>
      <c r="K2120" s="124"/>
      <c r="L2120" s="124"/>
      <c r="M2120" s="124"/>
      <c r="N2120" s="124"/>
      <c r="O2120" s="124"/>
      <c r="P2120" s="124"/>
      <c r="Q2120" s="124"/>
      <c r="R2120" s="124"/>
      <c r="S2120" s="124"/>
      <c r="T2120" s="124"/>
      <c r="U2120" s="124"/>
      <c r="V2120" s="124"/>
      <c r="W2120" s="124"/>
      <c r="X2120" s="124"/>
      <c r="Y2120" s="124"/>
    </row>
    <row r="2121">
      <c r="A2121" s="125"/>
      <c r="B2121" s="126"/>
      <c r="C2121" s="127"/>
      <c r="D2121" s="124"/>
      <c r="E2121" s="124"/>
      <c r="F2121" s="124"/>
      <c r="G2121" s="124"/>
      <c r="H2121" s="124"/>
      <c r="I2121" s="124"/>
      <c r="J2121" s="124"/>
      <c r="K2121" s="124"/>
      <c r="L2121" s="124"/>
      <c r="M2121" s="124"/>
      <c r="N2121" s="124"/>
      <c r="O2121" s="124"/>
      <c r="P2121" s="124"/>
      <c r="Q2121" s="124"/>
      <c r="R2121" s="124"/>
      <c r="S2121" s="124"/>
      <c r="T2121" s="124"/>
      <c r="U2121" s="124"/>
      <c r="V2121" s="124"/>
      <c r="W2121" s="124"/>
      <c r="X2121" s="124"/>
      <c r="Y2121" s="124"/>
    </row>
    <row r="2122">
      <c r="A2122" s="125"/>
      <c r="B2122" s="126"/>
      <c r="C2122" s="127"/>
      <c r="D2122" s="124"/>
      <c r="E2122" s="124"/>
      <c r="F2122" s="124"/>
      <c r="G2122" s="124"/>
      <c r="H2122" s="124"/>
      <c r="I2122" s="124"/>
      <c r="J2122" s="124"/>
      <c r="K2122" s="124"/>
      <c r="L2122" s="124"/>
      <c r="M2122" s="124"/>
      <c r="N2122" s="124"/>
      <c r="O2122" s="124"/>
      <c r="P2122" s="124"/>
      <c r="Q2122" s="124"/>
      <c r="R2122" s="124"/>
      <c r="S2122" s="124"/>
      <c r="T2122" s="124"/>
      <c r="U2122" s="124"/>
      <c r="V2122" s="124"/>
      <c r="W2122" s="124"/>
      <c r="X2122" s="124"/>
      <c r="Y2122" s="124"/>
    </row>
    <row r="2123">
      <c r="A2123" s="125"/>
      <c r="B2123" s="126"/>
      <c r="C2123" s="127"/>
      <c r="D2123" s="124"/>
      <c r="E2123" s="124"/>
      <c r="F2123" s="124"/>
      <c r="G2123" s="124"/>
      <c r="H2123" s="124"/>
      <c r="I2123" s="124"/>
      <c r="J2123" s="124"/>
      <c r="K2123" s="124"/>
      <c r="L2123" s="124"/>
      <c r="M2123" s="124"/>
      <c r="N2123" s="124"/>
      <c r="O2123" s="124"/>
      <c r="P2123" s="124"/>
      <c r="Q2123" s="124"/>
      <c r="R2123" s="124"/>
      <c r="S2123" s="124"/>
      <c r="T2123" s="124"/>
      <c r="U2123" s="124"/>
      <c r="V2123" s="124"/>
      <c r="W2123" s="124"/>
      <c r="X2123" s="124"/>
      <c r="Y2123" s="124"/>
    </row>
    <row r="2124">
      <c r="A2124" s="125"/>
      <c r="B2124" s="126"/>
      <c r="C2124" s="127"/>
      <c r="D2124" s="124"/>
      <c r="E2124" s="124"/>
      <c r="F2124" s="124"/>
      <c r="G2124" s="124"/>
      <c r="H2124" s="124"/>
      <c r="I2124" s="124"/>
      <c r="J2124" s="124"/>
      <c r="K2124" s="124"/>
      <c r="L2124" s="124"/>
      <c r="M2124" s="124"/>
      <c r="N2124" s="124"/>
      <c r="O2124" s="124"/>
      <c r="P2124" s="124"/>
      <c r="Q2124" s="124"/>
      <c r="R2124" s="124"/>
      <c r="S2124" s="124"/>
      <c r="T2124" s="124"/>
      <c r="U2124" s="124"/>
      <c r="V2124" s="124"/>
      <c r="W2124" s="124"/>
      <c r="X2124" s="124"/>
      <c r="Y2124" s="124"/>
    </row>
    <row r="2125">
      <c r="A2125" s="125"/>
      <c r="B2125" s="126"/>
      <c r="C2125" s="127"/>
      <c r="D2125" s="124"/>
      <c r="E2125" s="124"/>
      <c r="F2125" s="124"/>
      <c r="G2125" s="124"/>
      <c r="H2125" s="124"/>
      <c r="I2125" s="124"/>
      <c r="J2125" s="124"/>
      <c r="K2125" s="124"/>
      <c r="L2125" s="124"/>
      <c r="M2125" s="124"/>
      <c r="N2125" s="124"/>
      <c r="O2125" s="124"/>
      <c r="P2125" s="124"/>
      <c r="Q2125" s="124"/>
      <c r="R2125" s="124"/>
      <c r="S2125" s="124"/>
      <c r="T2125" s="124"/>
      <c r="U2125" s="124"/>
      <c r="V2125" s="124"/>
      <c r="W2125" s="124"/>
      <c r="X2125" s="124"/>
      <c r="Y2125" s="124"/>
    </row>
    <row r="2126">
      <c r="A2126" s="125"/>
      <c r="B2126" s="126"/>
      <c r="C2126" s="127"/>
      <c r="D2126" s="124"/>
      <c r="E2126" s="124"/>
      <c r="F2126" s="124"/>
      <c r="G2126" s="124"/>
      <c r="H2126" s="124"/>
      <c r="I2126" s="124"/>
      <c r="J2126" s="124"/>
      <c r="K2126" s="124"/>
      <c r="L2126" s="124"/>
      <c r="M2126" s="124"/>
      <c r="N2126" s="124"/>
      <c r="O2126" s="124"/>
      <c r="P2126" s="124"/>
      <c r="Q2126" s="124"/>
      <c r="R2126" s="124"/>
      <c r="S2126" s="124"/>
      <c r="T2126" s="124"/>
      <c r="U2126" s="124"/>
      <c r="V2126" s="124"/>
      <c r="W2126" s="124"/>
      <c r="X2126" s="124"/>
      <c r="Y2126" s="124"/>
    </row>
    <row r="2127">
      <c r="A2127" s="125"/>
      <c r="B2127" s="126"/>
      <c r="C2127" s="127"/>
      <c r="D2127" s="124"/>
      <c r="E2127" s="124"/>
      <c r="F2127" s="124"/>
      <c r="G2127" s="124"/>
      <c r="H2127" s="124"/>
      <c r="I2127" s="124"/>
      <c r="J2127" s="124"/>
      <c r="K2127" s="124"/>
      <c r="L2127" s="124"/>
      <c r="M2127" s="124"/>
      <c r="N2127" s="124"/>
      <c r="O2127" s="124"/>
      <c r="P2127" s="124"/>
      <c r="Q2127" s="124"/>
      <c r="R2127" s="124"/>
      <c r="S2127" s="124"/>
      <c r="T2127" s="124"/>
      <c r="U2127" s="124"/>
      <c r="V2127" s="124"/>
      <c r="W2127" s="124"/>
      <c r="X2127" s="124"/>
      <c r="Y2127" s="124"/>
    </row>
    <row r="2128">
      <c r="A2128" s="125"/>
      <c r="B2128" s="126"/>
      <c r="C2128" s="127"/>
      <c r="D2128" s="124"/>
      <c r="E2128" s="124"/>
      <c r="F2128" s="124"/>
      <c r="G2128" s="124"/>
      <c r="H2128" s="124"/>
      <c r="I2128" s="124"/>
      <c r="J2128" s="124"/>
      <c r="K2128" s="124"/>
      <c r="L2128" s="124"/>
      <c r="M2128" s="124"/>
      <c r="N2128" s="124"/>
      <c r="O2128" s="124"/>
      <c r="P2128" s="124"/>
      <c r="Q2128" s="124"/>
      <c r="R2128" s="124"/>
      <c r="S2128" s="124"/>
      <c r="T2128" s="124"/>
      <c r="U2128" s="124"/>
      <c r="V2128" s="124"/>
      <c r="W2128" s="124"/>
      <c r="X2128" s="124"/>
      <c r="Y2128" s="124"/>
    </row>
    <row r="2129">
      <c r="A2129" s="125"/>
      <c r="B2129" s="126"/>
      <c r="C2129" s="127"/>
      <c r="D2129" s="124"/>
      <c r="E2129" s="124"/>
      <c r="F2129" s="124"/>
      <c r="G2129" s="124"/>
      <c r="H2129" s="124"/>
      <c r="I2129" s="124"/>
      <c r="J2129" s="124"/>
      <c r="K2129" s="124"/>
      <c r="L2129" s="124"/>
      <c r="M2129" s="124"/>
      <c r="N2129" s="124"/>
      <c r="O2129" s="124"/>
      <c r="P2129" s="124"/>
      <c r="Q2129" s="124"/>
      <c r="R2129" s="124"/>
      <c r="S2129" s="124"/>
      <c r="T2129" s="124"/>
      <c r="U2129" s="124"/>
      <c r="V2129" s="124"/>
      <c r="W2129" s="124"/>
      <c r="X2129" s="124"/>
      <c r="Y2129" s="124"/>
    </row>
    <row r="2130">
      <c r="A2130" s="125"/>
      <c r="B2130" s="126"/>
      <c r="C2130" s="127"/>
      <c r="D2130" s="124"/>
      <c r="E2130" s="124"/>
      <c r="F2130" s="124"/>
      <c r="G2130" s="124"/>
      <c r="H2130" s="124"/>
      <c r="I2130" s="124"/>
      <c r="J2130" s="124"/>
      <c r="K2130" s="124"/>
      <c r="L2130" s="124"/>
      <c r="M2130" s="124"/>
      <c r="N2130" s="124"/>
      <c r="O2130" s="124"/>
      <c r="P2130" s="124"/>
      <c r="Q2130" s="124"/>
      <c r="R2130" s="124"/>
      <c r="S2130" s="124"/>
      <c r="T2130" s="124"/>
      <c r="U2130" s="124"/>
      <c r="V2130" s="124"/>
      <c r="W2130" s="124"/>
      <c r="X2130" s="124"/>
      <c r="Y2130" s="124"/>
    </row>
    <row r="2131">
      <c r="A2131" s="125"/>
      <c r="B2131" s="126"/>
      <c r="C2131" s="127"/>
      <c r="D2131" s="124"/>
      <c r="E2131" s="124"/>
      <c r="F2131" s="124"/>
      <c r="G2131" s="124"/>
      <c r="H2131" s="124"/>
      <c r="I2131" s="124"/>
      <c r="J2131" s="124"/>
      <c r="K2131" s="124"/>
      <c r="L2131" s="124"/>
      <c r="M2131" s="124"/>
      <c r="N2131" s="124"/>
      <c r="O2131" s="124"/>
      <c r="P2131" s="124"/>
      <c r="Q2131" s="124"/>
      <c r="R2131" s="124"/>
      <c r="S2131" s="124"/>
      <c r="T2131" s="124"/>
      <c r="U2131" s="124"/>
      <c r="V2131" s="124"/>
      <c r="W2131" s="124"/>
      <c r="X2131" s="124"/>
      <c r="Y2131" s="124"/>
    </row>
    <row r="2132">
      <c r="A2132" s="125"/>
      <c r="B2132" s="126"/>
      <c r="C2132" s="127"/>
      <c r="D2132" s="124"/>
      <c r="E2132" s="124"/>
      <c r="F2132" s="124"/>
      <c r="G2132" s="124"/>
      <c r="H2132" s="124"/>
      <c r="I2132" s="124"/>
      <c r="J2132" s="124"/>
      <c r="K2132" s="124"/>
      <c r="L2132" s="124"/>
      <c r="M2132" s="124"/>
      <c r="N2132" s="124"/>
      <c r="O2132" s="124"/>
      <c r="P2132" s="124"/>
      <c r="Q2132" s="124"/>
      <c r="R2132" s="124"/>
      <c r="S2132" s="124"/>
      <c r="T2132" s="124"/>
      <c r="U2132" s="124"/>
      <c r="V2132" s="124"/>
      <c r="W2132" s="124"/>
      <c r="X2132" s="124"/>
      <c r="Y2132" s="124"/>
    </row>
    <row r="2133">
      <c r="A2133" s="125"/>
      <c r="B2133" s="126"/>
      <c r="C2133" s="127"/>
      <c r="D2133" s="124"/>
      <c r="E2133" s="124"/>
      <c r="F2133" s="124"/>
      <c r="G2133" s="124"/>
      <c r="H2133" s="124"/>
      <c r="I2133" s="124"/>
      <c r="J2133" s="124"/>
      <c r="K2133" s="124"/>
      <c r="L2133" s="124"/>
      <c r="M2133" s="124"/>
      <c r="N2133" s="124"/>
      <c r="O2133" s="124"/>
      <c r="P2133" s="124"/>
      <c r="Q2133" s="124"/>
      <c r="R2133" s="124"/>
      <c r="S2133" s="124"/>
      <c r="T2133" s="124"/>
      <c r="U2133" s="124"/>
      <c r="V2133" s="124"/>
      <c r="W2133" s="124"/>
      <c r="X2133" s="124"/>
      <c r="Y2133" s="124"/>
    </row>
    <row r="2134">
      <c r="A2134" s="125"/>
      <c r="B2134" s="126"/>
      <c r="C2134" s="127"/>
      <c r="D2134" s="124"/>
      <c r="E2134" s="124"/>
      <c r="F2134" s="124"/>
      <c r="G2134" s="124"/>
      <c r="H2134" s="124"/>
      <c r="I2134" s="124"/>
      <c r="J2134" s="124"/>
      <c r="K2134" s="124"/>
      <c r="L2134" s="124"/>
      <c r="M2134" s="124"/>
      <c r="N2134" s="124"/>
      <c r="O2134" s="124"/>
      <c r="P2134" s="124"/>
      <c r="Q2134" s="124"/>
      <c r="R2134" s="124"/>
      <c r="S2134" s="124"/>
      <c r="T2134" s="124"/>
      <c r="U2134" s="124"/>
      <c r="V2134" s="124"/>
      <c r="W2134" s="124"/>
      <c r="X2134" s="124"/>
      <c r="Y2134" s="124"/>
    </row>
    <row r="2135">
      <c r="A2135" s="125"/>
      <c r="B2135" s="126"/>
      <c r="C2135" s="127"/>
      <c r="D2135" s="124"/>
      <c r="E2135" s="124"/>
      <c r="F2135" s="124"/>
      <c r="G2135" s="124"/>
      <c r="H2135" s="124"/>
      <c r="I2135" s="124"/>
      <c r="J2135" s="124"/>
      <c r="K2135" s="124"/>
      <c r="L2135" s="124"/>
      <c r="M2135" s="124"/>
      <c r="N2135" s="124"/>
      <c r="O2135" s="124"/>
      <c r="P2135" s="124"/>
      <c r="Q2135" s="124"/>
      <c r="R2135" s="124"/>
      <c r="S2135" s="124"/>
      <c r="T2135" s="124"/>
      <c r="U2135" s="124"/>
      <c r="V2135" s="124"/>
      <c r="W2135" s="124"/>
      <c r="X2135" s="124"/>
      <c r="Y2135" s="124"/>
    </row>
    <row r="2136">
      <c r="A2136" s="125"/>
      <c r="B2136" s="126"/>
      <c r="C2136" s="127"/>
      <c r="D2136" s="124"/>
      <c r="E2136" s="124"/>
      <c r="F2136" s="124"/>
      <c r="G2136" s="124"/>
      <c r="H2136" s="124"/>
      <c r="I2136" s="124"/>
      <c r="J2136" s="124"/>
      <c r="K2136" s="124"/>
      <c r="L2136" s="124"/>
      <c r="M2136" s="124"/>
      <c r="N2136" s="124"/>
      <c r="O2136" s="124"/>
      <c r="P2136" s="124"/>
      <c r="Q2136" s="124"/>
      <c r="R2136" s="124"/>
      <c r="S2136" s="124"/>
      <c r="T2136" s="124"/>
      <c r="U2136" s="124"/>
      <c r="V2136" s="124"/>
      <c r="W2136" s="124"/>
      <c r="X2136" s="124"/>
      <c r="Y2136" s="124"/>
    </row>
    <row r="2137">
      <c r="A2137" s="125"/>
      <c r="B2137" s="126"/>
      <c r="C2137" s="127"/>
      <c r="D2137" s="124"/>
      <c r="E2137" s="124"/>
      <c r="F2137" s="124"/>
      <c r="G2137" s="124"/>
      <c r="H2137" s="124"/>
      <c r="I2137" s="124"/>
      <c r="J2137" s="124"/>
      <c r="K2137" s="124"/>
      <c r="L2137" s="124"/>
      <c r="M2137" s="124"/>
      <c r="N2137" s="124"/>
      <c r="O2137" s="124"/>
      <c r="P2137" s="124"/>
      <c r="Q2137" s="124"/>
      <c r="R2137" s="124"/>
      <c r="S2137" s="124"/>
      <c r="T2137" s="124"/>
      <c r="U2137" s="124"/>
      <c r="V2137" s="124"/>
      <c r="W2137" s="124"/>
      <c r="X2137" s="124"/>
      <c r="Y2137" s="124"/>
    </row>
    <row r="2138">
      <c r="A2138" s="125"/>
      <c r="B2138" s="126"/>
      <c r="C2138" s="127"/>
      <c r="D2138" s="124"/>
      <c r="E2138" s="124"/>
      <c r="F2138" s="124"/>
      <c r="G2138" s="124"/>
      <c r="H2138" s="124"/>
      <c r="I2138" s="124"/>
      <c r="J2138" s="124"/>
      <c r="K2138" s="124"/>
      <c r="L2138" s="124"/>
      <c r="M2138" s="124"/>
      <c r="N2138" s="124"/>
      <c r="O2138" s="124"/>
      <c r="P2138" s="124"/>
      <c r="Q2138" s="124"/>
      <c r="R2138" s="124"/>
      <c r="S2138" s="124"/>
      <c r="T2138" s="124"/>
      <c r="U2138" s="124"/>
      <c r="V2138" s="124"/>
      <c r="W2138" s="124"/>
      <c r="X2138" s="124"/>
      <c r="Y2138" s="124"/>
    </row>
    <row r="2139">
      <c r="A2139" s="125"/>
      <c r="B2139" s="126"/>
      <c r="C2139" s="127"/>
      <c r="D2139" s="124"/>
      <c r="E2139" s="124"/>
      <c r="F2139" s="124"/>
      <c r="G2139" s="124"/>
      <c r="H2139" s="124"/>
      <c r="I2139" s="124"/>
      <c r="J2139" s="124"/>
      <c r="K2139" s="124"/>
      <c r="L2139" s="124"/>
      <c r="M2139" s="124"/>
      <c r="N2139" s="124"/>
      <c r="O2139" s="124"/>
      <c r="P2139" s="124"/>
      <c r="Q2139" s="124"/>
      <c r="R2139" s="124"/>
      <c r="S2139" s="124"/>
      <c r="T2139" s="124"/>
      <c r="U2139" s="124"/>
      <c r="V2139" s="124"/>
      <c r="W2139" s="124"/>
      <c r="X2139" s="124"/>
      <c r="Y2139" s="124"/>
    </row>
    <row r="2140">
      <c r="A2140" s="125"/>
      <c r="B2140" s="126"/>
      <c r="C2140" s="127"/>
      <c r="D2140" s="124"/>
      <c r="E2140" s="124"/>
      <c r="F2140" s="124"/>
      <c r="G2140" s="124"/>
      <c r="H2140" s="124"/>
      <c r="I2140" s="124"/>
      <c r="J2140" s="124"/>
      <c r="K2140" s="124"/>
      <c r="L2140" s="124"/>
      <c r="M2140" s="124"/>
      <c r="N2140" s="124"/>
      <c r="O2140" s="124"/>
      <c r="P2140" s="124"/>
      <c r="Q2140" s="124"/>
      <c r="R2140" s="124"/>
      <c r="S2140" s="124"/>
      <c r="T2140" s="124"/>
      <c r="U2140" s="124"/>
      <c r="V2140" s="124"/>
      <c r="W2140" s="124"/>
      <c r="X2140" s="124"/>
      <c r="Y2140" s="124"/>
    </row>
    <row r="2141">
      <c r="A2141" s="125"/>
      <c r="B2141" s="126"/>
      <c r="C2141" s="127"/>
      <c r="D2141" s="124"/>
      <c r="E2141" s="124"/>
      <c r="F2141" s="124"/>
      <c r="G2141" s="124"/>
      <c r="H2141" s="124"/>
      <c r="I2141" s="124"/>
      <c r="J2141" s="124"/>
      <c r="K2141" s="124"/>
      <c r="L2141" s="124"/>
      <c r="M2141" s="124"/>
      <c r="N2141" s="124"/>
      <c r="O2141" s="124"/>
      <c r="P2141" s="124"/>
      <c r="Q2141" s="124"/>
      <c r="R2141" s="124"/>
      <c r="S2141" s="124"/>
      <c r="T2141" s="124"/>
      <c r="U2141" s="124"/>
      <c r="V2141" s="124"/>
      <c r="W2141" s="124"/>
      <c r="X2141" s="124"/>
      <c r="Y2141" s="124"/>
    </row>
    <row r="2142">
      <c r="A2142" s="125"/>
      <c r="B2142" s="126"/>
      <c r="C2142" s="127"/>
      <c r="D2142" s="124"/>
      <c r="E2142" s="124"/>
      <c r="F2142" s="124"/>
      <c r="G2142" s="124"/>
      <c r="H2142" s="124"/>
      <c r="I2142" s="124"/>
      <c r="J2142" s="124"/>
      <c r="K2142" s="124"/>
      <c r="L2142" s="124"/>
      <c r="M2142" s="124"/>
      <c r="N2142" s="124"/>
      <c r="O2142" s="124"/>
      <c r="P2142" s="124"/>
      <c r="Q2142" s="124"/>
      <c r="R2142" s="124"/>
      <c r="S2142" s="124"/>
      <c r="T2142" s="124"/>
      <c r="U2142" s="124"/>
      <c r="V2142" s="124"/>
      <c r="W2142" s="124"/>
      <c r="X2142" s="124"/>
      <c r="Y2142" s="124"/>
    </row>
    <row r="2143">
      <c r="A2143" s="125"/>
      <c r="B2143" s="126"/>
      <c r="C2143" s="127"/>
      <c r="D2143" s="124"/>
      <c r="E2143" s="124"/>
      <c r="F2143" s="124"/>
      <c r="G2143" s="124"/>
      <c r="H2143" s="124"/>
      <c r="I2143" s="124"/>
      <c r="J2143" s="124"/>
      <c r="K2143" s="124"/>
      <c r="L2143" s="124"/>
      <c r="M2143" s="124"/>
      <c r="N2143" s="124"/>
      <c r="O2143" s="124"/>
      <c r="P2143" s="124"/>
      <c r="Q2143" s="124"/>
      <c r="R2143" s="124"/>
      <c r="S2143" s="124"/>
      <c r="T2143" s="124"/>
      <c r="U2143" s="124"/>
      <c r="V2143" s="124"/>
      <c r="W2143" s="124"/>
      <c r="X2143" s="124"/>
      <c r="Y2143" s="124"/>
    </row>
    <row r="2144">
      <c r="A2144" s="125"/>
      <c r="B2144" s="126"/>
      <c r="C2144" s="127"/>
      <c r="D2144" s="124"/>
      <c r="E2144" s="124"/>
      <c r="F2144" s="124"/>
      <c r="G2144" s="124"/>
      <c r="H2144" s="124"/>
      <c r="I2144" s="124"/>
      <c r="J2144" s="124"/>
      <c r="K2144" s="124"/>
      <c r="L2144" s="124"/>
      <c r="M2144" s="124"/>
      <c r="N2144" s="124"/>
      <c r="O2144" s="124"/>
      <c r="P2144" s="124"/>
      <c r="Q2144" s="124"/>
      <c r="R2144" s="124"/>
      <c r="S2144" s="124"/>
      <c r="T2144" s="124"/>
      <c r="U2144" s="124"/>
      <c r="V2144" s="124"/>
      <c r="W2144" s="124"/>
      <c r="X2144" s="124"/>
      <c r="Y2144" s="124"/>
    </row>
    <row r="2145">
      <c r="A2145" s="125"/>
      <c r="B2145" s="126"/>
      <c r="C2145" s="127"/>
      <c r="D2145" s="124"/>
      <c r="E2145" s="124"/>
      <c r="F2145" s="124"/>
      <c r="G2145" s="124"/>
      <c r="H2145" s="124"/>
      <c r="I2145" s="124"/>
      <c r="J2145" s="124"/>
      <c r="K2145" s="124"/>
      <c r="L2145" s="124"/>
      <c r="M2145" s="124"/>
      <c r="N2145" s="124"/>
      <c r="O2145" s="124"/>
      <c r="P2145" s="124"/>
      <c r="Q2145" s="124"/>
      <c r="R2145" s="124"/>
      <c r="S2145" s="124"/>
      <c r="T2145" s="124"/>
      <c r="U2145" s="124"/>
      <c r="V2145" s="124"/>
      <c r="W2145" s="124"/>
      <c r="X2145" s="124"/>
      <c r="Y2145" s="124"/>
    </row>
    <row r="2146">
      <c r="A2146" s="125"/>
      <c r="B2146" s="126"/>
      <c r="C2146" s="127"/>
      <c r="D2146" s="124"/>
      <c r="E2146" s="124"/>
      <c r="F2146" s="124"/>
      <c r="G2146" s="124"/>
      <c r="H2146" s="124"/>
      <c r="I2146" s="124"/>
      <c r="J2146" s="124"/>
      <c r="K2146" s="124"/>
      <c r="L2146" s="124"/>
      <c r="M2146" s="124"/>
      <c r="N2146" s="124"/>
      <c r="O2146" s="124"/>
      <c r="P2146" s="124"/>
      <c r="Q2146" s="124"/>
      <c r="R2146" s="124"/>
      <c r="S2146" s="124"/>
      <c r="T2146" s="124"/>
      <c r="U2146" s="124"/>
      <c r="V2146" s="124"/>
      <c r="W2146" s="124"/>
      <c r="X2146" s="124"/>
      <c r="Y2146" s="124"/>
    </row>
    <row r="2147">
      <c r="A2147" s="125"/>
      <c r="B2147" s="126"/>
      <c r="C2147" s="127"/>
      <c r="D2147" s="124"/>
      <c r="E2147" s="124"/>
      <c r="F2147" s="124"/>
      <c r="G2147" s="124"/>
      <c r="H2147" s="124"/>
      <c r="I2147" s="124"/>
      <c r="J2147" s="124"/>
      <c r="K2147" s="124"/>
      <c r="L2147" s="124"/>
      <c r="M2147" s="124"/>
      <c r="N2147" s="124"/>
      <c r="O2147" s="124"/>
      <c r="P2147" s="124"/>
      <c r="Q2147" s="124"/>
      <c r="R2147" s="124"/>
      <c r="S2147" s="124"/>
      <c r="T2147" s="124"/>
      <c r="U2147" s="124"/>
      <c r="V2147" s="124"/>
      <c r="W2147" s="124"/>
      <c r="X2147" s="124"/>
      <c r="Y2147" s="124"/>
    </row>
    <row r="2148">
      <c r="A2148" s="125"/>
      <c r="B2148" s="126"/>
      <c r="C2148" s="127"/>
      <c r="D2148" s="124"/>
      <c r="E2148" s="124"/>
      <c r="F2148" s="124"/>
      <c r="G2148" s="124"/>
      <c r="H2148" s="124"/>
      <c r="I2148" s="124"/>
      <c r="J2148" s="124"/>
      <c r="K2148" s="124"/>
      <c r="L2148" s="124"/>
      <c r="M2148" s="124"/>
      <c r="N2148" s="124"/>
      <c r="O2148" s="124"/>
      <c r="P2148" s="124"/>
      <c r="Q2148" s="124"/>
      <c r="R2148" s="124"/>
      <c r="S2148" s="124"/>
      <c r="T2148" s="124"/>
      <c r="U2148" s="124"/>
      <c r="V2148" s="124"/>
      <c r="W2148" s="124"/>
      <c r="X2148" s="124"/>
      <c r="Y2148" s="124"/>
    </row>
    <row r="2149">
      <c r="A2149" s="125"/>
      <c r="B2149" s="126"/>
      <c r="C2149" s="127"/>
      <c r="D2149" s="124"/>
      <c r="E2149" s="124"/>
      <c r="F2149" s="124"/>
      <c r="G2149" s="124"/>
      <c r="H2149" s="124"/>
      <c r="I2149" s="124"/>
      <c r="J2149" s="124"/>
      <c r="K2149" s="124"/>
      <c r="L2149" s="124"/>
      <c r="M2149" s="124"/>
      <c r="N2149" s="124"/>
      <c r="O2149" s="124"/>
      <c r="P2149" s="124"/>
      <c r="Q2149" s="124"/>
      <c r="R2149" s="124"/>
      <c r="S2149" s="124"/>
      <c r="T2149" s="124"/>
      <c r="U2149" s="124"/>
      <c r="V2149" s="124"/>
      <c r="W2149" s="124"/>
      <c r="X2149" s="124"/>
      <c r="Y2149" s="124"/>
    </row>
    <row r="2150">
      <c r="A2150" s="125"/>
      <c r="B2150" s="126"/>
      <c r="C2150" s="127"/>
      <c r="D2150" s="124"/>
      <c r="E2150" s="124"/>
      <c r="F2150" s="124"/>
      <c r="G2150" s="124"/>
      <c r="H2150" s="124"/>
      <c r="I2150" s="124"/>
      <c r="J2150" s="124"/>
      <c r="K2150" s="124"/>
      <c r="L2150" s="124"/>
      <c r="M2150" s="124"/>
      <c r="N2150" s="124"/>
      <c r="O2150" s="124"/>
      <c r="P2150" s="124"/>
      <c r="Q2150" s="124"/>
      <c r="R2150" s="124"/>
      <c r="S2150" s="124"/>
      <c r="T2150" s="124"/>
      <c r="U2150" s="124"/>
      <c r="V2150" s="124"/>
      <c r="W2150" s="124"/>
      <c r="X2150" s="124"/>
      <c r="Y2150" s="124"/>
    </row>
    <row r="2151">
      <c r="A2151" s="125"/>
      <c r="B2151" s="126"/>
      <c r="C2151" s="127"/>
      <c r="D2151" s="124"/>
      <c r="E2151" s="124"/>
      <c r="F2151" s="124"/>
      <c r="G2151" s="124"/>
      <c r="H2151" s="124"/>
      <c r="I2151" s="124"/>
      <c r="J2151" s="124"/>
      <c r="K2151" s="124"/>
      <c r="L2151" s="124"/>
      <c r="M2151" s="124"/>
      <c r="N2151" s="124"/>
      <c r="O2151" s="124"/>
      <c r="P2151" s="124"/>
      <c r="Q2151" s="124"/>
      <c r="R2151" s="124"/>
      <c r="S2151" s="124"/>
      <c r="T2151" s="124"/>
      <c r="U2151" s="124"/>
      <c r="V2151" s="124"/>
      <c r="W2151" s="124"/>
      <c r="X2151" s="124"/>
      <c r="Y2151" s="124"/>
    </row>
    <row r="2152">
      <c r="A2152" s="125"/>
      <c r="B2152" s="126"/>
      <c r="C2152" s="127"/>
      <c r="D2152" s="124"/>
      <c r="E2152" s="124"/>
      <c r="F2152" s="124"/>
      <c r="G2152" s="124"/>
      <c r="H2152" s="124"/>
      <c r="I2152" s="124"/>
      <c r="J2152" s="124"/>
      <c r="K2152" s="124"/>
      <c r="L2152" s="124"/>
      <c r="M2152" s="124"/>
      <c r="N2152" s="124"/>
      <c r="O2152" s="124"/>
      <c r="P2152" s="124"/>
      <c r="Q2152" s="124"/>
      <c r="R2152" s="124"/>
      <c r="S2152" s="124"/>
      <c r="T2152" s="124"/>
      <c r="U2152" s="124"/>
      <c r="V2152" s="124"/>
      <c r="W2152" s="124"/>
      <c r="X2152" s="124"/>
      <c r="Y2152" s="124"/>
    </row>
  </sheetData>
  <dataValidations>
    <dataValidation type="list" allowBlank="1" showErrorMessage="1" sqref="F1">
      <formula1>"Active,Stopped,Paused,All"</formula1>
    </dataValidation>
    <dataValidation type="list" allowBlank="1" showErrorMessage="1" sqref="D1">
      <formula1>"January,February,March,April,May,June,July,August,September,October,November,December,Year Total"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</cols>
  <sheetData>
    <row r="1">
      <c r="A1" s="128" t="s">
        <v>1049</v>
      </c>
      <c r="B1" s="129" t="s">
        <v>1050</v>
      </c>
      <c r="C1" s="129" t="s">
        <v>1051</v>
      </c>
      <c r="D1" t="str">
        <f t="array" ref="D1">CONCATENATE(Sheet2!B1,"!",index(Sheet3!B:B,Match(Sheet2!D1,Sheet3!A:A,0)))</f>
        <v>2016!B11:Z11</v>
      </c>
    </row>
    <row r="2">
      <c r="A2" s="130" t="s">
        <v>1052</v>
      </c>
      <c r="B2" s="129" t="s">
        <v>1053</v>
      </c>
    </row>
    <row r="3">
      <c r="A3" s="130" t="s">
        <v>1054</v>
      </c>
      <c r="B3" s="129" t="s">
        <v>1055</v>
      </c>
    </row>
    <row r="4">
      <c r="A4" s="130" t="s">
        <v>1056</v>
      </c>
      <c r="B4" s="129" t="s">
        <v>1057</v>
      </c>
    </row>
    <row r="5">
      <c r="A5" s="130" t="s">
        <v>1058</v>
      </c>
      <c r="B5" s="129" t="s">
        <v>1059</v>
      </c>
    </row>
    <row r="6">
      <c r="A6" s="130" t="s">
        <v>1060</v>
      </c>
      <c r="B6" s="129" t="s">
        <v>1061</v>
      </c>
    </row>
    <row r="7">
      <c r="A7" s="130" t="s">
        <v>1062</v>
      </c>
      <c r="B7" s="129" t="s">
        <v>1063</v>
      </c>
    </row>
    <row r="8">
      <c r="A8" s="130" t="s">
        <v>1064</v>
      </c>
      <c r="B8" s="129" t="s">
        <v>1065</v>
      </c>
    </row>
    <row r="9">
      <c r="A9" s="130" t="s">
        <v>1037</v>
      </c>
      <c r="B9" s="129" t="s">
        <v>1066</v>
      </c>
    </row>
    <row r="10">
      <c r="A10" s="130" t="s">
        <v>1067</v>
      </c>
      <c r="B10" s="129" t="s">
        <v>1068</v>
      </c>
    </row>
    <row r="11">
      <c r="A11" s="130" t="s">
        <v>1069</v>
      </c>
      <c r="B11" s="129" t="s">
        <v>1070</v>
      </c>
    </row>
    <row r="12">
      <c r="A12" s="130" t="s">
        <v>1071</v>
      </c>
      <c r="B12" s="129" t="s">
        <v>1072</v>
      </c>
    </row>
    <row r="13">
      <c r="A13" s="130" t="s">
        <v>1073</v>
      </c>
      <c r="B13" s="129" t="s">
        <v>1074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IFERROR(__xludf.DUMMYFUNCTION("filter(Sheet1!A3:BJ1000,Sheet1!D3:D1000=""Active"")"),"TEA006")</f>
        <v>TEA006</v>
      </c>
      <c r="B1" t="str">
        <f>IFERROR(__xludf.DUMMYFUNCTION("""COMPUTED_VALUE"""),"Umm Omar")</f>
        <v>Umm Omar</v>
      </c>
      <c r="C1" s="131" t="str">
        <f>IFERROR(__xludf.DUMMYFUNCTION("""COMPUTED_VALUE"""),"""1wJjH7H8wrcqUnClMTZI3fz882C6-5ozj_hhJftVIMyk""")</f>
        <v>"1wJjH7H8wrcqUnClMTZI3fz882C6-5ozj_hhJftVIMyk"</v>
      </c>
      <c r="D1" t="str">
        <f>IFERROR(__xludf.DUMMYFUNCTION("""COMPUTED_VALUE"""),"Active")</f>
        <v>Active</v>
      </c>
      <c r="E1" t="str">
        <f>IFERROR(__xludf.DUMMYFUNCTION("""COMPUTED_VALUE"""),"Female")</f>
        <v>Female</v>
      </c>
      <c r="F1" s="132">
        <f>IFERROR(__xludf.DUMMYFUNCTION("""COMPUTED_VALUE"""),40700.0)</f>
        <v>40700</v>
      </c>
      <c r="G1" s="133"/>
      <c r="H1" s="131">
        <f>IFERROR(__xludf.DUMMYFUNCTION("""COMPUTED_VALUE"""),116.8092105263158)</f>
        <v>116.8092105</v>
      </c>
      <c r="J1" s="134" t="str">
        <f>IFERROR(__xludf.DUMMYFUNCTION("""COMPUTED_VALUE"""),"0111-536-1667")</f>
        <v>0111-536-1667</v>
      </c>
      <c r="K1" t="str">
        <f>IFERROR(__xludf.DUMMYFUNCTION("""COMPUTED_VALUE"""),"nour.ummomar")</f>
        <v>nour.ummomar</v>
      </c>
      <c r="L1" t="str">
        <f>IFERROR(__xludf.DUMMYFUNCTION("""COMPUTED_VALUE"""),"omar2005")</f>
        <v>omar2005</v>
      </c>
      <c r="M1" s="135">
        <f>IFERROR(__xludf.DUMMYFUNCTION("""COMPUTED_VALUE"""),26665.0)</f>
        <v>26665</v>
      </c>
      <c r="N1">
        <f>IFERROR(__xludf.DUMMYFUNCTION("""COMPUTED_VALUE"""),48.0)</f>
        <v>48</v>
      </c>
      <c r="O1" t="str">
        <f>IFERROR(__xludf.DUMMYFUNCTION("""COMPUTED_VALUE"""),"Married")</f>
        <v>Married</v>
      </c>
      <c r="S1" t="str">
        <f>IFERROR(__xludf.DUMMYFUNCTION("""COMPUTED_VALUE"""),"Egypt")</f>
        <v>Egypt</v>
      </c>
      <c r="T1" t="str">
        <f>IFERROR(__xludf.DUMMYFUNCTION("""COMPUTED_VALUE"""),"Damanhûr")</f>
        <v>Damanhûr</v>
      </c>
      <c r="U1" t="str">
        <f>IFERROR(__xludf.DUMMYFUNCTION("""COMPUTED_VALUE"""),"GMT +2")</f>
        <v>GMT +2</v>
      </c>
      <c r="V1" t="str">
        <f>IFERROR(__xludf.DUMMYFUNCTION("""COMPUTED_VALUE"""),"No")</f>
        <v>No</v>
      </c>
      <c r="W1" t="str">
        <f>IFERROR(__xludf.DUMMYFUNCTION("""COMPUTED_VALUE"""),"Egypt")</f>
        <v>Egypt</v>
      </c>
      <c r="X1" t="str">
        <f>IFERROR(__xludf.DUMMYFUNCTION("""COMPUTED_VALUE"""),"Paid")</f>
        <v>Paid</v>
      </c>
      <c r="Y1" t="str">
        <f>IFERROR(__xludf.DUMMYFUNCTION("""COMPUTED_VALUE"""),"Recitation")</f>
        <v>Recitation</v>
      </c>
      <c r="Z1" t="str">
        <f>IFERROR(__xludf.DUMMYFUNCTION("""COMPUTED_VALUE"""),"Vodafone Cash")</f>
        <v>Vodafone Cash</v>
      </c>
      <c r="AA1" s="134" t="str">
        <f>IFERROR(__xludf.DUMMYFUNCTION("""COMPUTED_VALUE"""),"010-9772-6344")</f>
        <v>010-9772-6344</v>
      </c>
      <c r="AC1" s="136">
        <f>IFERROR(__xludf.DUMMYFUNCTION("""COMPUTED_VALUE"""),7294.0)</f>
        <v>7294</v>
      </c>
      <c r="AD1">
        <f>IFERROR(__xludf.DUMMYFUNCTION("""COMPUTED_VALUE"""),6867.0)</f>
        <v>6867</v>
      </c>
      <c r="AE1" s="136">
        <f>IFERROR(__xludf.DUMMYFUNCTION("""COMPUTED_VALUE"""),394.0)</f>
        <v>394</v>
      </c>
      <c r="AF1" s="136">
        <f>IFERROR(__xludf.DUMMYFUNCTION("""COMPUTED_VALUE"""),33.0)</f>
        <v>33</v>
      </c>
      <c r="AG1">
        <f>IFERROR(__xludf.DUMMYFUNCTION("""COMPUTED_VALUE"""),495.0)</f>
        <v>495</v>
      </c>
      <c r="AH1" s="131">
        <f>IFERROR(__xludf.DUMMYFUNCTION("""COMPUTED_VALUE"""),29.531016366942815)</f>
        <v>29.53101637</v>
      </c>
      <c r="AI1" s="131">
        <f>IFERROR(__xludf.DUMMYFUNCTION("""COMPUTED_VALUE"""),50.0)</f>
        <v>50</v>
      </c>
      <c r="AJ1" s="131">
        <f>IFERROR(__xludf.DUMMYFUNCTION("""COMPUTED_VALUE"""),7757.0)</f>
        <v>7757</v>
      </c>
      <c r="AK1" s="136" t="str">
        <f>IFERROR(__xludf.DUMMYFUNCTION("""COMPUTED_VALUE"""),"Attended")</f>
        <v>Attended</v>
      </c>
      <c r="AL1" s="136">
        <f>IFERROR(__xludf.DUMMYFUNCTION("""COMPUTED_VALUE"""),7757.0)</f>
        <v>7757</v>
      </c>
      <c r="AM1" s="136">
        <f>IFERROR(__xludf.DUMMYFUNCTION("""COMPUTED_VALUE"""),5758.0)</f>
        <v>5758</v>
      </c>
      <c r="AN1" s="136">
        <f>IFERROR(__xludf.DUMMYFUNCTION("""COMPUTED_VALUE"""),5672.0)</f>
        <v>5672</v>
      </c>
      <c r="AO1" s="136">
        <f>IFERROR(__xludf.DUMMYFUNCTION("""COMPUTED_VALUE"""),351.0)</f>
        <v>351</v>
      </c>
      <c r="AP1" s="136">
        <f>IFERROR(__xludf.DUMMYFUNCTION("""COMPUTED_VALUE"""),86.0)</f>
        <v>86</v>
      </c>
      <c r="AQ1" s="136">
        <f>IFERROR(__xludf.DUMMYFUNCTION("""COMPUTED_VALUE"""),112.0)</f>
        <v>112</v>
      </c>
      <c r="AR1" s="136">
        <f>IFERROR(__xludf.DUMMYFUNCTION("""COMPUTED_VALUE"""),1536.0)</f>
        <v>1536</v>
      </c>
      <c r="AS1" s="136">
        <f>IFERROR(__xludf.DUMMYFUNCTION("""COMPUTED_VALUE"""),94.28384565075213)</f>
        <v>94.28384565</v>
      </c>
      <c r="AT1" s="131">
        <f>IFERROR(__xludf.DUMMYFUNCTION("""COMPUTED_VALUE"""),4.5249452107773624)</f>
        <v>4.524945211</v>
      </c>
      <c r="AU1" s="131">
        <f>IFERROR(__xludf.DUMMYFUNCTION("""COMPUTED_VALUE"""),1.1086760345494393)</f>
        <v>1.108676035</v>
      </c>
      <c r="AV1" s="131">
        <f>IFERROR(__xludf.DUMMYFUNCTION("""COMPUTED_VALUE"""),1.4438571612736883)</f>
        <v>1.443857161</v>
      </c>
      <c r="AW1" s="131">
        <f>IFERROR(__xludf.DUMMYFUNCTION("""COMPUTED_VALUE"""),19.801469640324868)</f>
        <v>19.80146964</v>
      </c>
      <c r="AX1" s="131">
        <f>IFERROR(__xludf.DUMMYFUNCTION("""COMPUTED_VALUE"""),94.03119762794894)</f>
        <v>94.03119763</v>
      </c>
      <c r="AY1" s="131">
        <f>IFERROR(__xludf.DUMMYFUNCTION("""COMPUTED_VALUE"""),4280.0)</f>
        <v>4280</v>
      </c>
      <c r="AZ1" s="131">
        <f>IFERROR(__xludf.DUMMYFUNCTION("""COMPUTED_VALUE"""),4280.0)</f>
        <v>4280</v>
      </c>
      <c r="BA1" s="131">
        <f>IFERROR(__xludf.DUMMYFUNCTION("""COMPUTED_VALUE"""),0.0)</f>
        <v>0</v>
      </c>
      <c r="BB1" s="131">
        <f>IFERROR(__xludf.DUMMYFUNCTION("""COMPUTED_VALUE"""),7.0)</f>
        <v>7</v>
      </c>
      <c r="BC1" s="131">
        <f>IFERROR(__xludf.DUMMYFUNCTION("""COMPUTED_VALUE"""),100.0)</f>
        <v>100</v>
      </c>
      <c r="BD1" s="131">
        <f>IFERROR(__xludf.DUMMYFUNCTION("""COMPUTED_VALUE"""),0.0)</f>
        <v>0</v>
      </c>
      <c r="BE1" s="131">
        <f>IFERROR(__xludf.DUMMYFUNCTION("""COMPUTED_VALUE"""),0.16328434802892466)</f>
        <v>0.163284348</v>
      </c>
    </row>
    <row r="2">
      <c r="A2" t="str">
        <f>IFERROR(__xludf.DUMMYFUNCTION("""COMPUTED_VALUE"""),"TEA021")</f>
        <v>TEA021</v>
      </c>
      <c r="B2" t="str">
        <f>IFERROR(__xludf.DUMMYFUNCTION("""COMPUTED_VALUE"""),"Heba El Khateeb")</f>
        <v>Heba El Khateeb</v>
      </c>
      <c r="C2" s="131" t="str">
        <f>IFERROR(__xludf.DUMMYFUNCTION("""COMPUTED_VALUE"""),"""1hVVDkW8ddsayvuEDMt8ezvvS7zgQJqgwuU7YdVnsigo""")</f>
        <v>"1hVVDkW8ddsayvuEDMt8ezvvS7zgQJqgwuU7YdVnsigo"</v>
      </c>
      <c r="D2" t="str">
        <f>IFERROR(__xludf.DUMMYFUNCTION("""COMPUTED_VALUE"""),"Active")</f>
        <v>Active</v>
      </c>
      <c r="E2" t="str">
        <f>IFERROR(__xludf.DUMMYFUNCTION("""COMPUTED_VALUE"""),"Female")</f>
        <v>Female</v>
      </c>
      <c r="F2" s="132">
        <f>IFERROR(__xludf.DUMMYFUNCTION("""COMPUTED_VALUE"""),41097.0)</f>
        <v>41097</v>
      </c>
      <c r="G2" s="133"/>
      <c r="H2" s="131">
        <f>IFERROR(__xludf.DUMMYFUNCTION("""COMPUTED_VALUE"""),103.75)</f>
        <v>103.75</v>
      </c>
      <c r="I2" t="str">
        <f>IFERROR(__xludf.DUMMYFUNCTION("""COMPUTED_VALUE"""),"hopefullgirl83@gmail.com")</f>
        <v>hopefullgirl83@gmail.com</v>
      </c>
      <c r="J2" s="134" t="str">
        <f>IFERROR(__xludf.DUMMYFUNCTION("""COMPUTED_VALUE"""),"0109-476-0098")</f>
        <v>0109-476-0098</v>
      </c>
      <c r="K2" t="str">
        <f>IFERROR(__xludf.DUMMYFUNCTION("""COMPUTED_VALUE"""),"nour.hebaelkhateb")</f>
        <v>nour.hebaelkhateb</v>
      </c>
      <c r="L2" t="str">
        <f>IFERROR(__xludf.DUMMYFUNCTION("""COMPUTED_VALUE"""),"heba1983")</f>
        <v>heba1983</v>
      </c>
      <c r="M2" s="135">
        <f>IFERROR(__xludf.DUMMYFUNCTION("""COMPUTED_VALUE"""),30317.0)</f>
        <v>30317</v>
      </c>
      <c r="N2">
        <f>IFERROR(__xludf.DUMMYFUNCTION("""COMPUTED_VALUE"""),38.0)</f>
        <v>38</v>
      </c>
      <c r="O2" t="str">
        <f>IFERROR(__xludf.DUMMYFUNCTION("""COMPUTED_VALUE"""),"Married")</f>
        <v>Married</v>
      </c>
      <c r="S2" t="str">
        <f>IFERROR(__xludf.DUMMYFUNCTION("""COMPUTED_VALUE"""),"Egypt")</f>
        <v>Egypt</v>
      </c>
      <c r="T2" t="str">
        <f>IFERROR(__xludf.DUMMYFUNCTION("""COMPUTED_VALUE"""),"Cairo")</f>
        <v>Cairo</v>
      </c>
      <c r="U2" t="str">
        <f>IFERROR(__xludf.DUMMYFUNCTION("""COMPUTED_VALUE"""),"GMT +2")</f>
        <v>GMT +2</v>
      </c>
      <c r="V2" t="str">
        <f>IFERROR(__xludf.DUMMYFUNCTION("""COMPUTED_VALUE"""),"No")</f>
        <v>No</v>
      </c>
      <c r="W2" t="str">
        <f>IFERROR(__xludf.DUMMYFUNCTION("""COMPUTED_VALUE"""),"Egypt")</f>
        <v>Egypt</v>
      </c>
      <c r="X2" t="str">
        <f>IFERROR(__xludf.DUMMYFUNCTION("""COMPUTED_VALUE"""),"Paid")</f>
        <v>Paid</v>
      </c>
      <c r="Y2" t="str">
        <f>IFERROR(__xludf.DUMMYFUNCTION("""COMPUTED_VALUE"""),"Recitation")</f>
        <v>Recitation</v>
      </c>
      <c r="Z2" t="str">
        <f>IFERROR(__xludf.DUMMYFUNCTION("""COMPUTED_VALUE"""),"Vodafone Cash")</f>
        <v>Vodafone Cash</v>
      </c>
      <c r="AA2" s="134" t="str">
        <f>IFERROR(__xludf.DUMMYFUNCTION("""COMPUTED_VALUE"""),"0109-476-0098")</f>
        <v>0109-476-0098</v>
      </c>
      <c r="AC2" s="136">
        <f>IFERROR(__xludf.DUMMYFUNCTION("""COMPUTED_VALUE"""),8384.0)</f>
        <v>8384</v>
      </c>
      <c r="AD2">
        <f>IFERROR(__xludf.DUMMYFUNCTION("""COMPUTED_VALUE"""),3711.0)</f>
        <v>3711</v>
      </c>
      <c r="AE2" s="136">
        <f>IFERROR(__xludf.DUMMYFUNCTION("""COMPUTED_VALUE"""),682.0)</f>
        <v>682</v>
      </c>
      <c r="AF2" s="136">
        <f>IFERROR(__xludf.DUMMYFUNCTION("""COMPUTED_VALUE"""),3991.0)</f>
        <v>3991</v>
      </c>
      <c r="AG2">
        <f>IFERROR(__xludf.DUMMYFUNCTION("""COMPUTED_VALUE"""),39910.0)</f>
        <v>39910</v>
      </c>
      <c r="AH2" s="131">
        <f>IFERROR(__xludf.DUMMYFUNCTION("""COMPUTED_VALUE"""),27.51207729468599)</f>
        <v>27.51207729</v>
      </c>
      <c r="AI2" s="131">
        <f>IFERROR(__xludf.DUMMYFUNCTION("""COMPUTED_VALUE"""),129.0)</f>
        <v>129</v>
      </c>
      <c r="AJ2" s="131">
        <f>IFERROR(__xludf.DUMMYFUNCTION("""COMPUTED_VALUE"""),9563.0)</f>
        <v>9563</v>
      </c>
      <c r="AK2" s="136" t="str">
        <f>IFERROR(__xludf.DUMMYFUNCTION("""COMPUTED_VALUE"""),"Attended")</f>
        <v>Attended</v>
      </c>
      <c r="AL2" s="136">
        <f>IFERROR(__xludf.DUMMYFUNCTION("""COMPUTED_VALUE"""),9563.0)</f>
        <v>9563</v>
      </c>
      <c r="AM2" s="136">
        <f>IFERROR(__xludf.DUMMYFUNCTION("""COMPUTED_VALUE"""),6716.0)</f>
        <v>6716</v>
      </c>
      <c r="AN2" s="136">
        <f>IFERROR(__xludf.DUMMYFUNCTION("""COMPUTED_VALUE"""),6552.0)</f>
        <v>6552</v>
      </c>
      <c r="AO2" s="136">
        <f>IFERROR(__xludf.DUMMYFUNCTION("""COMPUTED_VALUE"""),608.0)</f>
        <v>608</v>
      </c>
      <c r="AP2" s="136">
        <f>IFERROR(__xludf.DUMMYFUNCTION("""COMPUTED_VALUE"""),164.0)</f>
        <v>164</v>
      </c>
      <c r="AQ2" s="136">
        <f>IFERROR(__xludf.DUMMYFUNCTION("""COMPUTED_VALUE"""),571.0)</f>
        <v>571</v>
      </c>
      <c r="AR2" s="136">
        <f>IFERROR(__xludf.DUMMYFUNCTION("""COMPUTED_VALUE"""),1668.0)</f>
        <v>1668</v>
      </c>
      <c r="AS2" s="136">
        <f>IFERROR(__xludf.DUMMYFUNCTION("""COMPUTED_VALUE"""),91.41459074733096)</f>
        <v>91.41459075</v>
      </c>
      <c r="AT2" s="131">
        <f>IFERROR(__xludf.DUMMYFUNCTION("""COMPUTED_VALUE"""),6.357837498692878)</f>
        <v>6.357837499</v>
      </c>
      <c r="AU2" s="131">
        <f>IFERROR(__xludf.DUMMYFUNCTION("""COMPUTED_VALUE"""),1.7149430095158422)</f>
        <v>1.71494301</v>
      </c>
      <c r="AV2" s="131">
        <f>IFERROR(__xludf.DUMMYFUNCTION("""COMPUTED_VALUE"""),5.970929624594793)</f>
        <v>5.970929625</v>
      </c>
      <c r="AW2" s="131">
        <f>IFERROR(__xludf.DUMMYFUNCTION("""COMPUTED_VALUE"""),17.442225243124543)</f>
        <v>17.44222524</v>
      </c>
      <c r="AX2" s="131">
        <f>IFERROR(__xludf.DUMMYFUNCTION("""COMPUTED_VALUE"""),87.67123287671232)</f>
        <v>87.67123288</v>
      </c>
      <c r="AY2" s="131">
        <f>IFERROR(__xludf.DUMMYFUNCTION("""COMPUTED_VALUE"""),5551.0)</f>
        <v>5551</v>
      </c>
      <c r="AZ2" s="131">
        <f>IFERROR(__xludf.DUMMYFUNCTION("""COMPUTED_VALUE"""),5090.0)</f>
        <v>5090</v>
      </c>
      <c r="BA2" s="131">
        <f>IFERROR(__xludf.DUMMYFUNCTION("""COMPUTED_VALUE"""),461.0)</f>
        <v>461</v>
      </c>
      <c r="BB2" s="131">
        <f>IFERROR(__xludf.DUMMYFUNCTION("""COMPUTED_VALUE"""),20.0)</f>
        <v>20</v>
      </c>
      <c r="BC2" s="131">
        <f>IFERROR(__xludf.DUMMYFUNCTION("""COMPUTED_VALUE"""),91.6951900558458)</f>
        <v>91.69519006</v>
      </c>
      <c r="BD2" s="131">
        <f>IFERROR(__xludf.DUMMYFUNCTION("""COMPUTED_VALUE"""),8.304809944154206)</f>
        <v>8.304809944</v>
      </c>
      <c r="BE2" s="131">
        <f>IFERROR(__xludf.DUMMYFUNCTION("""COMPUTED_VALUE"""),0.3590019745108598)</f>
        <v>0.3590019745</v>
      </c>
    </row>
    <row r="3">
      <c r="A3" t="str">
        <f>IFERROR(__xludf.DUMMYFUNCTION("""COMPUTED_VALUE"""),"TEA049")</f>
        <v>TEA049</v>
      </c>
      <c r="B3" t="str">
        <f>IFERROR(__xludf.DUMMYFUNCTION("""COMPUTED_VALUE"""),"Shaimaa El Kordy")</f>
        <v>Shaimaa El Kordy</v>
      </c>
      <c r="C3" s="131" t="str">
        <f>IFERROR(__xludf.DUMMYFUNCTION("""COMPUTED_VALUE"""),"""16vvJsFIh58NAqnALcx5zT26w6Hf5mGGwUa0_XboVu2k""")</f>
        <v>"16vvJsFIh58NAqnALcx5zT26w6Hf5mGGwUa0_XboVu2k"</v>
      </c>
      <c r="D3" t="str">
        <f>IFERROR(__xludf.DUMMYFUNCTION("""COMPUTED_VALUE"""),"Active")</f>
        <v>Active</v>
      </c>
      <c r="E3" t="str">
        <f>IFERROR(__xludf.DUMMYFUNCTION("""COMPUTED_VALUE"""),"Female")</f>
        <v>Female</v>
      </c>
      <c r="F3" s="132">
        <f>IFERROR(__xludf.DUMMYFUNCTION("""COMPUTED_VALUE"""),41602.0)</f>
        <v>41602</v>
      </c>
      <c r="G3" s="133"/>
      <c r="H3" s="131">
        <f>IFERROR(__xludf.DUMMYFUNCTION("""COMPUTED_VALUE"""),87.13815789473685)</f>
        <v>87.13815789</v>
      </c>
      <c r="I3" t="str">
        <f>IFERROR(__xludf.DUMMYFUNCTION("""COMPUTED_VALUE"""),"smaelkordy@gmail.com ")</f>
        <v>smaelkordy@gmail.com </v>
      </c>
      <c r="J3" s="134" t="str">
        <f>IFERROR(__xludf.DUMMYFUNCTION("""COMPUTED_VALUE"""),"01007321873")</f>
        <v>01007321873</v>
      </c>
      <c r="K3" t="str">
        <f>IFERROR(__xludf.DUMMYFUNCTION("""COMPUTED_VALUE"""),"nour.shaimaaelkordy")</f>
        <v>nour.shaimaaelkordy</v>
      </c>
      <c r="L3" t="str">
        <f>IFERROR(__xludf.DUMMYFUNCTION("""COMPUTED_VALUE"""),"shaima2nour")</f>
        <v>shaima2nour</v>
      </c>
      <c r="M3" s="135">
        <f>IFERROR(__xludf.DUMMYFUNCTION("""COMPUTED_VALUE"""),29587.0)</f>
        <v>29587</v>
      </c>
      <c r="N3">
        <f>IFERROR(__xludf.DUMMYFUNCTION("""COMPUTED_VALUE"""),40.0)</f>
        <v>40</v>
      </c>
      <c r="O3" t="str">
        <f>IFERROR(__xludf.DUMMYFUNCTION("""COMPUTED_VALUE"""),"Divorced")</f>
        <v>Divorced</v>
      </c>
      <c r="S3" t="str">
        <f>IFERROR(__xludf.DUMMYFUNCTION("""COMPUTED_VALUE"""),"Egypt")</f>
        <v>Egypt</v>
      </c>
      <c r="T3" t="str">
        <f>IFERROR(__xludf.DUMMYFUNCTION("""COMPUTED_VALUE"""),"Cairo")</f>
        <v>Cairo</v>
      </c>
      <c r="U3" t="str">
        <f>IFERROR(__xludf.DUMMYFUNCTION("""COMPUTED_VALUE"""),"GMT +2")</f>
        <v>GMT +2</v>
      </c>
      <c r="V3" t="str">
        <f>IFERROR(__xludf.DUMMYFUNCTION("""COMPUTED_VALUE"""),"No")</f>
        <v>No</v>
      </c>
      <c r="W3" t="str">
        <f>IFERROR(__xludf.DUMMYFUNCTION("""COMPUTED_VALUE"""),"Egypt")</f>
        <v>Egypt</v>
      </c>
      <c r="X3" t="str">
        <f>IFERROR(__xludf.DUMMYFUNCTION("""COMPUTED_VALUE"""),"Paid")</f>
        <v>Paid</v>
      </c>
      <c r="Y3" t="str">
        <f>IFERROR(__xludf.DUMMYFUNCTION("""COMPUTED_VALUE"""),"Recitation")</f>
        <v>Recitation</v>
      </c>
      <c r="Z3" t="str">
        <f>IFERROR(__xludf.DUMMYFUNCTION("""COMPUTED_VALUE"""),"Etisalat Cash")</f>
        <v>Etisalat Cash</v>
      </c>
      <c r="AA3" s="134" t="str">
        <f>IFERROR(__xludf.DUMMYFUNCTION("""COMPUTED_VALUE"""),"0115-897-5282")</f>
        <v>0115-897-5282</v>
      </c>
      <c r="AC3" s="136">
        <f>IFERROR(__xludf.DUMMYFUNCTION("""COMPUTED_VALUE"""),6358.0)</f>
        <v>6358</v>
      </c>
      <c r="AD3">
        <f>IFERROR(__xludf.DUMMYFUNCTION("""COMPUTED_VALUE"""),3309.0)</f>
        <v>3309</v>
      </c>
      <c r="AE3" s="136">
        <f>IFERROR(__xludf.DUMMYFUNCTION("""COMPUTED_VALUE"""),134.5)</f>
        <v>134.5</v>
      </c>
      <c r="AF3" s="136">
        <f>IFERROR(__xludf.DUMMYFUNCTION("""COMPUTED_VALUE"""),2914.5)</f>
        <v>2914.5</v>
      </c>
      <c r="AG3">
        <f>IFERROR(__xludf.DUMMYFUNCTION("""COMPUTED_VALUE"""),29145.0)</f>
        <v>29145</v>
      </c>
      <c r="AH3" s="131">
        <f>IFERROR(__xludf.DUMMYFUNCTION("""COMPUTED_VALUE"""),29.604110641567424)</f>
        <v>29.60411064</v>
      </c>
      <c r="AI3" s="131">
        <f>IFERROR(__xludf.DUMMYFUNCTION("""COMPUTED_VALUE"""),65.0)</f>
        <v>65</v>
      </c>
      <c r="AJ3" s="131">
        <f>IFERROR(__xludf.DUMMYFUNCTION("""COMPUTED_VALUE"""),6956.0)</f>
        <v>6956</v>
      </c>
      <c r="AK3" s="136" t="str">
        <f>IFERROR(__xludf.DUMMYFUNCTION("""COMPUTED_VALUE"""),"Attended")</f>
        <v>Attended</v>
      </c>
      <c r="AL3" s="136">
        <f>IFERROR(__xludf.DUMMYFUNCTION("""COMPUTED_VALUE"""),6956.0)</f>
        <v>6956</v>
      </c>
      <c r="AM3" s="136">
        <f>IFERROR(__xludf.DUMMYFUNCTION("""COMPUTED_VALUE"""),5333.0)</f>
        <v>5333</v>
      </c>
      <c r="AN3" s="136">
        <f>IFERROR(__xludf.DUMMYFUNCTION("""COMPUTED_VALUE"""),5314.0)</f>
        <v>5314</v>
      </c>
      <c r="AO3" s="136">
        <f>IFERROR(__xludf.DUMMYFUNCTION("""COMPUTED_VALUE"""),125.0)</f>
        <v>125</v>
      </c>
      <c r="AP3" s="136">
        <f>IFERROR(__xludf.DUMMYFUNCTION("""COMPUTED_VALUE"""),19.0)</f>
        <v>19</v>
      </c>
      <c r="AQ3" s="136">
        <f>IFERROR(__xludf.DUMMYFUNCTION("""COMPUTED_VALUE"""),473.0)</f>
        <v>473</v>
      </c>
      <c r="AR3" s="136">
        <f>IFERROR(__xludf.DUMMYFUNCTION("""COMPUTED_VALUE"""),1025.0)</f>
        <v>1025</v>
      </c>
      <c r="AS3" s="136">
        <f>IFERROR(__xludf.DUMMYFUNCTION("""COMPUTED_VALUE"""),97.7788061082832)</f>
        <v>97.77880611</v>
      </c>
      <c r="AT3" s="131">
        <f>IFERROR(__xludf.DUMMYFUNCTION("""COMPUTED_VALUE"""),1.79700977573318)</f>
        <v>1.797009776</v>
      </c>
      <c r="AU3" s="131">
        <f>IFERROR(__xludf.DUMMYFUNCTION("""COMPUTED_VALUE"""),0.2731454859114434)</f>
        <v>0.2731454859</v>
      </c>
      <c r="AV3" s="131">
        <f>IFERROR(__xludf.DUMMYFUNCTION("""COMPUTED_VALUE"""),6.799884991374353)</f>
        <v>6.799884991</v>
      </c>
      <c r="AW3" s="131">
        <f>IFERROR(__xludf.DUMMYFUNCTION("""COMPUTED_VALUE"""),14.735480161012077)</f>
        <v>14.73548016</v>
      </c>
      <c r="AX3" s="131">
        <f>IFERROR(__xludf.DUMMYFUNCTION("""COMPUTED_VALUE"""),91.40310523289247)</f>
        <v>91.40310523</v>
      </c>
      <c r="AY3" s="131">
        <f>IFERROR(__xludf.DUMMYFUNCTION("""COMPUTED_VALUE"""),1579.0)</f>
        <v>1579</v>
      </c>
      <c r="AZ3" s="131">
        <f>IFERROR(__xludf.DUMMYFUNCTION("""COMPUTED_VALUE"""),1423.0)</f>
        <v>1423</v>
      </c>
      <c r="BA3" s="131">
        <f>IFERROR(__xludf.DUMMYFUNCTION("""COMPUTED_VALUE"""),156.0)</f>
        <v>156</v>
      </c>
      <c r="BB3" s="131">
        <f>IFERROR(__xludf.DUMMYFUNCTION("""COMPUTED_VALUE"""),151.0)</f>
        <v>151</v>
      </c>
      <c r="BC3" s="131">
        <f>IFERROR(__xludf.DUMMYFUNCTION("""COMPUTED_VALUE"""),90.12032932235591)</f>
        <v>90.12032932</v>
      </c>
      <c r="BD3" s="131">
        <f>IFERROR(__xludf.DUMMYFUNCTION("""COMPUTED_VALUE"""),9.879670677644079)</f>
        <v>9.879670678</v>
      </c>
      <c r="BE3" s="131">
        <f>IFERROR(__xludf.DUMMYFUNCTION("""COMPUTED_VALUE"""),8.728323699421965)</f>
        <v>8.728323699</v>
      </c>
    </row>
    <row r="4">
      <c r="A4" t="str">
        <f>IFERROR(__xludf.DUMMYFUNCTION("""COMPUTED_VALUE"""),"TEA055")</f>
        <v>TEA055</v>
      </c>
      <c r="B4" t="str">
        <f>IFERROR(__xludf.DUMMYFUNCTION("""COMPUTED_VALUE"""),"Mona Salah")</f>
        <v>Mona Salah</v>
      </c>
      <c r="C4" s="131" t="str">
        <f>IFERROR(__xludf.DUMMYFUNCTION("""COMPUTED_VALUE"""),"""1KdwfavjK35cUUGL0vYRZXIu89JT_zj--tLhh2QJZh9g""")</f>
        <v>"1KdwfavjK35cUUGL0vYRZXIu89JT_zj--tLhh2QJZh9g"</v>
      </c>
      <c r="D4" t="str">
        <f>IFERROR(__xludf.DUMMYFUNCTION("""COMPUTED_VALUE"""),"Active")</f>
        <v>Active</v>
      </c>
      <c r="E4" t="str">
        <f>IFERROR(__xludf.DUMMYFUNCTION("""COMPUTED_VALUE"""),"Female")</f>
        <v>Female</v>
      </c>
      <c r="F4" s="132">
        <f>IFERROR(__xludf.DUMMYFUNCTION("""COMPUTED_VALUE"""),41701.0)</f>
        <v>41701</v>
      </c>
      <c r="G4" s="133"/>
      <c r="H4" s="131">
        <f>IFERROR(__xludf.DUMMYFUNCTION("""COMPUTED_VALUE"""),83.88157894736842)</f>
        <v>83.88157895</v>
      </c>
      <c r="I4" t="str">
        <f>IFERROR(__xludf.DUMMYFUNCTION("""COMPUTED_VALUE"""),"e.monasalah@yahoo.com")</f>
        <v>e.monasalah@yahoo.com</v>
      </c>
      <c r="J4" s="134" t="str">
        <f>IFERROR(__xludf.DUMMYFUNCTION("""COMPUTED_VALUE"""),"01006701667")</f>
        <v>01006701667</v>
      </c>
      <c r="K4" t="str">
        <f>IFERROR(__xludf.DUMMYFUNCTION("""COMPUTED_VALUE"""),"nour.monasalah")</f>
        <v>nour.monasalah</v>
      </c>
      <c r="L4" t="str">
        <f>IFERROR(__xludf.DUMMYFUNCTION("""COMPUTED_VALUE"""),"Mona7984")</f>
        <v>Mona7984</v>
      </c>
      <c r="M4" s="135">
        <f>IFERROR(__xludf.DUMMYFUNCTION("""COMPUTED_VALUE"""),30932.0)</f>
        <v>30932</v>
      </c>
      <c r="N4">
        <f>IFERROR(__xludf.DUMMYFUNCTION("""COMPUTED_VALUE"""),36.0)</f>
        <v>36</v>
      </c>
      <c r="O4" t="str">
        <f>IFERROR(__xludf.DUMMYFUNCTION("""COMPUTED_VALUE"""),"Single")</f>
        <v>Single</v>
      </c>
      <c r="P4" t="str">
        <f>IFERROR(__xludf.DUMMYFUNCTION("""COMPUTED_VALUE"""),"Yes")</f>
        <v>Yes</v>
      </c>
      <c r="Q4" t="str">
        <f>IFERROR(__xludf.DUMMYFUNCTION("""COMPUTED_VALUE"""),"Yes")</f>
        <v>Yes</v>
      </c>
      <c r="S4" t="str">
        <f>IFERROR(__xludf.DUMMYFUNCTION("""COMPUTED_VALUE"""),"Egypt")</f>
        <v>Egypt</v>
      </c>
      <c r="T4" t="str">
        <f>IFERROR(__xludf.DUMMYFUNCTION("""COMPUTED_VALUE"""),"Cairo")</f>
        <v>Cairo</v>
      </c>
      <c r="U4" t="str">
        <f>IFERROR(__xludf.DUMMYFUNCTION("""COMPUTED_VALUE"""),"GMT +2")</f>
        <v>GMT +2</v>
      </c>
      <c r="V4" t="str">
        <f>IFERROR(__xludf.DUMMYFUNCTION("""COMPUTED_VALUE"""),"No")</f>
        <v>No</v>
      </c>
      <c r="W4" t="str">
        <f>IFERROR(__xludf.DUMMYFUNCTION("""COMPUTED_VALUE"""),"Egypt")</f>
        <v>Egypt</v>
      </c>
      <c r="X4" t="str">
        <f>IFERROR(__xludf.DUMMYFUNCTION("""COMPUTED_VALUE"""),"Voluonteer")</f>
        <v>Voluonteer</v>
      </c>
      <c r="Y4" t="str">
        <f>IFERROR(__xludf.DUMMYFUNCTION("""COMPUTED_VALUE"""),"Recitation")</f>
        <v>Recitation</v>
      </c>
      <c r="AA4" s="134"/>
      <c r="AC4" s="136">
        <f>IFERROR(__xludf.DUMMYFUNCTION("""COMPUTED_VALUE"""),2551.0)</f>
        <v>2551</v>
      </c>
      <c r="AD4">
        <f>IFERROR(__xludf.DUMMYFUNCTION("""COMPUTED_VALUE"""),0.0)</f>
        <v>0</v>
      </c>
      <c r="AE4" s="136">
        <f>IFERROR(__xludf.DUMMYFUNCTION("""COMPUTED_VALUE"""),44.5)</f>
        <v>44.5</v>
      </c>
      <c r="AF4" s="136">
        <f>IFERROR(__xludf.DUMMYFUNCTION("""COMPUTED_VALUE"""),2506.5)</f>
        <v>2506.5</v>
      </c>
      <c r="AG4">
        <f>IFERROR(__xludf.DUMMYFUNCTION("""COMPUTED_VALUE"""),15665.625)</f>
        <v>15665.625</v>
      </c>
      <c r="AH4" s="131">
        <f>IFERROR(__xludf.DUMMYFUNCTION("""COMPUTED_VALUE"""),31.613907628437985)</f>
        <v>31.61390763</v>
      </c>
      <c r="AI4" s="131">
        <f>IFERROR(__xludf.DUMMYFUNCTION("""COMPUTED_VALUE"""),23.0)</f>
        <v>23</v>
      </c>
      <c r="AJ4" s="131">
        <f>IFERROR(__xludf.DUMMYFUNCTION("""COMPUTED_VALUE"""),2754.0)</f>
        <v>2754</v>
      </c>
      <c r="AK4" s="136" t="str">
        <f>IFERROR(__xludf.DUMMYFUNCTION("""COMPUTED_VALUE"""),"Attended")</f>
        <v>Attended</v>
      </c>
      <c r="AL4" s="136">
        <f>IFERROR(__xludf.DUMMYFUNCTION("""COMPUTED_VALUE"""),2754.0)</f>
        <v>2754</v>
      </c>
      <c r="AM4" s="136">
        <f>IFERROR(__xludf.DUMMYFUNCTION("""COMPUTED_VALUE"""),1936.0)</f>
        <v>1936</v>
      </c>
      <c r="AN4" s="136">
        <f>IFERROR(__xludf.DUMMYFUNCTION("""COMPUTED_VALUE"""),1929.0)</f>
        <v>1929</v>
      </c>
      <c r="AO4" s="136">
        <f>IFERROR(__xludf.DUMMYFUNCTION("""COMPUTED_VALUE"""),41.0)</f>
        <v>41</v>
      </c>
      <c r="AP4" s="136">
        <f>IFERROR(__xludf.DUMMYFUNCTION("""COMPUTED_VALUE"""),7.0)</f>
        <v>7</v>
      </c>
      <c r="AQ4" s="136">
        <f>IFERROR(__xludf.DUMMYFUNCTION("""COMPUTED_VALUE"""),162.0)</f>
        <v>162</v>
      </c>
      <c r="AR4" s="136">
        <f>IFERROR(__xludf.DUMMYFUNCTION("""COMPUTED_VALUE"""),615.0)</f>
        <v>615</v>
      </c>
      <c r="AS4" s="136">
        <f>IFERROR(__xludf.DUMMYFUNCTION("""COMPUTED_VALUE"""),98.14814814814815)</f>
        <v>98.14814815</v>
      </c>
      <c r="AT4" s="131">
        <f>IFERROR(__xludf.DUMMYFUNCTION("""COMPUTED_VALUE"""),1.4887436456063907)</f>
        <v>1.488743646</v>
      </c>
      <c r="AU4" s="131">
        <f>IFERROR(__xludf.DUMMYFUNCTION("""COMPUTED_VALUE"""),0.2541757443718228)</f>
        <v>0.2541757444</v>
      </c>
      <c r="AV4" s="131">
        <f>IFERROR(__xludf.DUMMYFUNCTION("""COMPUTED_VALUE"""),5.88235294117647)</f>
        <v>5.882352941</v>
      </c>
      <c r="AW4" s="131">
        <f>IFERROR(__xludf.DUMMYFUNCTION("""COMPUTED_VALUE"""),22.33115468409586)</f>
        <v>22.33115468</v>
      </c>
      <c r="AX4" s="131">
        <f>IFERROR(__xludf.DUMMYFUNCTION("""COMPUTED_VALUE"""),92.62890341321713)</f>
        <v>92.62890341</v>
      </c>
      <c r="AY4" s="131">
        <f>IFERROR(__xludf.DUMMYFUNCTION("""COMPUTED_VALUE"""),1048.0)</f>
        <v>1048</v>
      </c>
      <c r="AZ4" s="131">
        <f>IFERROR(__xludf.DUMMYFUNCTION("""COMPUTED_VALUE"""),895.0)</f>
        <v>895</v>
      </c>
      <c r="BA4" s="131">
        <f>IFERROR(__xludf.DUMMYFUNCTION("""COMPUTED_VALUE"""),153.0)</f>
        <v>153</v>
      </c>
      <c r="BB4" s="131">
        <f>IFERROR(__xludf.DUMMYFUNCTION("""COMPUTED_VALUE"""),31.0)</f>
        <v>31</v>
      </c>
      <c r="BC4" s="131">
        <f>IFERROR(__xludf.DUMMYFUNCTION("""COMPUTED_VALUE"""),85.40076335877863)</f>
        <v>85.40076336</v>
      </c>
      <c r="BD4" s="131">
        <f>IFERROR(__xludf.DUMMYFUNCTION("""COMPUTED_VALUE"""),14.599236641221374)</f>
        <v>14.59923664</v>
      </c>
      <c r="BE4" s="131">
        <f>IFERROR(__xludf.DUMMYFUNCTION("""COMPUTED_VALUE"""),2.873030583873957)</f>
        <v>2.873030584</v>
      </c>
    </row>
    <row r="5">
      <c r="A5" t="str">
        <f>IFERROR(__xludf.DUMMYFUNCTION("""COMPUTED_VALUE"""),"TEA059")</f>
        <v>TEA059</v>
      </c>
      <c r="B5" t="str">
        <f>IFERROR(__xludf.DUMMYFUNCTION("""COMPUTED_VALUE"""),"Magdy Yahia")</f>
        <v>Magdy Yahia</v>
      </c>
      <c r="C5" s="131" t="str">
        <f>IFERROR(__xludf.DUMMYFUNCTION("""COMPUTED_VALUE"""),"""1axC8523wyO9fGvTcgFzPYrsWNfX0bKylUXLpzXSvCmw""")</f>
        <v>"1axC8523wyO9fGvTcgFzPYrsWNfX0bKylUXLpzXSvCmw"</v>
      </c>
      <c r="D5" t="str">
        <f>IFERROR(__xludf.DUMMYFUNCTION("""COMPUTED_VALUE"""),"Active")</f>
        <v>Active</v>
      </c>
      <c r="E5" t="str">
        <f>IFERROR(__xludf.DUMMYFUNCTION("""COMPUTED_VALUE"""),"Male")</f>
        <v>Male</v>
      </c>
      <c r="F5" s="132">
        <f>IFERROR(__xludf.DUMMYFUNCTION("""COMPUTED_VALUE"""),41701.0)</f>
        <v>41701</v>
      </c>
      <c r="G5" s="133">
        <f>IFERROR(__xludf.DUMMYFUNCTION("""COMPUTED_VALUE"""),44196.0)</f>
        <v>44196</v>
      </c>
      <c r="H5" s="131">
        <f>IFERROR(__xludf.DUMMYFUNCTION("""COMPUTED_VALUE"""),82.07236842105263)</f>
        <v>82.07236842</v>
      </c>
      <c r="I5" t="str">
        <f>IFERROR(__xludf.DUMMYFUNCTION("""COMPUTED_VALUE"""),"magdy.here@gmail.com")</f>
        <v>magdy.here@gmail.com</v>
      </c>
      <c r="J5" s="134" t="str">
        <f>IFERROR(__xludf.DUMMYFUNCTION("""COMPUTED_VALUE"""),"01110399356")</f>
        <v>01110399356</v>
      </c>
      <c r="K5" t="str">
        <f>IFERROR(__xludf.DUMMYFUNCTION("""COMPUTED_VALUE"""),"nour.magdyyahia")</f>
        <v>nour.magdyyahia</v>
      </c>
      <c r="L5" t="str">
        <f>IFERROR(__xludf.DUMMYFUNCTION("""COMPUTED_VALUE"""),"351zsc684awd")</f>
        <v>351zsc684awd</v>
      </c>
      <c r="M5" s="135">
        <f>IFERROR(__xludf.DUMMYFUNCTION("""COMPUTED_VALUE"""),31048.0)</f>
        <v>31048</v>
      </c>
      <c r="N5">
        <f>IFERROR(__xludf.DUMMYFUNCTION("""COMPUTED_VALUE"""),36.0)</f>
        <v>36</v>
      </c>
      <c r="O5" t="str">
        <f>IFERROR(__xludf.DUMMYFUNCTION("""COMPUTED_VALUE"""),"Married")</f>
        <v>Married</v>
      </c>
      <c r="P5" t="str">
        <f>IFERROR(__xludf.DUMMYFUNCTION("""COMPUTED_VALUE"""),"Yes")</f>
        <v>Yes</v>
      </c>
      <c r="Q5" t="str">
        <f>IFERROR(__xludf.DUMMYFUNCTION("""COMPUTED_VALUE"""),"Yes")</f>
        <v>Yes</v>
      </c>
      <c r="S5" t="str">
        <f>IFERROR(__xludf.DUMMYFUNCTION("""COMPUTED_VALUE"""),"Egypt")</f>
        <v>Egypt</v>
      </c>
      <c r="T5" t="str">
        <f>IFERROR(__xludf.DUMMYFUNCTION("""COMPUTED_VALUE"""),"Cairo")</f>
        <v>Cairo</v>
      </c>
      <c r="U5" t="str">
        <f>IFERROR(__xludf.DUMMYFUNCTION("""COMPUTED_VALUE"""),"GMT +2")</f>
        <v>GMT +2</v>
      </c>
      <c r="V5" t="str">
        <f>IFERROR(__xludf.DUMMYFUNCTION("""COMPUTED_VALUE"""),"No")</f>
        <v>No</v>
      </c>
      <c r="W5" t="str">
        <f>IFERROR(__xludf.DUMMYFUNCTION("""COMPUTED_VALUE"""),"Egypt")</f>
        <v>Egypt</v>
      </c>
      <c r="X5" t="str">
        <f>IFERROR(__xludf.DUMMYFUNCTION("""COMPUTED_VALUE"""),"Paid")</f>
        <v>Paid</v>
      </c>
      <c r="Y5" t="str">
        <f>IFERROR(__xludf.DUMMYFUNCTION("""COMPUTED_VALUE"""),"Recitation")</f>
        <v>Recitation</v>
      </c>
      <c r="Z5" t="str">
        <f>IFERROR(__xludf.DUMMYFUNCTION("""COMPUTED_VALUE"""),"Etisalat Cash")</f>
        <v>Etisalat Cash</v>
      </c>
      <c r="AA5" s="134" t="str">
        <f>IFERROR(__xludf.DUMMYFUNCTION("""COMPUTED_VALUE"""),"0111-0399-356")</f>
        <v>0111-0399-356</v>
      </c>
      <c r="AC5" s="136">
        <f>IFERROR(__xludf.DUMMYFUNCTION("""COMPUTED_VALUE"""),4771.0)</f>
        <v>4771</v>
      </c>
      <c r="AD5">
        <f>IFERROR(__xludf.DUMMYFUNCTION("""COMPUTED_VALUE"""),4570.0)</f>
        <v>4570</v>
      </c>
      <c r="AE5" s="136">
        <f>IFERROR(__xludf.DUMMYFUNCTION("""COMPUTED_VALUE"""),201.0)</f>
        <v>201</v>
      </c>
      <c r="AF5" s="136">
        <f>IFERROR(__xludf.DUMMYFUNCTION("""COMPUTED_VALUE"""),0.0)</f>
        <v>0</v>
      </c>
      <c r="AG5">
        <f>IFERROR(__xludf.DUMMYFUNCTION("""COMPUTED_VALUE"""),0.0)</f>
        <v>0</v>
      </c>
      <c r="AH5" s="131">
        <f>IFERROR(__xludf.DUMMYFUNCTION("""COMPUTED_VALUE"""),25.53483941208492)</f>
        <v>25.53483941</v>
      </c>
      <c r="AI5" s="131">
        <f>IFERROR(__xludf.DUMMYFUNCTION("""COMPUTED_VALUE"""),39.0)</f>
        <v>39</v>
      </c>
      <c r="AJ5" s="131">
        <f>IFERROR(__xludf.DUMMYFUNCTION("""COMPUTED_VALUE"""),5113.0)</f>
        <v>5113</v>
      </c>
      <c r="AK5" s="136" t="str">
        <f>IFERROR(__xludf.DUMMYFUNCTION("""COMPUTED_VALUE"""),"Absent")</f>
        <v>Absent</v>
      </c>
      <c r="AL5" s="136">
        <f>IFERROR(__xludf.DUMMYFUNCTION("""COMPUTED_VALUE"""),5113.0)</f>
        <v>5113</v>
      </c>
      <c r="AM5" s="136">
        <f>IFERROR(__xludf.DUMMYFUNCTION("""COMPUTED_VALUE"""),3689.0)</f>
        <v>3689</v>
      </c>
      <c r="AN5" s="136">
        <f>IFERROR(__xludf.DUMMYFUNCTION("""COMPUTED_VALUE"""),3685.0)</f>
        <v>3685</v>
      </c>
      <c r="AO5" s="136">
        <f>IFERROR(__xludf.DUMMYFUNCTION("""COMPUTED_VALUE"""),199.0)</f>
        <v>199</v>
      </c>
      <c r="AP5" s="136">
        <f>IFERROR(__xludf.DUMMYFUNCTION("""COMPUTED_VALUE"""),4.0)</f>
        <v>4</v>
      </c>
      <c r="AQ5" s="136">
        <f>IFERROR(__xludf.DUMMYFUNCTION("""COMPUTED_VALUE"""),143.0)</f>
        <v>143</v>
      </c>
      <c r="AR5" s="136">
        <f>IFERROR(__xludf.DUMMYFUNCTION("""COMPUTED_VALUE"""),1082.0)</f>
        <v>1082</v>
      </c>
      <c r="AS5" s="136">
        <f>IFERROR(__xludf.DUMMYFUNCTION("""COMPUTED_VALUE"""),95.91549295774648)</f>
        <v>95.91549296</v>
      </c>
      <c r="AT5" s="131">
        <f>IFERROR(__xludf.DUMMYFUNCTION("""COMPUTED_VALUE"""),3.8920398982984548)</f>
        <v>3.892039898</v>
      </c>
      <c r="AU5" s="131">
        <f>IFERROR(__xludf.DUMMYFUNCTION("""COMPUTED_VALUE"""),0.07823195775474281)</f>
        <v>0.07823195775</v>
      </c>
      <c r="AV5" s="131">
        <f>IFERROR(__xludf.DUMMYFUNCTION("""COMPUTED_VALUE"""),2.7967924897320557)</f>
        <v>2.79679249</v>
      </c>
      <c r="AW5" s="131">
        <f>IFERROR(__xludf.DUMMYFUNCTION("""COMPUTED_VALUE"""),21.16174457265793)</f>
        <v>21.16174457</v>
      </c>
      <c r="AX5" s="131">
        <f>IFERROR(__xludf.DUMMYFUNCTION("""COMPUTED_VALUE"""),93.3111676119695)</f>
        <v>93.31116761</v>
      </c>
      <c r="AY5" s="131">
        <f>IFERROR(__xludf.DUMMYFUNCTION("""COMPUTED_VALUE"""),436.0)</f>
        <v>436</v>
      </c>
      <c r="AZ5" s="131">
        <f>IFERROR(__xludf.DUMMYFUNCTION("""COMPUTED_VALUE"""),414.0)</f>
        <v>414</v>
      </c>
      <c r="BA5" s="131">
        <f>IFERROR(__xludf.DUMMYFUNCTION("""COMPUTED_VALUE"""),22.0)</f>
        <v>22</v>
      </c>
      <c r="BB5" s="131">
        <f>IFERROR(__xludf.DUMMYFUNCTION("""COMPUTED_VALUE"""),99.0)</f>
        <v>99</v>
      </c>
      <c r="BC5" s="131">
        <f>IFERROR(__xludf.DUMMYFUNCTION("""COMPUTED_VALUE"""),94.95412844036697)</f>
        <v>94.95412844</v>
      </c>
      <c r="BD5" s="131">
        <f>IFERROR(__xludf.DUMMYFUNCTION("""COMPUTED_VALUE"""),5.045871559633028)</f>
        <v>5.04587156</v>
      </c>
      <c r="BE5" s="131">
        <f>IFERROR(__xludf.DUMMYFUNCTION("""COMPUTED_VALUE"""),18.50467289719626)</f>
        <v>18.5046729</v>
      </c>
    </row>
    <row r="6">
      <c r="A6" t="str">
        <f>IFERROR(__xludf.DUMMYFUNCTION("""COMPUTED_VALUE"""),"TEA067")</f>
        <v>TEA067</v>
      </c>
      <c r="B6" t="str">
        <f>IFERROR(__xludf.DUMMYFUNCTION("""COMPUTED_VALUE"""),"Samar Hussain")</f>
        <v>Samar Hussain</v>
      </c>
      <c r="C6" s="131" t="str">
        <f>IFERROR(__xludf.DUMMYFUNCTION("""COMPUTED_VALUE"""),"""1--B1ZvMbg2SRY8KX-WmPnFJ_tGYZsAnZqn0GQ0qchCM""")</f>
        <v>"1--B1ZvMbg2SRY8KX-WmPnFJ_tGYZsAnZqn0GQ0qchCM"</v>
      </c>
      <c r="D6" t="str">
        <f>IFERROR(__xludf.DUMMYFUNCTION("""COMPUTED_VALUE"""),"Active")</f>
        <v>Active</v>
      </c>
      <c r="E6" t="str">
        <f>IFERROR(__xludf.DUMMYFUNCTION("""COMPUTED_VALUE"""),"Female")</f>
        <v>Female</v>
      </c>
      <c r="F6" s="132">
        <f>IFERROR(__xludf.DUMMYFUNCTION("""COMPUTED_VALUE"""),41785.0)</f>
        <v>41785</v>
      </c>
      <c r="G6" s="133"/>
      <c r="H6" s="131">
        <f>IFERROR(__xludf.DUMMYFUNCTION("""COMPUTED_VALUE"""),81.11842105263159)</f>
        <v>81.11842105</v>
      </c>
      <c r="I6" t="str">
        <f>IFERROR(__xludf.DUMMYFUNCTION("""COMPUTED_VALUE"""),"potato_facebook@hotmail.com")</f>
        <v>potato_facebook@hotmail.com</v>
      </c>
      <c r="J6" s="134" t="str">
        <f>IFERROR(__xludf.DUMMYFUNCTION("""COMPUTED_VALUE"""),"0100-3777-987")</f>
        <v>0100-3777-987</v>
      </c>
      <c r="K6" t="str">
        <f>IFERROR(__xludf.DUMMYFUNCTION("""COMPUTED_VALUE"""),"nour.samarhussain")</f>
        <v>nour.samarhussain</v>
      </c>
      <c r="L6" t="str">
        <f>IFERROR(__xludf.DUMMYFUNCTION("""COMPUTED_VALUE"""),"55555s")</f>
        <v>55555s</v>
      </c>
      <c r="M6" s="135">
        <f>IFERROR(__xludf.DUMMYFUNCTION("""COMPUTED_VALUE"""),31413.0)</f>
        <v>31413</v>
      </c>
      <c r="N6">
        <f>IFERROR(__xludf.DUMMYFUNCTION("""COMPUTED_VALUE"""),35.0)</f>
        <v>35</v>
      </c>
      <c r="O6" t="str">
        <f>IFERROR(__xludf.DUMMYFUNCTION("""COMPUTED_VALUE"""),"Single")</f>
        <v>Single</v>
      </c>
      <c r="P6" t="str">
        <f>IFERROR(__xludf.DUMMYFUNCTION("""COMPUTED_VALUE"""),"Yes")</f>
        <v>Yes</v>
      </c>
      <c r="Q6" t="str">
        <f>IFERROR(__xludf.DUMMYFUNCTION("""COMPUTED_VALUE"""),"Yes")</f>
        <v>Yes</v>
      </c>
      <c r="S6" t="str">
        <f>IFERROR(__xludf.DUMMYFUNCTION("""COMPUTED_VALUE"""),"Egypt")</f>
        <v>Egypt</v>
      </c>
      <c r="T6" t="str">
        <f>IFERROR(__xludf.DUMMYFUNCTION("""COMPUTED_VALUE"""),"Cairo")</f>
        <v>Cairo</v>
      </c>
      <c r="U6" t="str">
        <f>IFERROR(__xludf.DUMMYFUNCTION("""COMPUTED_VALUE"""),"GMT +2")</f>
        <v>GMT +2</v>
      </c>
      <c r="V6" t="str">
        <f>IFERROR(__xludf.DUMMYFUNCTION("""COMPUTED_VALUE"""),"No")</f>
        <v>No</v>
      </c>
      <c r="W6" t="str">
        <f>IFERROR(__xludf.DUMMYFUNCTION("""COMPUTED_VALUE"""),"Egypt")</f>
        <v>Egypt</v>
      </c>
      <c r="X6" t="str">
        <f>IFERROR(__xludf.DUMMYFUNCTION("""COMPUTED_VALUE"""),"Paid")</f>
        <v>Paid</v>
      </c>
      <c r="Y6" t="str">
        <f>IFERROR(__xludf.DUMMYFUNCTION("""COMPUTED_VALUE"""),"Recitation")</f>
        <v>Recitation</v>
      </c>
      <c r="Z6" t="str">
        <f>IFERROR(__xludf.DUMMYFUNCTION("""COMPUTED_VALUE"""),"Vodafone Cash")</f>
        <v>Vodafone Cash</v>
      </c>
      <c r="AA6" s="134" t="str">
        <f>IFERROR(__xludf.DUMMYFUNCTION("""COMPUTED_VALUE"""),"0100-3777-987")</f>
        <v>0100-3777-987</v>
      </c>
      <c r="AC6" s="136">
        <f>IFERROR(__xludf.DUMMYFUNCTION("""COMPUTED_VALUE"""),10614.0)</f>
        <v>10614</v>
      </c>
      <c r="AD6">
        <f>IFERROR(__xludf.DUMMYFUNCTION("""COMPUTED_VALUE"""),9992.5)</f>
        <v>9992.5</v>
      </c>
      <c r="AE6" s="136">
        <f>IFERROR(__xludf.DUMMYFUNCTION("""COMPUTED_VALUE"""),484.5)</f>
        <v>484.5</v>
      </c>
      <c r="AF6" s="136">
        <f>IFERROR(__xludf.DUMMYFUNCTION("""COMPUTED_VALUE"""),137.0)</f>
        <v>137</v>
      </c>
      <c r="AG6">
        <f>IFERROR(__xludf.DUMMYFUNCTION("""COMPUTED_VALUE"""),2055.0)</f>
        <v>2055</v>
      </c>
      <c r="AH6" s="131">
        <f>IFERROR(__xludf.DUMMYFUNCTION("""COMPUTED_VALUE"""),30.133096926713947)</f>
        <v>30.13309693</v>
      </c>
      <c r="AI6" s="131">
        <f>IFERROR(__xludf.DUMMYFUNCTION("""COMPUTED_VALUE"""),146.0)</f>
        <v>146</v>
      </c>
      <c r="AJ6" s="131">
        <f>IFERROR(__xludf.DUMMYFUNCTION("""COMPUTED_VALUE"""),11653.0)</f>
        <v>11653</v>
      </c>
      <c r="AK6" s="136" t="str">
        <f>IFERROR(__xludf.DUMMYFUNCTION("""COMPUTED_VALUE"""),"Attended")</f>
        <v>Attended</v>
      </c>
      <c r="AL6" s="136">
        <f>IFERROR(__xludf.DUMMYFUNCTION("""COMPUTED_VALUE"""),11653.0)</f>
        <v>11653</v>
      </c>
      <c r="AM6" s="136">
        <f>IFERROR(__xludf.DUMMYFUNCTION("""COMPUTED_VALUE"""),8691.0)</f>
        <v>8691</v>
      </c>
      <c r="AN6" s="136">
        <f>IFERROR(__xludf.DUMMYFUNCTION("""COMPUTED_VALUE"""),8648.0)</f>
        <v>8648</v>
      </c>
      <c r="AO6" s="136">
        <f>IFERROR(__xludf.DUMMYFUNCTION("""COMPUTED_VALUE"""),463.0)</f>
        <v>463</v>
      </c>
      <c r="AP6" s="136">
        <f>IFERROR(__xludf.DUMMYFUNCTION("""COMPUTED_VALUE"""),43.0)</f>
        <v>43</v>
      </c>
      <c r="AQ6" s="136">
        <f>IFERROR(__xludf.DUMMYFUNCTION("""COMPUTED_VALUE"""),576.0)</f>
        <v>576</v>
      </c>
      <c r="AR6" s="136">
        <f>IFERROR(__xludf.DUMMYFUNCTION("""COMPUTED_VALUE"""),1923.0)</f>
        <v>1923</v>
      </c>
      <c r="AS6" s="136">
        <f>IFERROR(__xludf.DUMMYFUNCTION("""COMPUTED_VALUE"""),95.43197616683217)</f>
        <v>95.43197617</v>
      </c>
      <c r="AT6" s="131">
        <f>IFERROR(__xludf.DUMMYFUNCTION("""COMPUTED_VALUE"""),3.9732257787694154)</f>
        <v>3.973225779</v>
      </c>
      <c r="AU6" s="131">
        <f>IFERROR(__xludf.DUMMYFUNCTION("""COMPUTED_VALUE"""),0.36900369003690037)</f>
        <v>0.36900369</v>
      </c>
      <c r="AV6" s="131">
        <f>IFERROR(__xludf.DUMMYFUNCTION("""COMPUTED_VALUE"""),4.942933150261735)</f>
        <v>4.94293315</v>
      </c>
      <c r="AW6" s="131">
        <f>IFERROR(__xludf.DUMMYFUNCTION("""COMPUTED_VALUE"""),16.50218827769673)</f>
        <v>16.50218828</v>
      </c>
      <c r="AX6" s="131">
        <f>IFERROR(__xludf.DUMMYFUNCTION("""COMPUTED_VALUE"""),91.08384107096884)</f>
        <v>91.08384107</v>
      </c>
      <c r="AY6" s="131">
        <f>IFERROR(__xludf.DUMMYFUNCTION("""COMPUTED_VALUE"""),3127.0)</f>
        <v>3127</v>
      </c>
      <c r="AZ6" s="131">
        <f>IFERROR(__xludf.DUMMYFUNCTION("""COMPUTED_VALUE"""),3093.0)</f>
        <v>3093</v>
      </c>
      <c r="BA6" s="131">
        <f>IFERROR(__xludf.DUMMYFUNCTION("""COMPUTED_VALUE"""),34.0)</f>
        <v>34</v>
      </c>
      <c r="BB6" s="131">
        <f>IFERROR(__xludf.DUMMYFUNCTION("""COMPUTED_VALUE"""),4.0)</f>
        <v>4</v>
      </c>
      <c r="BC6" s="131">
        <f>IFERROR(__xludf.DUMMYFUNCTION("""COMPUTED_VALUE"""),98.91269587464024)</f>
        <v>98.91269587</v>
      </c>
      <c r="BD6" s="131">
        <f>IFERROR(__xludf.DUMMYFUNCTION("""COMPUTED_VALUE"""),1.0873041253597697)</f>
        <v>1.087304125</v>
      </c>
      <c r="BE6" s="131">
        <f>IFERROR(__xludf.DUMMYFUNCTION("""COMPUTED_VALUE"""),0.12775471095496646)</f>
        <v>0.127754711</v>
      </c>
    </row>
    <row r="7">
      <c r="A7" t="str">
        <f>IFERROR(__xludf.DUMMYFUNCTION("""COMPUTED_VALUE"""),"TEA021")</f>
        <v>TEA021</v>
      </c>
      <c r="B7" t="str">
        <f>IFERROR(__xludf.DUMMYFUNCTION("""COMPUTED_VALUE"""),"Heba El Khateeb")</f>
        <v>Heba El Khateeb</v>
      </c>
      <c r="C7" t="str">
        <f>IFERROR(__xludf.DUMMYFUNCTION("""COMPUTED_VALUE"""),"""1cLkcYGkQOCdiqHsDQyF8-IgqwAHTQ0tOB_aMxonofF8""")</f>
        <v>"1cLkcYGkQOCdiqHsDQyF8-IgqwAHTQ0tOB_aMxonofF8"</v>
      </c>
      <c r="D7" t="str">
        <f>IFERROR(__xludf.DUMMYFUNCTION("""COMPUTED_VALUE"""),"Active")</f>
        <v>Active</v>
      </c>
      <c r="E7" t="str">
        <f>IFERROR(__xludf.DUMMYFUNCTION("""COMPUTED_VALUE"""),"Female")</f>
        <v>Female</v>
      </c>
      <c r="F7" s="132">
        <f>IFERROR(__xludf.DUMMYFUNCTION("""COMPUTED_VALUE"""),41907.0)</f>
        <v>41907</v>
      </c>
      <c r="G7" s="133"/>
      <c r="H7" s="131">
        <f>IFERROR(__xludf.DUMMYFUNCTION("""COMPUTED_VALUE"""),77.10526315789474)</f>
        <v>77.10526316</v>
      </c>
      <c r="I7" t="str">
        <f>IFERROR(__xludf.DUMMYFUNCTION("""COMPUTED_VALUE"""),"hopefullgirl83@gmail.com")</f>
        <v>hopefullgirl83@gmail.com</v>
      </c>
      <c r="J7" s="134" t="str">
        <f>IFERROR(__xludf.DUMMYFUNCTION("""COMPUTED_VALUE"""),"0109-476-0098")</f>
        <v>0109-476-0098</v>
      </c>
      <c r="K7" t="str">
        <f>IFERROR(__xludf.DUMMYFUNCTION("""COMPUTED_VALUE"""),"nour.hebaelkhateb")</f>
        <v>nour.hebaelkhateb</v>
      </c>
      <c r="L7" t="str">
        <f>IFERROR(__xludf.DUMMYFUNCTION("""COMPUTED_VALUE"""),"heba83")</f>
        <v>heba83</v>
      </c>
      <c r="M7" s="135">
        <f>IFERROR(__xludf.DUMMYFUNCTION("""COMPUTED_VALUE"""),30317.0)</f>
        <v>30317</v>
      </c>
      <c r="N7">
        <f>IFERROR(__xludf.DUMMYFUNCTION("""COMPUTED_VALUE"""),38.0)</f>
        <v>38</v>
      </c>
      <c r="O7" t="str">
        <f>IFERROR(__xludf.DUMMYFUNCTION("""COMPUTED_VALUE"""),"Married")</f>
        <v>Married</v>
      </c>
      <c r="P7" t="str">
        <f>IFERROR(__xludf.DUMMYFUNCTION("""COMPUTED_VALUE"""),"Yes")</f>
        <v>Yes</v>
      </c>
      <c r="Q7" t="str">
        <f>IFERROR(__xludf.DUMMYFUNCTION("""COMPUTED_VALUE"""),"Yes")</f>
        <v>Yes</v>
      </c>
      <c r="S7" t="str">
        <f>IFERROR(__xludf.DUMMYFUNCTION("""COMPUTED_VALUE"""),"Egypt")</f>
        <v>Egypt</v>
      </c>
      <c r="T7" t="str">
        <f>IFERROR(__xludf.DUMMYFUNCTION("""COMPUTED_VALUE"""),"Cairo")</f>
        <v>Cairo</v>
      </c>
      <c r="U7" t="str">
        <f>IFERROR(__xludf.DUMMYFUNCTION("""COMPUTED_VALUE"""),"GMT +2")</f>
        <v>GMT +2</v>
      </c>
      <c r="V7" t="str">
        <f>IFERROR(__xludf.DUMMYFUNCTION("""COMPUTED_VALUE"""),"No")</f>
        <v>No</v>
      </c>
      <c r="W7" t="str">
        <f>IFERROR(__xludf.DUMMYFUNCTION("""COMPUTED_VALUE"""),"Egypt")</f>
        <v>Egypt</v>
      </c>
      <c r="X7" t="str">
        <f>IFERROR(__xludf.DUMMYFUNCTION("""COMPUTED_VALUE"""),"Paid")</f>
        <v>Paid</v>
      </c>
      <c r="Y7" t="str">
        <f>IFERROR(__xludf.DUMMYFUNCTION("""COMPUTED_VALUE"""),"Annourania")</f>
        <v>Annourania</v>
      </c>
      <c r="Z7" t="str">
        <f>IFERROR(__xludf.DUMMYFUNCTION("""COMPUTED_VALUE"""),"Vodafone Cash")</f>
        <v>Vodafone Cash</v>
      </c>
      <c r="AA7" s="134" t="str">
        <f>IFERROR(__xludf.DUMMYFUNCTION("""COMPUTED_VALUE"""),"0109-476-0098")</f>
        <v>0109-476-0098</v>
      </c>
      <c r="AC7" s="136">
        <f>IFERROR(__xludf.DUMMYFUNCTION("""COMPUTED_VALUE"""),724.0)</f>
        <v>724</v>
      </c>
      <c r="AE7" s="136">
        <f>IFERROR(__xludf.DUMMYFUNCTION("""COMPUTED_VALUE"""),53.0)</f>
        <v>53</v>
      </c>
      <c r="AF7" s="136">
        <f>IFERROR(__xludf.DUMMYFUNCTION("""COMPUTED_VALUE"""),671.0)</f>
        <v>671</v>
      </c>
      <c r="AG7">
        <f>IFERROR(__xludf.DUMMYFUNCTION("""COMPUTED_VALUE"""),6710.0)</f>
        <v>6710</v>
      </c>
      <c r="AH7" s="131">
        <f>IFERROR(__xludf.DUMMYFUNCTION("""COMPUTED_VALUE"""),28.524163568773233)</f>
        <v>28.52416357</v>
      </c>
      <c r="AI7" s="131">
        <f>IFERROR(__xludf.DUMMYFUNCTION("""COMPUTED_VALUE"""),18.0)</f>
        <v>18</v>
      </c>
      <c r="AJ7" s="131">
        <f>IFERROR(__xludf.DUMMYFUNCTION("""COMPUTED_VALUE"""),811.0)</f>
        <v>811</v>
      </c>
      <c r="AK7" s="136" t="str">
        <f>IFERROR(__xludf.DUMMYFUNCTION("""COMPUTED_VALUE"""),"Attended")</f>
        <v>Attended</v>
      </c>
      <c r="AL7" s="136">
        <f>IFERROR(__xludf.DUMMYFUNCTION("""COMPUTED_VALUE"""),811.0)</f>
        <v>811</v>
      </c>
      <c r="AM7" s="136">
        <f>IFERROR(__xludf.DUMMYFUNCTION("""COMPUTED_VALUE"""),593.0)</f>
        <v>593</v>
      </c>
      <c r="AN7" s="136">
        <f>IFERROR(__xludf.DUMMYFUNCTION("""COMPUTED_VALUE"""),583.0)</f>
        <v>583</v>
      </c>
      <c r="AO7" s="136">
        <f>IFERROR(__xludf.DUMMYFUNCTION("""COMPUTED_VALUE"""),48.0)</f>
        <v>48</v>
      </c>
      <c r="AP7" s="136">
        <f>IFERROR(__xludf.DUMMYFUNCTION("""COMPUTED_VALUE"""),10.0)</f>
        <v>10</v>
      </c>
      <c r="AQ7" s="136">
        <f>IFERROR(__xludf.DUMMYFUNCTION("""COMPUTED_VALUE"""),39.0)</f>
        <v>39</v>
      </c>
      <c r="AR7" s="136">
        <f>IFERROR(__xludf.DUMMYFUNCTION("""COMPUTED_VALUE"""),131.0)</f>
        <v>131</v>
      </c>
      <c r="AS7" s="136">
        <f>IFERROR(__xludf.DUMMYFUNCTION("""COMPUTED_VALUE"""),92.48704663212435)</f>
        <v>92.48704663</v>
      </c>
      <c r="AT7" s="131">
        <f>IFERROR(__xludf.DUMMYFUNCTION("""COMPUTED_VALUE"""),5.9186189889025895)</f>
        <v>5.918618989</v>
      </c>
      <c r="AU7" s="131">
        <f>IFERROR(__xludf.DUMMYFUNCTION("""COMPUTED_VALUE"""),1.2330456226880395)</f>
        <v>1.233045623</v>
      </c>
      <c r="AV7" s="131">
        <f>IFERROR(__xludf.DUMMYFUNCTION("""COMPUTED_VALUE"""),4.808877928483354)</f>
        <v>4.808877928</v>
      </c>
      <c r="AW7" s="131">
        <f>IFERROR(__xludf.DUMMYFUNCTION("""COMPUTED_VALUE"""),16.152897657213316)</f>
        <v>16.15289766</v>
      </c>
      <c r="AX7" s="131">
        <f>IFERROR(__xludf.DUMMYFUNCTION("""COMPUTED_VALUE"""),89.27250308261405)</f>
        <v>89.27250308</v>
      </c>
      <c r="AY7" s="131">
        <f>IFERROR(__xludf.DUMMYFUNCTION("""COMPUTED_VALUE"""),410.0)</f>
        <v>410</v>
      </c>
      <c r="AZ7" s="131">
        <f>IFERROR(__xludf.DUMMYFUNCTION("""COMPUTED_VALUE"""),369.0)</f>
        <v>369</v>
      </c>
      <c r="BA7" s="131">
        <f>IFERROR(__xludf.DUMMYFUNCTION("""COMPUTED_VALUE"""),41.0)</f>
        <v>41</v>
      </c>
      <c r="BB7" s="131">
        <f>IFERROR(__xludf.DUMMYFUNCTION("""COMPUTED_VALUE"""),0.0)</f>
        <v>0</v>
      </c>
      <c r="BC7" s="131">
        <f>IFERROR(__xludf.DUMMYFUNCTION("""COMPUTED_VALUE"""),90.0)</f>
        <v>90</v>
      </c>
      <c r="BD7" s="131">
        <f>IFERROR(__xludf.DUMMYFUNCTION("""COMPUTED_VALUE"""),10.0)</f>
        <v>10</v>
      </c>
      <c r="BE7" s="131">
        <f>IFERROR(__xludf.DUMMYFUNCTION("""COMPUTED_VALUE"""),0.0)</f>
        <v>0</v>
      </c>
    </row>
    <row r="8">
      <c r="A8" t="str">
        <f>IFERROR(__xludf.DUMMYFUNCTION("""COMPUTED_VALUE"""),"TEA082")</f>
        <v>TEA082</v>
      </c>
      <c r="B8" t="str">
        <f>IFERROR(__xludf.DUMMYFUNCTION("""COMPUTED_VALUE"""),"Mariam Fouad")</f>
        <v>Mariam Fouad</v>
      </c>
      <c r="C8" t="str">
        <f>IFERROR(__xludf.DUMMYFUNCTION("""COMPUTED_VALUE"""),"""1C4E7oe2GvebH1rIusUUGL763Nv3Hl8XIhyyqmpaGF_4""")</f>
        <v>"1C4E7oe2GvebH1rIusUUGL763Nv3Hl8XIhyyqmpaGF_4"</v>
      </c>
      <c r="D8" t="str">
        <f>IFERROR(__xludf.DUMMYFUNCTION("""COMPUTED_VALUE"""),"Active")</f>
        <v>Active</v>
      </c>
      <c r="E8" t="str">
        <f>IFERROR(__xludf.DUMMYFUNCTION("""COMPUTED_VALUE"""),"Female")</f>
        <v>Female</v>
      </c>
      <c r="F8" s="132">
        <f>IFERROR(__xludf.DUMMYFUNCTION("""COMPUTED_VALUE"""),41906.0)</f>
        <v>41906</v>
      </c>
      <c r="G8" s="133"/>
      <c r="H8" s="131">
        <f>IFERROR(__xludf.DUMMYFUNCTION("""COMPUTED_VALUE"""),77.13815789473685)</f>
        <v>77.13815789</v>
      </c>
      <c r="I8" t="str">
        <f>IFERROR(__xludf.DUMMYFUNCTION("""COMPUTED_VALUE"""),"mariam.m.fouad13@gmail.com")</f>
        <v>mariam.m.fouad13@gmail.com</v>
      </c>
      <c r="J8" s="134" t="str">
        <f>IFERROR(__xludf.DUMMYFUNCTION("""COMPUTED_VALUE"""),"0100-8200-858")</f>
        <v>0100-8200-858</v>
      </c>
      <c r="K8" t="str">
        <f>IFERROR(__xludf.DUMMYFUNCTION("""COMPUTED_VALUE"""),"nour.mariamfouad")</f>
        <v>nour.mariamfouad</v>
      </c>
      <c r="L8" t="str">
        <f>IFERROR(__xludf.DUMMYFUNCTION("""COMPUTED_VALUE"""),"fouad13")</f>
        <v>fouad13</v>
      </c>
      <c r="M8" s="135">
        <f>IFERROR(__xludf.DUMMYFUNCTION("""COMPUTED_VALUE"""),34335.0)</f>
        <v>34335</v>
      </c>
      <c r="N8">
        <f>IFERROR(__xludf.DUMMYFUNCTION("""COMPUTED_VALUE"""),27.0)</f>
        <v>27</v>
      </c>
      <c r="O8" t="str">
        <f>IFERROR(__xludf.DUMMYFUNCTION("""COMPUTED_VALUE"""),"Single")</f>
        <v>Single</v>
      </c>
      <c r="P8" t="str">
        <f>IFERROR(__xludf.DUMMYFUNCTION("""COMPUTED_VALUE"""),"Yes")</f>
        <v>Yes</v>
      </c>
      <c r="Q8" t="str">
        <f>IFERROR(__xludf.DUMMYFUNCTION("""COMPUTED_VALUE"""),"Yes")</f>
        <v>Yes</v>
      </c>
      <c r="S8" t="str">
        <f>IFERROR(__xludf.DUMMYFUNCTION("""COMPUTED_VALUE"""),"Egypt")</f>
        <v>Egypt</v>
      </c>
      <c r="T8" t="str">
        <f>IFERROR(__xludf.DUMMYFUNCTION("""COMPUTED_VALUE"""),"Cairo")</f>
        <v>Cairo</v>
      </c>
      <c r="U8" t="str">
        <f>IFERROR(__xludf.DUMMYFUNCTION("""COMPUTED_VALUE"""),"GMT +2")</f>
        <v>GMT +2</v>
      </c>
      <c r="V8" t="str">
        <f>IFERROR(__xludf.DUMMYFUNCTION("""COMPUTED_VALUE"""),"No")</f>
        <v>No</v>
      </c>
      <c r="W8" t="str">
        <f>IFERROR(__xludf.DUMMYFUNCTION("""COMPUTED_VALUE"""),"Egypt")</f>
        <v>Egypt</v>
      </c>
      <c r="X8" t="str">
        <f>IFERROR(__xludf.DUMMYFUNCTION("""COMPUTED_VALUE"""),"Paid")</f>
        <v>Paid</v>
      </c>
      <c r="Y8" t="str">
        <f>IFERROR(__xludf.DUMMYFUNCTION("""COMPUTED_VALUE"""),"Tajweed Theoretical")</f>
        <v>Tajweed Theoretical</v>
      </c>
      <c r="Z8" t="str">
        <f>IFERROR(__xludf.DUMMYFUNCTION("""COMPUTED_VALUE"""),"Vodafone Cash")</f>
        <v>Vodafone Cash</v>
      </c>
      <c r="AA8" s="134" t="str">
        <f>IFERROR(__xludf.DUMMYFUNCTION("""COMPUTED_VALUE"""),"010-2213-9981")</f>
        <v>010-2213-9981</v>
      </c>
      <c r="AC8" s="136">
        <f>IFERROR(__xludf.DUMMYFUNCTION("""COMPUTED_VALUE"""),118.0)</f>
        <v>118</v>
      </c>
      <c r="AE8" s="136">
        <f>IFERROR(__xludf.DUMMYFUNCTION("""COMPUTED_VALUE"""),14.5)</f>
        <v>14.5</v>
      </c>
      <c r="AF8" s="136">
        <f>IFERROR(__xludf.DUMMYFUNCTION("""COMPUTED_VALUE"""),103.5)</f>
        <v>103.5</v>
      </c>
      <c r="AG8">
        <f>IFERROR(__xludf.DUMMYFUNCTION("""COMPUTED_VALUE"""),646.875)</f>
        <v>646.875</v>
      </c>
      <c r="AH8" s="131">
        <f>IFERROR(__xludf.DUMMYFUNCTION("""COMPUTED_VALUE"""),34.71830985915493)</f>
        <v>34.71830986</v>
      </c>
      <c r="AI8" s="131">
        <f>IFERROR(__xludf.DUMMYFUNCTION("""COMPUTED_VALUE"""),4.0)</f>
        <v>4</v>
      </c>
      <c r="AJ8" s="131">
        <f>IFERROR(__xludf.DUMMYFUNCTION("""COMPUTED_VALUE"""),146.0)</f>
        <v>146</v>
      </c>
      <c r="AK8" s="136" t="str">
        <f>IFERROR(__xludf.DUMMYFUNCTION("""COMPUTED_VALUE"""),"Attended")</f>
        <v>Attended</v>
      </c>
      <c r="AL8" s="136">
        <f>IFERROR(__xludf.DUMMYFUNCTION("""COMPUTED_VALUE"""),146.0)</f>
        <v>146</v>
      </c>
      <c r="AM8" s="136">
        <f>IFERROR(__xludf.DUMMYFUNCTION("""COMPUTED_VALUE"""),92.0)</f>
        <v>92</v>
      </c>
      <c r="AN8" s="136">
        <f>IFERROR(__xludf.DUMMYFUNCTION("""COMPUTED_VALUE"""),91.0)</f>
        <v>91</v>
      </c>
      <c r="AO8" s="136">
        <f>IFERROR(__xludf.DUMMYFUNCTION("""COMPUTED_VALUE"""),14.0)</f>
        <v>14</v>
      </c>
      <c r="AP8" s="136">
        <f>IFERROR(__xludf.DUMMYFUNCTION("""COMPUTED_VALUE"""),1.0)</f>
        <v>1</v>
      </c>
      <c r="AQ8" s="136">
        <f>IFERROR(__xludf.DUMMYFUNCTION("""COMPUTED_VALUE"""),14.0)</f>
        <v>14</v>
      </c>
      <c r="AR8" s="136">
        <f>IFERROR(__xludf.DUMMYFUNCTION("""COMPUTED_VALUE"""),26.0)</f>
        <v>26</v>
      </c>
      <c r="AS8" s="136">
        <f>IFERROR(__xludf.DUMMYFUNCTION("""COMPUTED_VALUE"""),88.63636363636364)</f>
        <v>88.63636364</v>
      </c>
      <c r="AT8" s="131">
        <f>IFERROR(__xludf.DUMMYFUNCTION("""COMPUTED_VALUE"""),9.58904109589041)</f>
        <v>9.589041096</v>
      </c>
      <c r="AU8" s="131">
        <f>IFERROR(__xludf.DUMMYFUNCTION("""COMPUTED_VALUE"""),0.684931506849315)</f>
        <v>0.6849315068</v>
      </c>
      <c r="AV8" s="131">
        <f>IFERROR(__xludf.DUMMYFUNCTION("""COMPUTED_VALUE"""),9.58904109589041)</f>
        <v>9.589041096</v>
      </c>
      <c r="AW8" s="131">
        <f>IFERROR(__xludf.DUMMYFUNCTION("""COMPUTED_VALUE"""),17.80821917808219)</f>
        <v>17.80821918</v>
      </c>
      <c r="AX8" s="131">
        <f>IFERROR(__xludf.DUMMYFUNCTION("""COMPUTED_VALUE"""),80.82191780821918)</f>
        <v>80.82191781</v>
      </c>
      <c r="AY8" s="131">
        <f>IFERROR(__xludf.DUMMYFUNCTION("""COMPUTED_VALUE"""),5.0)</f>
        <v>5</v>
      </c>
      <c r="AZ8" s="131">
        <f>IFERROR(__xludf.DUMMYFUNCTION("""COMPUTED_VALUE"""),4.0)</f>
        <v>4</v>
      </c>
      <c r="BA8" s="131">
        <f>IFERROR(__xludf.DUMMYFUNCTION("""COMPUTED_VALUE"""),1.0)</f>
        <v>1</v>
      </c>
      <c r="BB8" s="131">
        <f>IFERROR(__xludf.DUMMYFUNCTION("""COMPUTED_VALUE"""),5.0)</f>
        <v>5</v>
      </c>
      <c r="BC8" s="131">
        <f>IFERROR(__xludf.DUMMYFUNCTION("""COMPUTED_VALUE"""),80.0)</f>
        <v>80</v>
      </c>
      <c r="BD8" s="131">
        <f>IFERROR(__xludf.DUMMYFUNCTION("""COMPUTED_VALUE"""),20.0)</f>
        <v>20</v>
      </c>
      <c r="BE8" s="131">
        <f>IFERROR(__xludf.DUMMYFUNCTION("""COMPUTED_VALUE"""),50.0)</f>
        <v>50</v>
      </c>
    </row>
    <row r="9">
      <c r="A9" t="str">
        <f>IFERROR(__xludf.DUMMYFUNCTION("""COMPUTED_VALUE"""),"TEA084")</f>
        <v>TEA084</v>
      </c>
      <c r="B9" t="str">
        <f>IFERROR(__xludf.DUMMYFUNCTION("""COMPUTED_VALUE"""),"Essam Fouad")</f>
        <v>Essam Fouad</v>
      </c>
      <c r="C9" t="str">
        <f>IFERROR(__xludf.DUMMYFUNCTION("""COMPUTED_VALUE"""),"""12zP1IR8XRT3734jhZkWyBbhz0fuladYSo3eUrIgU7Go""")</f>
        <v>"12zP1IR8XRT3734jhZkWyBbhz0fuladYSo3eUrIgU7Go"</v>
      </c>
      <c r="D9" t="str">
        <f>IFERROR(__xludf.DUMMYFUNCTION("""COMPUTED_VALUE"""),"Active")</f>
        <v>Active</v>
      </c>
      <c r="E9" t="str">
        <f>IFERROR(__xludf.DUMMYFUNCTION("""COMPUTED_VALUE"""),"Male")</f>
        <v>Male</v>
      </c>
      <c r="F9" s="132">
        <f>IFERROR(__xludf.DUMMYFUNCTION("""COMPUTED_VALUE"""),41910.0)</f>
        <v>41910</v>
      </c>
      <c r="G9" s="133"/>
      <c r="H9" s="131">
        <f>IFERROR(__xludf.DUMMYFUNCTION("""COMPUTED_VALUE"""),77.00657894736842)</f>
        <v>77.00657895</v>
      </c>
      <c r="I9" t="str">
        <f>IFERROR(__xludf.DUMMYFUNCTION("""COMPUTED_VALUE"""),"Essam.Gomha@yahoo.com")</f>
        <v>Essam.Gomha@yahoo.com</v>
      </c>
      <c r="J9" s="134" t="str">
        <f>IFERROR(__xludf.DUMMYFUNCTION("""COMPUTED_VALUE"""),"0115-2660-733")</f>
        <v>0115-2660-733</v>
      </c>
      <c r="K9" t="str">
        <f>IFERROR(__xludf.DUMMYFUNCTION("""COMPUTED_VALUE"""),"nour.essamfouad")</f>
        <v>nour.essamfouad</v>
      </c>
      <c r="L9" t="str">
        <f>IFERROR(__xludf.DUMMYFUNCTION("""COMPUTED_VALUE"""),"fouad81")</f>
        <v>fouad81</v>
      </c>
      <c r="M9" s="135">
        <f>IFERROR(__xludf.DUMMYFUNCTION("""COMPUTED_VALUE"""),29587.0)</f>
        <v>29587</v>
      </c>
      <c r="N9">
        <f>IFERROR(__xludf.DUMMYFUNCTION("""COMPUTED_VALUE"""),40.0)</f>
        <v>40</v>
      </c>
      <c r="O9" t="str">
        <f>IFERROR(__xludf.DUMMYFUNCTION("""COMPUTED_VALUE"""),"Married")</f>
        <v>Married</v>
      </c>
      <c r="P9" t="str">
        <f>IFERROR(__xludf.DUMMYFUNCTION("""COMPUTED_VALUE"""),"Yes")</f>
        <v>Yes</v>
      </c>
      <c r="Q9" t="str">
        <f>IFERROR(__xludf.DUMMYFUNCTION("""COMPUTED_VALUE"""),"Yes")</f>
        <v>Yes</v>
      </c>
      <c r="S9" t="str">
        <f>IFERROR(__xludf.DUMMYFUNCTION("""COMPUTED_VALUE"""),"Egypt")</f>
        <v>Egypt</v>
      </c>
      <c r="T9" t="str">
        <f>IFERROR(__xludf.DUMMYFUNCTION("""COMPUTED_VALUE"""),"Alexandria")</f>
        <v>Alexandria</v>
      </c>
      <c r="U9" t="str">
        <f>IFERROR(__xludf.DUMMYFUNCTION("""COMPUTED_VALUE"""),"GMT +2")</f>
        <v>GMT +2</v>
      </c>
      <c r="V9" t="str">
        <f>IFERROR(__xludf.DUMMYFUNCTION("""COMPUTED_VALUE"""),"No")</f>
        <v>No</v>
      </c>
      <c r="W9" t="str">
        <f>IFERROR(__xludf.DUMMYFUNCTION("""COMPUTED_VALUE"""),"Egypt")</f>
        <v>Egypt</v>
      </c>
      <c r="X9" t="str">
        <f>IFERROR(__xludf.DUMMYFUNCTION("""COMPUTED_VALUE"""),"Paid")</f>
        <v>Paid</v>
      </c>
      <c r="Y9" t="str">
        <f>IFERROR(__xludf.DUMMYFUNCTION("""COMPUTED_VALUE"""),"Tajweed Theoretical")</f>
        <v>Tajweed Theoretical</v>
      </c>
      <c r="Z9" t="str">
        <f>IFERROR(__xludf.DUMMYFUNCTION("""COMPUTED_VALUE"""),"Vodafone Cash")</f>
        <v>Vodafone Cash</v>
      </c>
      <c r="AA9" s="134" t="str">
        <f>IFERROR(__xludf.DUMMYFUNCTION("""COMPUTED_VALUE"""),"01065-712-362")</f>
        <v>01065-712-362</v>
      </c>
      <c r="AC9" s="136">
        <f>IFERROR(__xludf.DUMMYFUNCTION("""COMPUTED_VALUE"""),84.0)</f>
        <v>84</v>
      </c>
      <c r="AD9">
        <f>IFERROR(__xludf.DUMMYFUNCTION("""COMPUTED_VALUE"""),31.0)</f>
        <v>31</v>
      </c>
      <c r="AE9" s="136">
        <f>IFERROR(__xludf.DUMMYFUNCTION("""COMPUTED_VALUE"""),15.5)</f>
        <v>15.5</v>
      </c>
      <c r="AF9" s="136">
        <f>IFERROR(__xludf.DUMMYFUNCTION("""COMPUTED_VALUE"""),37.5)</f>
        <v>37.5</v>
      </c>
      <c r="AG9">
        <f>IFERROR(__xludf.DUMMYFUNCTION("""COMPUTED_VALUE"""),375.0)</f>
        <v>375</v>
      </c>
      <c r="AH9" s="131">
        <f>IFERROR(__xludf.DUMMYFUNCTION("""COMPUTED_VALUE"""),30.0)</f>
        <v>30</v>
      </c>
      <c r="AI9" s="131">
        <f>IFERROR(__xludf.DUMMYFUNCTION("""COMPUTED_VALUE"""),5.0)</f>
        <v>5</v>
      </c>
      <c r="AJ9" s="131">
        <f>IFERROR(__xludf.DUMMYFUNCTION("""COMPUTED_VALUE"""),104.0)</f>
        <v>104</v>
      </c>
      <c r="AK9" s="136" t="str">
        <f>IFERROR(__xludf.DUMMYFUNCTION("""COMPUTED_VALUE"""),"Attended No Show")</f>
        <v>Attended No Show</v>
      </c>
      <c r="AL9" s="136">
        <f>IFERROR(__xludf.DUMMYFUNCTION("""COMPUTED_VALUE"""),104.0)</f>
        <v>104</v>
      </c>
      <c r="AM9" s="136">
        <f>IFERROR(__xludf.DUMMYFUNCTION("""COMPUTED_VALUE"""),53.0)</f>
        <v>53</v>
      </c>
      <c r="AN9" s="136">
        <f>IFERROR(__xludf.DUMMYFUNCTION("""COMPUTED_VALUE"""),52.0)</f>
        <v>52</v>
      </c>
      <c r="AO9" s="136">
        <f>IFERROR(__xludf.DUMMYFUNCTION("""COMPUTED_VALUE"""),15.0)</f>
        <v>15</v>
      </c>
      <c r="AP9" s="136">
        <f>IFERROR(__xludf.DUMMYFUNCTION("""COMPUTED_VALUE"""),1.0)</f>
        <v>1</v>
      </c>
      <c r="AQ9" s="136">
        <f>IFERROR(__xludf.DUMMYFUNCTION("""COMPUTED_VALUE"""),5.0)</f>
        <v>5</v>
      </c>
      <c r="AR9" s="136">
        <f>IFERROR(__xludf.DUMMYFUNCTION("""COMPUTED_VALUE"""),31.0)</f>
        <v>31</v>
      </c>
      <c r="AS9" s="136">
        <f>IFERROR(__xludf.DUMMYFUNCTION("""COMPUTED_VALUE"""),83.83838383838383)</f>
        <v>83.83838384</v>
      </c>
      <c r="AT9" s="131">
        <f>IFERROR(__xludf.DUMMYFUNCTION("""COMPUTED_VALUE"""),14.423076923076922)</f>
        <v>14.42307692</v>
      </c>
      <c r="AU9" s="131">
        <f>IFERROR(__xludf.DUMMYFUNCTION("""COMPUTED_VALUE"""),0.9615384615384616)</f>
        <v>0.9615384615</v>
      </c>
      <c r="AV9" s="131">
        <f>IFERROR(__xludf.DUMMYFUNCTION("""COMPUTED_VALUE"""),4.807692307692308)</f>
        <v>4.807692308</v>
      </c>
      <c r="AW9" s="131">
        <f>IFERROR(__xludf.DUMMYFUNCTION("""COMPUTED_VALUE"""),29.807692307692307)</f>
        <v>29.80769231</v>
      </c>
      <c r="AX9" s="131">
        <f>IFERROR(__xludf.DUMMYFUNCTION("""COMPUTED_VALUE"""),80.76923076923077)</f>
        <v>80.76923077</v>
      </c>
      <c r="AY9" s="131">
        <f>IFERROR(__xludf.DUMMYFUNCTION("""COMPUTED_VALUE"""),0.0)</f>
        <v>0</v>
      </c>
      <c r="AZ9" s="131">
        <f>IFERROR(__xludf.DUMMYFUNCTION("""COMPUTED_VALUE"""),0.0)</f>
        <v>0</v>
      </c>
      <c r="BA9" s="131">
        <f>IFERROR(__xludf.DUMMYFUNCTION("""COMPUTED_VALUE"""),0.0)</f>
        <v>0</v>
      </c>
      <c r="BB9" s="131">
        <f>IFERROR(__xludf.DUMMYFUNCTION("""COMPUTED_VALUE"""),0.0)</f>
        <v>0</v>
      </c>
      <c r="BC9" s="131" t="str">
        <f>IFERROR(__xludf.DUMMYFUNCTION("""COMPUTED_VALUE"""),"#DIV/0!")</f>
        <v>#DIV/0!</v>
      </c>
      <c r="BD9" s="131" t="str">
        <f>IFERROR(__xludf.DUMMYFUNCTION("""COMPUTED_VALUE"""),"#DIV/0!")</f>
        <v>#DIV/0!</v>
      </c>
      <c r="BE9" s="131" t="str">
        <f>IFERROR(__xludf.DUMMYFUNCTION("""COMPUTED_VALUE"""),"#DIV/0!")</f>
        <v>#DIV/0!</v>
      </c>
    </row>
    <row r="10">
      <c r="A10" t="str">
        <f>IFERROR(__xludf.DUMMYFUNCTION("""COMPUTED_VALUE"""),"TEA085")</f>
        <v>TEA085</v>
      </c>
      <c r="B10" t="str">
        <f>IFERROR(__xludf.DUMMYFUNCTION("""COMPUTED_VALUE"""),"Asmaa Saeed")</f>
        <v>Asmaa Saeed</v>
      </c>
      <c r="C10" t="str">
        <f>IFERROR(__xludf.DUMMYFUNCTION("""COMPUTED_VALUE"""),"""1VpYlSi6y_dH3DadLozi4MqFAdnWT7G4sxR9DgeTkDbI""")</f>
        <v>"1VpYlSi6y_dH3DadLozi4MqFAdnWT7G4sxR9DgeTkDbI"</v>
      </c>
      <c r="D10" t="str">
        <f>IFERROR(__xludf.DUMMYFUNCTION("""COMPUTED_VALUE"""),"Active")</f>
        <v>Active</v>
      </c>
      <c r="E10" t="str">
        <f>IFERROR(__xludf.DUMMYFUNCTION("""COMPUTED_VALUE"""),"Female")</f>
        <v>Female</v>
      </c>
      <c r="F10" s="132">
        <f>IFERROR(__xludf.DUMMYFUNCTION("""COMPUTED_VALUE"""),41927.0)</f>
        <v>41927</v>
      </c>
      <c r="G10" s="133"/>
      <c r="H10" s="131">
        <f>IFERROR(__xludf.DUMMYFUNCTION("""COMPUTED_VALUE"""),76.44736842105263)</f>
        <v>76.44736842</v>
      </c>
      <c r="I10" t="str">
        <f>IFERROR(__xludf.DUMMYFUNCTION("""COMPUTED_VALUE"""),"la_chicahermosa@yahoo.com")</f>
        <v>la_chicahermosa@yahoo.com</v>
      </c>
      <c r="J10" s="134" t="str">
        <f>IFERROR(__xludf.DUMMYFUNCTION("""COMPUTED_VALUE"""),"0114-2299404")</f>
        <v>0114-2299404</v>
      </c>
      <c r="K10" t="str">
        <f>IFERROR(__xludf.DUMMYFUNCTION("""COMPUTED_VALUE"""),"nour.asmaasaeed")</f>
        <v>nour.asmaasaeed</v>
      </c>
      <c r="L10" t="str">
        <f>IFERROR(__xludf.DUMMYFUNCTION("""COMPUTED_VALUE"""),"asmaa85")</f>
        <v>asmaa85</v>
      </c>
      <c r="M10" s="135">
        <f>IFERROR(__xludf.DUMMYFUNCTION("""COMPUTED_VALUE"""),31329.0)</f>
        <v>31329</v>
      </c>
      <c r="N10">
        <f>IFERROR(__xludf.DUMMYFUNCTION("""COMPUTED_VALUE"""),35.0)</f>
        <v>35</v>
      </c>
      <c r="O10" t="str">
        <f>IFERROR(__xludf.DUMMYFUNCTION("""COMPUTED_VALUE"""),"Married")</f>
        <v>Married</v>
      </c>
      <c r="P10" t="str">
        <f>IFERROR(__xludf.DUMMYFUNCTION("""COMPUTED_VALUE"""),"Yes")</f>
        <v>Yes</v>
      </c>
      <c r="Q10" t="str">
        <f>IFERROR(__xludf.DUMMYFUNCTION("""COMPUTED_VALUE"""),"Yes")</f>
        <v>Yes</v>
      </c>
      <c r="S10" t="str">
        <f>IFERROR(__xludf.DUMMYFUNCTION("""COMPUTED_VALUE"""),"Egypt")</f>
        <v>Egypt</v>
      </c>
      <c r="T10" t="str">
        <f>IFERROR(__xludf.DUMMYFUNCTION("""COMPUTED_VALUE"""),"Cairo")</f>
        <v>Cairo</v>
      </c>
      <c r="U10" t="str">
        <f>IFERROR(__xludf.DUMMYFUNCTION("""COMPUTED_VALUE"""),"GMT +2")</f>
        <v>GMT +2</v>
      </c>
      <c r="V10" t="str">
        <f>IFERROR(__xludf.DUMMYFUNCTION("""COMPUTED_VALUE"""),"No")</f>
        <v>No</v>
      </c>
      <c r="W10" t="str">
        <f>IFERROR(__xludf.DUMMYFUNCTION("""COMPUTED_VALUE"""),"Egypt")</f>
        <v>Egypt</v>
      </c>
      <c r="X10" t="str">
        <f>IFERROR(__xludf.DUMMYFUNCTION("""COMPUTED_VALUE"""),"Paid")</f>
        <v>Paid</v>
      </c>
      <c r="Y10" t="str">
        <f>IFERROR(__xludf.DUMMYFUNCTION("""COMPUTED_VALUE"""),"Recitation")</f>
        <v>Recitation</v>
      </c>
      <c r="Z10" t="str">
        <f>IFERROR(__xludf.DUMMYFUNCTION("""COMPUTED_VALUE"""),"Vodafone Cash")</f>
        <v>Vodafone Cash</v>
      </c>
      <c r="AA10" s="134" t="str">
        <f>IFERROR(__xludf.DUMMYFUNCTION("""COMPUTED_VALUE"""),"010-2343-7228")</f>
        <v>010-2343-7228</v>
      </c>
      <c r="AC10" s="136">
        <f>IFERROR(__xludf.DUMMYFUNCTION("""COMPUTED_VALUE"""),6129.0)</f>
        <v>6129</v>
      </c>
      <c r="AD10">
        <f>IFERROR(__xludf.DUMMYFUNCTION("""COMPUTED_VALUE"""),2185.0)</f>
        <v>2185</v>
      </c>
      <c r="AE10" s="136">
        <f>IFERROR(__xludf.DUMMYFUNCTION("""COMPUTED_VALUE"""),193.0)</f>
        <v>193</v>
      </c>
      <c r="AF10" s="136">
        <f>IFERROR(__xludf.DUMMYFUNCTION("""COMPUTED_VALUE"""),3751.0)</f>
        <v>3751</v>
      </c>
      <c r="AG10">
        <f>IFERROR(__xludf.DUMMYFUNCTION("""COMPUTED_VALUE"""),37510.0)</f>
        <v>37510</v>
      </c>
      <c r="AH10" s="131">
        <f>IFERROR(__xludf.DUMMYFUNCTION("""COMPUTED_VALUE"""),27.55702625193029)</f>
        <v>27.55702625</v>
      </c>
      <c r="AI10" s="131">
        <f>IFERROR(__xludf.DUMMYFUNCTION("""COMPUTED_VALUE"""),94.0)</f>
        <v>94</v>
      </c>
      <c r="AJ10" s="131">
        <f>IFERROR(__xludf.DUMMYFUNCTION("""COMPUTED_VALUE"""),6631.0)</f>
        <v>6631</v>
      </c>
      <c r="AK10" s="136" t="str">
        <f>IFERROR(__xludf.DUMMYFUNCTION("""COMPUTED_VALUE"""),"Attended No Show")</f>
        <v>Attended No Show</v>
      </c>
      <c r="AL10" s="136">
        <f>IFERROR(__xludf.DUMMYFUNCTION("""COMPUTED_VALUE"""),6631.0)</f>
        <v>6631</v>
      </c>
      <c r="AM10" s="136">
        <f>IFERROR(__xludf.DUMMYFUNCTION("""COMPUTED_VALUE"""),4548.0)</f>
        <v>4548</v>
      </c>
      <c r="AN10" s="136">
        <f>IFERROR(__xludf.DUMMYFUNCTION("""COMPUTED_VALUE"""),4402.0)</f>
        <v>4402</v>
      </c>
      <c r="AO10" s="136">
        <f>IFERROR(__xludf.DUMMYFUNCTION("""COMPUTED_VALUE"""),120.0)</f>
        <v>120</v>
      </c>
      <c r="AP10" s="136">
        <f>IFERROR(__xludf.DUMMYFUNCTION("""COMPUTED_VALUE"""),146.0)</f>
        <v>146</v>
      </c>
      <c r="AQ10" s="136">
        <f>IFERROR(__xludf.DUMMYFUNCTION("""COMPUTED_VALUE"""),382.0)</f>
        <v>382</v>
      </c>
      <c r="AR10" s="136">
        <f>IFERROR(__xludf.DUMMYFUNCTION("""COMPUTED_VALUE"""),1581.0)</f>
        <v>1581</v>
      </c>
      <c r="AS10" s="136">
        <f>IFERROR(__xludf.DUMMYFUNCTION("""COMPUTED_VALUE"""),95.74331893102897)</f>
        <v>95.74331893</v>
      </c>
      <c r="AT10" s="131">
        <f>IFERROR(__xludf.DUMMYFUNCTION("""COMPUTED_VALUE"""),1.8096817976172523)</f>
        <v>1.809681798</v>
      </c>
      <c r="AU10" s="131">
        <f>IFERROR(__xludf.DUMMYFUNCTION("""COMPUTED_VALUE"""),2.201779520434324)</f>
        <v>2.20177952</v>
      </c>
      <c r="AV10" s="131">
        <f>IFERROR(__xludf.DUMMYFUNCTION("""COMPUTED_VALUE"""),5.760820389081586)</f>
        <v>5.760820389</v>
      </c>
      <c r="AW10" s="131">
        <f>IFERROR(__xludf.DUMMYFUNCTION("""COMPUTED_VALUE"""),23.8425576836073)</f>
        <v>23.84255768</v>
      </c>
      <c r="AX10" s="131">
        <f>IFERROR(__xludf.DUMMYFUNCTION("""COMPUTED_VALUE"""),92.42949781330117)</f>
        <v>92.42949781</v>
      </c>
      <c r="AY10" s="131">
        <f>IFERROR(__xludf.DUMMYFUNCTION("""COMPUTED_VALUE"""),4382.0)</f>
        <v>4382</v>
      </c>
      <c r="AZ10" s="131">
        <f>IFERROR(__xludf.DUMMYFUNCTION("""COMPUTED_VALUE"""),4323.0)</f>
        <v>4323</v>
      </c>
      <c r="BA10" s="131">
        <f>IFERROR(__xludf.DUMMYFUNCTION("""COMPUTED_VALUE"""),59.0)</f>
        <v>59</v>
      </c>
      <c r="BB10" s="131">
        <f>IFERROR(__xludf.DUMMYFUNCTION("""COMPUTED_VALUE"""),0.0)</f>
        <v>0</v>
      </c>
      <c r="BC10" s="131">
        <f>IFERROR(__xludf.DUMMYFUNCTION("""COMPUTED_VALUE"""),98.65358283888635)</f>
        <v>98.65358284</v>
      </c>
      <c r="BD10" s="131">
        <f>IFERROR(__xludf.DUMMYFUNCTION("""COMPUTED_VALUE"""),1.3464171611136466)</f>
        <v>1.346417161</v>
      </c>
      <c r="BE10" s="131">
        <f>IFERROR(__xludf.DUMMYFUNCTION("""COMPUTED_VALUE"""),0.0)</f>
        <v>0</v>
      </c>
    </row>
    <row r="11">
      <c r="A11" t="str">
        <f>IFERROR(__xludf.DUMMYFUNCTION("""COMPUTED_VALUE"""),"TEA087")</f>
        <v>TEA087</v>
      </c>
      <c r="B11" t="str">
        <f>IFERROR(__xludf.DUMMYFUNCTION("""COMPUTED_VALUE"""),"Nada Sinoussi")</f>
        <v>Nada Sinoussi</v>
      </c>
      <c r="C11" t="str">
        <f>IFERROR(__xludf.DUMMYFUNCTION("""COMPUTED_VALUE"""),"""1B8pRndJo3IXfFSdh4ciwymUhUoCTku2mTTIj1boL9Ek""")</f>
        <v>"1B8pRndJo3IXfFSdh4ciwymUhUoCTku2mTTIj1boL9Ek"</v>
      </c>
      <c r="D11" t="str">
        <f>IFERROR(__xludf.DUMMYFUNCTION("""COMPUTED_VALUE"""),"Active")</f>
        <v>Active</v>
      </c>
      <c r="E11" t="str">
        <f>IFERROR(__xludf.DUMMYFUNCTION("""COMPUTED_VALUE"""),"Female")</f>
        <v>Female</v>
      </c>
      <c r="F11" s="132">
        <f>IFERROR(__xludf.DUMMYFUNCTION("""COMPUTED_VALUE"""),41936.0)</f>
        <v>41936</v>
      </c>
      <c r="G11" s="133"/>
      <c r="H11" s="131">
        <f>IFERROR(__xludf.DUMMYFUNCTION("""COMPUTED_VALUE"""),76.15131578947368)</f>
        <v>76.15131579</v>
      </c>
      <c r="I11" t="str">
        <f>IFERROR(__xludf.DUMMYFUNCTION("""COMPUTED_VALUE"""),"nadasinoussi@hotmail.com")</f>
        <v>nadasinoussi@hotmail.com</v>
      </c>
      <c r="J11" s="134" t="str">
        <f>IFERROR(__xludf.DUMMYFUNCTION("""COMPUTED_VALUE"""),"01006280026")</f>
        <v>01006280026</v>
      </c>
      <c r="K11" t="str">
        <f>IFERROR(__xludf.DUMMYFUNCTION("""COMPUTED_VALUE"""),"nour.nadaSinoussi")</f>
        <v>nour.nadaSinoussi</v>
      </c>
      <c r="L11" t="str">
        <f>IFERROR(__xludf.DUMMYFUNCTION("""COMPUTED_VALUE"""),"nada80")</f>
        <v>nada80</v>
      </c>
      <c r="M11" s="135">
        <f>IFERROR(__xludf.DUMMYFUNCTION("""COMPUTED_VALUE"""),29459.0)</f>
        <v>29459</v>
      </c>
      <c r="N11">
        <f>IFERROR(__xludf.DUMMYFUNCTION("""COMPUTED_VALUE"""),40.0)</f>
        <v>40</v>
      </c>
      <c r="O11" t="str">
        <f>IFERROR(__xludf.DUMMYFUNCTION("""COMPUTED_VALUE"""),"Single")</f>
        <v>Single</v>
      </c>
      <c r="P11" t="str">
        <f>IFERROR(__xludf.DUMMYFUNCTION("""COMPUTED_VALUE"""),"Yes")</f>
        <v>Yes</v>
      </c>
      <c r="Q11" t="str">
        <f>IFERROR(__xludf.DUMMYFUNCTION("""COMPUTED_VALUE"""),"Yes")</f>
        <v>Yes</v>
      </c>
      <c r="S11" t="str">
        <f>IFERROR(__xludf.DUMMYFUNCTION("""COMPUTED_VALUE"""),"Egypt")</f>
        <v>Egypt</v>
      </c>
      <c r="T11" t="str">
        <f>IFERROR(__xludf.DUMMYFUNCTION("""COMPUTED_VALUE"""),"Cairo")</f>
        <v>Cairo</v>
      </c>
      <c r="U11" t="str">
        <f>IFERROR(__xludf.DUMMYFUNCTION("""COMPUTED_VALUE"""),"GMT +2")</f>
        <v>GMT +2</v>
      </c>
      <c r="V11" t="str">
        <f>IFERROR(__xludf.DUMMYFUNCTION("""COMPUTED_VALUE"""),"No")</f>
        <v>No</v>
      </c>
      <c r="W11" t="str">
        <f>IFERROR(__xludf.DUMMYFUNCTION("""COMPUTED_VALUE"""),"Egypt")</f>
        <v>Egypt</v>
      </c>
      <c r="X11" t="str">
        <f>IFERROR(__xludf.DUMMYFUNCTION("""COMPUTED_VALUE"""),"Voluonteer")</f>
        <v>Voluonteer</v>
      </c>
      <c r="Y11" t="str">
        <f>IFERROR(__xludf.DUMMYFUNCTION("""COMPUTED_VALUE"""),"Annourania")</f>
        <v>Annourania</v>
      </c>
      <c r="AA11" s="134"/>
      <c r="AC11" s="136">
        <f>IFERROR(__xludf.DUMMYFUNCTION("""COMPUTED_VALUE"""),1196.0)</f>
        <v>1196</v>
      </c>
      <c r="AE11" s="136">
        <f>IFERROR(__xludf.DUMMYFUNCTION("""COMPUTED_VALUE"""),74.0)</f>
        <v>74</v>
      </c>
      <c r="AF11" s="136">
        <f>IFERROR(__xludf.DUMMYFUNCTION("""COMPUTED_VALUE"""),1122.0)</f>
        <v>1122</v>
      </c>
      <c r="AG11">
        <f>IFERROR(__xludf.DUMMYFUNCTION("""COMPUTED_VALUE"""),7012.5)</f>
        <v>7012.5</v>
      </c>
      <c r="AH11" s="131">
        <f>IFERROR(__xludf.DUMMYFUNCTION("""COMPUTED_VALUE"""),25.920668058455114)</f>
        <v>25.92066806</v>
      </c>
      <c r="AI11" s="131">
        <f>IFERROR(__xludf.DUMMYFUNCTION("""COMPUTED_VALUE"""),26.0)</f>
        <v>26</v>
      </c>
      <c r="AJ11" s="131">
        <f>IFERROR(__xludf.DUMMYFUNCTION("""COMPUTED_VALUE"""),1324.0)</f>
        <v>1324</v>
      </c>
      <c r="AK11" s="136" t="str">
        <f>IFERROR(__xludf.DUMMYFUNCTION("""COMPUTED_VALUE"""),"Attended No Show")</f>
        <v>Attended No Show</v>
      </c>
      <c r="AL11" s="136">
        <f>IFERROR(__xludf.DUMMYFUNCTION("""COMPUTED_VALUE"""),1324.0)</f>
        <v>1324</v>
      </c>
      <c r="AM11" s="136">
        <f>IFERROR(__xludf.DUMMYFUNCTION("""COMPUTED_VALUE"""),991.0)</f>
        <v>991</v>
      </c>
      <c r="AN11" s="136">
        <f>IFERROR(__xludf.DUMMYFUNCTION("""COMPUTED_VALUE"""),991.0)</f>
        <v>991</v>
      </c>
      <c r="AO11" s="136">
        <f>IFERROR(__xludf.DUMMYFUNCTION("""COMPUTED_VALUE"""),74.0)</f>
        <v>74</v>
      </c>
      <c r="AP11" s="136">
        <f>IFERROR(__xludf.DUMMYFUNCTION("""COMPUTED_VALUE"""),0.0)</f>
        <v>0</v>
      </c>
      <c r="AQ11" s="136">
        <f>IFERROR(__xludf.DUMMYFUNCTION("""COMPUTED_VALUE"""),54.0)</f>
        <v>54</v>
      </c>
      <c r="AR11" s="136">
        <f>IFERROR(__xludf.DUMMYFUNCTION("""COMPUTED_VALUE"""),205.0)</f>
        <v>205</v>
      </c>
      <c r="AS11" s="136">
        <f>IFERROR(__xludf.DUMMYFUNCTION("""COMPUTED_VALUE"""),94.1732283464567)</f>
        <v>94.17322835</v>
      </c>
      <c r="AT11" s="131">
        <f>IFERROR(__xludf.DUMMYFUNCTION("""COMPUTED_VALUE"""),5.589123867069486)</f>
        <v>5.589123867</v>
      </c>
      <c r="AU11" s="131">
        <f>IFERROR(__xludf.DUMMYFUNCTION("""COMPUTED_VALUE"""),0.0)</f>
        <v>0</v>
      </c>
      <c r="AV11" s="131">
        <f>IFERROR(__xludf.DUMMYFUNCTION("""COMPUTED_VALUE"""),4.078549848942599)</f>
        <v>4.078549849</v>
      </c>
      <c r="AW11" s="131">
        <f>IFERROR(__xludf.DUMMYFUNCTION("""COMPUTED_VALUE"""),15.483383685800604)</f>
        <v>15.48338369</v>
      </c>
      <c r="AX11" s="131">
        <f>IFERROR(__xludf.DUMMYFUNCTION("""COMPUTED_VALUE"""),90.33232628398792)</f>
        <v>90.33232628</v>
      </c>
      <c r="AY11" s="131">
        <f>IFERROR(__xludf.DUMMYFUNCTION("""COMPUTED_VALUE"""),805.0)</f>
        <v>805</v>
      </c>
      <c r="AZ11" s="131">
        <f>IFERROR(__xludf.DUMMYFUNCTION("""COMPUTED_VALUE"""),777.0)</f>
        <v>777</v>
      </c>
      <c r="BA11" s="131">
        <f>IFERROR(__xludf.DUMMYFUNCTION("""COMPUTED_VALUE"""),28.0)</f>
        <v>28</v>
      </c>
      <c r="BB11" s="131">
        <f>IFERROR(__xludf.DUMMYFUNCTION("""COMPUTED_VALUE"""),76.0)</f>
        <v>76</v>
      </c>
      <c r="BC11" s="131">
        <f>IFERROR(__xludf.DUMMYFUNCTION("""COMPUTED_VALUE"""),96.52173913043478)</f>
        <v>96.52173913</v>
      </c>
      <c r="BD11" s="131">
        <f>IFERROR(__xludf.DUMMYFUNCTION("""COMPUTED_VALUE"""),3.4782608695652173)</f>
        <v>3.47826087</v>
      </c>
      <c r="BE11" s="131">
        <f>IFERROR(__xludf.DUMMYFUNCTION("""COMPUTED_VALUE"""),8.626560726447218)</f>
        <v>8.626560726</v>
      </c>
    </row>
    <row r="12">
      <c r="A12" t="str">
        <f>IFERROR(__xludf.DUMMYFUNCTION("""COMPUTED_VALUE"""),"TEA088")</f>
        <v>TEA088</v>
      </c>
      <c r="B12" t="str">
        <f>IFERROR(__xludf.DUMMYFUNCTION("""COMPUTED_VALUE"""),"Omnia Ghareeb")</f>
        <v>Omnia Ghareeb</v>
      </c>
      <c r="C12" t="str">
        <f>IFERROR(__xludf.DUMMYFUNCTION("""COMPUTED_VALUE"""),"""12ydMRDHdXaRdG5tQSFrI3TwugCqnKc6rBE8n-rNLur8""")</f>
        <v>"12ydMRDHdXaRdG5tQSFrI3TwugCqnKc6rBE8n-rNLur8"</v>
      </c>
      <c r="D12" t="str">
        <f>IFERROR(__xludf.DUMMYFUNCTION("""COMPUTED_VALUE"""),"Active")</f>
        <v>Active</v>
      </c>
      <c r="E12" t="str">
        <f>IFERROR(__xludf.DUMMYFUNCTION("""COMPUTED_VALUE"""),"Female")</f>
        <v>Female</v>
      </c>
      <c r="F12" s="132">
        <f>IFERROR(__xludf.DUMMYFUNCTION("""COMPUTED_VALUE"""),41946.0)</f>
        <v>41946</v>
      </c>
      <c r="G12" s="133"/>
      <c r="H12" s="131">
        <f>IFERROR(__xludf.DUMMYFUNCTION("""COMPUTED_VALUE"""),75.82236842105263)</f>
        <v>75.82236842</v>
      </c>
      <c r="I12" t="str">
        <f>IFERROR(__xludf.DUMMYFUNCTION("""COMPUTED_VALUE"""),"monny812@gmail.com")</f>
        <v>monny812@gmail.com</v>
      </c>
      <c r="J12" s="134" t="str">
        <f>IFERROR(__xludf.DUMMYFUNCTION("""COMPUTED_VALUE"""),"001347-8066-049")</f>
        <v>001347-8066-049</v>
      </c>
      <c r="K12" t="str">
        <f>IFERROR(__xludf.DUMMYFUNCTION("""COMPUTED_VALUE"""),"nour.omniaghareeb")</f>
        <v>nour.omniaghareeb</v>
      </c>
      <c r="L12" t="str">
        <f>IFERROR(__xludf.DUMMYFUNCTION("""COMPUTED_VALUE"""),"omnia75")</f>
        <v>omnia75</v>
      </c>
      <c r="M12" s="135">
        <f>IFERROR(__xludf.DUMMYFUNCTION("""COMPUTED_VALUE"""),27618.0)</f>
        <v>27618</v>
      </c>
      <c r="N12">
        <f>IFERROR(__xludf.DUMMYFUNCTION("""COMPUTED_VALUE"""),45.0)</f>
        <v>45</v>
      </c>
      <c r="O12" t="str">
        <f>IFERROR(__xludf.DUMMYFUNCTION("""COMPUTED_VALUE"""),"Married")</f>
        <v>Married</v>
      </c>
      <c r="P12" t="str">
        <f>IFERROR(__xludf.DUMMYFUNCTION("""COMPUTED_VALUE"""),"Yes")</f>
        <v>Yes</v>
      </c>
      <c r="Q12" t="str">
        <f>IFERROR(__xludf.DUMMYFUNCTION("""COMPUTED_VALUE"""),"Yes")</f>
        <v>Yes</v>
      </c>
      <c r="S12" t="str">
        <f>IFERROR(__xludf.DUMMYFUNCTION("""COMPUTED_VALUE"""),"United States")</f>
        <v>United States</v>
      </c>
      <c r="T12" t="str">
        <f>IFERROR(__xludf.DUMMYFUNCTION("""COMPUTED_VALUE"""),"New York")</f>
        <v>New York</v>
      </c>
      <c r="U12" t="str">
        <f>IFERROR(__xludf.DUMMYFUNCTION("""COMPUTED_VALUE"""),"GMT -5")</f>
        <v>GMT -5</v>
      </c>
      <c r="V12" t="str">
        <f>IFERROR(__xludf.DUMMYFUNCTION("""COMPUTED_VALUE"""),"Yes")</f>
        <v>Yes</v>
      </c>
      <c r="W12" t="str">
        <f>IFERROR(__xludf.DUMMYFUNCTION("""COMPUTED_VALUE"""),"Egypt")</f>
        <v>Egypt</v>
      </c>
      <c r="X12" t="str">
        <f>IFERROR(__xludf.DUMMYFUNCTION("""COMPUTED_VALUE"""),"Paid")</f>
        <v>Paid</v>
      </c>
      <c r="Y12" t="str">
        <f>IFERROR(__xludf.DUMMYFUNCTION("""COMPUTED_VALUE"""),"Annourania")</f>
        <v>Annourania</v>
      </c>
      <c r="Z12" t="str">
        <f>IFERROR(__xludf.DUMMYFUNCTION("""COMPUTED_VALUE"""),"Vodafone Cash")</f>
        <v>Vodafone Cash</v>
      </c>
      <c r="AA12" s="134" t="str">
        <f>IFERROR(__xludf.DUMMYFUNCTION("""COMPUTED_VALUE"""),"010-6026-2802")</f>
        <v>010-6026-2802</v>
      </c>
      <c r="AC12" s="136">
        <f>IFERROR(__xludf.DUMMYFUNCTION("""COMPUTED_VALUE"""),603.0)</f>
        <v>603</v>
      </c>
      <c r="AE12" s="136">
        <f>IFERROR(__xludf.DUMMYFUNCTION("""COMPUTED_VALUE"""),13.0)</f>
        <v>13</v>
      </c>
      <c r="AF12" s="136">
        <f>IFERROR(__xludf.DUMMYFUNCTION("""COMPUTED_VALUE"""),590.0)</f>
        <v>590</v>
      </c>
      <c r="AG12">
        <f>IFERROR(__xludf.DUMMYFUNCTION("""COMPUTED_VALUE"""),3687.5)</f>
        <v>3687.5</v>
      </c>
      <c r="AH12" s="131">
        <f>IFERROR(__xludf.DUMMYFUNCTION("""COMPUTED_VALUE"""),33.07587548638132)</f>
        <v>33.07587549</v>
      </c>
      <c r="AI12" s="131">
        <f>IFERROR(__xludf.DUMMYFUNCTION("""COMPUTED_VALUE"""),17.0)</f>
        <v>17</v>
      </c>
      <c r="AJ12" s="131">
        <f>IFERROR(__xludf.DUMMYFUNCTION("""COMPUTED_VALUE"""),640.0)</f>
        <v>640</v>
      </c>
      <c r="AK12" s="136" t="str">
        <f>IFERROR(__xludf.DUMMYFUNCTION("""COMPUTED_VALUE"""),"Attended")</f>
        <v>Attended</v>
      </c>
      <c r="AL12" s="136">
        <f>IFERROR(__xludf.DUMMYFUNCTION("""COMPUTED_VALUE"""),640.0)</f>
        <v>640</v>
      </c>
      <c r="AM12" s="136">
        <f>IFERROR(__xludf.DUMMYFUNCTION("""COMPUTED_VALUE"""),528.0)</f>
        <v>528</v>
      </c>
      <c r="AN12" s="136">
        <f>IFERROR(__xludf.DUMMYFUNCTION("""COMPUTED_VALUE"""),528.0)</f>
        <v>528</v>
      </c>
      <c r="AO12" s="136">
        <f>IFERROR(__xludf.DUMMYFUNCTION("""COMPUTED_VALUE"""),13.0)</f>
        <v>13</v>
      </c>
      <c r="AP12" s="136">
        <f>IFERROR(__xludf.DUMMYFUNCTION("""COMPUTED_VALUE"""),0.0)</f>
        <v>0</v>
      </c>
      <c r="AQ12" s="136">
        <f>IFERROR(__xludf.DUMMYFUNCTION("""COMPUTED_VALUE"""),24.0)</f>
        <v>24</v>
      </c>
      <c r="AR12" s="136">
        <f>IFERROR(__xludf.DUMMYFUNCTION("""COMPUTED_VALUE"""),75.0)</f>
        <v>75</v>
      </c>
      <c r="AS12" s="136">
        <f>IFERROR(__xludf.DUMMYFUNCTION("""COMPUTED_VALUE"""),97.8896103896104)</f>
        <v>97.88961039</v>
      </c>
      <c r="AT12" s="131">
        <f>IFERROR(__xludf.DUMMYFUNCTION("""COMPUTED_VALUE"""),2.03125)</f>
        <v>2.03125</v>
      </c>
      <c r="AU12" s="131">
        <f>IFERROR(__xludf.DUMMYFUNCTION("""COMPUTED_VALUE"""),0.0)</f>
        <v>0</v>
      </c>
      <c r="AV12" s="131">
        <f>IFERROR(__xludf.DUMMYFUNCTION("""COMPUTED_VALUE"""),3.75)</f>
        <v>3.75</v>
      </c>
      <c r="AW12" s="131">
        <f>IFERROR(__xludf.DUMMYFUNCTION("""COMPUTED_VALUE"""),11.71875)</f>
        <v>11.71875</v>
      </c>
      <c r="AX12" s="131">
        <f>IFERROR(__xludf.DUMMYFUNCTION("""COMPUTED_VALUE"""),94.21875)</f>
        <v>94.21875</v>
      </c>
      <c r="AY12" s="131">
        <f>IFERROR(__xludf.DUMMYFUNCTION("""COMPUTED_VALUE"""),375.0)</f>
        <v>375</v>
      </c>
      <c r="AZ12" s="131">
        <f>IFERROR(__xludf.DUMMYFUNCTION("""COMPUTED_VALUE"""),270.0)</f>
        <v>270</v>
      </c>
      <c r="BA12" s="131">
        <f>IFERROR(__xludf.DUMMYFUNCTION("""COMPUTED_VALUE"""),105.0)</f>
        <v>105</v>
      </c>
      <c r="BB12" s="131">
        <f>IFERROR(__xludf.DUMMYFUNCTION("""COMPUTED_VALUE"""),0.0)</f>
        <v>0</v>
      </c>
      <c r="BC12" s="131">
        <f>IFERROR(__xludf.DUMMYFUNCTION("""COMPUTED_VALUE"""),72.0)</f>
        <v>72</v>
      </c>
      <c r="BD12" s="131">
        <f>IFERROR(__xludf.DUMMYFUNCTION("""COMPUTED_VALUE"""),28.000000000000004)</f>
        <v>28</v>
      </c>
      <c r="BE12" s="131">
        <f>IFERROR(__xludf.DUMMYFUNCTION("""COMPUTED_VALUE"""),0.0)</f>
        <v>0</v>
      </c>
    </row>
    <row r="13">
      <c r="A13" t="str">
        <f>IFERROR(__xludf.DUMMYFUNCTION("""COMPUTED_VALUE"""),"TEA092")</f>
        <v>TEA092</v>
      </c>
      <c r="B13" t="str">
        <f>IFERROR(__xludf.DUMMYFUNCTION("""COMPUTED_VALUE"""),"Doha Moustafa")</f>
        <v>Doha Moustafa</v>
      </c>
      <c r="C13" t="str">
        <f>IFERROR(__xludf.DUMMYFUNCTION("""COMPUTED_VALUE"""),"""191orw7gMBaB83r2nWth3BTME10zFWs1y_lzWs8Zp4bA""")</f>
        <v>"191orw7gMBaB83r2nWth3BTME10zFWs1y_lzWs8Zp4bA"</v>
      </c>
      <c r="D13" t="str">
        <f>IFERROR(__xludf.DUMMYFUNCTION("""COMPUTED_VALUE"""),"Active")</f>
        <v>Active</v>
      </c>
      <c r="E13" t="str">
        <f>IFERROR(__xludf.DUMMYFUNCTION("""COMPUTED_VALUE"""),"Female")</f>
        <v>Female</v>
      </c>
      <c r="F13" s="132">
        <f>IFERROR(__xludf.DUMMYFUNCTION("""COMPUTED_VALUE"""),42009.0)</f>
        <v>42009</v>
      </c>
      <c r="G13" s="133"/>
      <c r="H13" s="131">
        <f>IFERROR(__xludf.DUMMYFUNCTION("""COMPUTED_VALUE"""),73.75)</f>
        <v>73.75</v>
      </c>
      <c r="I13" t="str">
        <f>IFERROR(__xludf.DUMMYFUNCTION("""COMPUTED_VALUE"""),"do7abogy@gmail.com")</f>
        <v>do7abogy@gmail.com</v>
      </c>
      <c r="J13" s="134" t="str">
        <f>IFERROR(__xludf.DUMMYFUNCTION("""COMPUTED_VALUE"""),"0100-2847991")</f>
        <v>0100-2847991</v>
      </c>
      <c r="K13" t="str">
        <f>IFERROR(__xludf.DUMMYFUNCTION("""COMPUTED_VALUE"""),"nour.dohamoustafa")</f>
        <v>nour.dohamoustafa</v>
      </c>
      <c r="L13" t="str">
        <f>IFERROR(__xludf.DUMMYFUNCTION("""COMPUTED_VALUE"""),"doha90")</f>
        <v>doha90</v>
      </c>
      <c r="M13" s="135">
        <f>IFERROR(__xludf.DUMMYFUNCTION("""COMPUTED_VALUE"""),33000.0)</f>
        <v>33000</v>
      </c>
      <c r="N13">
        <f>IFERROR(__xludf.DUMMYFUNCTION("""COMPUTED_VALUE"""),30.0)</f>
        <v>30</v>
      </c>
      <c r="O13" t="str">
        <f>IFERROR(__xludf.DUMMYFUNCTION("""COMPUTED_VALUE"""),"Married")</f>
        <v>Married</v>
      </c>
      <c r="P13" t="str">
        <f>IFERROR(__xludf.DUMMYFUNCTION("""COMPUTED_VALUE"""),"Yes")</f>
        <v>Yes</v>
      </c>
      <c r="Q13" t="str">
        <f>IFERROR(__xludf.DUMMYFUNCTION("""COMPUTED_VALUE"""),"Yes")</f>
        <v>Yes</v>
      </c>
      <c r="S13" t="str">
        <f>IFERROR(__xludf.DUMMYFUNCTION("""COMPUTED_VALUE"""),"Egypt")</f>
        <v>Egypt</v>
      </c>
      <c r="T13" t="str">
        <f>IFERROR(__xludf.DUMMYFUNCTION("""COMPUTED_VALUE"""),"Cairo")</f>
        <v>Cairo</v>
      </c>
      <c r="U13" t="str">
        <f>IFERROR(__xludf.DUMMYFUNCTION("""COMPUTED_VALUE"""),"GMT +2")</f>
        <v>GMT +2</v>
      </c>
      <c r="V13" t="str">
        <f>IFERROR(__xludf.DUMMYFUNCTION("""COMPUTED_VALUE"""),"No")</f>
        <v>No</v>
      </c>
      <c r="W13" t="str">
        <f>IFERROR(__xludf.DUMMYFUNCTION("""COMPUTED_VALUE"""),"Egypt")</f>
        <v>Egypt</v>
      </c>
      <c r="X13" t="str">
        <f>IFERROR(__xludf.DUMMYFUNCTION("""COMPUTED_VALUE"""),"Paid")</f>
        <v>Paid</v>
      </c>
      <c r="Y13" t="str">
        <f>IFERROR(__xludf.DUMMYFUNCTION("""COMPUTED_VALUE"""),"Annourania")</f>
        <v>Annourania</v>
      </c>
      <c r="Z13" t="str">
        <f>IFERROR(__xludf.DUMMYFUNCTION("""COMPUTED_VALUE"""),"Vodafone Cash")</f>
        <v>Vodafone Cash</v>
      </c>
      <c r="AA13" s="134" t="str">
        <f>IFERROR(__xludf.DUMMYFUNCTION("""COMPUTED_VALUE"""),"010-9158-2575")</f>
        <v>010-9158-2575</v>
      </c>
      <c r="AC13" s="136">
        <f>IFERROR(__xludf.DUMMYFUNCTION("""COMPUTED_VALUE"""),1012.0)</f>
        <v>1012</v>
      </c>
      <c r="AE13" s="136">
        <f>IFERROR(__xludf.DUMMYFUNCTION("""COMPUTED_VALUE"""),153.0)</f>
        <v>153</v>
      </c>
      <c r="AF13" s="136">
        <f>IFERROR(__xludf.DUMMYFUNCTION("""COMPUTED_VALUE"""),859.0)</f>
        <v>859</v>
      </c>
      <c r="AG13">
        <f>IFERROR(__xludf.DUMMYFUNCTION("""COMPUTED_VALUE"""),5368.75)</f>
        <v>5368.75</v>
      </c>
      <c r="AH13" s="131">
        <f>IFERROR(__xludf.DUMMYFUNCTION("""COMPUTED_VALUE"""),29.837408312958434)</f>
        <v>29.83740831</v>
      </c>
      <c r="AI13" s="131">
        <f>IFERROR(__xludf.DUMMYFUNCTION("""COMPUTED_VALUE"""),27.0)</f>
        <v>27</v>
      </c>
      <c r="AJ13" s="131">
        <f>IFERROR(__xludf.DUMMYFUNCTION("""COMPUTED_VALUE"""),1202.0)</f>
        <v>1202</v>
      </c>
      <c r="AK13" s="136" t="str">
        <f>IFERROR(__xludf.DUMMYFUNCTION("""COMPUTED_VALUE"""),"Attended No Show")</f>
        <v>Attended No Show</v>
      </c>
      <c r="AL13" s="136">
        <f>IFERROR(__xludf.DUMMYFUNCTION("""COMPUTED_VALUE"""),1202.0)</f>
        <v>1202</v>
      </c>
      <c r="AM13" s="136">
        <f>IFERROR(__xludf.DUMMYFUNCTION("""COMPUTED_VALUE"""),851.0)</f>
        <v>851</v>
      </c>
      <c r="AN13" s="136">
        <f>IFERROR(__xludf.DUMMYFUNCTION("""COMPUTED_VALUE"""),831.0)</f>
        <v>831</v>
      </c>
      <c r="AO13" s="136">
        <f>IFERROR(__xludf.DUMMYFUNCTION("""COMPUTED_VALUE"""),143.0)</f>
        <v>143</v>
      </c>
      <c r="AP13" s="136">
        <f>IFERROR(__xludf.DUMMYFUNCTION("""COMPUTED_VALUE"""),20.0)</f>
        <v>20</v>
      </c>
      <c r="AQ13" s="136">
        <f>IFERROR(__xludf.DUMMYFUNCTION("""COMPUTED_VALUE"""),47.0)</f>
        <v>47</v>
      </c>
      <c r="AR13" s="136">
        <f>IFERROR(__xludf.DUMMYFUNCTION("""COMPUTED_VALUE"""),161.0)</f>
        <v>161</v>
      </c>
      <c r="AS13" s="136">
        <f>IFERROR(__xludf.DUMMYFUNCTION("""COMPUTED_VALUE"""),85.88744588744589)</f>
        <v>85.88744589</v>
      </c>
      <c r="AT13" s="131">
        <f>IFERROR(__xludf.DUMMYFUNCTION("""COMPUTED_VALUE"""),11.896838602329451)</f>
        <v>11.8968386</v>
      </c>
      <c r="AU13" s="131">
        <f>IFERROR(__xludf.DUMMYFUNCTION("""COMPUTED_VALUE"""),1.6638935108153077)</f>
        <v>1.663893511</v>
      </c>
      <c r="AV13" s="131">
        <f>IFERROR(__xludf.DUMMYFUNCTION("""COMPUTED_VALUE"""),3.9101497504159735)</f>
        <v>3.91014975</v>
      </c>
      <c r="AW13" s="131">
        <f>IFERROR(__xludf.DUMMYFUNCTION("""COMPUTED_VALUE"""),13.394342762063227)</f>
        <v>13.39434276</v>
      </c>
      <c r="AX13" s="131">
        <f>IFERROR(__xludf.DUMMYFUNCTION("""COMPUTED_VALUE"""),84.19301164725458)</f>
        <v>84.19301165</v>
      </c>
      <c r="AY13" s="131">
        <f>IFERROR(__xludf.DUMMYFUNCTION("""COMPUTED_VALUE"""),430.0)</f>
        <v>430</v>
      </c>
      <c r="AZ13" s="131">
        <f>IFERROR(__xludf.DUMMYFUNCTION("""COMPUTED_VALUE"""),393.0)</f>
        <v>393</v>
      </c>
      <c r="BA13" s="131">
        <f>IFERROR(__xludf.DUMMYFUNCTION("""COMPUTED_VALUE"""),37.0)</f>
        <v>37</v>
      </c>
      <c r="BB13" s="131">
        <f>IFERROR(__xludf.DUMMYFUNCTION("""COMPUTED_VALUE"""),15.0)</f>
        <v>15</v>
      </c>
      <c r="BC13" s="131">
        <f>IFERROR(__xludf.DUMMYFUNCTION("""COMPUTED_VALUE"""),91.3953488372093)</f>
        <v>91.39534884</v>
      </c>
      <c r="BD13" s="131">
        <f>IFERROR(__xludf.DUMMYFUNCTION("""COMPUTED_VALUE"""),8.604651162790699)</f>
        <v>8.604651163</v>
      </c>
      <c r="BE13" s="131">
        <f>IFERROR(__xludf.DUMMYFUNCTION("""COMPUTED_VALUE"""),3.3707865168539324)</f>
        <v>3.370786517</v>
      </c>
    </row>
    <row r="14">
      <c r="A14" t="str">
        <f>IFERROR(__xludf.DUMMYFUNCTION("""COMPUTED_VALUE"""),"TEA095")</f>
        <v>TEA095</v>
      </c>
      <c r="B14" t="str">
        <f>IFERROR(__xludf.DUMMYFUNCTION("""COMPUTED_VALUE"""),"Ahmad Abd El Khaleq Ibrahim")</f>
        <v>Ahmad Abd El Khaleq Ibrahim</v>
      </c>
      <c r="C14" t="str">
        <f>IFERROR(__xludf.DUMMYFUNCTION("""COMPUTED_VALUE"""),"""14pgdTUJMPCUnhl95P36i7ZYfWFIYwaq635nS8Is1ZKE""")</f>
        <v>"14pgdTUJMPCUnhl95P36i7ZYfWFIYwaq635nS8Is1ZKE"</v>
      </c>
      <c r="D14" t="str">
        <f>IFERROR(__xludf.DUMMYFUNCTION("""COMPUTED_VALUE"""),"Active")</f>
        <v>Active</v>
      </c>
      <c r="E14" t="str">
        <f>IFERROR(__xludf.DUMMYFUNCTION("""COMPUTED_VALUE"""),"Male")</f>
        <v>Male</v>
      </c>
      <c r="F14" s="132">
        <f>IFERROR(__xludf.DUMMYFUNCTION("""COMPUTED_VALUE"""),42119.0)</f>
        <v>42119</v>
      </c>
      <c r="G14" s="133"/>
      <c r="H14" s="131">
        <f>IFERROR(__xludf.DUMMYFUNCTION("""COMPUTED_VALUE"""),70.13157894736842)</f>
        <v>70.13157895</v>
      </c>
      <c r="I14" t="str">
        <f>IFERROR(__xludf.DUMMYFUNCTION("""COMPUTED_VALUE"""),"activeyoureman@yahoo.com")</f>
        <v>activeyoureman@yahoo.com</v>
      </c>
      <c r="J14" s="134" t="str">
        <f>IFERROR(__xludf.DUMMYFUNCTION("""COMPUTED_VALUE"""),"0106-741-6805")</f>
        <v>0106-741-6805</v>
      </c>
      <c r="K14" t="str">
        <f>IFERROR(__xludf.DUMMYFUNCTION("""COMPUTED_VALUE"""),"nour.ahmadabdelkhaleq")</f>
        <v>nour.ahmadabdelkhaleq</v>
      </c>
      <c r="L14" t="str">
        <f>IFERROR(__xludf.DUMMYFUNCTION("""COMPUTED_VALUE"""),"activeyoureman87")</f>
        <v>activeyoureman87</v>
      </c>
      <c r="M14" s="135">
        <f>IFERROR(__xludf.DUMMYFUNCTION("""COMPUTED_VALUE"""),31808.0)</f>
        <v>31808</v>
      </c>
      <c r="N14">
        <f>IFERROR(__xludf.DUMMYFUNCTION("""COMPUTED_VALUE"""),34.0)</f>
        <v>34</v>
      </c>
      <c r="O14" t="str">
        <f>IFERROR(__xludf.DUMMYFUNCTION("""COMPUTED_VALUE"""),"Single")</f>
        <v>Single</v>
      </c>
      <c r="P14" t="str">
        <f>IFERROR(__xludf.DUMMYFUNCTION("""COMPUTED_VALUE"""),"Yes")</f>
        <v>Yes</v>
      </c>
      <c r="Q14" t="str">
        <f>IFERROR(__xludf.DUMMYFUNCTION("""COMPUTED_VALUE"""),"Yes")</f>
        <v>Yes</v>
      </c>
      <c r="S14" t="str">
        <f>IFERROR(__xludf.DUMMYFUNCTION("""COMPUTED_VALUE"""),"Egypt")</f>
        <v>Egypt</v>
      </c>
      <c r="T14" t="str">
        <f>IFERROR(__xludf.DUMMYFUNCTION("""COMPUTED_VALUE"""),"Cairo")</f>
        <v>Cairo</v>
      </c>
      <c r="U14" t="str">
        <f>IFERROR(__xludf.DUMMYFUNCTION("""COMPUTED_VALUE"""),"GMT +2")</f>
        <v>GMT +2</v>
      </c>
      <c r="V14" t="str">
        <f>IFERROR(__xludf.DUMMYFUNCTION("""COMPUTED_VALUE"""),"No")</f>
        <v>No</v>
      </c>
      <c r="W14" t="str">
        <f>IFERROR(__xludf.DUMMYFUNCTION("""COMPUTED_VALUE"""),"Egypt")</f>
        <v>Egypt</v>
      </c>
      <c r="X14" t="str">
        <f>IFERROR(__xludf.DUMMYFUNCTION("""COMPUTED_VALUE"""),"Paid")</f>
        <v>Paid</v>
      </c>
      <c r="Y14" t="str">
        <f>IFERROR(__xludf.DUMMYFUNCTION("""COMPUTED_VALUE"""),"Recitation")</f>
        <v>Recitation</v>
      </c>
      <c r="Z14" t="str">
        <f>IFERROR(__xludf.DUMMYFUNCTION("""COMPUTED_VALUE"""),"Vodafone Cash")</f>
        <v>Vodafone Cash</v>
      </c>
      <c r="AA14" s="134" t="str">
        <f>IFERROR(__xludf.DUMMYFUNCTION("""COMPUTED_VALUE"""),"0106-841-7784")</f>
        <v>0106-841-7784</v>
      </c>
      <c r="AC14" s="136">
        <f>IFERROR(__xludf.DUMMYFUNCTION("""COMPUTED_VALUE"""),7550.0)</f>
        <v>7550</v>
      </c>
      <c r="AD14">
        <f>IFERROR(__xludf.DUMMYFUNCTION("""COMPUTED_VALUE"""),2282.0)</f>
        <v>2282</v>
      </c>
      <c r="AE14" s="136">
        <f>IFERROR(__xludf.DUMMYFUNCTION("""COMPUTED_VALUE"""),59.0)</f>
        <v>59</v>
      </c>
      <c r="AF14" s="136">
        <f>IFERROR(__xludf.DUMMYFUNCTION("""COMPUTED_VALUE"""),5209.0)</f>
        <v>5209</v>
      </c>
      <c r="AG14">
        <f>IFERROR(__xludf.DUMMYFUNCTION("""COMPUTED_VALUE"""),52090.0)</f>
        <v>52090</v>
      </c>
      <c r="AH14" s="131">
        <f>IFERROR(__xludf.DUMMYFUNCTION("""COMPUTED_VALUE"""),26.078710289236604)</f>
        <v>26.07871029</v>
      </c>
      <c r="AI14" s="131">
        <f>IFERROR(__xludf.DUMMYFUNCTION("""COMPUTED_VALUE"""),79.0)</f>
        <v>79</v>
      </c>
      <c r="AJ14" s="131">
        <f>IFERROR(__xludf.DUMMYFUNCTION("""COMPUTED_VALUE"""),7752.0)</f>
        <v>7752</v>
      </c>
      <c r="AK14" s="136" t="str">
        <f>IFERROR(__xludf.DUMMYFUNCTION("""COMPUTED_VALUE"""),"Attended")</f>
        <v>Attended</v>
      </c>
      <c r="AL14" s="136">
        <f>IFERROR(__xludf.DUMMYFUNCTION("""COMPUTED_VALUE"""),7752.0)</f>
        <v>7752</v>
      </c>
      <c r="AM14" s="136">
        <f>IFERROR(__xludf.DUMMYFUNCTION("""COMPUTED_VALUE"""),6341.0)</f>
        <v>6341</v>
      </c>
      <c r="AN14" s="136">
        <f>IFERROR(__xludf.DUMMYFUNCTION("""COMPUTED_VALUE"""),6325.0)</f>
        <v>6325</v>
      </c>
      <c r="AO14" s="136">
        <f>IFERROR(__xludf.DUMMYFUNCTION("""COMPUTED_VALUE"""),51.0)</f>
        <v>51</v>
      </c>
      <c r="AP14" s="136">
        <f>IFERROR(__xludf.DUMMYFUNCTION("""COMPUTED_VALUE"""),16.0)</f>
        <v>16</v>
      </c>
      <c r="AQ14" s="136">
        <f>IFERROR(__xludf.DUMMYFUNCTION("""COMPUTED_VALUE"""),151.0)</f>
        <v>151</v>
      </c>
      <c r="AR14" s="136">
        <f>IFERROR(__xludf.DUMMYFUNCTION("""COMPUTED_VALUE"""),1209.0)</f>
        <v>1209</v>
      </c>
      <c r="AS14" s="136">
        <f>IFERROR(__xludf.DUMMYFUNCTION("""COMPUTED_VALUE"""),99.1185370346007)</f>
        <v>99.11853703</v>
      </c>
      <c r="AT14" s="131">
        <f>IFERROR(__xludf.DUMMYFUNCTION("""COMPUTED_VALUE"""),0.6578947368421052)</f>
        <v>0.6578947368</v>
      </c>
      <c r="AU14" s="131">
        <f>IFERROR(__xludf.DUMMYFUNCTION("""COMPUTED_VALUE"""),0.20639834881320948)</f>
        <v>0.2063983488</v>
      </c>
      <c r="AV14" s="131">
        <f>IFERROR(__xludf.DUMMYFUNCTION("""COMPUTED_VALUE"""),1.9478844169246647)</f>
        <v>1.947884417</v>
      </c>
      <c r="AW14" s="131">
        <f>IFERROR(__xludf.DUMMYFUNCTION("""COMPUTED_VALUE"""),15.595975232198143)</f>
        <v>15.59597523</v>
      </c>
      <c r="AX14" s="131">
        <f>IFERROR(__xludf.DUMMYFUNCTION("""COMPUTED_VALUE"""),97.39422084623322)</f>
        <v>97.39422085</v>
      </c>
      <c r="AY14" s="131">
        <f>IFERROR(__xludf.DUMMYFUNCTION("""COMPUTED_VALUE"""),3441.0)</f>
        <v>3441</v>
      </c>
      <c r="AZ14" s="131">
        <f>IFERROR(__xludf.DUMMYFUNCTION("""COMPUTED_VALUE"""),2202.0)</f>
        <v>2202</v>
      </c>
      <c r="BA14" s="131">
        <f>IFERROR(__xludf.DUMMYFUNCTION("""COMPUTED_VALUE"""),1239.0)</f>
        <v>1239</v>
      </c>
      <c r="BB14" s="131">
        <f>IFERROR(__xludf.DUMMYFUNCTION("""COMPUTED_VALUE"""),24.0)</f>
        <v>24</v>
      </c>
      <c r="BC14" s="131">
        <f>IFERROR(__xludf.DUMMYFUNCTION("""COMPUTED_VALUE"""),63.99302528334786)</f>
        <v>63.99302528</v>
      </c>
      <c r="BD14" s="131">
        <f>IFERROR(__xludf.DUMMYFUNCTION("""COMPUTED_VALUE"""),36.00697471665214)</f>
        <v>36.00697472</v>
      </c>
      <c r="BE14" s="131">
        <f>IFERROR(__xludf.DUMMYFUNCTION("""COMPUTED_VALUE"""),0.6926406926406926)</f>
        <v>0.6926406926</v>
      </c>
    </row>
    <row r="15">
      <c r="A15" t="str">
        <f>IFERROR(__xludf.DUMMYFUNCTION("""COMPUTED_VALUE"""),"TEA100")</f>
        <v>TEA100</v>
      </c>
      <c r="B15" t="str">
        <f>IFERROR(__xludf.DUMMYFUNCTION("""COMPUTED_VALUE"""),"Mahmoud Badran")</f>
        <v>Mahmoud Badran</v>
      </c>
      <c r="C15" t="str">
        <f>IFERROR(__xludf.DUMMYFUNCTION("""COMPUTED_VALUE"""),"""1YlwLzEFUEcI3NVy6jbVAi5TCSSGi3LmI3Jr_ola8H4Q""")</f>
        <v>"1YlwLzEFUEcI3NVy6jbVAi5TCSSGi3LmI3Jr_ola8H4Q"</v>
      </c>
      <c r="D15" t="str">
        <f>IFERROR(__xludf.DUMMYFUNCTION("""COMPUTED_VALUE"""),"Active")</f>
        <v>Active</v>
      </c>
      <c r="E15" t="str">
        <f>IFERROR(__xludf.DUMMYFUNCTION("""COMPUTED_VALUE"""),"Male")</f>
        <v>Male</v>
      </c>
      <c r="F15" s="132">
        <f>IFERROR(__xludf.DUMMYFUNCTION("""COMPUTED_VALUE"""),42218.0)</f>
        <v>42218</v>
      </c>
      <c r="G15" s="133"/>
      <c r="H15" s="131">
        <f>IFERROR(__xludf.DUMMYFUNCTION("""COMPUTED_VALUE"""),66.875)</f>
        <v>66.875</v>
      </c>
      <c r="I15" t="str">
        <f>IFERROR(__xludf.DUMMYFUNCTION("""COMPUTED_VALUE"""),"M.Badran.Egypt@gmail.com")</f>
        <v>M.Badran.Egypt@gmail.com</v>
      </c>
      <c r="J15" s="134" t="str">
        <f>IFERROR(__xludf.DUMMYFUNCTION("""COMPUTED_VALUE"""),"0100-855- 2095")</f>
        <v>0100-855- 2095</v>
      </c>
      <c r="K15" t="str">
        <f>IFERROR(__xludf.DUMMYFUNCTION("""COMPUTED_VALUE"""),"nour.mahmoudbadran")</f>
        <v>nour.mahmoudbadran</v>
      </c>
      <c r="L15" t="str">
        <f>IFERROR(__xludf.DUMMYFUNCTION("""COMPUTED_VALUE"""),"badran81")</f>
        <v>badran81</v>
      </c>
      <c r="M15" s="135">
        <f>IFERROR(__xludf.DUMMYFUNCTION("""COMPUTED_VALUE"""),29622.0)</f>
        <v>29622</v>
      </c>
      <c r="N15">
        <f>IFERROR(__xludf.DUMMYFUNCTION("""COMPUTED_VALUE"""),40.0)</f>
        <v>40</v>
      </c>
      <c r="O15" t="str">
        <f>IFERROR(__xludf.DUMMYFUNCTION("""COMPUTED_VALUE"""),"Married")</f>
        <v>Married</v>
      </c>
      <c r="P15" t="str">
        <f>IFERROR(__xludf.DUMMYFUNCTION("""COMPUTED_VALUE"""),"Yes")</f>
        <v>Yes</v>
      </c>
      <c r="Q15" t="str">
        <f>IFERROR(__xludf.DUMMYFUNCTION("""COMPUTED_VALUE"""),"Yes")</f>
        <v>Yes</v>
      </c>
      <c r="S15" t="str">
        <f>IFERROR(__xludf.DUMMYFUNCTION("""COMPUTED_VALUE"""),"Egypt")</f>
        <v>Egypt</v>
      </c>
      <c r="T15" t="str">
        <f>IFERROR(__xludf.DUMMYFUNCTION("""COMPUTED_VALUE"""),"Cairo")</f>
        <v>Cairo</v>
      </c>
      <c r="U15" t="str">
        <f>IFERROR(__xludf.DUMMYFUNCTION("""COMPUTED_VALUE"""),"GMT +2")</f>
        <v>GMT +2</v>
      </c>
      <c r="V15" t="str">
        <f>IFERROR(__xludf.DUMMYFUNCTION("""COMPUTED_VALUE"""),"No")</f>
        <v>No</v>
      </c>
      <c r="W15" t="str">
        <f>IFERROR(__xludf.DUMMYFUNCTION("""COMPUTED_VALUE"""),"Egypt")</f>
        <v>Egypt</v>
      </c>
      <c r="X15" t="str">
        <f>IFERROR(__xludf.DUMMYFUNCTION("""COMPUTED_VALUE"""),"Paid")</f>
        <v>Paid</v>
      </c>
      <c r="Y15" t="str">
        <f>IFERROR(__xludf.DUMMYFUNCTION("""COMPUTED_VALUE"""),"Recitation")</f>
        <v>Recitation</v>
      </c>
      <c r="Z15" t="str">
        <f>IFERROR(__xludf.DUMMYFUNCTION("""COMPUTED_VALUE"""),"Vodafone Cash")</f>
        <v>Vodafone Cash</v>
      </c>
      <c r="AA15" s="134" t="str">
        <f>IFERROR(__xludf.DUMMYFUNCTION("""COMPUTED_VALUE"""),"0106-333- 5778")</f>
        <v>0106-333- 5778</v>
      </c>
      <c r="AC15" s="136">
        <f>IFERROR(__xludf.DUMMYFUNCTION("""COMPUTED_VALUE"""),6888.0)</f>
        <v>6888</v>
      </c>
      <c r="AD15">
        <f>IFERROR(__xludf.DUMMYFUNCTION("""COMPUTED_VALUE"""),6690.5)</f>
        <v>6690.5</v>
      </c>
      <c r="AE15" s="136">
        <f>IFERROR(__xludf.DUMMYFUNCTION("""COMPUTED_VALUE"""),86.5)</f>
        <v>86.5</v>
      </c>
      <c r="AF15" s="136">
        <f>IFERROR(__xludf.DUMMYFUNCTION("""COMPUTED_VALUE"""),111.0)</f>
        <v>111</v>
      </c>
      <c r="AG15">
        <f>IFERROR(__xludf.DUMMYFUNCTION("""COMPUTED_VALUE"""),3052.5)</f>
        <v>3052.5</v>
      </c>
      <c r="AH15" s="131">
        <f>IFERROR(__xludf.DUMMYFUNCTION("""COMPUTED_VALUE"""),26.849624060150376)</f>
        <v>26.84962406</v>
      </c>
      <c r="AI15" s="131">
        <f>IFERROR(__xludf.DUMMYFUNCTION("""COMPUTED_VALUE"""),53.0)</f>
        <v>53</v>
      </c>
      <c r="AJ15" s="131">
        <f>IFERROR(__xludf.DUMMYFUNCTION("""COMPUTED_VALUE"""),7135.0)</f>
        <v>7135</v>
      </c>
      <c r="AK15" s="136" t="str">
        <f>IFERROR(__xludf.DUMMYFUNCTION("""COMPUTED_VALUE"""),"Attended")</f>
        <v>Attended</v>
      </c>
      <c r="AL15" s="136">
        <f>IFERROR(__xludf.DUMMYFUNCTION("""COMPUTED_VALUE"""),7135.0)</f>
        <v>7135</v>
      </c>
      <c r="AM15" s="136">
        <f>IFERROR(__xludf.DUMMYFUNCTION("""COMPUTED_VALUE"""),5752.0)</f>
        <v>5752</v>
      </c>
      <c r="AN15" s="136">
        <f>IFERROR(__xludf.DUMMYFUNCTION("""COMPUTED_VALUE"""),5729.0)</f>
        <v>5729</v>
      </c>
      <c r="AO15" s="136">
        <f>IFERROR(__xludf.DUMMYFUNCTION("""COMPUTED_VALUE"""),75.0)</f>
        <v>75</v>
      </c>
      <c r="AP15" s="136">
        <f>IFERROR(__xludf.DUMMYFUNCTION("""COMPUTED_VALUE"""),23.0)</f>
        <v>23</v>
      </c>
      <c r="AQ15" s="136">
        <f>IFERROR(__xludf.DUMMYFUNCTION("""COMPUTED_VALUE"""),172.0)</f>
        <v>172</v>
      </c>
      <c r="AR15" s="136">
        <f>IFERROR(__xludf.DUMMYFUNCTION("""COMPUTED_VALUE"""),1136.0)</f>
        <v>1136</v>
      </c>
      <c r="AS15" s="136">
        <f>IFERROR(__xludf.DUMMYFUNCTION("""COMPUTED_VALUE"""),98.59256067786873)</f>
        <v>98.59256068</v>
      </c>
      <c r="AT15" s="131">
        <f>IFERROR(__xludf.DUMMYFUNCTION("""COMPUTED_VALUE"""),1.051156271899089)</f>
        <v>1.051156272</v>
      </c>
      <c r="AU15" s="131">
        <f>IFERROR(__xludf.DUMMYFUNCTION("""COMPUTED_VALUE"""),0.322354590049054)</f>
        <v>0.32235459</v>
      </c>
      <c r="AV15" s="131">
        <f>IFERROR(__xludf.DUMMYFUNCTION("""COMPUTED_VALUE"""),2.4106517168885775)</f>
        <v>2.410651717</v>
      </c>
      <c r="AW15" s="131">
        <f>IFERROR(__xludf.DUMMYFUNCTION("""COMPUTED_VALUE"""),15.921513665031533)</f>
        <v>15.92151367</v>
      </c>
      <c r="AX15" s="131">
        <f>IFERROR(__xludf.DUMMYFUNCTION("""COMPUTED_VALUE"""),96.53819201121233)</f>
        <v>96.53819201</v>
      </c>
      <c r="AY15" s="131">
        <f>IFERROR(__xludf.DUMMYFUNCTION("""COMPUTED_VALUE"""),4886.0)</f>
        <v>4886</v>
      </c>
      <c r="AZ15" s="131">
        <f>IFERROR(__xludf.DUMMYFUNCTION("""COMPUTED_VALUE"""),4697.0)</f>
        <v>4697</v>
      </c>
      <c r="BA15" s="131">
        <f>IFERROR(__xludf.DUMMYFUNCTION("""COMPUTED_VALUE"""),189.0)</f>
        <v>189</v>
      </c>
      <c r="BB15" s="131">
        <f>IFERROR(__xludf.DUMMYFUNCTION("""COMPUTED_VALUE"""),0.0)</f>
        <v>0</v>
      </c>
      <c r="BC15" s="131">
        <f>IFERROR(__xludf.DUMMYFUNCTION("""COMPUTED_VALUE"""),96.13180515759312)</f>
        <v>96.13180516</v>
      </c>
      <c r="BD15" s="131">
        <f>IFERROR(__xludf.DUMMYFUNCTION("""COMPUTED_VALUE"""),3.8681948424068766)</f>
        <v>3.868194842</v>
      </c>
      <c r="BE15" s="131">
        <f>IFERROR(__xludf.DUMMYFUNCTION("""COMPUTED_VALUE"""),0.0)</f>
        <v>0</v>
      </c>
    </row>
    <row r="16">
      <c r="A16" t="str">
        <f>IFERROR(__xludf.DUMMYFUNCTION("""COMPUTED_VALUE"""),"TEA103")</f>
        <v>TEA103</v>
      </c>
      <c r="B16" t="str">
        <f>IFERROR(__xludf.DUMMYFUNCTION("""COMPUTED_VALUE"""),"Muhammad Al Marakby")</f>
        <v>Muhammad Al Marakby</v>
      </c>
      <c r="C16" t="str">
        <f>IFERROR(__xludf.DUMMYFUNCTION("""COMPUTED_VALUE"""),"""1F9Tfn5JK3vRerC0A7AZpcdRMxXkn6WiKjL-SR9_CBoA""")</f>
        <v>"1F9Tfn5JK3vRerC0A7AZpcdRMxXkn6WiKjL-SR9_CBoA"</v>
      </c>
      <c r="D16" t="str">
        <f>IFERROR(__xludf.DUMMYFUNCTION("""COMPUTED_VALUE"""),"Active")</f>
        <v>Active</v>
      </c>
      <c r="E16" t="str">
        <f>IFERROR(__xludf.DUMMYFUNCTION("""COMPUTED_VALUE"""),"Male")</f>
        <v>Male</v>
      </c>
      <c r="F16" s="132">
        <f>IFERROR(__xludf.DUMMYFUNCTION("""COMPUTED_VALUE"""),42357.0)</f>
        <v>42357</v>
      </c>
      <c r="G16" s="133"/>
      <c r="H16" s="131">
        <f>IFERROR(__xludf.DUMMYFUNCTION("""COMPUTED_VALUE"""),62.30263157894737)</f>
        <v>62.30263158</v>
      </c>
      <c r="I16" t="str">
        <f>IFERROR(__xludf.DUMMYFUNCTION("""COMPUTED_VALUE"""),"almarakiby@gmail.com ")</f>
        <v>almarakiby@gmail.com </v>
      </c>
      <c r="J16" s="134" t="str">
        <f>IFERROR(__xludf.DUMMYFUNCTION("""COMPUTED_VALUE"""),"01097412036")</f>
        <v>01097412036</v>
      </c>
      <c r="K16" t="str">
        <f>IFERROR(__xludf.DUMMYFUNCTION("""COMPUTED_VALUE"""),"nour.muhammadelmarakby")</f>
        <v>nour.muhammadelmarakby</v>
      </c>
      <c r="L16" t="str">
        <f>IFERROR(__xludf.DUMMYFUNCTION("""COMPUTED_VALUE"""),"almarakby2841982")</f>
        <v>almarakby2841982</v>
      </c>
      <c r="M16" s="135">
        <f>IFERROR(__xludf.DUMMYFUNCTION("""COMPUTED_VALUE"""),30069.0)</f>
        <v>30069</v>
      </c>
      <c r="N16">
        <f>IFERROR(__xludf.DUMMYFUNCTION("""COMPUTED_VALUE"""),38.0)</f>
        <v>38</v>
      </c>
      <c r="O16" t="str">
        <f>IFERROR(__xludf.DUMMYFUNCTION("""COMPUTED_VALUE"""),"Married")</f>
        <v>Married</v>
      </c>
      <c r="P16" t="str">
        <f>IFERROR(__xludf.DUMMYFUNCTION("""COMPUTED_VALUE"""),"Yes")</f>
        <v>Yes</v>
      </c>
      <c r="Q16" t="str">
        <f>IFERROR(__xludf.DUMMYFUNCTION("""COMPUTED_VALUE"""),"Yes")</f>
        <v>Yes</v>
      </c>
      <c r="S16" t="str">
        <f>IFERROR(__xludf.DUMMYFUNCTION("""COMPUTED_VALUE"""),"Egypt")</f>
        <v>Egypt</v>
      </c>
      <c r="T16" t="str">
        <f>IFERROR(__xludf.DUMMYFUNCTION("""COMPUTED_VALUE"""),"Shibin el Kom")</f>
        <v>Shibin el Kom</v>
      </c>
      <c r="U16" t="str">
        <f>IFERROR(__xludf.DUMMYFUNCTION("""COMPUTED_VALUE"""),"GMT +2")</f>
        <v>GMT +2</v>
      </c>
      <c r="V16" t="str">
        <f>IFERROR(__xludf.DUMMYFUNCTION("""COMPUTED_VALUE"""),"No")</f>
        <v>No</v>
      </c>
      <c r="W16" t="str">
        <f>IFERROR(__xludf.DUMMYFUNCTION("""COMPUTED_VALUE"""),"Egypt")</f>
        <v>Egypt</v>
      </c>
      <c r="X16" t="str">
        <f>IFERROR(__xludf.DUMMYFUNCTION("""COMPUTED_VALUE"""),"Paid")</f>
        <v>Paid</v>
      </c>
      <c r="Y16" t="str">
        <f>IFERROR(__xludf.DUMMYFUNCTION("""COMPUTED_VALUE"""),"Recitation")</f>
        <v>Recitation</v>
      </c>
      <c r="Z16" t="str">
        <f>IFERROR(__xludf.DUMMYFUNCTION("""COMPUTED_VALUE"""),"Vodafone Cash")</f>
        <v>Vodafone Cash</v>
      </c>
      <c r="AA16" s="134" t="str">
        <f>IFERROR(__xludf.DUMMYFUNCTION("""COMPUTED_VALUE"""),"010-1892-0545")</f>
        <v>010-1892-0545</v>
      </c>
      <c r="AC16" s="136">
        <f>IFERROR(__xludf.DUMMYFUNCTION("""COMPUTED_VALUE"""),5221.0)</f>
        <v>5221</v>
      </c>
      <c r="AD16">
        <f>IFERROR(__xludf.DUMMYFUNCTION("""COMPUTED_VALUE"""),2262.0)</f>
        <v>2262</v>
      </c>
      <c r="AE16" s="136">
        <f>IFERROR(__xludf.DUMMYFUNCTION("""COMPUTED_VALUE"""),49.5)</f>
        <v>49.5</v>
      </c>
      <c r="AF16" s="136">
        <f>IFERROR(__xludf.DUMMYFUNCTION("""COMPUTED_VALUE"""),2909.5)</f>
        <v>2909.5</v>
      </c>
      <c r="AG16">
        <f>IFERROR(__xludf.DUMMYFUNCTION("""COMPUTED_VALUE"""),65463.75)</f>
        <v>65463.75</v>
      </c>
      <c r="AH16" s="131">
        <f>IFERROR(__xludf.DUMMYFUNCTION("""COMPUTED_VALUE"""),27.954449401267905)</f>
        <v>27.9544494</v>
      </c>
      <c r="AI16" s="131">
        <f>IFERROR(__xludf.DUMMYFUNCTION("""COMPUTED_VALUE"""),60.0)</f>
        <v>60</v>
      </c>
      <c r="AJ16" s="131">
        <f>IFERROR(__xludf.DUMMYFUNCTION("""COMPUTED_VALUE"""),5547.0)</f>
        <v>5547</v>
      </c>
      <c r="AK16" s="136" t="str">
        <f>IFERROR(__xludf.DUMMYFUNCTION("""COMPUTED_VALUE"""),"Attended No Show")</f>
        <v>Attended No Show</v>
      </c>
      <c r="AL16" s="136">
        <f>IFERROR(__xludf.DUMMYFUNCTION("""COMPUTED_VALUE"""),5547.0)</f>
        <v>5547</v>
      </c>
      <c r="AM16" s="136">
        <f>IFERROR(__xludf.DUMMYFUNCTION("""COMPUTED_VALUE"""),4271.0)</f>
        <v>4271</v>
      </c>
      <c r="AN16" s="136">
        <f>IFERROR(__xludf.DUMMYFUNCTION("""COMPUTED_VALUE"""),4260.0)</f>
        <v>4260</v>
      </c>
      <c r="AO16" s="136">
        <f>IFERROR(__xludf.DUMMYFUNCTION("""COMPUTED_VALUE"""),44.0)</f>
        <v>44</v>
      </c>
      <c r="AP16" s="136">
        <f>IFERROR(__xludf.DUMMYFUNCTION("""COMPUTED_VALUE"""),11.0)</f>
        <v>11</v>
      </c>
      <c r="AQ16" s="136">
        <f>IFERROR(__xludf.DUMMYFUNCTION("""COMPUTED_VALUE"""),282.0)</f>
        <v>282</v>
      </c>
      <c r="AR16" s="136">
        <f>IFERROR(__xludf.DUMMYFUNCTION("""COMPUTED_VALUE"""),950.0)</f>
        <v>950</v>
      </c>
      <c r="AS16" s="136">
        <f>IFERROR(__xludf.DUMMYFUNCTION("""COMPUTED_VALUE"""),98.95536562203229)</f>
        <v>98.95536562</v>
      </c>
      <c r="AT16" s="131">
        <f>IFERROR(__xludf.DUMMYFUNCTION("""COMPUTED_VALUE"""),0.7932215612042546)</f>
        <v>0.7932215612</v>
      </c>
      <c r="AU16" s="131">
        <f>IFERROR(__xludf.DUMMYFUNCTION("""COMPUTED_VALUE"""),0.19830539030106364)</f>
        <v>0.1983053903</v>
      </c>
      <c r="AV16" s="131">
        <f>IFERROR(__xludf.DUMMYFUNCTION("""COMPUTED_VALUE"""),5.083829096809086)</f>
        <v>5.083829097</v>
      </c>
      <c r="AW16" s="131">
        <f>IFERROR(__xludf.DUMMYFUNCTION("""COMPUTED_VALUE"""),17.12637461691004)</f>
        <v>17.12637462</v>
      </c>
      <c r="AX16" s="131">
        <f>IFERROR(__xludf.DUMMYFUNCTION("""COMPUTED_VALUE"""),94.12294934198667)</f>
        <v>94.12294934</v>
      </c>
      <c r="AY16" s="131">
        <f>IFERROR(__xludf.DUMMYFUNCTION("""COMPUTED_VALUE"""),1921.0)</f>
        <v>1921</v>
      </c>
      <c r="AZ16" s="131">
        <f>IFERROR(__xludf.DUMMYFUNCTION("""COMPUTED_VALUE"""),1724.0)</f>
        <v>1724</v>
      </c>
      <c r="BA16" s="131">
        <f>IFERROR(__xludf.DUMMYFUNCTION("""COMPUTED_VALUE"""),197.0)</f>
        <v>197</v>
      </c>
      <c r="BB16" s="131">
        <f>IFERROR(__xludf.DUMMYFUNCTION("""COMPUTED_VALUE"""),14.0)</f>
        <v>14</v>
      </c>
      <c r="BC16" s="131">
        <f>IFERROR(__xludf.DUMMYFUNCTION("""COMPUTED_VALUE"""),89.74492451847996)</f>
        <v>89.74492452</v>
      </c>
      <c r="BD16" s="131">
        <f>IFERROR(__xludf.DUMMYFUNCTION("""COMPUTED_VALUE"""),10.255075481520041)</f>
        <v>10.25507548</v>
      </c>
      <c r="BE16" s="131">
        <f>IFERROR(__xludf.DUMMYFUNCTION("""COMPUTED_VALUE"""),0.7235142118863048)</f>
        <v>0.7235142119</v>
      </c>
    </row>
    <row r="17">
      <c r="A17" t="str">
        <f>IFERROR(__xludf.DUMMYFUNCTION("""COMPUTED_VALUE"""),"TEA108")</f>
        <v>TEA108</v>
      </c>
      <c r="B17" t="str">
        <f>IFERROR(__xludf.DUMMYFUNCTION("""COMPUTED_VALUE"""),"Sara Abo Setta")</f>
        <v>Sara Abo Setta</v>
      </c>
      <c r="C17" t="str">
        <f>IFERROR(__xludf.DUMMYFUNCTION("""COMPUTED_VALUE"""),"""1XvK6ull_Xwx8ufUZd1Wch6s1xtoLtYODUG4Ki2_SSkg""")</f>
        <v>"1XvK6ull_Xwx8ufUZd1Wch6s1xtoLtYODUG4Ki2_SSkg"</v>
      </c>
      <c r="D17" t="str">
        <f>IFERROR(__xludf.DUMMYFUNCTION("""COMPUTED_VALUE"""),"Active")</f>
        <v>Active</v>
      </c>
      <c r="E17" t="str">
        <f>IFERROR(__xludf.DUMMYFUNCTION("""COMPUTED_VALUE"""),"Female")</f>
        <v>Female</v>
      </c>
      <c r="F17" s="132">
        <f>IFERROR(__xludf.DUMMYFUNCTION("""COMPUTED_VALUE"""),42612.0)</f>
        <v>42612</v>
      </c>
      <c r="G17" s="133"/>
      <c r="H17" s="131">
        <f>IFERROR(__xludf.DUMMYFUNCTION("""COMPUTED_VALUE"""),53.91447368421053)</f>
        <v>53.91447368</v>
      </c>
      <c r="I17" t="str">
        <f>IFERROR(__xludf.DUMMYFUNCTION("""COMPUTED_VALUE"""),"saraabosetta@yahoo.com")</f>
        <v>saraabosetta@yahoo.com</v>
      </c>
      <c r="J17" s="134" t="str">
        <f>IFERROR(__xludf.DUMMYFUNCTION("""COMPUTED_VALUE"""),"01229081145")</f>
        <v>01229081145</v>
      </c>
      <c r="K17" t="str">
        <f>IFERROR(__xludf.DUMMYFUNCTION("""COMPUTED_VALUE"""),"nour.saraabosetta")</f>
        <v>nour.saraabosetta</v>
      </c>
      <c r="L17" t="str">
        <f>IFERROR(__xludf.DUMMYFUNCTION("""COMPUTED_VALUE"""),"abosetta88")</f>
        <v>abosetta88</v>
      </c>
      <c r="M17" s="135">
        <f>IFERROR(__xludf.DUMMYFUNCTION("""COMPUTED_VALUE"""),32431.0)</f>
        <v>32431</v>
      </c>
      <c r="N17">
        <f>IFERROR(__xludf.DUMMYFUNCTION("""COMPUTED_VALUE"""),32.0)</f>
        <v>32</v>
      </c>
      <c r="O17" t="str">
        <f>IFERROR(__xludf.DUMMYFUNCTION("""COMPUTED_VALUE"""),"Married")</f>
        <v>Married</v>
      </c>
      <c r="P17" t="str">
        <f>IFERROR(__xludf.DUMMYFUNCTION("""COMPUTED_VALUE"""),"Yes")</f>
        <v>Yes</v>
      </c>
      <c r="Q17" t="str">
        <f>IFERROR(__xludf.DUMMYFUNCTION("""COMPUTED_VALUE"""),"Yes")</f>
        <v>Yes</v>
      </c>
      <c r="S17" t="str">
        <f>IFERROR(__xludf.DUMMYFUNCTION("""COMPUTED_VALUE"""),"Egypt")</f>
        <v>Egypt</v>
      </c>
      <c r="T17" t="str">
        <f>IFERROR(__xludf.DUMMYFUNCTION("""COMPUTED_VALUE"""),"Alexandria")</f>
        <v>Alexandria</v>
      </c>
      <c r="U17" t="str">
        <f>IFERROR(__xludf.DUMMYFUNCTION("""COMPUTED_VALUE"""),"GMT +2")</f>
        <v>GMT +2</v>
      </c>
      <c r="V17" t="str">
        <f>IFERROR(__xludf.DUMMYFUNCTION("""COMPUTED_VALUE"""),"No")</f>
        <v>No</v>
      </c>
      <c r="W17" t="str">
        <f>IFERROR(__xludf.DUMMYFUNCTION("""COMPUTED_VALUE"""),"Egypt")</f>
        <v>Egypt</v>
      </c>
      <c r="X17" t="str">
        <f>IFERROR(__xludf.DUMMYFUNCTION("""COMPUTED_VALUE"""),"Paid")</f>
        <v>Paid</v>
      </c>
      <c r="Y17" t="str">
        <f>IFERROR(__xludf.DUMMYFUNCTION("""COMPUTED_VALUE"""),"Annourania")</f>
        <v>Annourania</v>
      </c>
      <c r="Z17" t="str">
        <f>IFERROR(__xludf.DUMMYFUNCTION("""COMPUTED_VALUE"""),"Etisalat Cash")</f>
        <v>Etisalat Cash</v>
      </c>
      <c r="AA17" s="134" t="str">
        <f>IFERROR(__xludf.DUMMYFUNCTION("""COMPUTED_VALUE"""),"0115-147-1171")</f>
        <v>0115-147-1171</v>
      </c>
      <c r="AC17" s="136">
        <f>IFERROR(__xludf.DUMMYFUNCTION("""COMPUTED_VALUE"""),828.0)</f>
        <v>828</v>
      </c>
      <c r="AE17" s="136">
        <f>IFERROR(__xludf.DUMMYFUNCTION("""COMPUTED_VALUE"""),31.0)</f>
        <v>31</v>
      </c>
      <c r="AF17" s="136">
        <f>IFERROR(__xludf.DUMMYFUNCTION("""COMPUTED_VALUE"""),797.0)</f>
        <v>797</v>
      </c>
      <c r="AG17">
        <f>IFERROR(__xludf.DUMMYFUNCTION("""COMPUTED_VALUE"""),7970.0)</f>
        <v>7970</v>
      </c>
      <c r="AH17" s="131">
        <f>IFERROR(__xludf.DUMMYFUNCTION("""COMPUTED_VALUE"""),30.066104078762308)</f>
        <v>30.06610408</v>
      </c>
      <c r="AI17" s="131">
        <f>IFERROR(__xludf.DUMMYFUNCTION("""COMPUTED_VALUE"""),24.0)</f>
        <v>24</v>
      </c>
      <c r="AJ17" s="131">
        <f>IFERROR(__xludf.DUMMYFUNCTION("""COMPUTED_VALUE"""),856.0)</f>
        <v>856</v>
      </c>
      <c r="AK17" s="136" t="str">
        <f>IFERROR(__xludf.DUMMYFUNCTION("""COMPUTED_VALUE"""),"Attended")</f>
        <v>Attended</v>
      </c>
      <c r="AL17" s="136">
        <f>IFERROR(__xludf.DUMMYFUNCTION("""COMPUTED_VALUE"""),856.0)</f>
        <v>856</v>
      </c>
      <c r="AM17" s="136">
        <f>IFERROR(__xludf.DUMMYFUNCTION("""COMPUTED_VALUE"""),723.0)</f>
        <v>723</v>
      </c>
      <c r="AN17" s="136">
        <f>IFERROR(__xludf.DUMMYFUNCTION("""COMPUTED_VALUE"""),715.0)</f>
        <v>715</v>
      </c>
      <c r="AO17" s="136">
        <f>IFERROR(__xludf.DUMMYFUNCTION("""COMPUTED_VALUE"""),27.0)</f>
        <v>27</v>
      </c>
      <c r="AP17" s="136">
        <f>IFERROR(__xludf.DUMMYFUNCTION("""COMPUTED_VALUE"""),8.0)</f>
        <v>8</v>
      </c>
      <c r="AQ17" s="136">
        <f>IFERROR(__xludf.DUMMYFUNCTION("""COMPUTED_VALUE"""),1.0)</f>
        <v>1</v>
      </c>
      <c r="AR17" s="136">
        <f>IFERROR(__xludf.DUMMYFUNCTION("""COMPUTED_VALUE"""),105.0)</f>
        <v>105</v>
      </c>
      <c r="AS17" s="136">
        <f>IFERROR(__xludf.DUMMYFUNCTION("""COMPUTED_VALUE"""),95.90643274853801)</f>
        <v>95.90643275</v>
      </c>
      <c r="AT17" s="131">
        <f>IFERROR(__xludf.DUMMYFUNCTION("""COMPUTED_VALUE"""),3.1542056074766354)</f>
        <v>3.154205607</v>
      </c>
      <c r="AU17" s="131">
        <f>IFERROR(__xludf.DUMMYFUNCTION("""COMPUTED_VALUE"""),0.9345794392523363)</f>
        <v>0.9345794393</v>
      </c>
      <c r="AV17" s="131">
        <f>IFERROR(__xludf.DUMMYFUNCTION("""COMPUTED_VALUE"""),0.11682242990654204)</f>
        <v>0.1168224299</v>
      </c>
      <c r="AW17" s="131">
        <f>IFERROR(__xludf.DUMMYFUNCTION("""COMPUTED_VALUE"""),12.266355140186915)</f>
        <v>12.26635514</v>
      </c>
      <c r="AX17" s="131">
        <f>IFERROR(__xludf.DUMMYFUNCTION("""COMPUTED_VALUE"""),96.72897196261682)</f>
        <v>96.72897196</v>
      </c>
      <c r="AY17" s="131">
        <f>IFERROR(__xludf.DUMMYFUNCTION("""COMPUTED_VALUE"""),2.0)</f>
        <v>2</v>
      </c>
      <c r="AZ17" s="131">
        <f>IFERROR(__xludf.DUMMYFUNCTION("""COMPUTED_VALUE"""),2.0)</f>
        <v>2</v>
      </c>
      <c r="BA17" s="131">
        <f>IFERROR(__xludf.DUMMYFUNCTION("""COMPUTED_VALUE"""),0.0)</f>
        <v>0</v>
      </c>
      <c r="BB17" s="131">
        <f>IFERROR(__xludf.DUMMYFUNCTION("""COMPUTED_VALUE"""),0.0)</f>
        <v>0</v>
      </c>
      <c r="BC17" s="131">
        <f>IFERROR(__xludf.DUMMYFUNCTION("""COMPUTED_VALUE"""),100.0)</f>
        <v>100</v>
      </c>
      <c r="BD17" s="131">
        <f>IFERROR(__xludf.DUMMYFUNCTION("""COMPUTED_VALUE"""),0.0)</f>
        <v>0</v>
      </c>
      <c r="BE17" s="131">
        <f>IFERROR(__xludf.DUMMYFUNCTION("""COMPUTED_VALUE"""),0.0)</f>
        <v>0</v>
      </c>
    </row>
    <row r="18">
      <c r="A18" t="str">
        <f>IFERROR(__xludf.DUMMYFUNCTION("""COMPUTED_VALUE"""),"TEA110")</f>
        <v>TEA110</v>
      </c>
      <c r="B18" t="str">
        <f>IFERROR(__xludf.DUMMYFUNCTION("""COMPUTED_VALUE"""),"Shaymaa Said")</f>
        <v>Shaymaa Said</v>
      </c>
      <c r="C18" t="str">
        <f>IFERROR(__xludf.DUMMYFUNCTION("""COMPUTED_VALUE"""),"""1fGckK56YwBkBKtWAUqQ2c2X7xsmqhdJ2MDqnAImPDBY""")</f>
        <v>"1fGckK56YwBkBKtWAUqQ2c2X7xsmqhdJ2MDqnAImPDBY"</v>
      </c>
      <c r="D18" t="str">
        <f>IFERROR(__xludf.DUMMYFUNCTION("""COMPUTED_VALUE"""),"Active")</f>
        <v>Active</v>
      </c>
      <c r="E18" t="str">
        <f>IFERROR(__xludf.DUMMYFUNCTION("""COMPUTED_VALUE"""),"Female")</f>
        <v>Female</v>
      </c>
      <c r="F18" s="132">
        <f>IFERROR(__xludf.DUMMYFUNCTION("""COMPUTED_VALUE"""),42702.0)</f>
        <v>42702</v>
      </c>
      <c r="G18" s="133"/>
      <c r="H18" s="131">
        <f>IFERROR(__xludf.DUMMYFUNCTION("""COMPUTED_VALUE"""),50.953947368421055)</f>
        <v>50.95394737</v>
      </c>
      <c r="I18" t="str">
        <f>IFERROR(__xludf.DUMMYFUNCTION("""COMPUTED_VALUE"""),"shaymaamoneam@hotmail.com")</f>
        <v>shaymaamoneam@hotmail.com</v>
      </c>
      <c r="J18" s="134" t="str">
        <f>IFERROR(__xludf.DUMMYFUNCTION("""COMPUTED_VALUE"""),"01006451139")</f>
        <v>01006451139</v>
      </c>
      <c r="K18" t="str">
        <f>IFERROR(__xludf.DUMMYFUNCTION("""COMPUTED_VALUE"""),"live:4b2750d9d8e582dd")</f>
        <v>live:4b2750d9d8e582dd</v>
      </c>
      <c r="L18" t="str">
        <f>IFERROR(__xludf.DUMMYFUNCTION("""COMPUTED_VALUE"""),"Shaymaa89")</f>
        <v>Shaymaa89</v>
      </c>
      <c r="M18" s="135">
        <f>IFERROR(__xludf.DUMMYFUNCTION("""COMPUTED_VALUE"""),32841.0)</f>
        <v>32841</v>
      </c>
      <c r="N18">
        <f>IFERROR(__xludf.DUMMYFUNCTION("""COMPUTED_VALUE"""),31.0)</f>
        <v>31</v>
      </c>
      <c r="O18" t="str">
        <f>IFERROR(__xludf.DUMMYFUNCTION("""COMPUTED_VALUE"""),"Married")</f>
        <v>Married</v>
      </c>
      <c r="P18" t="str">
        <f>IFERROR(__xludf.DUMMYFUNCTION("""COMPUTED_VALUE"""),"Yes")</f>
        <v>Yes</v>
      </c>
      <c r="Q18" t="str">
        <f>IFERROR(__xludf.DUMMYFUNCTION("""COMPUTED_VALUE"""),"Yes")</f>
        <v>Yes</v>
      </c>
      <c r="S18" t="str">
        <f>IFERROR(__xludf.DUMMYFUNCTION("""COMPUTED_VALUE"""),"Egypt")</f>
        <v>Egypt</v>
      </c>
      <c r="T18" t="str">
        <f>IFERROR(__xludf.DUMMYFUNCTION("""COMPUTED_VALUE"""),"Cairo")</f>
        <v>Cairo</v>
      </c>
      <c r="U18" t="str">
        <f>IFERROR(__xludf.DUMMYFUNCTION("""COMPUTED_VALUE"""),"GMT +2")</f>
        <v>GMT +2</v>
      </c>
      <c r="V18" t="str">
        <f>IFERROR(__xludf.DUMMYFUNCTION("""COMPUTED_VALUE"""),"No")</f>
        <v>No</v>
      </c>
      <c r="W18" t="str">
        <f>IFERROR(__xludf.DUMMYFUNCTION("""COMPUTED_VALUE"""),"Egypt")</f>
        <v>Egypt</v>
      </c>
      <c r="X18" t="str">
        <f>IFERROR(__xludf.DUMMYFUNCTION("""COMPUTED_VALUE"""),"Paid")</f>
        <v>Paid</v>
      </c>
      <c r="Y18" t="str">
        <f>IFERROR(__xludf.DUMMYFUNCTION("""COMPUTED_VALUE"""),"Annourania")</f>
        <v>Annourania</v>
      </c>
      <c r="AA18" s="134" t="str">
        <f>IFERROR(__xludf.DUMMYFUNCTION("""COMPUTED_VALUE"""),"0100-6451-139")</f>
        <v>0100-6451-139</v>
      </c>
      <c r="AB18">
        <f>IFERROR(__xludf.DUMMYFUNCTION("""COMPUTED_VALUE"""),1.006451139E9)</f>
        <v>1006451139</v>
      </c>
      <c r="AC18" s="136">
        <f>IFERROR(__xludf.DUMMYFUNCTION("""COMPUTED_VALUE"""),226.0)</f>
        <v>226</v>
      </c>
      <c r="AE18" s="136">
        <f>IFERROR(__xludf.DUMMYFUNCTION("""COMPUTED_VALUE"""),12.0)</f>
        <v>12</v>
      </c>
      <c r="AF18" s="136">
        <f>IFERROR(__xludf.DUMMYFUNCTION("""COMPUTED_VALUE"""),214.0)</f>
        <v>214</v>
      </c>
      <c r="AG18">
        <f>IFERROR(__xludf.DUMMYFUNCTION("""COMPUTED_VALUE"""),2140.0)</f>
        <v>2140</v>
      </c>
      <c r="AH18" s="131">
        <f>IFERROR(__xludf.DUMMYFUNCTION("""COMPUTED_VALUE"""),30.666666666666668)</f>
        <v>30.66666667</v>
      </c>
      <c r="AI18" s="131">
        <f>IFERROR(__xludf.DUMMYFUNCTION("""COMPUTED_VALUE"""),11.0)</f>
        <v>11</v>
      </c>
      <c r="AJ18" s="131">
        <f>IFERROR(__xludf.DUMMYFUNCTION("""COMPUTED_VALUE"""),245.0)</f>
        <v>245</v>
      </c>
      <c r="AK18" s="136" t="str">
        <f>IFERROR(__xludf.DUMMYFUNCTION("""COMPUTED_VALUE"""),"Attended")</f>
        <v>Attended</v>
      </c>
      <c r="AL18" s="136">
        <f>IFERROR(__xludf.DUMMYFUNCTION("""COMPUTED_VALUE"""),245.0)</f>
        <v>245</v>
      </c>
      <c r="AM18" s="136">
        <f>IFERROR(__xludf.DUMMYFUNCTION("""COMPUTED_VALUE"""),194.0)</f>
        <v>194</v>
      </c>
      <c r="AN18" s="136">
        <f>IFERROR(__xludf.DUMMYFUNCTION("""COMPUTED_VALUE"""),188.0)</f>
        <v>188</v>
      </c>
      <c r="AO18" s="136">
        <f>IFERROR(__xludf.DUMMYFUNCTION("""COMPUTED_VALUE"""),9.0)</f>
        <v>9</v>
      </c>
      <c r="AP18" s="136">
        <f>IFERROR(__xludf.DUMMYFUNCTION("""COMPUTED_VALUE"""),6.0)</f>
        <v>6</v>
      </c>
      <c r="AQ18" s="136">
        <f>IFERROR(__xludf.DUMMYFUNCTION("""COMPUTED_VALUE"""),10.0)</f>
        <v>10</v>
      </c>
      <c r="AR18" s="136">
        <f>IFERROR(__xludf.DUMMYFUNCTION("""COMPUTED_VALUE"""),32.0)</f>
        <v>32</v>
      </c>
      <c r="AS18" s="136">
        <f>IFERROR(__xludf.DUMMYFUNCTION("""COMPUTED_VALUE"""),93.61702127659575)</f>
        <v>93.61702128</v>
      </c>
      <c r="AT18" s="131">
        <f>IFERROR(__xludf.DUMMYFUNCTION("""COMPUTED_VALUE"""),3.6734693877551026)</f>
        <v>3.673469388</v>
      </c>
      <c r="AU18" s="131">
        <f>IFERROR(__xludf.DUMMYFUNCTION("""COMPUTED_VALUE"""),2.4489795918367347)</f>
        <v>2.448979592</v>
      </c>
      <c r="AV18" s="131">
        <f>IFERROR(__xludf.DUMMYFUNCTION("""COMPUTED_VALUE"""),4.081632653061225)</f>
        <v>4.081632653</v>
      </c>
      <c r="AW18" s="131">
        <f>IFERROR(__xludf.DUMMYFUNCTION("""COMPUTED_VALUE"""),13.061224489795919)</f>
        <v>13.06122449</v>
      </c>
      <c r="AX18" s="131">
        <f>IFERROR(__xludf.DUMMYFUNCTION("""COMPUTED_VALUE"""),92.24489795918367)</f>
        <v>92.24489796</v>
      </c>
      <c r="AY18" s="131">
        <f>IFERROR(__xludf.DUMMYFUNCTION("""COMPUTED_VALUE"""),101.0)</f>
        <v>101</v>
      </c>
      <c r="AZ18" s="131">
        <f>IFERROR(__xludf.DUMMYFUNCTION("""COMPUTED_VALUE"""),86.0)</f>
        <v>86</v>
      </c>
      <c r="BA18" s="131">
        <f>IFERROR(__xludf.DUMMYFUNCTION("""COMPUTED_VALUE"""),15.0)</f>
        <v>15</v>
      </c>
      <c r="BB18" s="131">
        <f>IFERROR(__xludf.DUMMYFUNCTION("""COMPUTED_VALUE"""),1.0)</f>
        <v>1</v>
      </c>
      <c r="BC18" s="131">
        <f>IFERROR(__xludf.DUMMYFUNCTION("""COMPUTED_VALUE"""),85.14851485148515)</f>
        <v>85.14851485</v>
      </c>
      <c r="BD18" s="131">
        <f>IFERROR(__xludf.DUMMYFUNCTION("""COMPUTED_VALUE"""),14.85148514851485)</f>
        <v>14.85148515</v>
      </c>
      <c r="BE18" s="131">
        <f>IFERROR(__xludf.DUMMYFUNCTION("""COMPUTED_VALUE"""),0.9803921568627451)</f>
        <v>0.9803921569</v>
      </c>
    </row>
    <row r="19">
      <c r="A19" t="str">
        <f>IFERROR(__xludf.DUMMYFUNCTION("""COMPUTED_VALUE"""),"TEA111")</f>
        <v>TEA111</v>
      </c>
      <c r="B19" t="str">
        <f>IFERROR(__xludf.DUMMYFUNCTION("""COMPUTED_VALUE"""),"Umm Omar")</f>
        <v>Umm Omar</v>
      </c>
      <c r="C19" t="str">
        <f>IFERROR(__xludf.DUMMYFUNCTION("""COMPUTED_VALUE"""),"""1Ni7fa-tipr-FSTJDkV3dhAJCDTPWldi4O05zrHRm3VI""")</f>
        <v>"1Ni7fa-tipr-FSTJDkV3dhAJCDTPWldi4O05zrHRm3VI"</v>
      </c>
      <c r="D19" t="str">
        <f>IFERROR(__xludf.DUMMYFUNCTION("""COMPUTED_VALUE"""),"Active")</f>
        <v>Active</v>
      </c>
      <c r="E19" t="str">
        <f>IFERROR(__xludf.DUMMYFUNCTION("""COMPUTED_VALUE"""),"Female")</f>
        <v>Female</v>
      </c>
      <c r="F19" s="132">
        <f>IFERROR(__xludf.DUMMYFUNCTION("""COMPUTED_VALUE"""),40700.0)</f>
        <v>40700</v>
      </c>
      <c r="G19" s="133"/>
      <c r="H19" s="131">
        <f>IFERROR(__xludf.DUMMYFUNCTION("""COMPUTED_VALUE"""),116.8092105263158)</f>
        <v>116.8092105</v>
      </c>
      <c r="J19" s="134" t="str">
        <f>IFERROR(__xludf.DUMMYFUNCTION("""COMPUTED_VALUE"""),"0111-536-1668")</f>
        <v>0111-536-1668</v>
      </c>
      <c r="K19" t="str">
        <f>IFERROR(__xludf.DUMMYFUNCTION("""COMPUTED_VALUE"""),"nour.ummomar")</f>
        <v>nour.ummomar</v>
      </c>
      <c r="L19" t="str">
        <f>IFERROR(__xludf.DUMMYFUNCTION("""COMPUTED_VALUE"""),"omar2006")</f>
        <v>omar2006</v>
      </c>
      <c r="M19" s="135">
        <f>IFERROR(__xludf.DUMMYFUNCTION("""COMPUTED_VALUE"""),26665.0)</f>
        <v>26665</v>
      </c>
      <c r="N19">
        <f>IFERROR(__xludf.DUMMYFUNCTION("""COMPUTED_VALUE"""),48.0)</f>
        <v>48</v>
      </c>
      <c r="O19" t="str">
        <f>IFERROR(__xludf.DUMMYFUNCTION("""COMPUTED_VALUE"""),"Married")</f>
        <v>Married</v>
      </c>
      <c r="S19" t="str">
        <f>IFERROR(__xludf.DUMMYFUNCTION("""COMPUTED_VALUE"""),"Egypt")</f>
        <v>Egypt</v>
      </c>
      <c r="T19" t="str">
        <f>IFERROR(__xludf.DUMMYFUNCTION("""COMPUTED_VALUE"""),"Damanhûr")</f>
        <v>Damanhûr</v>
      </c>
      <c r="U19" t="str">
        <f>IFERROR(__xludf.DUMMYFUNCTION("""COMPUTED_VALUE"""),"GMT +2")</f>
        <v>GMT +2</v>
      </c>
      <c r="V19" t="str">
        <f>IFERROR(__xludf.DUMMYFUNCTION("""COMPUTED_VALUE"""),"No")</f>
        <v>No</v>
      </c>
      <c r="W19" t="str">
        <f>IFERROR(__xludf.DUMMYFUNCTION("""COMPUTED_VALUE"""),"Egypt")</f>
        <v>Egypt</v>
      </c>
      <c r="X19" t="str">
        <f>IFERROR(__xludf.DUMMYFUNCTION("""COMPUTED_VALUE"""),"Paid")</f>
        <v>Paid</v>
      </c>
      <c r="Y19" t="str">
        <f>IFERROR(__xludf.DUMMYFUNCTION("""COMPUTED_VALUE"""),"Annourania")</f>
        <v>Annourania</v>
      </c>
      <c r="Z19" t="str">
        <f>IFERROR(__xludf.DUMMYFUNCTION("""COMPUTED_VALUE"""),"Cash")</f>
        <v>Cash</v>
      </c>
      <c r="AA19" s="134"/>
      <c r="AC19" s="136">
        <f>IFERROR(__xludf.DUMMYFUNCTION("""COMPUTED_VALUE"""),125.0)</f>
        <v>125</v>
      </c>
      <c r="AE19" s="136">
        <f>IFERROR(__xludf.DUMMYFUNCTION("""COMPUTED_VALUE"""),14.0)</f>
        <v>14</v>
      </c>
      <c r="AF19" s="136">
        <f>IFERROR(__xludf.DUMMYFUNCTION("""COMPUTED_VALUE"""),111.0)</f>
        <v>111</v>
      </c>
      <c r="AG19">
        <f>IFERROR(__xludf.DUMMYFUNCTION("""COMPUTED_VALUE"""),1110.0)</f>
        <v>1110</v>
      </c>
      <c r="AH19" s="131">
        <f>IFERROR(__xludf.DUMMYFUNCTION("""COMPUTED_VALUE"""),30.97222222222222)</f>
        <v>30.97222222</v>
      </c>
      <c r="AI19" s="131">
        <f>IFERROR(__xludf.DUMMYFUNCTION("""COMPUTED_VALUE"""),11.0)</f>
        <v>11</v>
      </c>
      <c r="AJ19" s="131">
        <f>IFERROR(__xludf.DUMMYFUNCTION("""COMPUTED_VALUE"""),139.0)</f>
        <v>139</v>
      </c>
      <c r="AK19" s="136" t="str">
        <f>IFERROR(__xludf.DUMMYFUNCTION("""COMPUTED_VALUE"""),"Attended")</f>
        <v>Attended</v>
      </c>
      <c r="AL19" s="136">
        <f>IFERROR(__xludf.DUMMYFUNCTION("""COMPUTED_VALUE"""),139.0)</f>
        <v>139</v>
      </c>
      <c r="AM19" s="136">
        <f>IFERROR(__xludf.DUMMYFUNCTION("""COMPUTED_VALUE"""),74.0)</f>
        <v>74</v>
      </c>
      <c r="AN19" s="136">
        <f>IFERROR(__xludf.DUMMYFUNCTION("""COMPUTED_VALUE"""),72.0)</f>
        <v>72</v>
      </c>
      <c r="AO19" s="136">
        <f>IFERROR(__xludf.DUMMYFUNCTION("""COMPUTED_VALUE"""),13.0)</f>
        <v>13</v>
      </c>
      <c r="AP19" s="136">
        <f>IFERROR(__xludf.DUMMYFUNCTION("""COMPUTED_VALUE"""),2.0)</f>
        <v>2</v>
      </c>
      <c r="AQ19" s="136">
        <f>IFERROR(__xludf.DUMMYFUNCTION("""COMPUTED_VALUE"""),1.0)</f>
        <v>1</v>
      </c>
      <c r="AR19" s="136">
        <f>IFERROR(__xludf.DUMMYFUNCTION("""COMPUTED_VALUE"""),51.0)</f>
        <v>51</v>
      </c>
      <c r="AS19" s="136">
        <f>IFERROR(__xludf.DUMMYFUNCTION("""COMPUTED_VALUE"""),89.13043478260869)</f>
        <v>89.13043478</v>
      </c>
      <c r="AT19" s="131">
        <f>IFERROR(__xludf.DUMMYFUNCTION("""COMPUTED_VALUE"""),9.352517985611511)</f>
        <v>9.352517986</v>
      </c>
      <c r="AU19" s="131">
        <f>IFERROR(__xludf.DUMMYFUNCTION("""COMPUTED_VALUE"""),1.4388489208633095)</f>
        <v>1.438848921</v>
      </c>
      <c r="AV19" s="131">
        <f>IFERROR(__xludf.DUMMYFUNCTION("""COMPUTED_VALUE"""),0.7194244604316548)</f>
        <v>0.7194244604</v>
      </c>
      <c r="AW19" s="131">
        <f>IFERROR(__xludf.DUMMYFUNCTION("""COMPUTED_VALUE"""),36.69064748201439)</f>
        <v>36.69064748</v>
      </c>
      <c r="AX19" s="131">
        <f>IFERROR(__xludf.DUMMYFUNCTION("""COMPUTED_VALUE"""),89.92805755395683)</f>
        <v>89.92805755</v>
      </c>
      <c r="AY19" s="131">
        <f>IFERROR(__xludf.DUMMYFUNCTION("""COMPUTED_VALUE"""),52.0)</f>
        <v>52</v>
      </c>
      <c r="AZ19" s="131">
        <f>IFERROR(__xludf.DUMMYFUNCTION("""COMPUTED_VALUE"""),52.0)</f>
        <v>52</v>
      </c>
      <c r="BA19" s="131">
        <f>IFERROR(__xludf.DUMMYFUNCTION("""COMPUTED_VALUE"""),0.0)</f>
        <v>0</v>
      </c>
      <c r="BB19" s="131">
        <f>IFERROR(__xludf.DUMMYFUNCTION("""COMPUTED_VALUE"""),0.0)</f>
        <v>0</v>
      </c>
      <c r="BC19" s="131">
        <f>IFERROR(__xludf.DUMMYFUNCTION("""COMPUTED_VALUE"""),100.0)</f>
        <v>100</v>
      </c>
      <c r="BD19" s="131">
        <f>IFERROR(__xludf.DUMMYFUNCTION("""COMPUTED_VALUE"""),0.0)</f>
        <v>0</v>
      </c>
      <c r="BE19" s="131">
        <f>IFERROR(__xludf.DUMMYFUNCTION("""COMPUTED_VALUE"""),0.0)</f>
        <v>0</v>
      </c>
    </row>
    <row r="20">
      <c r="A20" t="str">
        <f>IFERROR(__xludf.DUMMYFUNCTION("""COMPUTED_VALUE"""),"TEA112")</f>
        <v>TEA112</v>
      </c>
      <c r="B20" t="str">
        <f>IFERROR(__xludf.DUMMYFUNCTION("""COMPUTED_VALUE"""),"Shaimaa Nabil")</f>
        <v>Shaimaa Nabil</v>
      </c>
      <c r="C20" t="str">
        <f>IFERROR(__xludf.DUMMYFUNCTION("""COMPUTED_VALUE"""),"""132XuIf4tq5CfKzc7KNgolSWXsTwfzUq0FS6mikRwOiY""")</f>
        <v>"132XuIf4tq5CfKzc7KNgolSWXsTwfzUq0FS6mikRwOiY"</v>
      </c>
      <c r="D20" t="str">
        <f>IFERROR(__xludf.DUMMYFUNCTION("""COMPUTED_VALUE"""),"Active")</f>
        <v>Active</v>
      </c>
      <c r="E20" t="str">
        <f>IFERROR(__xludf.DUMMYFUNCTION("""COMPUTED_VALUE"""),"Female")</f>
        <v>Female</v>
      </c>
      <c r="F20" s="132">
        <f>IFERROR(__xludf.DUMMYFUNCTION("""COMPUTED_VALUE"""),43417.0)</f>
        <v>43417</v>
      </c>
      <c r="G20" s="133"/>
      <c r="H20" s="131">
        <f>IFERROR(__xludf.DUMMYFUNCTION("""COMPUTED_VALUE"""),27.43421052631579)</f>
        <v>27.43421053</v>
      </c>
      <c r="I20" t="str">
        <f>IFERROR(__xludf.DUMMYFUNCTION("""COMPUTED_VALUE"""),"shimaa.nabil91@gmail.com")</f>
        <v>shimaa.nabil91@gmail.com</v>
      </c>
      <c r="J20" s="134" t="str">
        <f>IFERROR(__xludf.DUMMYFUNCTION("""COMPUTED_VALUE"""),"01220637792")</f>
        <v>01220637792</v>
      </c>
      <c r="K20" t="str">
        <f>IFERROR(__xludf.DUMMYFUNCTION("""COMPUTED_VALUE"""),"nour.shaimaanabil@gmail.com")</f>
        <v>nour.shaimaanabil@gmail.com</v>
      </c>
      <c r="L20" t="str">
        <f>IFERROR(__xludf.DUMMYFUNCTION("""COMPUTED_VALUE"""),"Shaimaa91")</f>
        <v>Shaimaa91</v>
      </c>
      <c r="M20" s="135">
        <f>IFERROR(__xludf.DUMMYFUNCTION("""COMPUTED_VALUE"""),33239.0)</f>
        <v>33239</v>
      </c>
      <c r="N20">
        <f>IFERROR(__xludf.DUMMYFUNCTION("""COMPUTED_VALUE"""),30.0)</f>
        <v>30</v>
      </c>
      <c r="P20" t="str">
        <f>IFERROR(__xludf.DUMMYFUNCTION("""COMPUTED_VALUE"""),"Yes")</f>
        <v>Yes</v>
      </c>
      <c r="Q20" t="str">
        <f>IFERROR(__xludf.DUMMYFUNCTION("""COMPUTED_VALUE"""),"Yes")</f>
        <v>Yes</v>
      </c>
      <c r="S20" t="str">
        <f>IFERROR(__xludf.DUMMYFUNCTION("""COMPUTED_VALUE"""),"Egypt")</f>
        <v>Egypt</v>
      </c>
      <c r="T20" t="str">
        <f>IFERROR(__xludf.DUMMYFUNCTION("""COMPUTED_VALUE"""),"Alexandria")</f>
        <v>Alexandria</v>
      </c>
      <c r="U20" t="str">
        <f>IFERROR(__xludf.DUMMYFUNCTION("""COMPUTED_VALUE"""),"GMT +2")</f>
        <v>GMT +2</v>
      </c>
      <c r="V20" t="str">
        <f>IFERROR(__xludf.DUMMYFUNCTION("""COMPUTED_VALUE"""),"No")</f>
        <v>No</v>
      </c>
      <c r="W20" t="str">
        <f>IFERROR(__xludf.DUMMYFUNCTION("""COMPUTED_VALUE"""),"Egypt")</f>
        <v>Egypt</v>
      </c>
      <c r="X20" t="str">
        <f>IFERROR(__xludf.DUMMYFUNCTION("""COMPUTED_VALUE"""),"Paid")</f>
        <v>Paid</v>
      </c>
      <c r="Y20" t="str">
        <f>IFERROR(__xludf.DUMMYFUNCTION("""COMPUTED_VALUE"""),"Arabic")</f>
        <v>Arabic</v>
      </c>
      <c r="Z20" t="str">
        <f>IFERROR(__xludf.DUMMYFUNCTION("""COMPUTED_VALUE"""),"Cash")</f>
        <v>Cash</v>
      </c>
      <c r="AA20" s="134"/>
      <c r="AC20" s="136">
        <f>IFERROR(__xludf.DUMMYFUNCTION("""COMPUTED_VALUE"""),679.0)</f>
        <v>679</v>
      </c>
      <c r="AD20">
        <f>IFERROR(__xludf.DUMMYFUNCTION("""COMPUTED_VALUE"""),598.0)</f>
        <v>598</v>
      </c>
      <c r="AE20" s="136">
        <f>IFERROR(__xludf.DUMMYFUNCTION("""COMPUTED_VALUE"""),23.0)</f>
        <v>23</v>
      </c>
      <c r="AF20" s="136">
        <f>IFERROR(__xludf.DUMMYFUNCTION("""COMPUTED_VALUE"""),58.0)</f>
        <v>58</v>
      </c>
      <c r="AG20">
        <f>IFERROR(__xludf.DUMMYFUNCTION("""COMPUTED_VALUE"""),2900.0)</f>
        <v>2900</v>
      </c>
      <c r="AH20" s="131">
        <f>IFERROR(__xludf.DUMMYFUNCTION("""COMPUTED_VALUE"""),54.91619047619048)</f>
        <v>54.91619048</v>
      </c>
      <c r="AI20" s="131">
        <f>IFERROR(__xludf.DUMMYFUNCTION("""COMPUTED_VALUE"""),19.0)</f>
        <v>19</v>
      </c>
      <c r="AJ20" s="131">
        <f>IFERROR(__xludf.DUMMYFUNCTION("""COMPUTED_VALUE"""),734.0)</f>
        <v>734</v>
      </c>
      <c r="AK20" s="136" t="str">
        <f>IFERROR(__xludf.DUMMYFUNCTION("""COMPUTED_VALUE"""),"Attended")</f>
        <v>Attended</v>
      </c>
      <c r="AL20" s="136">
        <f>IFERROR(__xludf.DUMMYFUNCTION("""COMPUTED_VALUE"""),734.0)</f>
        <v>734</v>
      </c>
      <c r="AM20" s="136">
        <f>IFERROR(__xludf.DUMMYFUNCTION("""COMPUTED_VALUE"""),556.0)</f>
        <v>556</v>
      </c>
      <c r="AN20" s="136">
        <f>IFERROR(__xludf.DUMMYFUNCTION("""COMPUTED_VALUE"""),556.0)</f>
        <v>556</v>
      </c>
      <c r="AO20" s="136">
        <f>IFERROR(__xludf.DUMMYFUNCTION("""COMPUTED_VALUE"""),23.0)</f>
        <v>23</v>
      </c>
      <c r="AP20" s="136">
        <f>IFERROR(__xludf.DUMMYFUNCTION("""COMPUTED_VALUE"""),0.0)</f>
        <v>0</v>
      </c>
      <c r="AQ20" s="136">
        <f>IFERROR(__xludf.DUMMYFUNCTION("""COMPUTED_VALUE"""),32.0)</f>
        <v>32</v>
      </c>
      <c r="AR20" s="136">
        <f>IFERROR(__xludf.DUMMYFUNCTION("""COMPUTED_VALUE"""),123.0)</f>
        <v>123</v>
      </c>
      <c r="AS20" s="136">
        <f>IFERROR(__xludf.DUMMYFUNCTION("""COMPUTED_VALUE"""),96.72364672364672)</f>
        <v>96.72364672</v>
      </c>
      <c r="AT20" s="131">
        <f>IFERROR(__xludf.DUMMYFUNCTION("""COMPUTED_VALUE"""),3.1335149863760217)</f>
        <v>3.133514986</v>
      </c>
      <c r="AU20" s="131">
        <f>IFERROR(__xludf.DUMMYFUNCTION("""COMPUTED_VALUE"""),0.0)</f>
        <v>0</v>
      </c>
      <c r="AV20" s="131">
        <f>IFERROR(__xludf.DUMMYFUNCTION("""COMPUTED_VALUE"""),4.35967302452316)</f>
        <v>4.359673025</v>
      </c>
      <c r="AW20" s="131">
        <f>IFERROR(__xludf.DUMMYFUNCTION("""COMPUTED_VALUE"""),16.7574931880109)</f>
        <v>16.75749319</v>
      </c>
      <c r="AX20" s="131">
        <f>IFERROR(__xludf.DUMMYFUNCTION("""COMPUTED_VALUE"""),92.50681198910081)</f>
        <v>92.50681199</v>
      </c>
      <c r="AY20" s="131">
        <f>IFERROR(__xludf.DUMMYFUNCTION("""COMPUTED_VALUE"""),25.0)</f>
        <v>25</v>
      </c>
      <c r="AZ20" s="131">
        <f>IFERROR(__xludf.DUMMYFUNCTION("""COMPUTED_VALUE"""),5.0)</f>
        <v>5</v>
      </c>
      <c r="BA20" s="131">
        <f>IFERROR(__xludf.DUMMYFUNCTION("""COMPUTED_VALUE"""),20.0)</f>
        <v>20</v>
      </c>
      <c r="BB20" s="131">
        <f>IFERROR(__xludf.DUMMYFUNCTION("""COMPUTED_VALUE"""),1.0)</f>
        <v>1</v>
      </c>
      <c r="BC20" s="131">
        <f>IFERROR(__xludf.DUMMYFUNCTION("""COMPUTED_VALUE"""),20.0)</f>
        <v>20</v>
      </c>
      <c r="BD20" s="131">
        <f>IFERROR(__xludf.DUMMYFUNCTION("""COMPUTED_VALUE"""),80.0)</f>
        <v>80</v>
      </c>
      <c r="BE20" s="131">
        <f>IFERROR(__xludf.DUMMYFUNCTION("""COMPUTED_VALUE"""),3.8461538461538463)</f>
        <v>3.846153846</v>
      </c>
    </row>
    <row r="21">
      <c r="A21" t="str">
        <f>IFERROR(__xludf.DUMMYFUNCTION("""COMPUTED_VALUE"""),"TEA113")</f>
        <v>TEA113</v>
      </c>
      <c r="B21" t="str">
        <f>IFERROR(__xludf.DUMMYFUNCTION("""COMPUTED_VALUE"""),"Ali Kassem")</f>
        <v>Ali Kassem</v>
      </c>
      <c r="C21" t="str">
        <f>IFERROR(__xludf.DUMMYFUNCTION("""COMPUTED_VALUE"""),"""1WvC1BNvGW17jxNrIrLT0XiP8o3KQSGdZPSinfimgGwI""")</f>
        <v>"1WvC1BNvGW17jxNrIrLT0XiP8o3KQSGdZPSinfimgGwI"</v>
      </c>
      <c r="D21" t="str">
        <f>IFERROR(__xludf.DUMMYFUNCTION("""COMPUTED_VALUE"""),"Active")</f>
        <v>Active</v>
      </c>
      <c r="E21" t="str">
        <f>IFERROR(__xludf.DUMMYFUNCTION("""COMPUTED_VALUE"""),"Male")</f>
        <v>Male</v>
      </c>
      <c r="F21" s="132">
        <f>IFERROR(__xludf.DUMMYFUNCTION("""COMPUTED_VALUE"""),43569.0)</f>
        <v>43569</v>
      </c>
      <c r="G21" s="133"/>
      <c r="H21" s="131">
        <f>IFERROR(__xludf.DUMMYFUNCTION("""COMPUTED_VALUE"""),22.43421052631579)</f>
        <v>22.43421053</v>
      </c>
      <c r="I21" t="str">
        <f>IFERROR(__xludf.DUMMYFUNCTION("""COMPUTED_VALUE"""),"Kassemali075@gmail.com")</f>
        <v>Kassemali075@gmail.com</v>
      </c>
      <c r="J21" s="134" t="str">
        <f>IFERROR(__xludf.DUMMYFUNCTION("""COMPUTED_VALUE"""),"01201920396//01205008723")</f>
        <v>01201920396//01205008723</v>
      </c>
      <c r="K21" t="str">
        <f>IFERROR(__xludf.DUMMYFUNCTION("""COMPUTED_VALUE"""),"nour.alikassem@gmail.com")</f>
        <v>nour.alikassem@gmail.com</v>
      </c>
      <c r="L21" t="str">
        <f>IFERROR(__xludf.DUMMYFUNCTION("""COMPUTED_VALUE"""),"Kassem83")</f>
        <v>Kassem83</v>
      </c>
      <c r="M21" s="135">
        <f>IFERROR(__xludf.DUMMYFUNCTION("""COMPUTED_VALUE"""),34182.0)</f>
        <v>34182</v>
      </c>
      <c r="N21">
        <f>IFERROR(__xludf.DUMMYFUNCTION("""COMPUTED_VALUE"""),27.0)</f>
        <v>27</v>
      </c>
      <c r="O21" t="str">
        <f>IFERROR(__xludf.DUMMYFUNCTION("""COMPUTED_VALUE"""),"Single")</f>
        <v>Single</v>
      </c>
      <c r="P21" t="str">
        <f>IFERROR(__xludf.DUMMYFUNCTION("""COMPUTED_VALUE"""),"Yes")</f>
        <v>Yes</v>
      </c>
      <c r="Q21" t="str">
        <f>IFERROR(__xludf.DUMMYFUNCTION("""COMPUTED_VALUE"""),"Yes")</f>
        <v>Yes</v>
      </c>
      <c r="S21" t="str">
        <f>IFERROR(__xludf.DUMMYFUNCTION("""COMPUTED_VALUE"""),"Egypt")</f>
        <v>Egypt</v>
      </c>
      <c r="T21" t="str">
        <f>IFERROR(__xludf.DUMMYFUNCTION("""COMPUTED_VALUE"""),"Damanhûr")</f>
        <v>Damanhûr</v>
      </c>
      <c r="U21" t="str">
        <f>IFERROR(__xludf.DUMMYFUNCTION("""COMPUTED_VALUE"""),"GMT +2")</f>
        <v>GMT +2</v>
      </c>
      <c r="V21" t="str">
        <f>IFERROR(__xludf.DUMMYFUNCTION("""COMPUTED_VALUE"""),"No")</f>
        <v>No</v>
      </c>
      <c r="W21" t="str">
        <f>IFERROR(__xludf.DUMMYFUNCTION("""COMPUTED_VALUE"""),"Egypt")</f>
        <v>Egypt</v>
      </c>
      <c r="X21" t="str">
        <f>IFERROR(__xludf.DUMMYFUNCTION("""COMPUTED_VALUE"""),"Paid")</f>
        <v>Paid</v>
      </c>
      <c r="Y21" t="str">
        <f>IFERROR(__xludf.DUMMYFUNCTION("""COMPUTED_VALUE"""),"Arabic")</f>
        <v>Arabic</v>
      </c>
      <c r="Z21" t="str">
        <f>IFERROR(__xludf.DUMMYFUNCTION("""COMPUTED_VALUE"""),"Cash")</f>
        <v>Cash</v>
      </c>
      <c r="AA21" s="134"/>
      <c r="AC21" s="136">
        <f>IFERROR(__xludf.DUMMYFUNCTION("""COMPUTED_VALUE"""),103.0)</f>
        <v>103</v>
      </c>
      <c r="AD21">
        <f>IFERROR(__xludf.DUMMYFUNCTION("""COMPUTED_VALUE"""),99.5)</f>
        <v>99.5</v>
      </c>
      <c r="AE21" s="136">
        <f>IFERROR(__xludf.DUMMYFUNCTION("""COMPUTED_VALUE"""),3.5)</f>
        <v>3.5</v>
      </c>
      <c r="AF21" s="136">
        <f>IFERROR(__xludf.DUMMYFUNCTION("""COMPUTED_VALUE"""),0.0)</f>
        <v>0</v>
      </c>
      <c r="AG21">
        <f>IFERROR(__xludf.DUMMYFUNCTION("""COMPUTED_VALUE"""),0.0)</f>
        <v>0</v>
      </c>
      <c r="AH21" s="131">
        <f>IFERROR(__xludf.DUMMYFUNCTION("""COMPUTED_VALUE"""),59.776119402985074)</f>
        <v>59.7761194</v>
      </c>
      <c r="AI21" s="131">
        <f>IFERROR(__xludf.DUMMYFUNCTION("""COMPUTED_VALUE"""),5.0)</f>
        <v>5</v>
      </c>
      <c r="AJ21" s="131">
        <f>IFERROR(__xludf.DUMMYFUNCTION("""COMPUTED_VALUE"""),106.0)</f>
        <v>106</v>
      </c>
      <c r="AK21" s="136" t="str">
        <f>IFERROR(__xludf.DUMMYFUNCTION("""COMPUTED_VALUE"""),"Attended")</f>
        <v>Attended</v>
      </c>
      <c r="AL21" s="136">
        <f>IFERROR(__xludf.DUMMYFUNCTION("""COMPUTED_VALUE"""),106.0)</f>
        <v>106</v>
      </c>
      <c r="AM21" s="136">
        <f>IFERROR(__xludf.DUMMYFUNCTION("""COMPUTED_VALUE"""),67.0)</f>
        <v>67</v>
      </c>
      <c r="AN21" s="136">
        <f>IFERROR(__xludf.DUMMYFUNCTION("""COMPUTED_VALUE"""),66.0)</f>
        <v>66</v>
      </c>
      <c r="AO21" s="136">
        <f>IFERROR(__xludf.DUMMYFUNCTION("""COMPUTED_VALUE"""),3.0)</f>
        <v>3</v>
      </c>
      <c r="AP21" s="136">
        <f>IFERROR(__xludf.DUMMYFUNCTION("""COMPUTED_VALUE"""),1.0)</f>
        <v>1</v>
      </c>
      <c r="AQ21" s="136">
        <f>IFERROR(__xludf.DUMMYFUNCTION("""COMPUTED_VALUE"""),0.0)</f>
        <v>0</v>
      </c>
      <c r="AR21" s="136">
        <f>IFERROR(__xludf.DUMMYFUNCTION("""COMPUTED_VALUE"""),36.0)</f>
        <v>36</v>
      </c>
      <c r="AS21" s="136">
        <f>IFERROR(__xludf.DUMMYFUNCTION("""COMPUTED_VALUE"""),96.22641509433963)</f>
        <v>96.22641509</v>
      </c>
      <c r="AT21" s="131">
        <f>IFERROR(__xludf.DUMMYFUNCTION("""COMPUTED_VALUE"""),2.8301886792452833)</f>
        <v>2.830188679</v>
      </c>
      <c r="AU21" s="131">
        <f>IFERROR(__xludf.DUMMYFUNCTION("""COMPUTED_VALUE"""),0.9433962264150944)</f>
        <v>0.9433962264</v>
      </c>
      <c r="AV21" s="131">
        <f>IFERROR(__xludf.DUMMYFUNCTION("""COMPUTED_VALUE"""),0.0)</f>
        <v>0</v>
      </c>
      <c r="AW21" s="131">
        <f>IFERROR(__xludf.DUMMYFUNCTION("""COMPUTED_VALUE"""),33.9622641509434)</f>
        <v>33.96226415</v>
      </c>
      <c r="AX21" s="131">
        <f>IFERROR(__xludf.DUMMYFUNCTION("""COMPUTED_VALUE"""),97.16981132075472)</f>
        <v>97.16981132</v>
      </c>
      <c r="AY21" s="131">
        <f>IFERROR(__xludf.DUMMYFUNCTION("""COMPUTED_VALUE"""),30.0)</f>
        <v>30</v>
      </c>
      <c r="AZ21" s="131">
        <f>IFERROR(__xludf.DUMMYFUNCTION("""COMPUTED_VALUE"""),15.0)</f>
        <v>15</v>
      </c>
      <c r="BA21" s="131">
        <f>IFERROR(__xludf.DUMMYFUNCTION("""COMPUTED_VALUE"""),15.0)</f>
        <v>15</v>
      </c>
      <c r="BB21" s="131">
        <f>IFERROR(__xludf.DUMMYFUNCTION("""COMPUTED_VALUE"""),2.0)</f>
        <v>2</v>
      </c>
      <c r="BC21" s="131">
        <f>IFERROR(__xludf.DUMMYFUNCTION("""COMPUTED_VALUE"""),50.0)</f>
        <v>50</v>
      </c>
      <c r="BD21" s="131">
        <f>IFERROR(__xludf.DUMMYFUNCTION("""COMPUTED_VALUE"""),50.0)</f>
        <v>50</v>
      </c>
      <c r="BE21" s="131">
        <f>IFERROR(__xludf.DUMMYFUNCTION("""COMPUTED_VALUE"""),6.25)</f>
        <v>6.25</v>
      </c>
    </row>
    <row r="22">
      <c r="A22" t="str">
        <f>IFERROR(__xludf.DUMMYFUNCTION("""COMPUTED_VALUE"""),"TEA114")</f>
        <v>TEA114</v>
      </c>
      <c r="B22" t="str">
        <f>IFERROR(__xludf.DUMMYFUNCTION("""COMPUTED_VALUE"""),"Sondos Hassan")</f>
        <v>Sondos Hassan</v>
      </c>
      <c r="C22" t="str">
        <f>IFERROR(__xludf.DUMMYFUNCTION("""COMPUTED_VALUE"""),"""1Z9v_L3t5-LBZepOBbriPuRkzDMxy3qaXb_4OMsaX2ZQ""")</f>
        <v>"1Z9v_L3t5-LBZepOBbriPuRkzDMxy3qaXb_4OMsaX2ZQ"</v>
      </c>
      <c r="D22" t="str">
        <f>IFERROR(__xludf.DUMMYFUNCTION("""COMPUTED_VALUE"""),"Active")</f>
        <v>Active</v>
      </c>
      <c r="E22" t="str">
        <f>IFERROR(__xludf.DUMMYFUNCTION("""COMPUTED_VALUE"""),"Female")</f>
        <v>Female</v>
      </c>
      <c r="F22" s="132">
        <f>IFERROR(__xludf.DUMMYFUNCTION("""COMPUTED_VALUE"""),43732.0)</f>
        <v>43732</v>
      </c>
      <c r="G22" s="133"/>
      <c r="H22" s="131">
        <f>IFERROR(__xludf.DUMMYFUNCTION("""COMPUTED_VALUE"""),17.072368421052634)</f>
        <v>17.07236842</v>
      </c>
      <c r="I22" t="str">
        <f>IFERROR(__xludf.DUMMYFUNCTION("""COMPUTED_VALUE"""),"sondos.hassan198@gmail.com")</f>
        <v>sondos.hassan198@gmail.com</v>
      </c>
      <c r="J22" s="134" t="str">
        <f>IFERROR(__xludf.DUMMYFUNCTION("""COMPUTED_VALUE"""),"01032029988/01275626340")</f>
        <v>01032029988/01275626340</v>
      </c>
      <c r="K22" t="str">
        <f>IFERROR(__xludf.DUMMYFUNCTION("""COMPUTED_VALUE"""),"nour.sondoshassan@gmail.com")</f>
        <v>nour.sondoshassan@gmail.com</v>
      </c>
      <c r="L22" t="str">
        <f>IFERROR(__xludf.DUMMYFUNCTION("""COMPUTED_VALUE"""),"Hassan86")</f>
        <v>Hassan86</v>
      </c>
      <c r="M22" s="135">
        <f>IFERROR(__xludf.DUMMYFUNCTION("""COMPUTED_VALUE"""),31643.0)</f>
        <v>31643</v>
      </c>
      <c r="N22">
        <f>IFERROR(__xludf.DUMMYFUNCTION("""COMPUTED_VALUE"""),34.0)</f>
        <v>34</v>
      </c>
      <c r="O22" t="str">
        <f>IFERROR(__xludf.DUMMYFUNCTION("""COMPUTED_VALUE"""),"Married")</f>
        <v>Married</v>
      </c>
      <c r="P22" t="str">
        <f>IFERROR(__xludf.DUMMYFUNCTION("""COMPUTED_VALUE"""),"Yes")</f>
        <v>Yes</v>
      </c>
      <c r="Q22" t="str">
        <f>IFERROR(__xludf.DUMMYFUNCTION("""COMPUTED_VALUE"""),"No")</f>
        <v>No</v>
      </c>
      <c r="S22" t="str">
        <f>IFERROR(__xludf.DUMMYFUNCTION("""COMPUTED_VALUE"""),"Egypt")</f>
        <v>Egypt</v>
      </c>
      <c r="T22" t="str">
        <f>IFERROR(__xludf.DUMMYFUNCTION("""COMPUTED_VALUE"""),"Alexandria")</f>
        <v>Alexandria</v>
      </c>
      <c r="U22" t="str">
        <f>IFERROR(__xludf.DUMMYFUNCTION("""COMPUTED_VALUE"""),"GMT +2")</f>
        <v>GMT +2</v>
      </c>
      <c r="V22" t="str">
        <f>IFERROR(__xludf.DUMMYFUNCTION("""COMPUTED_VALUE"""),"Yes")</f>
        <v>Yes</v>
      </c>
      <c r="W22" t="str">
        <f>IFERROR(__xludf.DUMMYFUNCTION("""COMPUTED_VALUE"""),"Egypt")</f>
        <v>Egypt</v>
      </c>
      <c r="X22" t="str">
        <f>IFERROR(__xludf.DUMMYFUNCTION("""COMPUTED_VALUE"""),"Paid")</f>
        <v>Paid</v>
      </c>
      <c r="Y22" t="str">
        <f>IFERROR(__xludf.DUMMYFUNCTION("""COMPUTED_VALUE"""),"Arabic")</f>
        <v>Arabic</v>
      </c>
      <c r="Z22" t="str">
        <f>IFERROR(__xludf.DUMMYFUNCTION("""COMPUTED_VALUE"""),"Cash")</f>
        <v>Cash</v>
      </c>
      <c r="AA22" s="134" t="str">
        <f>IFERROR(__xludf.DUMMYFUNCTION("""COMPUTED_VALUE"""),"010-3202-9988")</f>
        <v>010-3202-9988</v>
      </c>
      <c r="AC22" s="136">
        <f>IFERROR(__xludf.DUMMYFUNCTION("""COMPUTED_VALUE"""),188.0)</f>
        <v>188</v>
      </c>
      <c r="AD22">
        <f>IFERROR(__xludf.DUMMYFUNCTION("""COMPUTED_VALUE"""),162.0)</f>
        <v>162</v>
      </c>
      <c r="AE22" s="136">
        <f>IFERROR(__xludf.DUMMYFUNCTION("""COMPUTED_VALUE"""),7.0)</f>
        <v>7</v>
      </c>
      <c r="AF22" s="136">
        <f>IFERROR(__xludf.DUMMYFUNCTION("""COMPUTED_VALUE"""),19.0)</f>
        <v>19</v>
      </c>
      <c r="AG22">
        <f>IFERROR(__xludf.DUMMYFUNCTION("""COMPUTED_VALUE"""),950.0)</f>
        <v>950</v>
      </c>
      <c r="AH22" s="131">
        <f>IFERROR(__xludf.DUMMYFUNCTION("""COMPUTED_VALUE"""),51.107594936708864)</f>
        <v>51.10759494</v>
      </c>
      <c r="AI22" s="131">
        <f>IFERROR(__xludf.DUMMYFUNCTION("""COMPUTED_VALUE"""),4.0)</f>
        <v>4</v>
      </c>
      <c r="AJ22" s="131">
        <f>IFERROR(__xludf.DUMMYFUNCTION("""COMPUTED_VALUE"""),205.0)</f>
        <v>205</v>
      </c>
      <c r="AK22" s="136" t="str">
        <f>IFERROR(__xludf.DUMMYFUNCTION("""COMPUTED_VALUE"""),"Attended")</f>
        <v>Attended</v>
      </c>
      <c r="AL22" s="136">
        <f>IFERROR(__xludf.DUMMYFUNCTION("""COMPUTED_VALUE"""),205.0)</f>
        <v>205</v>
      </c>
      <c r="AM22" s="136">
        <f>IFERROR(__xludf.DUMMYFUNCTION("""COMPUTED_VALUE"""),160.0)</f>
        <v>160</v>
      </c>
      <c r="AN22" s="136">
        <f>IFERROR(__xludf.DUMMYFUNCTION("""COMPUTED_VALUE"""),158.0)</f>
        <v>158</v>
      </c>
      <c r="AO22" s="136">
        <f>IFERROR(__xludf.DUMMYFUNCTION("""COMPUTED_VALUE"""),6.0)</f>
        <v>6</v>
      </c>
      <c r="AP22" s="136">
        <f>IFERROR(__xludf.DUMMYFUNCTION("""COMPUTED_VALUE"""),2.0)</f>
        <v>2</v>
      </c>
      <c r="AQ22" s="136">
        <f>IFERROR(__xludf.DUMMYFUNCTION("""COMPUTED_VALUE"""),11.0)</f>
        <v>11</v>
      </c>
      <c r="AR22" s="136">
        <f>IFERROR(__xludf.DUMMYFUNCTION("""COMPUTED_VALUE"""),28.0)</f>
        <v>28</v>
      </c>
      <c r="AS22" s="136">
        <f>IFERROR(__xludf.DUMMYFUNCTION("""COMPUTED_VALUE"""),95.87628865979381)</f>
        <v>95.87628866</v>
      </c>
      <c r="AT22" s="131">
        <f>IFERROR(__xludf.DUMMYFUNCTION("""COMPUTED_VALUE"""),2.9268292682926833)</f>
        <v>2.926829268</v>
      </c>
      <c r="AU22" s="131">
        <f>IFERROR(__xludf.DUMMYFUNCTION("""COMPUTED_VALUE"""),0.975609756097561)</f>
        <v>0.9756097561</v>
      </c>
      <c r="AV22" s="131">
        <f>IFERROR(__xludf.DUMMYFUNCTION("""COMPUTED_VALUE"""),5.365853658536586)</f>
        <v>5.365853659</v>
      </c>
      <c r="AW22" s="131">
        <f>IFERROR(__xludf.DUMMYFUNCTION("""COMPUTED_VALUE"""),13.658536585365855)</f>
        <v>13.65853659</v>
      </c>
      <c r="AX22" s="131">
        <f>IFERROR(__xludf.DUMMYFUNCTION("""COMPUTED_VALUE"""),91.70731707317074)</f>
        <v>91.70731707</v>
      </c>
      <c r="AY22" s="131">
        <f>IFERROR(__xludf.DUMMYFUNCTION("""COMPUTED_VALUE"""),66.0)</f>
        <v>66</v>
      </c>
      <c r="AZ22" s="131">
        <f>IFERROR(__xludf.DUMMYFUNCTION("""COMPUTED_VALUE"""),58.0)</f>
        <v>58</v>
      </c>
      <c r="BA22" s="131">
        <f>IFERROR(__xludf.DUMMYFUNCTION("""COMPUTED_VALUE"""),8.0)</f>
        <v>8</v>
      </c>
      <c r="BB22" s="131">
        <f>IFERROR(__xludf.DUMMYFUNCTION("""COMPUTED_VALUE"""),3.0)</f>
        <v>3</v>
      </c>
      <c r="BC22" s="131">
        <f>IFERROR(__xludf.DUMMYFUNCTION("""COMPUTED_VALUE"""),87.87878787878788)</f>
        <v>87.87878788</v>
      </c>
      <c r="BD22" s="131">
        <f>IFERROR(__xludf.DUMMYFUNCTION("""COMPUTED_VALUE"""),12.121212121212121)</f>
        <v>12.12121212</v>
      </c>
      <c r="BE22" s="131">
        <f>IFERROR(__xludf.DUMMYFUNCTION("""COMPUTED_VALUE"""),4.3478260869565215)</f>
        <v>4.347826087</v>
      </c>
    </row>
    <row r="23">
      <c r="A23" t="str">
        <f>IFERROR(__xludf.DUMMYFUNCTION("""COMPUTED_VALUE"""),"TEA115")</f>
        <v>TEA115</v>
      </c>
      <c r="B23" t="str">
        <f>IFERROR(__xludf.DUMMYFUNCTION("""COMPUTED_VALUE"""),"Manal Saad El Deen")</f>
        <v>Manal Saad El Deen</v>
      </c>
      <c r="C23" t="str">
        <f>IFERROR(__xludf.DUMMYFUNCTION("""COMPUTED_VALUE"""),"""1XhOt0Z_Z_uHzYZSk2f8ASZ1nIfuhELKxdXAgDfLyszA""")</f>
        <v>"1XhOt0Z_Z_uHzYZSk2f8ASZ1nIfuhELKxdXAgDfLyszA"</v>
      </c>
      <c r="D23" t="str">
        <f>IFERROR(__xludf.DUMMYFUNCTION("""COMPUTED_VALUE"""),"Active")</f>
        <v>Active</v>
      </c>
      <c r="E23" t="str">
        <f>IFERROR(__xludf.DUMMYFUNCTION("""COMPUTED_VALUE"""),"Female")</f>
        <v>Female</v>
      </c>
      <c r="F23" s="132">
        <f>IFERROR(__xludf.DUMMYFUNCTION("""COMPUTED_VALUE"""),43927.0)</f>
        <v>43927</v>
      </c>
      <c r="G23" s="133"/>
      <c r="H23" s="131">
        <f>IFERROR(__xludf.DUMMYFUNCTION("""COMPUTED_VALUE"""),10.657894736842106)</f>
        <v>10.65789474</v>
      </c>
      <c r="I23" t="str">
        <f>IFERROR(__xludf.DUMMYFUNCTION("""COMPUTED_VALUE"""),"bwaroo617@gmail.com")</f>
        <v>bwaroo617@gmail.com</v>
      </c>
      <c r="J23" s="134" t="str">
        <f>IFERROR(__xludf.DUMMYFUNCTION("""COMPUTED_VALUE"""),"01064466487")</f>
        <v>01064466487</v>
      </c>
      <c r="K23" t="str">
        <f>IFERROR(__xludf.DUMMYFUNCTION("""COMPUTED_VALUE"""),"nour.manalsaadeldeen@gmail.com")</f>
        <v>nour.manalsaadeldeen@gmail.com</v>
      </c>
      <c r="L23" t="str">
        <f>IFERROR(__xludf.DUMMYFUNCTION("""COMPUTED_VALUE"""),"Saadeldeen86")</f>
        <v>Saadeldeen86</v>
      </c>
      <c r="M23" s="135">
        <f>IFERROR(__xludf.DUMMYFUNCTION("""COMPUTED_VALUE"""),31644.0)</f>
        <v>31644</v>
      </c>
      <c r="N23">
        <f>IFERROR(__xludf.DUMMYFUNCTION("""COMPUTED_VALUE"""),34.0)</f>
        <v>34</v>
      </c>
      <c r="O23" t="str">
        <f>IFERROR(__xludf.DUMMYFUNCTION("""COMPUTED_VALUE"""),"Married")</f>
        <v>Married</v>
      </c>
      <c r="P23" t="str">
        <f>IFERROR(__xludf.DUMMYFUNCTION("""COMPUTED_VALUE"""),"Yes")</f>
        <v>Yes</v>
      </c>
      <c r="Q23" t="str">
        <f>IFERROR(__xludf.DUMMYFUNCTION("""COMPUTED_VALUE"""),"No")</f>
        <v>No</v>
      </c>
      <c r="S23" t="str">
        <f>IFERROR(__xludf.DUMMYFUNCTION("""COMPUTED_VALUE"""),"Egypt")</f>
        <v>Egypt</v>
      </c>
      <c r="T23" t="str">
        <f>IFERROR(__xludf.DUMMYFUNCTION("""COMPUTED_VALUE"""),"Alexandria")</f>
        <v>Alexandria</v>
      </c>
      <c r="U23" t="str">
        <f>IFERROR(__xludf.DUMMYFUNCTION("""COMPUTED_VALUE"""),"GMT +2")</f>
        <v>GMT +2</v>
      </c>
      <c r="V23" t="str">
        <f>IFERROR(__xludf.DUMMYFUNCTION("""COMPUTED_VALUE"""),"Yes")</f>
        <v>Yes</v>
      </c>
      <c r="W23" t="str">
        <f>IFERROR(__xludf.DUMMYFUNCTION("""COMPUTED_VALUE"""),"Egypt")</f>
        <v>Egypt</v>
      </c>
      <c r="X23" t="str">
        <f>IFERROR(__xludf.DUMMYFUNCTION("""COMPUTED_VALUE"""),"Paid")</f>
        <v>Paid</v>
      </c>
      <c r="Y23" t="str">
        <f>IFERROR(__xludf.DUMMYFUNCTION("""COMPUTED_VALUE"""),"Arabic")</f>
        <v>Arabic</v>
      </c>
      <c r="Z23" t="str">
        <f>IFERROR(__xludf.DUMMYFUNCTION("""COMPUTED_VALUE"""),"Cash")</f>
        <v>Cash</v>
      </c>
      <c r="AA23" s="134"/>
      <c r="AC23" s="136">
        <f>IFERROR(__xludf.DUMMYFUNCTION("""COMPUTED_VALUE"""),283.0)</f>
        <v>283</v>
      </c>
      <c r="AD23">
        <f>IFERROR(__xludf.DUMMYFUNCTION("""COMPUTED_VALUE"""),231.0)</f>
        <v>231</v>
      </c>
      <c r="AE23" s="136">
        <f>IFERROR(__xludf.DUMMYFUNCTION("""COMPUTED_VALUE"""),4.0)</f>
        <v>4</v>
      </c>
      <c r="AF23" s="136">
        <f>IFERROR(__xludf.DUMMYFUNCTION("""COMPUTED_VALUE"""),48.0)</f>
        <v>48</v>
      </c>
      <c r="AG23">
        <f>IFERROR(__xludf.DUMMYFUNCTION("""COMPUTED_VALUE"""),2400.0)</f>
        <v>2400</v>
      </c>
      <c r="AH23" s="131">
        <f>IFERROR(__xludf.DUMMYFUNCTION("""COMPUTED_VALUE"""),49.6173285198556)</f>
        <v>49.61732852</v>
      </c>
      <c r="AI23" s="131">
        <f>IFERROR(__xludf.DUMMYFUNCTION("""COMPUTED_VALUE"""),9.0)</f>
        <v>9</v>
      </c>
      <c r="AJ23" s="131">
        <f>IFERROR(__xludf.DUMMYFUNCTION("""COMPUTED_VALUE"""),292.0)</f>
        <v>292</v>
      </c>
      <c r="AK23" s="136" t="str">
        <f>IFERROR(__xludf.DUMMYFUNCTION("""COMPUTED_VALUE"""),"Attended")</f>
        <v>Attended</v>
      </c>
      <c r="AL23" s="136">
        <f>IFERROR(__xludf.DUMMYFUNCTION("""COMPUTED_VALUE"""),292.0)</f>
        <v>292</v>
      </c>
      <c r="AM23" s="136">
        <f>IFERROR(__xludf.DUMMYFUNCTION("""COMPUTED_VALUE"""),278.0)</f>
        <v>278</v>
      </c>
      <c r="AN23" s="136">
        <f>IFERROR(__xludf.DUMMYFUNCTION("""COMPUTED_VALUE"""),278.0)</f>
        <v>278</v>
      </c>
      <c r="AO23" s="136">
        <f>IFERROR(__xludf.DUMMYFUNCTION("""COMPUTED_VALUE"""),4.0)</f>
        <v>4</v>
      </c>
      <c r="AP23" s="136">
        <f>IFERROR(__xludf.DUMMYFUNCTION("""COMPUTED_VALUE"""),0.0)</f>
        <v>0</v>
      </c>
      <c r="AQ23" s="136">
        <f>IFERROR(__xludf.DUMMYFUNCTION("""COMPUTED_VALUE"""),5.0)</f>
        <v>5</v>
      </c>
      <c r="AR23" s="136">
        <f>IFERROR(__xludf.DUMMYFUNCTION("""COMPUTED_VALUE"""),5.0)</f>
        <v>5</v>
      </c>
      <c r="AS23" s="136">
        <f>IFERROR(__xludf.DUMMYFUNCTION("""COMPUTED_VALUE"""),98.60627177700349)</f>
        <v>98.60627178</v>
      </c>
      <c r="AT23" s="131">
        <f>IFERROR(__xludf.DUMMYFUNCTION("""COMPUTED_VALUE"""),1.36986301369863)</f>
        <v>1.369863014</v>
      </c>
      <c r="AU23" s="131">
        <f>IFERROR(__xludf.DUMMYFUNCTION("""COMPUTED_VALUE"""),0.0)</f>
        <v>0</v>
      </c>
      <c r="AV23" s="131">
        <f>IFERROR(__xludf.DUMMYFUNCTION("""COMPUTED_VALUE"""),1.7123287671232876)</f>
        <v>1.712328767</v>
      </c>
      <c r="AW23" s="131">
        <f>IFERROR(__xludf.DUMMYFUNCTION("""COMPUTED_VALUE"""),1.7123287671232876)</f>
        <v>1.712328767</v>
      </c>
      <c r="AX23" s="131">
        <f>IFERROR(__xludf.DUMMYFUNCTION("""COMPUTED_VALUE"""),96.91780821917808)</f>
        <v>96.91780822</v>
      </c>
      <c r="AY23" s="131">
        <f>IFERROR(__xludf.DUMMYFUNCTION("""COMPUTED_VALUE"""),5.0)</f>
        <v>5</v>
      </c>
      <c r="AZ23" s="131">
        <f>IFERROR(__xludf.DUMMYFUNCTION("""COMPUTED_VALUE"""),0.0)</f>
        <v>0</v>
      </c>
      <c r="BA23" s="131">
        <f>IFERROR(__xludf.DUMMYFUNCTION("""COMPUTED_VALUE"""),5.0)</f>
        <v>5</v>
      </c>
      <c r="BB23" s="131">
        <f>IFERROR(__xludf.DUMMYFUNCTION("""COMPUTED_VALUE"""),0.0)</f>
        <v>0</v>
      </c>
      <c r="BC23" s="131">
        <f>IFERROR(__xludf.DUMMYFUNCTION("""COMPUTED_VALUE"""),0.0)</f>
        <v>0</v>
      </c>
      <c r="BD23" s="131">
        <f>IFERROR(__xludf.DUMMYFUNCTION("""COMPUTED_VALUE"""),100.0)</f>
        <v>100</v>
      </c>
      <c r="BE23" s="131">
        <f>IFERROR(__xludf.DUMMYFUNCTION("""COMPUTED_VALUE"""),0.0)</f>
        <v>0</v>
      </c>
    </row>
    <row r="24">
      <c r="A24" t="str">
        <f>IFERROR(__xludf.DUMMYFUNCTION("""COMPUTED_VALUE"""),"TEA116")</f>
        <v>TEA116</v>
      </c>
      <c r="B24" t="str">
        <f>IFERROR(__xludf.DUMMYFUNCTION("""COMPUTED_VALUE"""),"Samar Ali")</f>
        <v>Samar Ali</v>
      </c>
      <c r="C24" t="str">
        <f>IFERROR(__xludf.DUMMYFUNCTION("""COMPUTED_VALUE"""),"""1rw-tLCeTQ48Z1SgxS0TDW7lpYU-CAaNIQ6myJWaXEYc""")</f>
        <v>"1rw-tLCeTQ48Z1SgxS0TDW7lpYU-CAaNIQ6myJWaXEYc"</v>
      </c>
      <c r="D24" t="str">
        <f>IFERROR(__xludf.DUMMYFUNCTION("""COMPUTED_VALUE"""),"Active")</f>
        <v>Active</v>
      </c>
      <c r="E24" t="str">
        <f>IFERROR(__xludf.DUMMYFUNCTION("""COMPUTED_VALUE"""),"Female")</f>
        <v>Female</v>
      </c>
      <c r="F24" s="132">
        <f>IFERROR(__xludf.DUMMYFUNCTION("""COMPUTED_VALUE"""),43928.0)</f>
        <v>43928</v>
      </c>
      <c r="G24" s="133"/>
      <c r="H24" s="131">
        <f>IFERROR(__xludf.DUMMYFUNCTION("""COMPUTED_VALUE"""),10.625)</f>
        <v>10.625</v>
      </c>
      <c r="I24" t="str">
        <f>IFERROR(__xludf.DUMMYFUNCTION("""COMPUTED_VALUE"""),"sahmed_zohdy@yahoo.com")</f>
        <v>sahmed_zohdy@yahoo.com</v>
      </c>
      <c r="J24" s="134" t="str">
        <f>IFERROR(__xludf.DUMMYFUNCTION("""COMPUTED_VALUE""")," 01212782887")</f>
        <v> 01212782887</v>
      </c>
      <c r="K24" t="str">
        <f>IFERROR(__xludf.DUMMYFUNCTION("""COMPUTED_VALUE"""),"nour.samarzohdy@gmail.com")</f>
        <v>nour.samarzohdy@gmail.com</v>
      </c>
      <c r="L24" t="str">
        <f>IFERROR(__xludf.DUMMYFUNCTION("""COMPUTED_VALUE"""),"Samar2000")</f>
        <v>Samar2000</v>
      </c>
      <c r="M24" s="135">
        <f>IFERROR(__xludf.DUMMYFUNCTION("""COMPUTED_VALUE"""),31645.0)</f>
        <v>31645</v>
      </c>
      <c r="N24">
        <f>IFERROR(__xludf.DUMMYFUNCTION("""COMPUTED_VALUE"""),34.0)</f>
        <v>34</v>
      </c>
      <c r="P24" t="str">
        <f>IFERROR(__xludf.DUMMYFUNCTION("""COMPUTED_VALUE"""),"Yes")</f>
        <v>Yes</v>
      </c>
      <c r="Q24" t="str">
        <f>IFERROR(__xludf.DUMMYFUNCTION("""COMPUTED_VALUE"""),"Yes")</f>
        <v>Yes</v>
      </c>
      <c r="S24" t="str">
        <f>IFERROR(__xludf.DUMMYFUNCTION("""COMPUTED_VALUE"""),"Egypt")</f>
        <v>Egypt</v>
      </c>
      <c r="T24" t="str">
        <f>IFERROR(__xludf.DUMMYFUNCTION("""COMPUTED_VALUE"""),"Alexandria")</f>
        <v>Alexandria</v>
      </c>
      <c r="U24" t="str">
        <f>IFERROR(__xludf.DUMMYFUNCTION("""COMPUTED_VALUE"""),"GMT +2")</f>
        <v>GMT +2</v>
      </c>
      <c r="V24" t="str">
        <f>IFERROR(__xludf.DUMMYFUNCTION("""COMPUTED_VALUE"""),"Yes")</f>
        <v>Yes</v>
      </c>
      <c r="W24" t="str">
        <f>IFERROR(__xludf.DUMMYFUNCTION("""COMPUTED_VALUE"""),"Egypt")</f>
        <v>Egypt</v>
      </c>
      <c r="X24" t="str">
        <f>IFERROR(__xludf.DUMMYFUNCTION("""COMPUTED_VALUE"""),"Paid")</f>
        <v>Paid</v>
      </c>
      <c r="Y24" t="str">
        <f>IFERROR(__xludf.DUMMYFUNCTION("""COMPUTED_VALUE"""),"Arabic")</f>
        <v>Arabic</v>
      </c>
      <c r="Z24" t="str">
        <f>IFERROR(__xludf.DUMMYFUNCTION("""COMPUTED_VALUE"""),"Cash")</f>
        <v>Cash</v>
      </c>
      <c r="AA24" s="134"/>
      <c r="AC24" s="136">
        <f>IFERROR(__xludf.DUMMYFUNCTION("""COMPUTED_VALUE"""),55.0)</f>
        <v>55</v>
      </c>
      <c r="AD24">
        <f>IFERROR(__xludf.DUMMYFUNCTION("""COMPUTED_VALUE"""),13.0)</f>
        <v>13</v>
      </c>
      <c r="AE24" s="136">
        <f>IFERROR(__xludf.DUMMYFUNCTION("""COMPUTED_VALUE"""),2.0)</f>
        <v>2</v>
      </c>
      <c r="AF24" s="136">
        <f>IFERROR(__xludf.DUMMYFUNCTION("""COMPUTED_VALUE"""),40.0)</f>
        <v>40</v>
      </c>
      <c r="AG24">
        <f>IFERROR(__xludf.DUMMYFUNCTION("""COMPUTED_VALUE"""),2000.0)</f>
        <v>2000</v>
      </c>
      <c r="AH24" s="131">
        <f>IFERROR(__xludf.DUMMYFUNCTION("""COMPUTED_VALUE"""),38.86666666666667)</f>
        <v>38.86666667</v>
      </c>
      <c r="AI24" s="131">
        <f>IFERROR(__xludf.DUMMYFUNCTION("""COMPUTED_VALUE"""),6.0)</f>
        <v>6</v>
      </c>
      <c r="AJ24" s="131">
        <f>IFERROR(__xludf.DUMMYFUNCTION("""COMPUTED_VALUE"""),59.0)</f>
        <v>59</v>
      </c>
      <c r="AK24" s="136" t="str">
        <f>IFERROR(__xludf.DUMMYFUNCTION("""COMPUTED_VALUE"""),"Attended")</f>
        <v>Attended</v>
      </c>
      <c r="AL24" s="136">
        <f>IFERROR(__xludf.DUMMYFUNCTION("""COMPUTED_VALUE"""),59.0)</f>
        <v>59</v>
      </c>
      <c r="AM24" s="136">
        <f>IFERROR(__xludf.DUMMYFUNCTION("""COMPUTED_VALUE"""),44.0)</f>
        <v>44</v>
      </c>
      <c r="AN24" s="136">
        <f>IFERROR(__xludf.DUMMYFUNCTION("""COMPUTED_VALUE"""),44.0)</f>
        <v>44</v>
      </c>
      <c r="AO24" s="136">
        <f>IFERROR(__xludf.DUMMYFUNCTION("""COMPUTED_VALUE"""),2.0)</f>
        <v>2</v>
      </c>
      <c r="AP24" s="136">
        <f>IFERROR(__xludf.DUMMYFUNCTION("""COMPUTED_VALUE"""),0.0)</f>
        <v>0</v>
      </c>
      <c r="AQ24" s="136">
        <f>IFERROR(__xludf.DUMMYFUNCTION("""COMPUTED_VALUE"""),2.0)</f>
        <v>2</v>
      </c>
      <c r="AR24" s="136">
        <f>IFERROR(__xludf.DUMMYFUNCTION("""COMPUTED_VALUE"""),11.0)</f>
        <v>11</v>
      </c>
      <c r="AS24" s="136">
        <f>IFERROR(__xludf.DUMMYFUNCTION("""COMPUTED_VALUE"""),96.49122807017544)</f>
        <v>96.49122807</v>
      </c>
      <c r="AT24" s="131">
        <f>IFERROR(__xludf.DUMMYFUNCTION("""COMPUTED_VALUE"""),3.389830508474576)</f>
        <v>3.389830508</v>
      </c>
      <c r="AU24" s="131">
        <f>IFERROR(__xludf.DUMMYFUNCTION("""COMPUTED_VALUE"""),0.0)</f>
        <v>0</v>
      </c>
      <c r="AV24" s="131">
        <f>IFERROR(__xludf.DUMMYFUNCTION("""COMPUTED_VALUE"""),3.389830508474576)</f>
        <v>3.389830508</v>
      </c>
      <c r="AW24" s="131">
        <f>IFERROR(__xludf.DUMMYFUNCTION("""COMPUTED_VALUE"""),18.64406779661017)</f>
        <v>18.6440678</v>
      </c>
      <c r="AX24" s="131">
        <f>IFERROR(__xludf.DUMMYFUNCTION("""COMPUTED_VALUE"""),93.22033898305084)</f>
        <v>93.22033898</v>
      </c>
      <c r="AY24" s="131">
        <f>IFERROR(__xludf.DUMMYFUNCTION("""COMPUTED_VALUE"""),3.0)</f>
        <v>3</v>
      </c>
      <c r="AZ24" s="131">
        <f>IFERROR(__xludf.DUMMYFUNCTION("""COMPUTED_VALUE"""),1.0)</f>
        <v>1</v>
      </c>
      <c r="BA24" s="131">
        <f>IFERROR(__xludf.DUMMYFUNCTION("""COMPUTED_VALUE"""),2.0)</f>
        <v>2</v>
      </c>
      <c r="BB24" s="131">
        <f>IFERROR(__xludf.DUMMYFUNCTION("""COMPUTED_VALUE"""),0.0)</f>
        <v>0</v>
      </c>
      <c r="BC24" s="131">
        <f>IFERROR(__xludf.DUMMYFUNCTION("""COMPUTED_VALUE"""),33.33333333333333)</f>
        <v>33.33333333</v>
      </c>
      <c r="BD24" s="131">
        <f>IFERROR(__xludf.DUMMYFUNCTION("""COMPUTED_VALUE"""),66.66666666666666)</f>
        <v>66.66666667</v>
      </c>
      <c r="BE24" s="131">
        <f>IFERROR(__xludf.DUMMYFUNCTION("""COMPUTED_VALUE"""),0.0)</f>
        <v>0</v>
      </c>
    </row>
    <row r="25">
      <c r="A25" t="str">
        <f>IFERROR(__xludf.DUMMYFUNCTION("""COMPUTED_VALUE"""),"TEA117")</f>
        <v>TEA117</v>
      </c>
      <c r="B25" t="str">
        <f>IFERROR(__xludf.DUMMYFUNCTION("""COMPUTED_VALUE"""),"Belal Desouky")</f>
        <v>Belal Desouky</v>
      </c>
      <c r="C25" t="str">
        <f>IFERROR(__xludf.DUMMYFUNCTION("""COMPUTED_VALUE"""),"""1UM-DfE_bU3DJKWw4dH6kxwOScrLQf8EGPCJ5DdjbmJY""")</f>
        <v>"1UM-DfE_bU3DJKWw4dH6kxwOScrLQf8EGPCJ5DdjbmJY"</v>
      </c>
      <c r="D25" t="str">
        <f>IFERROR(__xludf.DUMMYFUNCTION("""COMPUTED_VALUE"""),"Active")</f>
        <v>Active</v>
      </c>
      <c r="E25" t="str">
        <f>IFERROR(__xludf.DUMMYFUNCTION("""COMPUTED_VALUE"""),"Male")</f>
        <v>Male</v>
      </c>
      <c r="F25" s="132">
        <f>IFERROR(__xludf.DUMMYFUNCTION("""COMPUTED_VALUE"""),43967.0)</f>
        <v>43967</v>
      </c>
      <c r="G25" s="133"/>
      <c r="H25" s="131">
        <f>IFERROR(__xludf.DUMMYFUNCTION("""COMPUTED_VALUE"""),9.342105263157896)</f>
        <v>9.342105263</v>
      </c>
      <c r="I25" t="str">
        <f>IFERROR(__xludf.DUMMYFUNCTION("""COMPUTED_VALUE"""),"bali53564@gmail.com")</f>
        <v>bali53564@gmail.com</v>
      </c>
      <c r="J25" s="134" t="str">
        <f>IFERROR(__xludf.DUMMYFUNCTION("""COMPUTED_VALUE"""),"01116784533 _ 01271213907 _ 035180750 ")</f>
        <v>01116784533 _ 01271213907 _ 035180750 </v>
      </c>
      <c r="K25" t="str">
        <f>IFERROR(__xludf.DUMMYFUNCTION("""COMPUTED_VALUE"""),"nour.belaldesouky@gmail.com")</f>
        <v>nour.belaldesouky@gmail.com</v>
      </c>
      <c r="L25" t="str">
        <f>IFERROR(__xludf.DUMMYFUNCTION("""COMPUTED_VALUE"""),"Desouky95")</f>
        <v>Desouky95</v>
      </c>
      <c r="M25" s="135">
        <f>IFERROR(__xludf.DUMMYFUNCTION("""COMPUTED_VALUE"""),34736.0)</f>
        <v>34736</v>
      </c>
      <c r="N25">
        <f>IFERROR(__xludf.DUMMYFUNCTION("""COMPUTED_VALUE"""),26.0)</f>
        <v>26</v>
      </c>
      <c r="S25" t="str">
        <f>IFERROR(__xludf.DUMMYFUNCTION("""COMPUTED_VALUE"""),"Egypt")</f>
        <v>Egypt</v>
      </c>
      <c r="T25" t="str">
        <f>IFERROR(__xludf.DUMMYFUNCTION("""COMPUTED_VALUE"""),"Alexandria")</f>
        <v>Alexandria</v>
      </c>
      <c r="U25" t="str">
        <f>IFERROR(__xludf.DUMMYFUNCTION("""COMPUTED_VALUE"""),"GMT +2")</f>
        <v>GMT +2</v>
      </c>
      <c r="V25" t="str">
        <f>IFERROR(__xludf.DUMMYFUNCTION("""COMPUTED_VALUE"""),"No")</f>
        <v>No</v>
      </c>
      <c r="W25" t="str">
        <f>IFERROR(__xludf.DUMMYFUNCTION("""COMPUTED_VALUE"""),"Egypt")</f>
        <v>Egypt</v>
      </c>
      <c r="X25" t="str">
        <f>IFERROR(__xludf.DUMMYFUNCTION("""COMPUTED_VALUE"""),"Paid")</f>
        <v>Paid</v>
      </c>
      <c r="Y25" t="str">
        <f>IFERROR(__xludf.DUMMYFUNCTION("""COMPUTED_VALUE"""),"Arabic")</f>
        <v>Arabic</v>
      </c>
      <c r="Z25" t="str">
        <f>IFERROR(__xludf.DUMMYFUNCTION("""COMPUTED_VALUE"""),"Vodafone Cash")</f>
        <v>Vodafone Cash</v>
      </c>
      <c r="AA25" s="134" t="str">
        <f>IFERROR(__xludf.DUMMYFUNCTION("""COMPUTED_VALUE"""),"01066514970")</f>
        <v>01066514970</v>
      </c>
      <c r="AC25" s="136">
        <f>IFERROR(__xludf.DUMMYFUNCTION("""COMPUTED_VALUE"""),47.0)</f>
        <v>47</v>
      </c>
      <c r="AD25">
        <f>IFERROR(__xludf.DUMMYFUNCTION("""COMPUTED_VALUE"""),21.0)</f>
        <v>21</v>
      </c>
      <c r="AE25" s="136">
        <f>IFERROR(__xludf.DUMMYFUNCTION("""COMPUTED_VALUE"""),2.0)</f>
        <v>2</v>
      </c>
      <c r="AF25" s="136">
        <f>IFERROR(__xludf.DUMMYFUNCTION("""COMPUTED_VALUE"""),24.0)</f>
        <v>24</v>
      </c>
      <c r="AG25">
        <f>IFERROR(__xludf.DUMMYFUNCTION("""COMPUTED_VALUE"""),600.0)</f>
        <v>600</v>
      </c>
      <c r="AH25" s="131">
        <f>IFERROR(__xludf.DUMMYFUNCTION("""COMPUTED_VALUE"""),30.0)</f>
        <v>30</v>
      </c>
      <c r="AI25" s="131">
        <f>IFERROR(__xludf.DUMMYFUNCTION("""COMPUTED_VALUE"""),3.0)</f>
        <v>3</v>
      </c>
      <c r="AJ25" s="131">
        <f>IFERROR(__xludf.DUMMYFUNCTION("""COMPUTED_VALUE"""),51.0)</f>
        <v>51</v>
      </c>
      <c r="AK25" s="136" t="str">
        <f>IFERROR(__xludf.DUMMYFUNCTION("""COMPUTED_VALUE"""),"Attended")</f>
        <v>Attended</v>
      </c>
      <c r="AL25" s="136">
        <f>IFERROR(__xludf.DUMMYFUNCTION("""COMPUTED_VALUE"""),51.0)</f>
        <v>51</v>
      </c>
      <c r="AM25" s="136">
        <f>IFERROR(__xludf.DUMMYFUNCTION("""COMPUTED_VALUE"""),44.0)</f>
        <v>44</v>
      </c>
      <c r="AN25" s="136">
        <f>IFERROR(__xludf.DUMMYFUNCTION("""COMPUTED_VALUE"""),44.0)</f>
        <v>44</v>
      </c>
      <c r="AO25" s="136">
        <f>IFERROR(__xludf.DUMMYFUNCTION("""COMPUTED_VALUE"""),2.0)</f>
        <v>2</v>
      </c>
      <c r="AP25" s="136">
        <f>IFERROR(__xludf.DUMMYFUNCTION("""COMPUTED_VALUE"""),0.0)</f>
        <v>0</v>
      </c>
      <c r="AQ25" s="136">
        <f>IFERROR(__xludf.DUMMYFUNCTION("""COMPUTED_VALUE"""),2.0)</f>
        <v>2</v>
      </c>
      <c r="AR25" s="136">
        <f>IFERROR(__xludf.DUMMYFUNCTION("""COMPUTED_VALUE"""),3.0)</f>
        <v>3</v>
      </c>
      <c r="AS25" s="136">
        <f>IFERROR(__xludf.DUMMYFUNCTION("""COMPUTED_VALUE"""),95.91836734693877)</f>
        <v>95.91836735</v>
      </c>
      <c r="AT25" s="131">
        <f>IFERROR(__xludf.DUMMYFUNCTION("""COMPUTED_VALUE"""),3.9215686274509802)</f>
        <v>3.921568627</v>
      </c>
      <c r="AU25" s="131">
        <f>IFERROR(__xludf.DUMMYFUNCTION("""COMPUTED_VALUE"""),0.0)</f>
        <v>0</v>
      </c>
      <c r="AV25" s="131">
        <f>IFERROR(__xludf.DUMMYFUNCTION("""COMPUTED_VALUE"""),3.9215686274509802)</f>
        <v>3.921568627</v>
      </c>
      <c r="AW25" s="131">
        <f>IFERROR(__xludf.DUMMYFUNCTION("""COMPUTED_VALUE"""),5.88235294117647)</f>
        <v>5.882352941</v>
      </c>
      <c r="AX25" s="131">
        <f>IFERROR(__xludf.DUMMYFUNCTION("""COMPUTED_VALUE"""),92.15686274509804)</f>
        <v>92.15686275</v>
      </c>
      <c r="AY25" s="131">
        <f>IFERROR(__xludf.DUMMYFUNCTION("""COMPUTED_VALUE"""),0.0)</f>
        <v>0</v>
      </c>
      <c r="AZ25" s="131">
        <f>IFERROR(__xludf.DUMMYFUNCTION("""COMPUTED_VALUE"""),0.0)</f>
        <v>0</v>
      </c>
      <c r="BA25" s="131">
        <f>IFERROR(__xludf.DUMMYFUNCTION("""COMPUTED_VALUE"""),0.0)</f>
        <v>0</v>
      </c>
      <c r="BB25" s="131">
        <f>IFERROR(__xludf.DUMMYFUNCTION("""COMPUTED_VALUE"""),0.0)</f>
        <v>0</v>
      </c>
      <c r="BC25" s="131" t="str">
        <f>IFERROR(__xludf.DUMMYFUNCTION("""COMPUTED_VALUE"""),"#DIV/0!")</f>
        <v>#DIV/0!</v>
      </c>
      <c r="BD25" s="131" t="str">
        <f>IFERROR(__xludf.DUMMYFUNCTION("""COMPUTED_VALUE"""),"#DIV/0!")</f>
        <v>#DIV/0!</v>
      </c>
      <c r="BE25" s="131" t="str">
        <f>IFERROR(__xludf.DUMMYFUNCTION("""COMPUTED_VALUE"""),"#DIV/0!")</f>
        <v>#DIV/0!</v>
      </c>
    </row>
    <row r="26">
      <c r="A26" t="str">
        <f>IFERROR(__xludf.DUMMYFUNCTION("""COMPUTED_VALUE"""),"TEA118")</f>
        <v>TEA118</v>
      </c>
      <c r="B26" t="str">
        <f>IFERROR(__xludf.DUMMYFUNCTION("""COMPUTED_VALUE"""),"Jehad Bayomy")</f>
        <v>Jehad Bayomy</v>
      </c>
      <c r="C26" t="str">
        <f>IFERROR(__xludf.DUMMYFUNCTION("""COMPUTED_VALUE"""),"""1u8BbOoB8E3AXsIYwuhlpwG8UqDm-genQ1MezibVXrh0""")</f>
        <v>"1u8BbOoB8E3AXsIYwuhlpwG8UqDm-genQ1MezibVXrh0"</v>
      </c>
      <c r="D26" t="str">
        <f>IFERROR(__xludf.DUMMYFUNCTION("""COMPUTED_VALUE"""),"Active")</f>
        <v>Active</v>
      </c>
      <c r="E26" t="str">
        <f>IFERROR(__xludf.DUMMYFUNCTION("""COMPUTED_VALUE"""),"Male")</f>
        <v>Male</v>
      </c>
      <c r="F26" s="132">
        <f>IFERROR(__xludf.DUMMYFUNCTION("""COMPUTED_VALUE"""),43992.0)</f>
        <v>43992</v>
      </c>
      <c r="G26" s="133"/>
      <c r="H26" s="131">
        <f>IFERROR(__xludf.DUMMYFUNCTION("""COMPUTED_VALUE"""),8.519736842105264)</f>
        <v>8.519736842</v>
      </c>
      <c r="I26" t="str">
        <f>IFERROR(__xludf.DUMMYFUNCTION("""COMPUTED_VALUE"""),"jehad1928@gmail.com")</f>
        <v>jehad1928@gmail.com</v>
      </c>
      <c r="J26" s="134" t="str">
        <f>IFERROR(__xludf.DUMMYFUNCTION("""COMPUTED_VALUE"""),"01141294873")</f>
        <v>01141294873</v>
      </c>
      <c r="K26" t="str">
        <f>IFERROR(__xludf.DUMMYFUNCTION("""COMPUTED_VALUE"""),"nour.JehadBayomy@gmail.com")</f>
        <v>nour.JehadBayomy@gmail.com</v>
      </c>
      <c r="L26" t="str">
        <f>IFERROR(__xludf.DUMMYFUNCTION("""COMPUTED_VALUE"""),"Jehad1995")</f>
        <v>Jehad1995</v>
      </c>
      <c r="M26" s="135">
        <f>IFERROR(__xludf.DUMMYFUNCTION("""COMPUTED_VALUE"""),34716.0)</f>
        <v>34716</v>
      </c>
      <c r="N26">
        <f>IFERROR(__xludf.DUMMYFUNCTION("""COMPUTED_VALUE"""),26.0)</f>
        <v>26</v>
      </c>
      <c r="O26" t="str">
        <f>IFERROR(__xludf.DUMMYFUNCTION("""COMPUTED_VALUE"""),"Single")</f>
        <v>Single</v>
      </c>
      <c r="P26" t="str">
        <f>IFERROR(__xludf.DUMMYFUNCTION("""COMPUTED_VALUE"""),"Yes")</f>
        <v>Yes</v>
      </c>
      <c r="Q26" t="str">
        <f>IFERROR(__xludf.DUMMYFUNCTION("""COMPUTED_VALUE"""),"Yes")</f>
        <v>Yes</v>
      </c>
      <c r="S26" t="str">
        <f>IFERROR(__xludf.DUMMYFUNCTION("""COMPUTED_VALUE"""),"Egypt")</f>
        <v>Egypt</v>
      </c>
      <c r="T26" t="str">
        <f>IFERROR(__xludf.DUMMYFUNCTION("""COMPUTED_VALUE"""),"Alexandria")</f>
        <v>Alexandria</v>
      </c>
      <c r="U26" t="str">
        <f>IFERROR(__xludf.DUMMYFUNCTION("""COMPUTED_VALUE"""),"GMT +2")</f>
        <v>GMT +2</v>
      </c>
      <c r="V26" t="str">
        <f>IFERROR(__xludf.DUMMYFUNCTION("""COMPUTED_VALUE"""),"No")</f>
        <v>No</v>
      </c>
      <c r="W26" t="str">
        <f>IFERROR(__xludf.DUMMYFUNCTION("""COMPUTED_VALUE"""),"Egypt")</f>
        <v>Egypt</v>
      </c>
      <c r="X26" t="str">
        <f>IFERROR(__xludf.DUMMYFUNCTION("""COMPUTED_VALUE"""),"Paid")</f>
        <v>Paid</v>
      </c>
      <c r="Y26" t="str">
        <f>IFERROR(__xludf.DUMMYFUNCTION("""COMPUTED_VALUE"""),"Recitation")</f>
        <v>Recitation</v>
      </c>
      <c r="Z26" t="str">
        <f>IFERROR(__xludf.DUMMYFUNCTION("""COMPUTED_VALUE"""),"Vodafone Cash")</f>
        <v>Vodafone Cash</v>
      </c>
      <c r="AA26" s="134" t="str">
        <f>IFERROR(__xludf.DUMMYFUNCTION("""COMPUTED_VALUE"""),"01014364949")</f>
        <v>01014364949</v>
      </c>
      <c r="AC26" s="136">
        <f>IFERROR(__xludf.DUMMYFUNCTION("""COMPUTED_VALUE"""),743.0)</f>
        <v>743</v>
      </c>
      <c r="AD26">
        <f>IFERROR(__xludf.DUMMYFUNCTION("""COMPUTED_VALUE"""),269.0)</f>
        <v>269</v>
      </c>
      <c r="AE26" s="136">
        <f>IFERROR(__xludf.DUMMYFUNCTION("""COMPUTED_VALUE"""),11.0)</f>
        <v>11</v>
      </c>
      <c r="AF26" s="136">
        <f>IFERROR(__xludf.DUMMYFUNCTION("""COMPUTED_VALUE"""),463.0)</f>
        <v>463</v>
      </c>
      <c r="AG26">
        <f>IFERROR(__xludf.DUMMYFUNCTION("""COMPUTED_VALUE"""),23150.0)</f>
        <v>23150</v>
      </c>
      <c r="AH26" s="131">
        <f>IFERROR(__xludf.DUMMYFUNCTION("""COMPUTED_VALUE"""),29.67878787878788)</f>
        <v>29.67878788</v>
      </c>
      <c r="AI26" s="131">
        <f>IFERROR(__xludf.DUMMYFUNCTION("""COMPUTED_VALUE"""),25.0)</f>
        <v>25</v>
      </c>
      <c r="AJ26" s="131">
        <f>IFERROR(__xludf.DUMMYFUNCTION("""COMPUTED_VALUE"""),969.0)</f>
        <v>969</v>
      </c>
      <c r="AK26" s="136" t="str">
        <f>IFERROR(__xludf.DUMMYFUNCTION("""COMPUTED_VALUE"""),"Reschedule")</f>
        <v>Reschedule</v>
      </c>
      <c r="AL26" s="136">
        <f>IFERROR(__xludf.DUMMYFUNCTION("""COMPUTED_VALUE"""),969.0)</f>
        <v>969</v>
      </c>
      <c r="AM26" s="136">
        <f>IFERROR(__xludf.DUMMYFUNCTION("""COMPUTED_VALUE"""),667.0)</f>
        <v>667</v>
      </c>
      <c r="AN26" s="136">
        <f>IFERROR(__xludf.DUMMYFUNCTION("""COMPUTED_VALUE"""),667.0)</f>
        <v>667</v>
      </c>
      <c r="AO26" s="136">
        <f>IFERROR(__xludf.DUMMYFUNCTION("""COMPUTED_VALUE"""),11.0)</f>
        <v>11</v>
      </c>
      <c r="AP26" s="136">
        <f>IFERROR(__xludf.DUMMYFUNCTION("""COMPUTED_VALUE"""),0.0)</f>
        <v>0</v>
      </c>
      <c r="AQ26" s="136">
        <f>IFERROR(__xludf.DUMMYFUNCTION("""COMPUTED_VALUE"""),215.0)</f>
        <v>215</v>
      </c>
      <c r="AR26" s="136">
        <f>IFERROR(__xludf.DUMMYFUNCTION("""COMPUTED_VALUE"""),76.0)</f>
        <v>76</v>
      </c>
      <c r="AS26" s="136">
        <f>IFERROR(__xludf.DUMMYFUNCTION("""COMPUTED_VALUE"""),98.54111405835543)</f>
        <v>98.54111406</v>
      </c>
      <c r="AT26" s="131">
        <f>IFERROR(__xludf.DUMMYFUNCTION("""COMPUTED_VALUE"""),1.1351909184726523)</f>
        <v>1.135190918</v>
      </c>
      <c r="AU26" s="131">
        <f>IFERROR(__xludf.DUMMYFUNCTION("""COMPUTED_VALUE"""),0.0)</f>
        <v>0</v>
      </c>
      <c r="AV26" s="131">
        <f>IFERROR(__xludf.DUMMYFUNCTION("""COMPUTED_VALUE"""),22.187822497420022)</f>
        <v>22.1878225</v>
      </c>
      <c r="AW26" s="131">
        <f>IFERROR(__xludf.DUMMYFUNCTION("""COMPUTED_VALUE"""),7.8431372549019605)</f>
        <v>7.843137255</v>
      </c>
      <c r="AX26" s="131">
        <f>IFERROR(__xludf.DUMMYFUNCTION("""COMPUTED_VALUE"""),76.67698658410733)</f>
        <v>76.67698658</v>
      </c>
      <c r="AY26" s="131">
        <f>IFERROR(__xludf.DUMMYFUNCTION("""COMPUTED_VALUE"""),58.0)</f>
        <v>58</v>
      </c>
      <c r="AZ26" s="131">
        <f>IFERROR(__xludf.DUMMYFUNCTION("""COMPUTED_VALUE"""),0.0)</f>
        <v>0</v>
      </c>
      <c r="BA26" s="131">
        <f>IFERROR(__xludf.DUMMYFUNCTION("""COMPUTED_VALUE"""),58.0)</f>
        <v>58</v>
      </c>
      <c r="BB26" s="131">
        <f>IFERROR(__xludf.DUMMYFUNCTION("""COMPUTED_VALUE"""),74.0)</f>
        <v>74</v>
      </c>
      <c r="BC26" s="131">
        <f>IFERROR(__xludf.DUMMYFUNCTION("""COMPUTED_VALUE"""),0.0)</f>
        <v>0</v>
      </c>
      <c r="BD26" s="131">
        <f>IFERROR(__xludf.DUMMYFUNCTION("""COMPUTED_VALUE"""),100.0)</f>
        <v>100</v>
      </c>
      <c r="BE26" s="131">
        <f>IFERROR(__xludf.DUMMYFUNCTION("""COMPUTED_VALUE"""),56.060606060606055)</f>
        <v>56.06060606</v>
      </c>
    </row>
    <row r="27">
      <c r="A27" t="str">
        <f>IFERROR(__xludf.DUMMYFUNCTION("""COMPUTED_VALUE"""),"TEA119")</f>
        <v>TEA119</v>
      </c>
      <c r="B27" t="str">
        <f>IFERROR(__xludf.DUMMYFUNCTION("""COMPUTED_VALUE"""),"Mohamed Hassan")</f>
        <v>Mohamed Hassan</v>
      </c>
      <c r="C27" t="str">
        <f>IFERROR(__xludf.DUMMYFUNCTION("""COMPUTED_VALUE"""),"""10zcZ2qSsmtNbF2-9xPSLqmLHo4k9Hr-uAn4eBBoGq5M""")</f>
        <v>"10zcZ2qSsmtNbF2-9xPSLqmLHo4k9Hr-uAn4eBBoGq5M"</v>
      </c>
      <c r="D27" t="str">
        <f>IFERROR(__xludf.DUMMYFUNCTION("""COMPUTED_VALUE"""),"Active")</f>
        <v>Active</v>
      </c>
      <c r="E27" t="str">
        <f>IFERROR(__xludf.DUMMYFUNCTION("""COMPUTED_VALUE"""),"Male")</f>
        <v>Male</v>
      </c>
      <c r="F27" s="132">
        <f>IFERROR(__xludf.DUMMYFUNCTION("""COMPUTED_VALUE"""),44020.0)</f>
        <v>44020</v>
      </c>
      <c r="G27" s="133"/>
      <c r="H27" s="131">
        <f>IFERROR(__xludf.DUMMYFUNCTION("""COMPUTED_VALUE"""),7.598684210526316)</f>
        <v>7.598684211</v>
      </c>
      <c r="I27" t="str">
        <f>IFERROR(__xludf.DUMMYFUNCTION("""COMPUTED_VALUE"""),"mohamedhassan91289@gmail.com")</f>
        <v>mohamedhassan91289@gmail.com</v>
      </c>
      <c r="J27" s="134" t="str">
        <f>IFERROR(__xludf.DUMMYFUNCTION("""COMPUTED_VALUE"""),"01201416136")</f>
        <v>01201416136</v>
      </c>
      <c r="K27" t="str">
        <f>IFERROR(__xludf.DUMMYFUNCTION("""COMPUTED_VALUE"""),"nour.mohamedhassan91289@gmail.com")</f>
        <v>nour.mohamedhassan91289@gmail.com</v>
      </c>
      <c r="L27" t="str">
        <f>IFERROR(__xludf.DUMMYFUNCTION("""COMPUTED_VALUE"""),"Mohamedhassan91289")</f>
        <v>Mohamedhassan91289</v>
      </c>
      <c r="M27" s="135">
        <f>IFERROR(__xludf.DUMMYFUNCTION("""COMPUTED_VALUE"""),32851.0)</f>
        <v>32851</v>
      </c>
      <c r="N27">
        <f>IFERROR(__xludf.DUMMYFUNCTION("""COMPUTED_VALUE"""),31.0)</f>
        <v>31</v>
      </c>
      <c r="O27" t="str">
        <f>IFERROR(__xludf.DUMMYFUNCTION("""COMPUTED_VALUE"""),"Married")</f>
        <v>Married</v>
      </c>
      <c r="P27" t="str">
        <f>IFERROR(__xludf.DUMMYFUNCTION("""COMPUTED_VALUE"""),"No")</f>
        <v>No</v>
      </c>
      <c r="Q27" t="str">
        <f>IFERROR(__xludf.DUMMYFUNCTION("""COMPUTED_VALUE"""),"No")</f>
        <v>No</v>
      </c>
      <c r="S27" t="str">
        <f>IFERROR(__xludf.DUMMYFUNCTION("""COMPUTED_VALUE"""),"Egypt")</f>
        <v>Egypt</v>
      </c>
      <c r="T27" t="str">
        <f>IFERROR(__xludf.DUMMYFUNCTION("""COMPUTED_VALUE"""),"Alexandria")</f>
        <v>Alexandria</v>
      </c>
      <c r="U27" t="str">
        <f>IFERROR(__xludf.DUMMYFUNCTION("""COMPUTED_VALUE"""),"GMT +2")</f>
        <v>GMT +2</v>
      </c>
      <c r="V27" t="str">
        <f>IFERROR(__xludf.DUMMYFUNCTION("""COMPUTED_VALUE"""),"No")</f>
        <v>No</v>
      </c>
      <c r="W27" t="str">
        <f>IFERROR(__xludf.DUMMYFUNCTION("""COMPUTED_VALUE"""),"Egypt")</f>
        <v>Egypt</v>
      </c>
      <c r="X27" t="str">
        <f>IFERROR(__xludf.DUMMYFUNCTION("""COMPUTED_VALUE"""),"Paid")</f>
        <v>Paid</v>
      </c>
      <c r="Y27" t="str">
        <f>IFERROR(__xludf.DUMMYFUNCTION("""COMPUTED_VALUE"""),"Arabic")</f>
        <v>Arabic</v>
      </c>
      <c r="AA27" s="134"/>
      <c r="AC27" s="136">
        <f>IFERROR(__xludf.DUMMYFUNCTION("""COMPUTED_VALUE"""),0.0)</f>
        <v>0</v>
      </c>
      <c r="AD27">
        <f>IFERROR(__xludf.DUMMYFUNCTION("""COMPUTED_VALUE"""),0.0)</f>
        <v>0</v>
      </c>
      <c r="AE27" s="136">
        <f>IFERROR(__xludf.DUMMYFUNCTION("""COMPUTED_VALUE"""),0.0)</f>
        <v>0</v>
      </c>
      <c r="AF27" s="136">
        <f>IFERROR(__xludf.DUMMYFUNCTION("""COMPUTED_VALUE"""),0.0)</f>
        <v>0</v>
      </c>
      <c r="AG27">
        <f>IFERROR(__xludf.DUMMYFUNCTION("""COMPUTED_VALUE"""),0.0)</f>
        <v>0</v>
      </c>
      <c r="AH27" s="131" t="str">
        <f>IFERROR(__xludf.DUMMYFUNCTION("""COMPUTED_VALUE"""),"#DIV/0!")</f>
        <v>#DIV/0!</v>
      </c>
      <c r="AI27" s="131">
        <f>IFERROR(__xludf.DUMMYFUNCTION("""COMPUTED_VALUE"""),0.0)</f>
        <v>0</v>
      </c>
      <c r="AJ27" s="131">
        <f>IFERROR(__xludf.DUMMYFUNCTION("""COMPUTED_VALUE"""),0.0)</f>
        <v>0</v>
      </c>
      <c r="AK27" s="136" t="str">
        <f>IFERROR(__xludf.DUMMYFUNCTION("""COMPUTED_VALUE"""),"Teacher Attendance")</f>
        <v>Teacher Attendance</v>
      </c>
      <c r="AL27" s="136">
        <f>IFERROR(__xludf.DUMMYFUNCTION("""COMPUTED_VALUE"""),0.0)</f>
        <v>0</v>
      </c>
      <c r="AM27" s="136">
        <f>IFERROR(__xludf.DUMMYFUNCTION("""COMPUTED_VALUE"""),0.0)</f>
        <v>0</v>
      </c>
      <c r="AN27" s="136">
        <f>IFERROR(__xludf.DUMMYFUNCTION("""COMPUTED_VALUE"""),0.0)</f>
        <v>0</v>
      </c>
      <c r="AO27" s="136">
        <f>IFERROR(__xludf.DUMMYFUNCTION("""COMPUTED_VALUE"""),0.0)</f>
        <v>0</v>
      </c>
      <c r="AP27" s="136">
        <f>IFERROR(__xludf.DUMMYFUNCTION("""COMPUTED_VALUE"""),0.0)</f>
        <v>0</v>
      </c>
      <c r="AQ27" s="136">
        <f>IFERROR(__xludf.DUMMYFUNCTION("""COMPUTED_VALUE"""),0.0)</f>
        <v>0</v>
      </c>
      <c r="AR27" s="136">
        <f>IFERROR(__xludf.DUMMYFUNCTION("""COMPUTED_VALUE"""),0.0)</f>
        <v>0</v>
      </c>
      <c r="AS27" s="136" t="str">
        <f>IFERROR(__xludf.DUMMYFUNCTION("""COMPUTED_VALUE"""),"#DIV/0!")</f>
        <v>#DIV/0!</v>
      </c>
      <c r="AT27" s="131" t="str">
        <f>IFERROR(__xludf.DUMMYFUNCTION("""COMPUTED_VALUE"""),"#DIV/0!")</f>
        <v>#DIV/0!</v>
      </c>
      <c r="AU27" s="131" t="str">
        <f>IFERROR(__xludf.DUMMYFUNCTION("""COMPUTED_VALUE"""),"#DIV/0!")</f>
        <v>#DIV/0!</v>
      </c>
      <c r="AV27" s="131" t="str">
        <f>IFERROR(__xludf.DUMMYFUNCTION("""COMPUTED_VALUE"""),"#DIV/0!")</f>
        <v>#DIV/0!</v>
      </c>
      <c r="AW27" s="131" t="str">
        <f>IFERROR(__xludf.DUMMYFUNCTION("""COMPUTED_VALUE"""),"#DIV/0!")</f>
        <v>#DIV/0!</v>
      </c>
      <c r="AX27" s="131" t="str">
        <f>IFERROR(__xludf.DUMMYFUNCTION("""COMPUTED_VALUE"""),"#DIV/0!")</f>
        <v>#DIV/0!</v>
      </c>
      <c r="AY27" s="131">
        <f>IFERROR(__xludf.DUMMYFUNCTION("""COMPUTED_VALUE"""),0.0)</f>
        <v>0</v>
      </c>
      <c r="AZ27" s="131">
        <f>IFERROR(__xludf.DUMMYFUNCTION("""COMPUTED_VALUE"""),0.0)</f>
        <v>0</v>
      </c>
      <c r="BA27" s="131">
        <f>IFERROR(__xludf.DUMMYFUNCTION("""COMPUTED_VALUE"""),0.0)</f>
        <v>0</v>
      </c>
      <c r="BB27" s="131">
        <f>IFERROR(__xludf.DUMMYFUNCTION("""COMPUTED_VALUE"""),0.0)</f>
        <v>0</v>
      </c>
      <c r="BC27" s="131" t="str">
        <f>IFERROR(__xludf.DUMMYFUNCTION("""COMPUTED_VALUE"""),"#DIV/0!")</f>
        <v>#DIV/0!</v>
      </c>
      <c r="BD27" s="131" t="str">
        <f>IFERROR(__xludf.DUMMYFUNCTION("""COMPUTED_VALUE"""),"#DIV/0!")</f>
        <v>#DIV/0!</v>
      </c>
      <c r="BE27" s="131" t="str">
        <f>IFERROR(__xludf.DUMMYFUNCTION("""COMPUTED_VALUE"""),"#DIV/0!")</f>
        <v>#DIV/0!</v>
      </c>
    </row>
    <row r="28">
      <c r="A28" t="str">
        <f>IFERROR(__xludf.DUMMYFUNCTION("""COMPUTED_VALUE"""),"TEA120")</f>
        <v>TEA120</v>
      </c>
      <c r="B28" t="str">
        <f>IFERROR(__xludf.DUMMYFUNCTION("""COMPUTED_VALUE"""),"Ola El Khatib")</f>
        <v>Ola El Khatib</v>
      </c>
      <c r="C28" t="str">
        <f>IFERROR(__xludf.DUMMYFUNCTION("""COMPUTED_VALUE"""),"""10vrgqW5pHbYiyCdW8LY4iHKz5s9cGOf57JoRg50Uog4""")</f>
        <v>"10vrgqW5pHbYiyCdW8LY4iHKz5s9cGOf57JoRg50Uog4"</v>
      </c>
      <c r="D28" t="str">
        <f>IFERROR(__xludf.DUMMYFUNCTION("""COMPUTED_VALUE"""),"Active")</f>
        <v>Active</v>
      </c>
      <c r="E28" t="str">
        <f>IFERROR(__xludf.DUMMYFUNCTION("""COMPUTED_VALUE"""),"Female")</f>
        <v>Female</v>
      </c>
      <c r="F28" s="132">
        <f>IFERROR(__xludf.DUMMYFUNCTION("""COMPUTED_VALUE"""),44051.0)</f>
        <v>44051</v>
      </c>
      <c r="G28" s="133"/>
      <c r="H28" s="131">
        <f>IFERROR(__xludf.DUMMYFUNCTION("""COMPUTED_VALUE"""),6.578947368421053)</f>
        <v>6.578947368</v>
      </c>
      <c r="I28" t="str">
        <f>IFERROR(__xludf.DUMMYFUNCTION("""COMPUTED_VALUE"""),"olaaelkhatib@yahoo.com")</f>
        <v>olaaelkhatib@yahoo.com</v>
      </c>
      <c r="J28" s="134" t="str">
        <f>IFERROR(__xludf.DUMMYFUNCTION("""COMPUTED_VALUE"""),"01156363733")</f>
        <v>01156363733</v>
      </c>
      <c r="K28" t="str">
        <f>IFERROR(__xludf.DUMMYFUNCTION("""COMPUTED_VALUE"""),"nour.olaelkhatib@gmail.com")</f>
        <v>nour.olaelkhatib@gmail.com</v>
      </c>
      <c r="L28" t="str">
        <f>IFERROR(__xludf.DUMMYFUNCTION("""COMPUTED_VALUE"""),"Elkhatib84")</f>
        <v>Elkhatib84</v>
      </c>
      <c r="M28" s="137">
        <f>IFERROR(__xludf.DUMMYFUNCTION("""COMPUTED_VALUE"""),30858.0)</f>
        <v>30858</v>
      </c>
      <c r="N28">
        <f>IFERROR(__xludf.DUMMYFUNCTION("""COMPUTED_VALUE"""),36.0)</f>
        <v>36</v>
      </c>
      <c r="O28" t="str">
        <f>IFERROR(__xludf.DUMMYFUNCTION("""COMPUTED_VALUE"""),"Single")</f>
        <v>Single</v>
      </c>
      <c r="P28" t="str">
        <f>IFERROR(__xludf.DUMMYFUNCTION("""COMPUTED_VALUE"""),"Yes")</f>
        <v>Yes</v>
      </c>
      <c r="Q28" t="str">
        <f>IFERROR(__xludf.DUMMYFUNCTION("""COMPUTED_VALUE"""),"Yes")</f>
        <v>Yes</v>
      </c>
      <c r="S28" t="str">
        <f>IFERROR(__xludf.DUMMYFUNCTION("""COMPUTED_VALUE"""),"Egypt")</f>
        <v>Egypt</v>
      </c>
      <c r="T28" t="str">
        <f>IFERROR(__xludf.DUMMYFUNCTION("""COMPUTED_VALUE"""),"Alexandria")</f>
        <v>Alexandria</v>
      </c>
      <c r="U28" t="str">
        <f>IFERROR(__xludf.DUMMYFUNCTION("""COMPUTED_VALUE"""),"GMT +2")</f>
        <v>GMT +2</v>
      </c>
      <c r="V28" t="str">
        <f>IFERROR(__xludf.DUMMYFUNCTION("""COMPUTED_VALUE"""),"No")</f>
        <v>No</v>
      </c>
      <c r="W28" t="str">
        <f>IFERROR(__xludf.DUMMYFUNCTION("""COMPUTED_VALUE"""),"Egypt")</f>
        <v>Egypt</v>
      </c>
      <c r="X28" t="str">
        <f>IFERROR(__xludf.DUMMYFUNCTION("""COMPUTED_VALUE"""),"Paid")</f>
        <v>Paid</v>
      </c>
      <c r="Y28" t="str">
        <f>IFERROR(__xludf.DUMMYFUNCTION("""COMPUTED_VALUE"""),"Recitation")</f>
        <v>Recitation</v>
      </c>
      <c r="AA28" s="134"/>
      <c r="AC28" s="136">
        <f>IFERROR(__xludf.DUMMYFUNCTION("""COMPUTED_VALUE"""),879.0)</f>
        <v>879</v>
      </c>
      <c r="AE28" s="136">
        <f>IFERROR(__xludf.DUMMYFUNCTION("""COMPUTED_VALUE"""),3.0)</f>
        <v>3</v>
      </c>
      <c r="AF28" s="136">
        <f>IFERROR(__xludf.DUMMYFUNCTION("""COMPUTED_VALUE"""),876.0)</f>
        <v>876</v>
      </c>
      <c r="AG28">
        <f>IFERROR(__xludf.DUMMYFUNCTION("""COMPUTED_VALUE"""),43800.0)</f>
        <v>43800</v>
      </c>
      <c r="AH28" s="131">
        <f>IFERROR(__xludf.DUMMYFUNCTION("""COMPUTED_VALUE"""),28.438095238095237)</f>
        <v>28.43809524</v>
      </c>
      <c r="AI28" s="131">
        <f>IFERROR(__xludf.DUMMYFUNCTION("""COMPUTED_VALUE"""),35.0)</f>
        <v>35</v>
      </c>
      <c r="AJ28" s="131">
        <f>IFERROR(__xludf.DUMMYFUNCTION("""COMPUTED_VALUE"""),945.0)</f>
        <v>945</v>
      </c>
      <c r="AK28" s="136" t="str">
        <f>IFERROR(__xludf.DUMMYFUNCTION("""COMPUTED_VALUE"""),"Attended")</f>
        <v>Attended</v>
      </c>
      <c r="AL28" s="136">
        <f>IFERROR(__xludf.DUMMYFUNCTION("""COMPUTED_VALUE"""),945.0)</f>
        <v>945</v>
      </c>
      <c r="AM28" s="136">
        <f>IFERROR(__xludf.DUMMYFUNCTION("""COMPUTED_VALUE"""),755.0)</f>
        <v>755</v>
      </c>
      <c r="AN28" s="136">
        <f>IFERROR(__xludf.DUMMYFUNCTION("""COMPUTED_VALUE"""),753.0)</f>
        <v>753</v>
      </c>
      <c r="AO28" s="136">
        <f>IFERROR(__xludf.DUMMYFUNCTION("""COMPUTED_VALUE"""),2.0)</f>
        <v>2</v>
      </c>
      <c r="AP28" s="136">
        <f>IFERROR(__xludf.DUMMYFUNCTION("""COMPUTED_VALUE"""),2.0)</f>
        <v>2</v>
      </c>
      <c r="AQ28" s="136">
        <f>IFERROR(__xludf.DUMMYFUNCTION("""COMPUTED_VALUE"""),64.0)</f>
        <v>64</v>
      </c>
      <c r="AR28" s="136">
        <f>IFERROR(__xludf.DUMMYFUNCTION("""COMPUTED_VALUE"""),124.0)</f>
        <v>124</v>
      </c>
      <c r="AS28" s="136">
        <f>IFERROR(__xludf.DUMMYFUNCTION("""COMPUTED_VALUE"""),99.54597048808172)</f>
        <v>99.54597049</v>
      </c>
      <c r="AT28" s="131">
        <f>IFERROR(__xludf.DUMMYFUNCTION("""COMPUTED_VALUE"""),0.21164021164021166)</f>
        <v>0.2116402116</v>
      </c>
      <c r="AU28" s="131">
        <f>IFERROR(__xludf.DUMMYFUNCTION("""COMPUTED_VALUE"""),0.21164021164021166)</f>
        <v>0.2116402116</v>
      </c>
      <c r="AV28" s="131">
        <f>IFERROR(__xludf.DUMMYFUNCTION("""COMPUTED_VALUE"""),6.772486772486773)</f>
        <v>6.772486772</v>
      </c>
      <c r="AW28" s="131">
        <f>IFERROR(__xludf.DUMMYFUNCTION("""COMPUTED_VALUE"""),13.12169312169312)</f>
        <v>13.12169312</v>
      </c>
      <c r="AX28" s="131">
        <f>IFERROR(__xludf.DUMMYFUNCTION("""COMPUTED_VALUE"""),93.01587301587301)</f>
        <v>93.01587302</v>
      </c>
      <c r="AY28" s="131">
        <f>IFERROR(__xludf.DUMMYFUNCTION("""COMPUTED_VALUE"""),624.0)</f>
        <v>624</v>
      </c>
      <c r="AZ28" s="131">
        <f>IFERROR(__xludf.DUMMYFUNCTION("""COMPUTED_VALUE"""),564.0)</f>
        <v>564</v>
      </c>
      <c r="BA28" s="131">
        <f>IFERROR(__xludf.DUMMYFUNCTION("""COMPUTED_VALUE"""),60.0)</f>
        <v>60</v>
      </c>
      <c r="BB28" s="131">
        <f>IFERROR(__xludf.DUMMYFUNCTION("""COMPUTED_VALUE"""),48.0)</f>
        <v>48</v>
      </c>
      <c r="BC28" s="131">
        <f>IFERROR(__xludf.DUMMYFUNCTION("""COMPUTED_VALUE"""),90.38461538461539)</f>
        <v>90.38461538</v>
      </c>
      <c r="BD28" s="131">
        <f>IFERROR(__xludf.DUMMYFUNCTION("""COMPUTED_VALUE"""),9.615384615384617)</f>
        <v>9.615384615</v>
      </c>
      <c r="BE28" s="131">
        <f>IFERROR(__xludf.DUMMYFUNCTION("""COMPUTED_VALUE"""),7.142857142857142)</f>
        <v>7.142857143</v>
      </c>
    </row>
    <row r="29">
      <c r="A29" t="str">
        <f>IFERROR(__xludf.DUMMYFUNCTION("""COMPUTED_VALUE"""),"TEA121")</f>
        <v>TEA121</v>
      </c>
      <c r="B29" t="str">
        <f>IFERROR(__xludf.DUMMYFUNCTION("""COMPUTED_VALUE"""),"Asmaa Samy")</f>
        <v>Asmaa Samy</v>
      </c>
      <c r="C29" t="str">
        <f>IFERROR(__xludf.DUMMYFUNCTION("""COMPUTED_VALUE"""),"""1376tnOhkFWq9ArcQ0OjnlfQ-DBoLsipLWBssIYenfFM""")</f>
        <v>"1376tnOhkFWq9ArcQ0OjnlfQ-DBoLsipLWBssIYenfFM"</v>
      </c>
      <c r="D29" t="str">
        <f>IFERROR(__xludf.DUMMYFUNCTION("""COMPUTED_VALUE"""),"Active")</f>
        <v>Active</v>
      </c>
      <c r="E29" t="str">
        <f>IFERROR(__xludf.DUMMYFUNCTION("""COMPUTED_VALUE"""),"Female")</f>
        <v>Female</v>
      </c>
      <c r="F29" s="132">
        <f>IFERROR(__xludf.DUMMYFUNCTION("""COMPUTED_VALUE"""),44083.0)</f>
        <v>44083</v>
      </c>
      <c r="G29" s="133"/>
      <c r="H29" s="131">
        <f>IFERROR(__xludf.DUMMYFUNCTION("""COMPUTED_VALUE"""),5.526315789473684)</f>
        <v>5.526315789</v>
      </c>
      <c r="I29" t="str">
        <f>IFERROR(__xludf.DUMMYFUNCTION("""COMPUTED_VALUE"""),"asmaa.samy1@yahoo.com")</f>
        <v>asmaa.samy1@yahoo.com</v>
      </c>
      <c r="J29" s="134" t="str">
        <f>IFERROR(__xludf.DUMMYFUNCTION("""COMPUTED_VALUE"""),"01099280800 / 01286670725")</f>
        <v>01099280800 / 01286670725</v>
      </c>
      <c r="K29" t="str">
        <f>IFERROR(__xludf.DUMMYFUNCTION("""COMPUTED_VALUE"""),"nour.asmaasamy@gmail.com")</f>
        <v>nour.asmaasamy@gmail.com</v>
      </c>
      <c r="L29" t="str">
        <f>IFERROR(__xludf.DUMMYFUNCTION("""COMPUTED_VALUE"""),"Asmaa.samy1")</f>
        <v>Asmaa.samy1</v>
      </c>
      <c r="M29" s="137">
        <f>IFERROR(__xludf.DUMMYFUNCTION("""COMPUTED_VALUE"""),32441.0)</f>
        <v>32441</v>
      </c>
      <c r="N29">
        <f>IFERROR(__xludf.DUMMYFUNCTION("""COMPUTED_VALUE"""),32.0)</f>
        <v>32</v>
      </c>
      <c r="O29" t="str">
        <f>IFERROR(__xludf.DUMMYFUNCTION("""COMPUTED_VALUE"""),"Married")</f>
        <v>Married</v>
      </c>
      <c r="P29" t="str">
        <f>IFERROR(__xludf.DUMMYFUNCTION("""COMPUTED_VALUE"""),"Yes")</f>
        <v>Yes</v>
      </c>
      <c r="Q29" t="str">
        <f>IFERROR(__xludf.DUMMYFUNCTION("""COMPUTED_VALUE"""),"Yes")</f>
        <v>Yes</v>
      </c>
      <c r="S29" t="str">
        <f>IFERROR(__xludf.DUMMYFUNCTION("""COMPUTED_VALUE"""),"Egypt")</f>
        <v>Egypt</v>
      </c>
      <c r="T29" t="str">
        <f>IFERROR(__xludf.DUMMYFUNCTION("""COMPUTED_VALUE"""),"Alexandria")</f>
        <v>Alexandria</v>
      </c>
      <c r="U29" t="str">
        <f>IFERROR(__xludf.DUMMYFUNCTION("""COMPUTED_VALUE"""),"GMT +2")</f>
        <v>GMT +2</v>
      </c>
      <c r="V29" t="str">
        <f>IFERROR(__xludf.DUMMYFUNCTION("""COMPUTED_VALUE"""),"No")</f>
        <v>No</v>
      </c>
      <c r="W29" t="str">
        <f>IFERROR(__xludf.DUMMYFUNCTION("""COMPUTED_VALUE"""),"Egypt")</f>
        <v>Egypt</v>
      </c>
      <c r="X29" t="str">
        <f>IFERROR(__xludf.DUMMYFUNCTION("""COMPUTED_VALUE"""),"Paid")</f>
        <v>Paid</v>
      </c>
      <c r="Y29" t="str">
        <f>IFERROR(__xludf.DUMMYFUNCTION("""COMPUTED_VALUE"""),"Arabic Letters")</f>
        <v>Arabic Letters</v>
      </c>
      <c r="AA29" s="134"/>
      <c r="AC29" s="136">
        <f>IFERROR(__xludf.DUMMYFUNCTION("""COMPUTED_VALUE"""),117.0)</f>
        <v>117</v>
      </c>
      <c r="AD29">
        <f>IFERROR(__xludf.DUMMYFUNCTION("""COMPUTED_VALUE"""),64.0)</f>
        <v>64</v>
      </c>
      <c r="AE29" s="136">
        <f>IFERROR(__xludf.DUMMYFUNCTION("""COMPUTED_VALUE"""),1.0)</f>
        <v>1</v>
      </c>
      <c r="AF29" s="136">
        <f>IFERROR(__xludf.DUMMYFUNCTION("""COMPUTED_VALUE"""),52.0)</f>
        <v>52</v>
      </c>
      <c r="AG29">
        <f>IFERROR(__xludf.DUMMYFUNCTION("""COMPUTED_VALUE"""),1300.0)</f>
        <v>1300</v>
      </c>
      <c r="AH29" s="131">
        <f>IFERROR(__xludf.DUMMYFUNCTION("""COMPUTED_VALUE"""),30.0)</f>
        <v>30</v>
      </c>
      <c r="AI29" s="131">
        <f>IFERROR(__xludf.DUMMYFUNCTION("""COMPUTED_VALUE"""),5.0)</f>
        <v>5</v>
      </c>
      <c r="AJ29" s="131">
        <f>IFERROR(__xludf.DUMMYFUNCTION("""COMPUTED_VALUE"""),118.0)</f>
        <v>118</v>
      </c>
      <c r="AK29" s="136" t="str">
        <f>IFERROR(__xludf.DUMMYFUNCTION("""COMPUTED_VALUE"""),"Attended")</f>
        <v>Attended</v>
      </c>
      <c r="AL29" s="136">
        <f>IFERROR(__xludf.DUMMYFUNCTION("""COMPUTED_VALUE"""),118.0)</f>
        <v>118</v>
      </c>
      <c r="AM29" s="136">
        <f>IFERROR(__xludf.DUMMYFUNCTION("""COMPUTED_VALUE"""),102.0)</f>
        <v>102</v>
      </c>
      <c r="AN29" s="136">
        <f>IFERROR(__xludf.DUMMYFUNCTION("""COMPUTED_VALUE"""),102.0)</f>
        <v>102</v>
      </c>
      <c r="AO29" s="136">
        <f>IFERROR(__xludf.DUMMYFUNCTION("""COMPUTED_VALUE"""),1.0)</f>
        <v>1</v>
      </c>
      <c r="AP29" s="136">
        <f>IFERROR(__xludf.DUMMYFUNCTION("""COMPUTED_VALUE"""),0.0)</f>
        <v>0</v>
      </c>
      <c r="AQ29" s="136">
        <f>IFERROR(__xludf.DUMMYFUNCTION("""COMPUTED_VALUE"""),0.0)</f>
        <v>0</v>
      </c>
      <c r="AR29" s="136">
        <f>IFERROR(__xludf.DUMMYFUNCTION("""COMPUTED_VALUE"""),15.0)</f>
        <v>15</v>
      </c>
      <c r="AS29" s="136">
        <f>IFERROR(__xludf.DUMMYFUNCTION("""COMPUTED_VALUE"""),99.15254237288136)</f>
        <v>99.15254237</v>
      </c>
      <c r="AT29" s="131">
        <f>IFERROR(__xludf.DUMMYFUNCTION("""COMPUTED_VALUE"""),0.847457627118644)</f>
        <v>0.8474576271</v>
      </c>
      <c r="AU29" s="131">
        <f>IFERROR(__xludf.DUMMYFUNCTION("""COMPUTED_VALUE"""),0.0)</f>
        <v>0</v>
      </c>
      <c r="AV29" s="131">
        <f>IFERROR(__xludf.DUMMYFUNCTION("""COMPUTED_VALUE"""),0.0)</f>
        <v>0</v>
      </c>
      <c r="AW29" s="131">
        <f>IFERROR(__xludf.DUMMYFUNCTION("""COMPUTED_VALUE"""),12.711864406779661)</f>
        <v>12.71186441</v>
      </c>
      <c r="AX29" s="131">
        <f>IFERROR(__xludf.DUMMYFUNCTION("""COMPUTED_VALUE"""),99.15254237288136)</f>
        <v>99.15254237</v>
      </c>
      <c r="AY29" s="131">
        <f>IFERROR(__xludf.DUMMYFUNCTION("""COMPUTED_VALUE"""),0.0)</f>
        <v>0</v>
      </c>
      <c r="AZ29" s="131">
        <f>IFERROR(__xludf.DUMMYFUNCTION("""COMPUTED_VALUE"""),0.0)</f>
        <v>0</v>
      </c>
      <c r="BA29" s="131">
        <f>IFERROR(__xludf.DUMMYFUNCTION("""COMPUTED_VALUE"""),0.0)</f>
        <v>0</v>
      </c>
      <c r="BB29" s="131">
        <f>IFERROR(__xludf.DUMMYFUNCTION("""COMPUTED_VALUE"""),0.0)</f>
        <v>0</v>
      </c>
      <c r="BC29" s="131" t="str">
        <f>IFERROR(__xludf.DUMMYFUNCTION("""COMPUTED_VALUE"""),"#DIV/0!")</f>
        <v>#DIV/0!</v>
      </c>
      <c r="BD29" s="131" t="str">
        <f>IFERROR(__xludf.DUMMYFUNCTION("""COMPUTED_VALUE"""),"#DIV/0!")</f>
        <v>#DIV/0!</v>
      </c>
      <c r="BE29" s="131" t="str">
        <f>IFERROR(__xludf.DUMMYFUNCTION("""COMPUTED_VALUE"""),"#DIV/0!")</f>
        <v>#DIV/0!</v>
      </c>
    </row>
    <row r="30">
      <c r="A30" t="str">
        <f>IFERROR(__xludf.DUMMYFUNCTION("""COMPUTED_VALUE"""),"TEA122")</f>
        <v>TEA122</v>
      </c>
      <c r="B30" t="str">
        <f>IFERROR(__xludf.DUMMYFUNCTION("""COMPUTED_VALUE"""),"Sondos Hassan")</f>
        <v>Sondos Hassan</v>
      </c>
      <c r="C30" t="str">
        <f>IFERROR(__xludf.DUMMYFUNCTION("""COMPUTED_VALUE"""),"""1541DEEmw7a7Mi2oawRmjdNil-0g2LBY80OQqEGh6tHQ""")</f>
        <v>"1541DEEmw7a7Mi2oawRmjdNil-0g2LBY80OQqEGh6tHQ"</v>
      </c>
      <c r="D30" t="str">
        <f>IFERROR(__xludf.DUMMYFUNCTION("""COMPUTED_VALUE"""),"Active")</f>
        <v>Active</v>
      </c>
      <c r="E30" t="str">
        <f>IFERROR(__xludf.DUMMYFUNCTION("""COMPUTED_VALUE"""),"Female")</f>
        <v>Female</v>
      </c>
      <c r="F30" s="132">
        <f>IFERROR(__xludf.DUMMYFUNCTION("""COMPUTED_VALUE"""),43732.0)</f>
        <v>43732</v>
      </c>
      <c r="G30" s="133"/>
      <c r="H30" s="131">
        <f>IFERROR(__xludf.DUMMYFUNCTION("""COMPUTED_VALUE"""),17.072368421052634)</f>
        <v>17.07236842</v>
      </c>
      <c r="I30" t="str">
        <f>IFERROR(__xludf.DUMMYFUNCTION("""COMPUTED_VALUE"""),"sondos.hassan198@gmail.com")</f>
        <v>sondos.hassan198@gmail.com</v>
      </c>
      <c r="J30" s="134" t="str">
        <f>IFERROR(__xludf.DUMMYFUNCTION("""COMPUTED_VALUE"""),"01032029988/01275626340")</f>
        <v>01032029988/01275626340</v>
      </c>
      <c r="K30" t="str">
        <f>IFERROR(__xludf.DUMMYFUNCTION("""COMPUTED_VALUE"""),"nour.sondoshassan@gmail.com")</f>
        <v>nour.sondoshassan@gmail.com</v>
      </c>
      <c r="L30" t="str">
        <f>IFERROR(__xludf.DUMMYFUNCTION("""COMPUTED_VALUE"""),"Hassan86")</f>
        <v>Hassan86</v>
      </c>
      <c r="M30" s="135">
        <f>IFERROR(__xludf.DUMMYFUNCTION("""COMPUTED_VALUE"""),31643.0)</f>
        <v>31643</v>
      </c>
      <c r="N30">
        <f>IFERROR(__xludf.DUMMYFUNCTION("""COMPUTED_VALUE"""),34.0)</f>
        <v>34</v>
      </c>
      <c r="O30" t="str">
        <f>IFERROR(__xludf.DUMMYFUNCTION("""COMPUTED_VALUE"""),"Married")</f>
        <v>Married</v>
      </c>
      <c r="P30" t="str">
        <f>IFERROR(__xludf.DUMMYFUNCTION("""COMPUTED_VALUE"""),"Yes")</f>
        <v>Yes</v>
      </c>
      <c r="Q30" t="str">
        <f>IFERROR(__xludf.DUMMYFUNCTION("""COMPUTED_VALUE"""),"No")</f>
        <v>No</v>
      </c>
      <c r="S30" t="str">
        <f>IFERROR(__xludf.DUMMYFUNCTION("""COMPUTED_VALUE"""),"Egypt")</f>
        <v>Egypt</v>
      </c>
      <c r="T30" t="str">
        <f>IFERROR(__xludf.DUMMYFUNCTION("""COMPUTED_VALUE"""),"Alexandria")</f>
        <v>Alexandria</v>
      </c>
      <c r="U30" t="str">
        <f>IFERROR(__xludf.DUMMYFUNCTION("""COMPUTED_VALUE"""),"GMT +2")</f>
        <v>GMT +2</v>
      </c>
      <c r="V30" t="str">
        <f>IFERROR(__xludf.DUMMYFUNCTION("""COMPUTED_VALUE"""),"Yes")</f>
        <v>Yes</v>
      </c>
      <c r="W30" t="str">
        <f>IFERROR(__xludf.DUMMYFUNCTION("""COMPUTED_VALUE"""),"Egypt")</f>
        <v>Egypt</v>
      </c>
      <c r="X30" t="str">
        <f>IFERROR(__xludf.DUMMYFUNCTION("""COMPUTED_VALUE"""),"Paid")</f>
        <v>Paid</v>
      </c>
      <c r="Y30" t="str">
        <f>IFERROR(__xludf.DUMMYFUNCTION("""COMPUTED_VALUE"""),"Arabic Letters")</f>
        <v>Arabic Letters</v>
      </c>
      <c r="Z30" t="str">
        <f>IFERROR(__xludf.DUMMYFUNCTION("""COMPUTED_VALUE"""),"Cash")</f>
        <v>Cash</v>
      </c>
      <c r="AA30" s="134" t="str">
        <f>IFERROR(__xludf.DUMMYFUNCTION("""COMPUTED_VALUE"""),"010-3202-9988")</f>
        <v>010-3202-9988</v>
      </c>
      <c r="AC30" s="136">
        <f>IFERROR(__xludf.DUMMYFUNCTION("""COMPUTED_VALUE"""),336.0)</f>
        <v>336</v>
      </c>
      <c r="AD30">
        <f>IFERROR(__xludf.DUMMYFUNCTION("""COMPUTED_VALUE"""),276.5)</f>
        <v>276.5</v>
      </c>
      <c r="AE30" s="136">
        <f>IFERROR(__xludf.DUMMYFUNCTION("""COMPUTED_VALUE"""),22.5)</f>
        <v>22.5</v>
      </c>
      <c r="AF30" s="136">
        <f>IFERROR(__xludf.DUMMYFUNCTION("""COMPUTED_VALUE"""),37.0)</f>
        <v>37</v>
      </c>
      <c r="AG30">
        <f>IFERROR(__xludf.DUMMYFUNCTION("""COMPUTED_VALUE"""),1850.0)</f>
        <v>1850</v>
      </c>
      <c r="AH30" s="131">
        <f>IFERROR(__xludf.DUMMYFUNCTION("""COMPUTED_VALUE"""),31.02112676056338)</f>
        <v>31.02112676</v>
      </c>
      <c r="AI30" s="131">
        <f>IFERROR(__xludf.DUMMYFUNCTION("""COMPUTED_VALUE"""),13.0)</f>
        <v>13</v>
      </c>
      <c r="AJ30" s="131">
        <f>IFERROR(__xludf.DUMMYFUNCTION("""COMPUTED_VALUE"""),386.0)</f>
        <v>386</v>
      </c>
      <c r="AK30" s="136" t="str">
        <f>IFERROR(__xludf.DUMMYFUNCTION("""COMPUTED_VALUE"""),"Attended")</f>
        <v>Attended</v>
      </c>
      <c r="AL30" s="136">
        <f>IFERROR(__xludf.DUMMYFUNCTION("""COMPUTED_VALUE"""),386.0)</f>
        <v>386</v>
      </c>
      <c r="AM30" s="136">
        <f>IFERROR(__xludf.DUMMYFUNCTION("""COMPUTED_VALUE"""),288.0)</f>
        <v>288</v>
      </c>
      <c r="AN30" s="136">
        <f>IFERROR(__xludf.DUMMYFUNCTION("""COMPUTED_VALUE"""),287.0)</f>
        <v>287</v>
      </c>
      <c r="AO30" s="136">
        <f>IFERROR(__xludf.DUMMYFUNCTION("""COMPUTED_VALUE"""),22.0)</f>
        <v>22</v>
      </c>
      <c r="AP30" s="136">
        <f>IFERROR(__xludf.DUMMYFUNCTION("""COMPUTED_VALUE"""),1.0)</f>
        <v>1</v>
      </c>
      <c r="AQ30" s="136">
        <f>IFERROR(__xludf.DUMMYFUNCTION("""COMPUTED_VALUE"""),28.0)</f>
        <v>28</v>
      </c>
      <c r="AR30" s="136">
        <f>IFERROR(__xludf.DUMMYFUNCTION("""COMPUTED_VALUE"""),48.0)</f>
        <v>48</v>
      </c>
      <c r="AS30" s="136">
        <f>IFERROR(__xludf.DUMMYFUNCTION("""COMPUTED_VALUE"""),93.57541899441341)</f>
        <v>93.57541899</v>
      </c>
      <c r="AT30" s="131">
        <f>IFERROR(__xludf.DUMMYFUNCTION("""COMPUTED_VALUE"""),5.699481865284974)</f>
        <v>5.699481865</v>
      </c>
      <c r="AU30" s="131">
        <f>IFERROR(__xludf.DUMMYFUNCTION("""COMPUTED_VALUE"""),0.2590673575129534)</f>
        <v>0.2590673575</v>
      </c>
      <c r="AV30" s="131">
        <f>IFERROR(__xludf.DUMMYFUNCTION("""COMPUTED_VALUE"""),7.253886010362693)</f>
        <v>7.25388601</v>
      </c>
      <c r="AW30" s="131">
        <f>IFERROR(__xludf.DUMMYFUNCTION("""COMPUTED_VALUE"""),12.435233160621761)</f>
        <v>12.43523316</v>
      </c>
      <c r="AX30" s="131">
        <f>IFERROR(__xludf.DUMMYFUNCTION("""COMPUTED_VALUE"""),87.04663212435233)</f>
        <v>87.04663212</v>
      </c>
      <c r="AY30" s="131">
        <f>IFERROR(__xludf.DUMMYFUNCTION("""COMPUTED_VALUE"""),0.0)</f>
        <v>0</v>
      </c>
      <c r="AZ30" s="131">
        <f>IFERROR(__xludf.DUMMYFUNCTION("""COMPUTED_VALUE"""),0.0)</f>
        <v>0</v>
      </c>
      <c r="BA30" s="131">
        <f>IFERROR(__xludf.DUMMYFUNCTION("""COMPUTED_VALUE"""),0.0)</f>
        <v>0</v>
      </c>
      <c r="BB30" s="131">
        <f>IFERROR(__xludf.DUMMYFUNCTION("""COMPUTED_VALUE"""),2.0)</f>
        <v>2</v>
      </c>
      <c r="BC30" s="131" t="str">
        <f>IFERROR(__xludf.DUMMYFUNCTION("""COMPUTED_VALUE"""),"#DIV/0!")</f>
        <v>#DIV/0!</v>
      </c>
      <c r="BD30" s="131" t="str">
        <f>IFERROR(__xludf.DUMMYFUNCTION("""COMPUTED_VALUE"""),"#DIV/0!")</f>
        <v>#DIV/0!</v>
      </c>
      <c r="BE30" s="131">
        <f>IFERROR(__xludf.DUMMYFUNCTION("""COMPUTED_VALUE"""),100.0)</f>
        <v>100</v>
      </c>
    </row>
    <row r="31">
      <c r="A31" t="str">
        <f>IFERROR(__xludf.DUMMYFUNCTION("""COMPUTED_VALUE"""),"TEA123")</f>
        <v>TEA123</v>
      </c>
      <c r="B31" t="str">
        <f>IFERROR(__xludf.DUMMYFUNCTION("""COMPUTED_VALUE"""),"Samar Ali")</f>
        <v>Samar Ali</v>
      </c>
      <c r="C31" t="str">
        <f>IFERROR(__xludf.DUMMYFUNCTION("""COMPUTED_VALUE"""),"""17Jy_fi34zb6jEX-Ih0aLhRVpMUz2UHLSlk7RaeDJV78""")</f>
        <v>"17Jy_fi34zb6jEX-Ih0aLhRVpMUz2UHLSlk7RaeDJV78"</v>
      </c>
      <c r="D31" t="str">
        <f>IFERROR(__xludf.DUMMYFUNCTION("""COMPUTED_VALUE"""),"Active")</f>
        <v>Active</v>
      </c>
      <c r="E31" t="str">
        <f>IFERROR(__xludf.DUMMYFUNCTION("""COMPUTED_VALUE"""),"Female")</f>
        <v>Female</v>
      </c>
      <c r="F31" s="132">
        <f>IFERROR(__xludf.DUMMYFUNCTION("""COMPUTED_VALUE"""),43928.0)</f>
        <v>43928</v>
      </c>
      <c r="G31" s="133"/>
      <c r="H31" s="131">
        <f>IFERROR(__xludf.DUMMYFUNCTION("""COMPUTED_VALUE"""),10.625)</f>
        <v>10.625</v>
      </c>
      <c r="I31" t="str">
        <f>IFERROR(__xludf.DUMMYFUNCTION("""COMPUTED_VALUE"""),"sahmed_zohdy@yahoo.com")</f>
        <v>sahmed_zohdy@yahoo.com</v>
      </c>
      <c r="J31" s="134" t="str">
        <f>IFERROR(__xludf.DUMMYFUNCTION("""COMPUTED_VALUE""")," 01212782887")</f>
        <v> 01212782887</v>
      </c>
      <c r="K31" t="str">
        <f>IFERROR(__xludf.DUMMYFUNCTION("""COMPUTED_VALUE"""),"nour.samarzohdy@gmail.com")</f>
        <v>nour.samarzohdy@gmail.com</v>
      </c>
      <c r="L31" t="str">
        <f>IFERROR(__xludf.DUMMYFUNCTION("""COMPUTED_VALUE"""),"Samar2000")</f>
        <v>Samar2000</v>
      </c>
      <c r="M31" s="135">
        <f>IFERROR(__xludf.DUMMYFUNCTION("""COMPUTED_VALUE"""),31645.0)</f>
        <v>31645</v>
      </c>
      <c r="N31">
        <f>IFERROR(__xludf.DUMMYFUNCTION("""COMPUTED_VALUE"""),34.0)</f>
        <v>34</v>
      </c>
      <c r="P31" t="str">
        <f>IFERROR(__xludf.DUMMYFUNCTION("""COMPUTED_VALUE"""),"Yes")</f>
        <v>Yes</v>
      </c>
      <c r="Q31" t="str">
        <f>IFERROR(__xludf.DUMMYFUNCTION("""COMPUTED_VALUE"""),"Yes")</f>
        <v>Yes</v>
      </c>
      <c r="S31" t="str">
        <f>IFERROR(__xludf.DUMMYFUNCTION("""COMPUTED_VALUE"""),"Egypt")</f>
        <v>Egypt</v>
      </c>
      <c r="T31" t="str">
        <f>IFERROR(__xludf.DUMMYFUNCTION("""COMPUTED_VALUE"""),"Alexandria")</f>
        <v>Alexandria</v>
      </c>
      <c r="U31" t="str">
        <f>IFERROR(__xludf.DUMMYFUNCTION("""COMPUTED_VALUE"""),"GMT +2")</f>
        <v>GMT +2</v>
      </c>
      <c r="V31" t="str">
        <f>IFERROR(__xludf.DUMMYFUNCTION("""COMPUTED_VALUE"""),"Yes")</f>
        <v>Yes</v>
      </c>
      <c r="W31" t="str">
        <f>IFERROR(__xludf.DUMMYFUNCTION("""COMPUTED_VALUE"""),"Egypt")</f>
        <v>Egypt</v>
      </c>
      <c r="X31" t="str">
        <f>IFERROR(__xludf.DUMMYFUNCTION("""COMPUTED_VALUE"""),"Paid")</f>
        <v>Paid</v>
      </c>
      <c r="Y31" t="str">
        <f>IFERROR(__xludf.DUMMYFUNCTION("""COMPUTED_VALUE"""),"Arabic Letters")</f>
        <v>Arabic Letters</v>
      </c>
      <c r="Z31" t="str">
        <f>IFERROR(__xludf.DUMMYFUNCTION("""COMPUTED_VALUE"""),"Cash")</f>
        <v>Cash</v>
      </c>
      <c r="AA31" s="134"/>
      <c r="AC31" s="136">
        <f>IFERROR(__xludf.DUMMYFUNCTION("""COMPUTED_VALUE"""),43.0)</f>
        <v>43</v>
      </c>
      <c r="AD31">
        <f>IFERROR(__xludf.DUMMYFUNCTION("""COMPUTED_VALUE"""),54.0)</f>
        <v>54</v>
      </c>
      <c r="AE31" s="136">
        <f>IFERROR(__xludf.DUMMYFUNCTION("""COMPUTED_VALUE"""),3.0)</f>
        <v>3</v>
      </c>
      <c r="AF31" s="136">
        <f>IFERROR(__xludf.DUMMYFUNCTION("""COMPUTED_VALUE"""),-14.0)</f>
        <v>-14</v>
      </c>
      <c r="AG31">
        <f>IFERROR(__xludf.DUMMYFUNCTION("""COMPUTED_VALUE"""),-350.0)</f>
        <v>-350</v>
      </c>
      <c r="AH31" s="131">
        <f>IFERROR(__xludf.DUMMYFUNCTION("""COMPUTED_VALUE"""),39.78378378378378)</f>
        <v>39.78378378</v>
      </c>
      <c r="AI31" s="131">
        <f>IFERROR(__xludf.DUMMYFUNCTION("""COMPUTED_VALUE"""),5.0)</f>
        <v>5</v>
      </c>
      <c r="AJ31" s="131">
        <f>IFERROR(__xludf.DUMMYFUNCTION("""COMPUTED_VALUE"""),49.0)</f>
        <v>49</v>
      </c>
      <c r="AK31" s="136" t="str">
        <f>IFERROR(__xludf.DUMMYFUNCTION("""COMPUTED_VALUE"""),"Attended")</f>
        <v>Attended</v>
      </c>
      <c r="AL31" s="136">
        <f>IFERROR(__xludf.DUMMYFUNCTION("""COMPUTED_VALUE"""),49.0)</f>
        <v>49</v>
      </c>
      <c r="AM31" s="136">
        <f>IFERROR(__xludf.DUMMYFUNCTION("""COMPUTED_VALUE"""),37.0)</f>
        <v>37</v>
      </c>
      <c r="AN31" s="136">
        <f>IFERROR(__xludf.DUMMYFUNCTION("""COMPUTED_VALUE"""),37.0)</f>
        <v>37</v>
      </c>
      <c r="AO31" s="136">
        <f>IFERROR(__xludf.DUMMYFUNCTION("""COMPUTED_VALUE"""),3.0)</f>
        <v>3</v>
      </c>
      <c r="AP31" s="136">
        <f>IFERROR(__xludf.DUMMYFUNCTION("""COMPUTED_VALUE"""),0.0)</f>
        <v>0</v>
      </c>
      <c r="AQ31" s="136">
        <f>IFERROR(__xludf.DUMMYFUNCTION("""COMPUTED_VALUE"""),3.0)</f>
        <v>3</v>
      </c>
      <c r="AR31" s="136">
        <f>IFERROR(__xludf.DUMMYFUNCTION("""COMPUTED_VALUE"""),6.0)</f>
        <v>6</v>
      </c>
      <c r="AS31" s="136">
        <f>IFERROR(__xludf.DUMMYFUNCTION("""COMPUTED_VALUE"""),93.47826086956522)</f>
        <v>93.47826087</v>
      </c>
      <c r="AT31" s="131">
        <f>IFERROR(__xludf.DUMMYFUNCTION("""COMPUTED_VALUE"""),6.122448979591836)</f>
        <v>6.12244898</v>
      </c>
      <c r="AU31" s="131">
        <f>IFERROR(__xludf.DUMMYFUNCTION("""COMPUTED_VALUE"""),0.0)</f>
        <v>0</v>
      </c>
      <c r="AV31" s="131">
        <f>IFERROR(__xludf.DUMMYFUNCTION("""COMPUTED_VALUE"""),6.122448979591836)</f>
        <v>6.12244898</v>
      </c>
      <c r="AW31" s="131">
        <f>IFERROR(__xludf.DUMMYFUNCTION("""COMPUTED_VALUE"""),12.244897959183673)</f>
        <v>12.24489796</v>
      </c>
      <c r="AX31" s="131">
        <f>IFERROR(__xludf.DUMMYFUNCTION("""COMPUTED_VALUE"""),87.75510204081633)</f>
        <v>87.75510204</v>
      </c>
      <c r="AY31" s="131">
        <f>IFERROR(__xludf.DUMMYFUNCTION("""COMPUTED_VALUE"""),0.0)</f>
        <v>0</v>
      </c>
      <c r="AZ31" s="131">
        <f>IFERROR(__xludf.DUMMYFUNCTION("""COMPUTED_VALUE"""),0.0)</f>
        <v>0</v>
      </c>
      <c r="BA31" s="131">
        <f>IFERROR(__xludf.DUMMYFUNCTION("""COMPUTED_VALUE"""),0.0)</f>
        <v>0</v>
      </c>
      <c r="BB31" s="131">
        <f>IFERROR(__xludf.DUMMYFUNCTION("""COMPUTED_VALUE"""),0.0)</f>
        <v>0</v>
      </c>
      <c r="BC31" s="131" t="str">
        <f>IFERROR(__xludf.DUMMYFUNCTION("""COMPUTED_VALUE"""),"#DIV/0!")</f>
        <v>#DIV/0!</v>
      </c>
      <c r="BD31" s="131" t="str">
        <f>IFERROR(__xludf.DUMMYFUNCTION("""COMPUTED_VALUE"""),"#DIV/0!")</f>
        <v>#DIV/0!</v>
      </c>
      <c r="BE31" s="131" t="str">
        <f>IFERROR(__xludf.DUMMYFUNCTION("""COMPUTED_VALUE"""),"#DIV/0!")</f>
        <v>#DIV/0!</v>
      </c>
    </row>
    <row r="32">
      <c r="A32" t="str">
        <f>IFERROR(__xludf.DUMMYFUNCTION("""COMPUTED_VALUE"""),"TEA124")</f>
        <v>TEA124</v>
      </c>
      <c r="B32" t="str">
        <f>IFERROR(__xludf.DUMMYFUNCTION("""COMPUTED_VALUE"""),"Ali Kassem")</f>
        <v>Ali Kassem</v>
      </c>
      <c r="C32" t="str">
        <f>IFERROR(__xludf.DUMMYFUNCTION("""COMPUTED_VALUE"""),"""1pNOsOLytYsZUneoTLw7CCmFxHkhZJ5XZmnY0FVEVDzc""")</f>
        <v>"1pNOsOLytYsZUneoTLw7CCmFxHkhZJ5XZmnY0FVEVDzc"</v>
      </c>
      <c r="D32" t="str">
        <f>IFERROR(__xludf.DUMMYFUNCTION("""COMPUTED_VALUE"""),"Active")</f>
        <v>Active</v>
      </c>
      <c r="E32" t="str">
        <f>IFERROR(__xludf.DUMMYFUNCTION("""COMPUTED_VALUE"""),"Male")</f>
        <v>Male</v>
      </c>
      <c r="F32" s="132">
        <f>IFERROR(__xludf.DUMMYFUNCTION("""COMPUTED_VALUE"""),43569.0)</f>
        <v>43569</v>
      </c>
      <c r="G32" s="133"/>
      <c r="H32" s="131">
        <f>IFERROR(__xludf.DUMMYFUNCTION("""COMPUTED_VALUE"""),22.43421052631579)</f>
        <v>22.43421053</v>
      </c>
      <c r="I32" t="str">
        <f>IFERROR(__xludf.DUMMYFUNCTION("""COMPUTED_VALUE"""),"Kassemali075@gmail.com")</f>
        <v>Kassemali075@gmail.com</v>
      </c>
      <c r="J32" s="134" t="str">
        <f>IFERROR(__xludf.DUMMYFUNCTION("""COMPUTED_VALUE"""),"01201920396//01205008723")</f>
        <v>01201920396//01205008723</v>
      </c>
      <c r="K32" t="str">
        <f>IFERROR(__xludf.DUMMYFUNCTION("""COMPUTED_VALUE"""),"nour.alikassem@gmail.com")</f>
        <v>nour.alikassem@gmail.com</v>
      </c>
      <c r="L32" t="str">
        <f>IFERROR(__xludf.DUMMYFUNCTION("""COMPUTED_VALUE"""),"Kassem83")</f>
        <v>Kassem83</v>
      </c>
      <c r="M32" s="135">
        <f>IFERROR(__xludf.DUMMYFUNCTION("""COMPUTED_VALUE"""),34182.0)</f>
        <v>34182</v>
      </c>
      <c r="N32">
        <f>IFERROR(__xludf.DUMMYFUNCTION("""COMPUTED_VALUE"""),27.0)</f>
        <v>27</v>
      </c>
      <c r="O32" t="str">
        <f>IFERROR(__xludf.DUMMYFUNCTION("""COMPUTED_VALUE"""),"Single")</f>
        <v>Single</v>
      </c>
      <c r="P32" t="str">
        <f>IFERROR(__xludf.DUMMYFUNCTION("""COMPUTED_VALUE"""),"Yes")</f>
        <v>Yes</v>
      </c>
      <c r="Q32" t="str">
        <f>IFERROR(__xludf.DUMMYFUNCTION("""COMPUTED_VALUE"""),"Yes")</f>
        <v>Yes</v>
      </c>
      <c r="S32" t="str">
        <f>IFERROR(__xludf.DUMMYFUNCTION("""COMPUTED_VALUE"""),"Egypt")</f>
        <v>Egypt</v>
      </c>
      <c r="T32" t="str">
        <f>IFERROR(__xludf.DUMMYFUNCTION("""COMPUTED_VALUE"""),"Damanhûr")</f>
        <v>Damanhûr</v>
      </c>
      <c r="U32" t="str">
        <f>IFERROR(__xludf.DUMMYFUNCTION("""COMPUTED_VALUE"""),"GMT +2")</f>
        <v>GMT +2</v>
      </c>
      <c r="V32" t="str">
        <f>IFERROR(__xludf.DUMMYFUNCTION("""COMPUTED_VALUE"""),"No")</f>
        <v>No</v>
      </c>
      <c r="W32" t="str">
        <f>IFERROR(__xludf.DUMMYFUNCTION("""COMPUTED_VALUE"""),"Egypt")</f>
        <v>Egypt</v>
      </c>
      <c r="X32" t="str">
        <f>IFERROR(__xludf.DUMMYFUNCTION("""COMPUTED_VALUE"""),"Paid")</f>
        <v>Paid</v>
      </c>
      <c r="Y32" t="str">
        <f>IFERROR(__xludf.DUMMYFUNCTION("""COMPUTED_VALUE"""),"Arabic Letters")</f>
        <v>Arabic Letters</v>
      </c>
      <c r="Z32" t="str">
        <f>IFERROR(__xludf.DUMMYFUNCTION("""COMPUTED_VALUE"""),"Cash")</f>
        <v>Cash</v>
      </c>
      <c r="AA32" s="134"/>
      <c r="AC32" s="136">
        <f>IFERROR(__xludf.DUMMYFUNCTION("""COMPUTED_VALUE"""),1.0)</f>
        <v>1</v>
      </c>
      <c r="AE32" s="136">
        <f>IFERROR(__xludf.DUMMYFUNCTION("""COMPUTED_VALUE"""),0.0)</f>
        <v>0</v>
      </c>
      <c r="AF32" s="136">
        <f>IFERROR(__xludf.DUMMYFUNCTION("""COMPUTED_VALUE"""),1.0)</f>
        <v>1</v>
      </c>
      <c r="AG32">
        <f>IFERROR(__xludf.DUMMYFUNCTION("""COMPUTED_VALUE"""),50.0)</f>
        <v>50</v>
      </c>
      <c r="AH32" s="131">
        <f>IFERROR(__xludf.DUMMYFUNCTION("""COMPUTED_VALUE"""),60.0)</f>
        <v>60</v>
      </c>
      <c r="AI32" s="131">
        <f>IFERROR(__xludf.DUMMYFUNCTION("""COMPUTED_VALUE"""),1.0)</f>
        <v>1</v>
      </c>
      <c r="AJ32" s="131">
        <f>IFERROR(__xludf.DUMMYFUNCTION("""COMPUTED_VALUE"""),1.0)</f>
        <v>1</v>
      </c>
      <c r="AK32" s="136" t="str">
        <f>IFERROR(__xludf.DUMMYFUNCTION("""COMPUTED_VALUE"""),"Attended")</f>
        <v>Attended</v>
      </c>
      <c r="AL32" s="136">
        <f>IFERROR(__xludf.DUMMYFUNCTION("""COMPUTED_VALUE"""),1.0)</f>
        <v>1</v>
      </c>
      <c r="AM32" s="136">
        <f>IFERROR(__xludf.DUMMYFUNCTION("""COMPUTED_VALUE"""),1.0)</f>
        <v>1</v>
      </c>
      <c r="AN32" s="136">
        <f>IFERROR(__xludf.DUMMYFUNCTION("""COMPUTED_VALUE"""),1.0)</f>
        <v>1</v>
      </c>
      <c r="AO32" s="136">
        <f>IFERROR(__xludf.DUMMYFUNCTION("""COMPUTED_VALUE"""),0.0)</f>
        <v>0</v>
      </c>
      <c r="AP32" s="136">
        <f>IFERROR(__xludf.DUMMYFUNCTION("""COMPUTED_VALUE"""),0.0)</f>
        <v>0</v>
      </c>
      <c r="AQ32" s="136">
        <f>IFERROR(__xludf.DUMMYFUNCTION("""COMPUTED_VALUE"""),0.0)</f>
        <v>0</v>
      </c>
      <c r="AR32" s="136">
        <f>IFERROR(__xludf.DUMMYFUNCTION("""COMPUTED_VALUE"""),0.0)</f>
        <v>0</v>
      </c>
      <c r="AS32" s="136">
        <f>IFERROR(__xludf.DUMMYFUNCTION("""COMPUTED_VALUE"""),100.0)</f>
        <v>100</v>
      </c>
      <c r="AT32" s="131">
        <f>IFERROR(__xludf.DUMMYFUNCTION("""COMPUTED_VALUE"""),0.0)</f>
        <v>0</v>
      </c>
      <c r="AU32" s="131">
        <f>IFERROR(__xludf.DUMMYFUNCTION("""COMPUTED_VALUE"""),0.0)</f>
        <v>0</v>
      </c>
      <c r="AV32" s="131">
        <f>IFERROR(__xludf.DUMMYFUNCTION("""COMPUTED_VALUE"""),0.0)</f>
        <v>0</v>
      </c>
      <c r="AW32" s="131">
        <f>IFERROR(__xludf.DUMMYFUNCTION("""COMPUTED_VALUE"""),0.0)</f>
        <v>0</v>
      </c>
      <c r="AX32" s="131">
        <f>IFERROR(__xludf.DUMMYFUNCTION("""COMPUTED_VALUE"""),100.0)</f>
        <v>100</v>
      </c>
      <c r="AY32" s="131">
        <f>IFERROR(__xludf.DUMMYFUNCTION("""COMPUTED_VALUE"""),0.0)</f>
        <v>0</v>
      </c>
      <c r="AZ32" s="131">
        <f>IFERROR(__xludf.DUMMYFUNCTION("""COMPUTED_VALUE"""),0.0)</f>
        <v>0</v>
      </c>
      <c r="BA32" s="131">
        <f>IFERROR(__xludf.DUMMYFUNCTION("""COMPUTED_VALUE"""),0.0)</f>
        <v>0</v>
      </c>
      <c r="BB32" s="131">
        <f>IFERROR(__xludf.DUMMYFUNCTION("""COMPUTED_VALUE"""),0.0)</f>
        <v>0</v>
      </c>
      <c r="BC32" s="131" t="str">
        <f>IFERROR(__xludf.DUMMYFUNCTION("""COMPUTED_VALUE"""),"#DIV/0!")</f>
        <v>#DIV/0!</v>
      </c>
      <c r="BD32" s="131" t="str">
        <f>IFERROR(__xludf.DUMMYFUNCTION("""COMPUTED_VALUE"""),"#DIV/0!")</f>
        <v>#DIV/0!</v>
      </c>
      <c r="BE32" s="131" t="str">
        <f>IFERROR(__xludf.DUMMYFUNCTION("""COMPUTED_VALUE"""),"#DIV/0!")</f>
        <v>#DIV/0!</v>
      </c>
    </row>
    <row r="33">
      <c r="A33" t="str">
        <f>IFERROR(__xludf.DUMMYFUNCTION("""COMPUTED_VALUE"""),"TEA125")</f>
        <v>TEA125</v>
      </c>
      <c r="B33" t="str">
        <f>IFERROR(__xludf.DUMMYFUNCTION("""COMPUTED_VALUE"""),"Belal Desouky")</f>
        <v>Belal Desouky</v>
      </c>
      <c r="C33" t="str">
        <f>IFERROR(__xludf.DUMMYFUNCTION("""COMPUTED_VALUE"""),"""19v39Fl9kCiwORRnr6vSzDnDsC37aUboesDKbZw-aSE0""")</f>
        <v>"19v39Fl9kCiwORRnr6vSzDnDsC37aUboesDKbZw-aSE0"</v>
      </c>
      <c r="D33" t="str">
        <f>IFERROR(__xludf.DUMMYFUNCTION("""COMPUTED_VALUE"""),"Active")</f>
        <v>Active</v>
      </c>
      <c r="E33" t="str">
        <f>IFERROR(__xludf.DUMMYFUNCTION("""COMPUTED_VALUE"""),"Male")</f>
        <v>Male</v>
      </c>
      <c r="F33" s="132">
        <f>IFERROR(__xludf.DUMMYFUNCTION("""COMPUTED_VALUE"""),43967.0)</f>
        <v>43967</v>
      </c>
      <c r="G33" s="133"/>
      <c r="H33" s="131">
        <f>IFERROR(__xludf.DUMMYFUNCTION("""COMPUTED_VALUE"""),9.342105263157896)</f>
        <v>9.342105263</v>
      </c>
      <c r="I33" t="str">
        <f>IFERROR(__xludf.DUMMYFUNCTION("""COMPUTED_VALUE"""),"bali53564@gmail.com")</f>
        <v>bali53564@gmail.com</v>
      </c>
      <c r="J33" s="134" t="str">
        <f>IFERROR(__xludf.DUMMYFUNCTION("""COMPUTED_VALUE"""),"01116784533 _ 01271213907 _ 035180750 ")</f>
        <v>01116784533 _ 01271213907 _ 035180750 </v>
      </c>
      <c r="K33" t="str">
        <f>IFERROR(__xludf.DUMMYFUNCTION("""COMPUTED_VALUE"""),"nour.belaldesouky@gmail.com")</f>
        <v>nour.belaldesouky@gmail.com</v>
      </c>
      <c r="L33" t="str">
        <f>IFERROR(__xludf.DUMMYFUNCTION("""COMPUTED_VALUE"""),"Desouky95")</f>
        <v>Desouky95</v>
      </c>
      <c r="M33" s="135">
        <f>IFERROR(__xludf.DUMMYFUNCTION("""COMPUTED_VALUE"""),34736.0)</f>
        <v>34736</v>
      </c>
      <c r="N33">
        <f>IFERROR(__xludf.DUMMYFUNCTION("""COMPUTED_VALUE"""),26.0)</f>
        <v>26</v>
      </c>
      <c r="S33" t="str">
        <f>IFERROR(__xludf.DUMMYFUNCTION("""COMPUTED_VALUE"""),"Egypt")</f>
        <v>Egypt</v>
      </c>
      <c r="T33" t="str">
        <f>IFERROR(__xludf.DUMMYFUNCTION("""COMPUTED_VALUE"""),"Alexandria")</f>
        <v>Alexandria</v>
      </c>
      <c r="U33" t="str">
        <f>IFERROR(__xludf.DUMMYFUNCTION("""COMPUTED_VALUE"""),"GMT +2")</f>
        <v>GMT +2</v>
      </c>
      <c r="V33" t="str">
        <f>IFERROR(__xludf.DUMMYFUNCTION("""COMPUTED_VALUE"""),"No")</f>
        <v>No</v>
      </c>
      <c r="W33" t="str">
        <f>IFERROR(__xludf.DUMMYFUNCTION("""COMPUTED_VALUE"""),"Egypt")</f>
        <v>Egypt</v>
      </c>
      <c r="X33" t="str">
        <f>IFERROR(__xludf.DUMMYFUNCTION("""COMPUTED_VALUE"""),"Paid")</f>
        <v>Paid</v>
      </c>
      <c r="Y33" t="str">
        <f>IFERROR(__xludf.DUMMYFUNCTION("""COMPUTED_VALUE"""),"Arabic Letters")</f>
        <v>Arabic Letters</v>
      </c>
      <c r="Z33" t="str">
        <f>IFERROR(__xludf.DUMMYFUNCTION("""COMPUTED_VALUE"""),"Cash")</f>
        <v>Cash</v>
      </c>
      <c r="AA33" s="134" t="str">
        <f>IFERROR(__xludf.DUMMYFUNCTION("""COMPUTED_VALUE"""),"01066514970")</f>
        <v>01066514970</v>
      </c>
      <c r="AC33" s="136">
        <f>IFERROR(__xludf.DUMMYFUNCTION("""COMPUTED_VALUE"""),120.0)</f>
        <v>120</v>
      </c>
      <c r="AD33">
        <f>IFERROR(__xludf.DUMMYFUNCTION("""COMPUTED_VALUE"""),64.0)</f>
        <v>64</v>
      </c>
      <c r="AE33" s="136">
        <f>IFERROR(__xludf.DUMMYFUNCTION("""COMPUTED_VALUE"""),8.0)</f>
        <v>8</v>
      </c>
      <c r="AF33" s="136">
        <f>IFERROR(__xludf.DUMMYFUNCTION("""COMPUTED_VALUE"""),48.0)</f>
        <v>48</v>
      </c>
      <c r="AG33">
        <f>IFERROR(__xludf.DUMMYFUNCTION("""COMPUTED_VALUE"""),1200.0)</f>
        <v>1200</v>
      </c>
      <c r="AH33" s="131">
        <f>IFERROR(__xludf.DUMMYFUNCTION("""COMPUTED_VALUE"""),29.725274725274726)</f>
        <v>29.72527473</v>
      </c>
      <c r="AI33" s="131">
        <f>IFERROR(__xludf.DUMMYFUNCTION("""COMPUTED_VALUE"""),10.0)</f>
        <v>10</v>
      </c>
      <c r="AJ33" s="131">
        <f>IFERROR(__xludf.DUMMYFUNCTION("""COMPUTED_VALUE"""),134.0)</f>
        <v>134</v>
      </c>
      <c r="AK33" s="136" t="str">
        <f>IFERROR(__xludf.DUMMYFUNCTION("""COMPUTED_VALUE"""),"Attended")</f>
        <v>Attended</v>
      </c>
      <c r="AL33" s="136">
        <f>IFERROR(__xludf.DUMMYFUNCTION("""COMPUTED_VALUE"""),134.0)</f>
        <v>134</v>
      </c>
      <c r="AM33" s="136">
        <f>IFERROR(__xludf.DUMMYFUNCTION("""COMPUTED_VALUE"""),94.0)</f>
        <v>94</v>
      </c>
      <c r="AN33" s="136">
        <f>IFERROR(__xludf.DUMMYFUNCTION("""COMPUTED_VALUE"""),94.0)</f>
        <v>94</v>
      </c>
      <c r="AO33" s="136">
        <f>IFERROR(__xludf.DUMMYFUNCTION("""COMPUTED_VALUE"""),8.0)</f>
        <v>8</v>
      </c>
      <c r="AP33" s="136">
        <f>IFERROR(__xludf.DUMMYFUNCTION("""COMPUTED_VALUE"""),0.0)</f>
        <v>0</v>
      </c>
      <c r="AQ33" s="136">
        <f>IFERROR(__xludf.DUMMYFUNCTION("""COMPUTED_VALUE"""),6.0)</f>
        <v>6</v>
      </c>
      <c r="AR33" s="136">
        <f>IFERROR(__xludf.DUMMYFUNCTION("""COMPUTED_VALUE"""),26.0)</f>
        <v>26</v>
      </c>
      <c r="AS33" s="136">
        <f>IFERROR(__xludf.DUMMYFUNCTION("""COMPUTED_VALUE"""),93.75)</f>
        <v>93.75</v>
      </c>
      <c r="AT33" s="131">
        <f>IFERROR(__xludf.DUMMYFUNCTION("""COMPUTED_VALUE"""),5.970149253731343)</f>
        <v>5.970149254</v>
      </c>
      <c r="AU33" s="131">
        <f>IFERROR(__xludf.DUMMYFUNCTION("""COMPUTED_VALUE"""),0.0)</f>
        <v>0</v>
      </c>
      <c r="AV33" s="131">
        <f>IFERROR(__xludf.DUMMYFUNCTION("""COMPUTED_VALUE"""),4.477611940298507)</f>
        <v>4.47761194</v>
      </c>
      <c r="AW33" s="131">
        <f>IFERROR(__xludf.DUMMYFUNCTION("""COMPUTED_VALUE"""),19.402985074626866)</f>
        <v>19.40298507</v>
      </c>
      <c r="AX33" s="131">
        <f>IFERROR(__xludf.DUMMYFUNCTION("""COMPUTED_VALUE"""),89.55223880597015)</f>
        <v>89.55223881</v>
      </c>
      <c r="AY33" s="131">
        <f>IFERROR(__xludf.DUMMYFUNCTION("""COMPUTED_VALUE"""),0.0)</f>
        <v>0</v>
      </c>
      <c r="AZ33" s="131">
        <f>IFERROR(__xludf.DUMMYFUNCTION("""COMPUTED_VALUE"""),0.0)</f>
        <v>0</v>
      </c>
      <c r="BA33" s="131">
        <f>IFERROR(__xludf.DUMMYFUNCTION("""COMPUTED_VALUE"""),0.0)</f>
        <v>0</v>
      </c>
      <c r="BB33" s="131">
        <f>IFERROR(__xludf.DUMMYFUNCTION("""COMPUTED_VALUE"""),0.0)</f>
        <v>0</v>
      </c>
      <c r="BC33" s="131" t="str">
        <f>IFERROR(__xludf.DUMMYFUNCTION("""COMPUTED_VALUE"""),"#DIV/0!")</f>
        <v>#DIV/0!</v>
      </c>
      <c r="BD33" s="131" t="str">
        <f>IFERROR(__xludf.DUMMYFUNCTION("""COMPUTED_VALUE"""),"#DIV/0!")</f>
        <v>#DIV/0!</v>
      </c>
      <c r="BE33" s="131" t="str">
        <f>IFERROR(__xludf.DUMMYFUNCTION("""COMPUTED_VALUE"""),"#DIV/0!")</f>
        <v>#DIV/0!</v>
      </c>
    </row>
    <row r="34">
      <c r="A34" t="str">
        <f>IFERROR(__xludf.DUMMYFUNCTION("""COMPUTED_VALUE"""),"TEA126")</f>
        <v>TEA126</v>
      </c>
      <c r="B34" t="str">
        <f>IFERROR(__xludf.DUMMYFUNCTION("""COMPUTED_VALUE"""),"Shaimaa Nabil")</f>
        <v>Shaimaa Nabil</v>
      </c>
      <c r="C34" t="str">
        <f>IFERROR(__xludf.DUMMYFUNCTION("""COMPUTED_VALUE"""),"""1QJRShdgwcjtiyWLiUGKVJQ43ZuOWVfSXUWqz4Y8qplE""")</f>
        <v>"1QJRShdgwcjtiyWLiUGKVJQ43ZuOWVfSXUWqz4Y8qplE"</v>
      </c>
      <c r="D34" t="str">
        <f>IFERROR(__xludf.DUMMYFUNCTION("""COMPUTED_VALUE"""),"Active")</f>
        <v>Active</v>
      </c>
      <c r="E34" t="str">
        <f>IFERROR(__xludf.DUMMYFUNCTION("""COMPUTED_VALUE"""),"Female")</f>
        <v>Female</v>
      </c>
      <c r="F34" s="132">
        <f>IFERROR(__xludf.DUMMYFUNCTION("""COMPUTED_VALUE"""),43417.0)</f>
        <v>43417</v>
      </c>
      <c r="G34" s="133"/>
      <c r="H34" s="131">
        <f>IFERROR(__xludf.DUMMYFUNCTION("""COMPUTED_VALUE"""),27.43421052631579)</f>
        <v>27.43421053</v>
      </c>
      <c r="I34" t="str">
        <f>IFERROR(__xludf.DUMMYFUNCTION("""COMPUTED_VALUE"""),"shimaa.nabil91@gmail.com")</f>
        <v>shimaa.nabil91@gmail.com</v>
      </c>
      <c r="J34" s="134" t="str">
        <f>IFERROR(__xludf.DUMMYFUNCTION("""COMPUTED_VALUE"""),"01220637792")</f>
        <v>01220637792</v>
      </c>
      <c r="K34" t="str">
        <f>IFERROR(__xludf.DUMMYFUNCTION("""COMPUTED_VALUE"""),"nour.shaimaanabil@gmail.com")</f>
        <v>nour.shaimaanabil@gmail.com</v>
      </c>
      <c r="L34" t="str">
        <f>IFERROR(__xludf.DUMMYFUNCTION("""COMPUTED_VALUE"""),"Shaimaa91")</f>
        <v>Shaimaa91</v>
      </c>
      <c r="M34" s="135">
        <f>IFERROR(__xludf.DUMMYFUNCTION("""COMPUTED_VALUE"""),33239.0)</f>
        <v>33239</v>
      </c>
      <c r="N34">
        <f>IFERROR(__xludf.DUMMYFUNCTION("""COMPUTED_VALUE"""),30.0)</f>
        <v>30</v>
      </c>
      <c r="P34" t="str">
        <f>IFERROR(__xludf.DUMMYFUNCTION("""COMPUTED_VALUE"""),"Yes")</f>
        <v>Yes</v>
      </c>
      <c r="Q34" t="str">
        <f>IFERROR(__xludf.DUMMYFUNCTION("""COMPUTED_VALUE"""),"Yes")</f>
        <v>Yes</v>
      </c>
      <c r="S34" t="str">
        <f>IFERROR(__xludf.DUMMYFUNCTION("""COMPUTED_VALUE"""),"Egypt")</f>
        <v>Egypt</v>
      </c>
      <c r="T34" t="str">
        <f>IFERROR(__xludf.DUMMYFUNCTION("""COMPUTED_VALUE"""),"Alexandria")</f>
        <v>Alexandria</v>
      </c>
      <c r="U34" t="str">
        <f>IFERROR(__xludf.DUMMYFUNCTION("""COMPUTED_VALUE"""),"GMT +2")</f>
        <v>GMT +2</v>
      </c>
      <c r="V34" t="str">
        <f>IFERROR(__xludf.DUMMYFUNCTION("""COMPUTED_VALUE"""),"No")</f>
        <v>No</v>
      </c>
      <c r="W34" t="str">
        <f>IFERROR(__xludf.DUMMYFUNCTION("""COMPUTED_VALUE"""),"Egypt")</f>
        <v>Egypt</v>
      </c>
      <c r="X34" t="str">
        <f>IFERROR(__xludf.DUMMYFUNCTION("""COMPUTED_VALUE"""),"Paid")</f>
        <v>Paid</v>
      </c>
      <c r="Y34" t="str">
        <f>IFERROR(__xludf.DUMMYFUNCTION("""COMPUTED_VALUE"""),"Arabic Letters")</f>
        <v>Arabic Letters</v>
      </c>
      <c r="Z34" t="str">
        <f>IFERROR(__xludf.DUMMYFUNCTION("""COMPUTED_VALUE"""),"Cash")</f>
        <v>Cash</v>
      </c>
      <c r="AA34" s="134"/>
      <c r="AC34" s="136">
        <f>IFERROR(__xludf.DUMMYFUNCTION("""COMPUTED_VALUE"""),133.0)</f>
        <v>133</v>
      </c>
      <c r="AD34">
        <f>IFERROR(__xludf.DUMMYFUNCTION("""COMPUTED_VALUE"""),96.0)</f>
        <v>96</v>
      </c>
      <c r="AE34" s="136">
        <f>IFERROR(__xludf.DUMMYFUNCTION("""COMPUTED_VALUE"""),0.0)</f>
        <v>0</v>
      </c>
      <c r="AF34" s="136">
        <f>IFERROR(__xludf.DUMMYFUNCTION("""COMPUTED_VALUE"""),37.0)</f>
        <v>37</v>
      </c>
      <c r="AG34">
        <f>IFERROR(__xludf.DUMMYFUNCTION("""COMPUTED_VALUE"""),925.0)</f>
        <v>925</v>
      </c>
      <c r="AH34" s="131">
        <f>IFERROR(__xludf.DUMMYFUNCTION("""COMPUTED_VALUE"""),35.588235294117645)</f>
        <v>35.58823529</v>
      </c>
      <c r="AI34" s="131">
        <f>IFERROR(__xludf.DUMMYFUNCTION("""COMPUTED_VALUE"""),5.0)</f>
        <v>5</v>
      </c>
      <c r="AJ34" s="131">
        <f>IFERROR(__xludf.DUMMYFUNCTION("""COMPUTED_VALUE"""),139.0)</f>
        <v>139</v>
      </c>
      <c r="AK34" s="136" t="str">
        <f>IFERROR(__xludf.DUMMYFUNCTION("""COMPUTED_VALUE"""),"Attended")</f>
        <v>Attended</v>
      </c>
      <c r="AL34" s="136">
        <f>IFERROR(__xludf.DUMMYFUNCTION("""COMPUTED_VALUE"""),139.0)</f>
        <v>139</v>
      </c>
      <c r="AM34" s="136">
        <f>IFERROR(__xludf.DUMMYFUNCTION("""COMPUTED_VALUE"""),111.0)</f>
        <v>111</v>
      </c>
      <c r="AN34" s="136">
        <f>IFERROR(__xludf.DUMMYFUNCTION("""COMPUTED_VALUE"""),111.0)</f>
        <v>111</v>
      </c>
      <c r="AO34" s="136">
        <f>IFERROR(__xludf.DUMMYFUNCTION("""COMPUTED_VALUE"""),0.0)</f>
        <v>0</v>
      </c>
      <c r="AP34" s="136">
        <f>IFERROR(__xludf.DUMMYFUNCTION("""COMPUTED_VALUE"""),0.0)</f>
        <v>0</v>
      </c>
      <c r="AQ34" s="136">
        <f>IFERROR(__xludf.DUMMYFUNCTION("""COMPUTED_VALUE"""),6.0)</f>
        <v>6</v>
      </c>
      <c r="AR34" s="136">
        <f>IFERROR(__xludf.DUMMYFUNCTION("""COMPUTED_VALUE"""),22.0)</f>
        <v>22</v>
      </c>
      <c r="AS34" s="136">
        <f>IFERROR(__xludf.DUMMYFUNCTION("""COMPUTED_VALUE"""),100.0)</f>
        <v>100</v>
      </c>
      <c r="AT34" s="131">
        <f>IFERROR(__xludf.DUMMYFUNCTION("""COMPUTED_VALUE"""),0.0)</f>
        <v>0</v>
      </c>
      <c r="AU34" s="131">
        <f>IFERROR(__xludf.DUMMYFUNCTION("""COMPUTED_VALUE"""),0.0)</f>
        <v>0</v>
      </c>
      <c r="AV34" s="131">
        <f>IFERROR(__xludf.DUMMYFUNCTION("""COMPUTED_VALUE"""),4.316546762589928)</f>
        <v>4.316546763</v>
      </c>
      <c r="AW34" s="131">
        <f>IFERROR(__xludf.DUMMYFUNCTION("""COMPUTED_VALUE"""),15.827338129496402)</f>
        <v>15.82733813</v>
      </c>
      <c r="AX34" s="131">
        <f>IFERROR(__xludf.DUMMYFUNCTION("""COMPUTED_VALUE"""),95.68345323741008)</f>
        <v>95.68345324</v>
      </c>
      <c r="AY34" s="131">
        <f>IFERROR(__xludf.DUMMYFUNCTION("""COMPUTED_VALUE"""),0.0)</f>
        <v>0</v>
      </c>
      <c r="AZ34" s="131">
        <f>IFERROR(__xludf.DUMMYFUNCTION("""COMPUTED_VALUE"""),0.0)</f>
        <v>0</v>
      </c>
      <c r="BA34" s="131">
        <f>IFERROR(__xludf.DUMMYFUNCTION("""COMPUTED_VALUE"""),0.0)</f>
        <v>0</v>
      </c>
      <c r="BB34" s="131">
        <f>IFERROR(__xludf.DUMMYFUNCTION("""COMPUTED_VALUE"""),0.0)</f>
        <v>0</v>
      </c>
      <c r="BC34" s="131" t="str">
        <f>IFERROR(__xludf.DUMMYFUNCTION("""COMPUTED_VALUE"""),"#DIV/0!")</f>
        <v>#DIV/0!</v>
      </c>
      <c r="BD34" s="131" t="str">
        <f>IFERROR(__xludf.DUMMYFUNCTION("""COMPUTED_VALUE"""),"#DIV/0!")</f>
        <v>#DIV/0!</v>
      </c>
      <c r="BE34" s="131" t="str">
        <f>IFERROR(__xludf.DUMMYFUNCTION("""COMPUTED_VALUE"""),"#DIV/0!")</f>
        <v>#DIV/0!</v>
      </c>
    </row>
    <row r="35">
      <c r="A35" t="str">
        <f>IFERROR(__xludf.DUMMYFUNCTION("""COMPUTED_VALUE"""),"TEA127")</f>
        <v>TEA127</v>
      </c>
      <c r="B35" t="str">
        <f>IFERROR(__xludf.DUMMYFUNCTION("""COMPUTED_VALUE"""),"Manal Saad El Deen")</f>
        <v>Manal Saad El Deen</v>
      </c>
      <c r="C35" t="str">
        <f>IFERROR(__xludf.DUMMYFUNCTION("""COMPUTED_VALUE"""),"""1BVxJJPRGc4ReMVtqAT0pNmK6ltf7MnlKMzldqE8hO4g""")</f>
        <v>"1BVxJJPRGc4ReMVtqAT0pNmK6ltf7MnlKMzldqE8hO4g"</v>
      </c>
      <c r="D35" t="str">
        <f>IFERROR(__xludf.DUMMYFUNCTION("""COMPUTED_VALUE"""),"Active")</f>
        <v>Active</v>
      </c>
      <c r="E35" t="str">
        <f>IFERROR(__xludf.DUMMYFUNCTION("""COMPUTED_VALUE"""),"Female")</f>
        <v>Female</v>
      </c>
      <c r="F35" s="132">
        <f>IFERROR(__xludf.DUMMYFUNCTION("""COMPUTED_VALUE"""),43927.0)</f>
        <v>43927</v>
      </c>
      <c r="G35" s="133"/>
      <c r="H35" s="131">
        <f>IFERROR(__xludf.DUMMYFUNCTION("""COMPUTED_VALUE"""),10.657894736842106)</f>
        <v>10.65789474</v>
      </c>
      <c r="I35" t="str">
        <f>IFERROR(__xludf.DUMMYFUNCTION("""COMPUTED_VALUE"""),"bwaroo617@gmail.com")</f>
        <v>bwaroo617@gmail.com</v>
      </c>
      <c r="J35" s="134" t="str">
        <f>IFERROR(__xludf.DUMMYFUNCTION("""COMPUTED_VALUE"""),"01064466487")</f>
        <v>01064466487</v>
      </c>
      <c r="K35" t="str">
        <f>IFERROR(__xludf.DUMMYFUNCTION("""COMPUTED_VALUE"""),"nour.manalsaadeldeen@gmail.com")</f>
        <v>nour.manalsaadeldeen@gmail.com</v>
      </c>
      <c r="L35" t="str">
        <f>IFERROR(__xludf.DUMMYFUNCTION("""COMPUTED_VALUE"""),"Saadeldeen86")</f>
        <v>Saadeldeen86</v>
      </c>
      <c r="M35" s="135">
        <f>IFERROR(__xludf.DUMMYFUNCTION("""COMPUTED_VALUE"""),31644.0)</f>
        <v>31644</v>
      </c>
      <c r="N35">
        <f>IFERROR(__xludf.DUMMYFUNCTION("""COMPUTED_VALUE"""),34.0)</f>
        <v>34</v>
      </c>
      <c r="O35" t="str">
        <f>IFERROR(__xludf.DUMMYFUNCTION("""COMPUTED_VALUE"""),"Married")</f>
        <v>Married</v>
      </c>
      <c r="P35" t="str">
        <f>IFERROR(__xludf.DUMMYFUNCTION("""COMPUTED_VALUE"""),"Yes")</f>
        <v>Yes</v>
      </c>
      <c r="Q35" t="str">
        <f>IFERROR(__xludf.DUMMYFUNCTION("""COMPUTED_VALUE"""),"No")</f>
        <v>No</v>
      </c>
      <c r="S35" t="str">
        <f>IFERROR(__xludf.DUMMYFUNCTION("""COMPUTED_VALUE"""),"Egypt")</f>
        <v>Egypt</v>
      </c>
      <c r="T35" t="str">
        <f>IFERROR(__xludf.DUMMYFUNCTION("""COMPUTED_VALUE"""),"Alexandria")</f>
        <v>Alexandria</v>
      </c>
      <c r="U35" t="str">
        <f>IFERROR(__xludf.DUMMYFUNCTION("""COMPUTED_VALUE"""),"GMT +2")</f>
        <v>GMT +2</v>
      </c>
      <c r="V35" t="str">
        <f>IFERROR(__xludf.DUMMYFUNCTION("""COMPUTED_VALUE"""),"Yes")</f>
        <v>Yes</v>
      </c>
      <c r="W35" t="str">
        <f>IFERROR(__xludf.DUMMYFUNCTION("""COMPUTED_VALUE"""),"Egypt")</f>
        <v>Egypt</v>
      </c>
      <c r="X35" t="str">
        <f>IFERROR(__xludf.DUMMYFUNCTION("""COMPUTED_VALUE"""),"Paid")</f>
        <v>Paid</v>
      </c>
      <c r="Y35" t="str">
        <f>IFERROR(__xludf.DUMMYFUNCTION("""COMPUTED_VALUE"""),"Arabic Letters")</f>
        <v>Arabic Letters</v>
      </c>
      <c r="Z35" t="str">
        <f>IFERROR(__xludf.DUMMYFUNCTION("""COMPUTED_VALUE"""),"Cash")</f>
        <v>Cash</v>
      </c>
      <c r="AA35" s="134"/>
      <c r="AC35" s="136">
        <f>IFERROR(__xludf.DUMMYFUNCTION("""COMPUTED_VALUE"""),82.0)</f>
        <v>82</v>
      </c>
      <c r="AD35">
        <f>IFERROR(__xludf.DUMMYFUNCTION("""COMPUTED_VALUE"""),79.0)</f>
        <v>79</v>
      </c>
      <c r="AE35" s="136">
        <f>IFERROR(__xludf.DUMMYFUNCTION("""COMPUTED_VALUE"""),3.0)</f>
        <v>3</v>
      </c>
      <c r="AF35" s="136">
        <f>IFERROR(__xludf.DUMMYFUNCTION("""COMPUTED_VALUE"""),0.0)</f>
        <v>0</v>
      </c>
      <c r="AG35">
        <f>IFERROR(__xludf.DUMMYFUNCTION("""COMPUTED_VALUE"""),0.0)</f>
        <v>0</v>
      </c>
      <c r="AH35" s="131">
        <f>IFERROR(__xludf.DUMMYFUNCTION("""COMPUTED_VALUE"""),46.73684210526316)</f>
        <v>46.73684211</v>
      </c>
      <c r="AI35" s="131">
        <f>IFERROR(__xludf.DUMMYFUNCTION("""COMPUTED_VALUE"""),4.0)</f>
        <v>4</v>
      </c>
      <c r="AJ35" s="131">
        <f>IFERROR(__xludf.DUMMYFUNCTION("""COMPUTED_VALUE"""),85.0)</f>
        <v>85</v>
      </c>
      <c r="AK35" s="136" t="str">
        <f>IFERROR(__xludf.DUMMYFUNCTION("""COMPUTED_VALUE"""),"Attended")</f>
        <v>Attended</v>
      </c>
      <c r="AL35" s="136">
        <f>IFERROR(__xludf.DUMMYFUNCTION("""COMPUTED_VALUE"""),85.0)</f>
        <v>85</v>
      </c>
      <c r="AM35" s="136">
        <f>IFERROR(__xludf.DUMMYFUNCTION("""COMPUTED_VALUE"""),75.0)</f>
        <v>75</v>
      </c>
      <c r="AN35" s="136">
        <f>IFERROR(__xludf.DUMMYFUNCTION("""COMPUTED_VALUE"""),75.0)</f>
        <v>75</v>
      </c>
      <c r="AO35" s="136">
        <f>IFERROR(__xludf.DUMMYFUNCTION("""COMPUTED_VALUE"""),3.0)</f>
        <v>3</v>
      </c>
      <c r="AP35" s="136">
        <f>IFERROR(__xludf.DUMMYFUNCTION("""COMPUTED_VALUE"""),0.0)</f>
        <v>0</v>
      </c>
      <c r="AQ35" s="136">
        <f>IFERROR(__xludf.DUMMYFUNCTION("""COMPUTED_VALUE"""),0.0)</f>
        <v>0</v>
      </c>
      <c r="AR35" s="136">
        <f>IFERROR(__xludf.DUMMYFUNCTION("""COMPUTED_VALUE"""),7.0)</f>
        <v>7</v>
      </c>
      <c r="AS35" s="136">
        <f>IFERROR(__xludf.DUMMYFUNCTION("""COMPUTED_VALUE"""),96.47058823529412)</f>
        <v>96.47058824</v>
      </c>
      <c r="AT35" s="131">
        <f>IFERROR(__xludf.DUMMYFUNCTION("""COMPUTED_VALUE"""),3.5294117647058822)</f>
        <v>3.529411765</v>
      </c>
      <c r="AU35" s="131">
        <f>IFERROR(__xludf.DUMMYFUNCTION("""COMPUTED_VALUE"""),0.0)</f>
        <v>0</v>
      </c>
      <c r="AV35" s="131">
        <f>IFERROR(__xludf.DUMMYFUNCTION("""COMPUTED_VALUE"""),0.0)</f>
        <v>0</v>
      </c>
      <c r="AW35" s="131">
        <f>IFERROR(__xludf.DUMMYFUNCTION("""COMPUTED_VALUE"""),8.235294117647058)</f>
        <v>8.235294118</v>
      </c>
      <c r="AX35" s="131">
        <f>IFERROR(__xludf.DUMMYFUNCTION("""COMPUTED_VALUE"""),96.47058823529412)</f>
        <v>96.47058824</v>
      </c>
      <c r="AY35" s="131">
        <f>IFERROR(__xludf.DUMMYFUNCTION("""COMPUTED_VALUE"""),3.0)</f>
        <v>3</v>
      </c>
      <c r="AZ35" s="131">
        <f>IFERROR(__xludf.DUMMYFUNCTION("""COMPUTED_VALUE"""),0.0)</f>
        <v>0</v>
      </c>
      <c r="BA35" s="131">
        <f>IFERROR(__xludf.DUMMYFUNCTION("""COMPUTED_VALUE"""),3.0)</f>
        <v>3</v>
      </c>
      <c r="BB35" s="131">
        <f>IFERROR(__xludf.DUMMYFUNCTION("""COMPUTED_VALUE"""),0.0)</f>
        <v>0</v>
      </c>
      <c r="BC35" s="131">
        <f>IFERROR(__xludf.DUMMYFUNCTION("""COMPUTED_VALUE"""),0.0)</f>
        <v>0</v>
      </c>
      <c r="BD35" s="131">
        <f>IFERROR(__xludf.DUMMYFUNCTION("""COMPUTED_VALUE"""),100.0)</f>
        <v>100</v>
      </c>
      <c r="BE35" s="131">
        <f>IFERROR(__xludf.DUMMYFUNCTION("""COMPUTED_VALUE"""),0.0)</f>
        <v>0</v>
      </c>
    </row>
    <row r="36">
      <c r="A36" t="str">
        <f>IFERROR(__xludf.DUMMYFUNCTION("""COMPUTED_VALUE"""),"TEA128")</f>
        <v>TEA128</v>
      </c>
      <c r="B36" t="str">
        <f>IFERROR(__xludf.DUMMYFUNCTION("""COMPUTED_VALUE"""),"Mustafa Bakr")</f>
        <v>Mustafa Bakr</v>
      </c>
      <c r="C36" t="str">
        <f>IFERROR(__xludf.DUMMYFUNCTION("""COMPUTED_VALUE"""),"""1KszLpoAn-AoKmoJaOgObEfhwwyq2K-ZFzg_1nm2D1wQ""")</f>
        <v>"1KszLpoAn-AoKmoJaOgObEfhwwyq2K-ZFzg_1nm2D1wQ"</v>
      </c>
      <c r="D36" t="str">
        <f>IFERROR(__xludf.DUMMYFUNCTION("""COMPUTED_VALUE"""),"Active")</f>
        <v>Active</v>
      </c>
      <c r="E36" t="str">
        <f>IFERROR(__xludf.DUMMYFUNCTION("""COMPUTED_VALUE"""),"Male")</f>
        <v>Male</v>
      </c>
      <c r="F36" s="132">
        <f>IFERROR(__xludf.DUMMYFUNCTION("""COMPUTED_VALUE"""),44105.0)</f>
        <v>44105</v>
      </c>
      <c r="G36" s="133"/>
      <c r="H36" s="131">
        <f>IFERROR(__xludf.DUMMYFUNCTION("""COMPUTED_VALUE"""),4.802631578947369)</f>
        <v>4.802631579</v>
      </c>
      <c r="I36" t="str">
        <f>IFERROR(__xludf.DUMMYFUNCTION("""COMPUTED_VALUE"""),"mustafa.sabea.amazon@gmail.com")</f>
        <v>mustafa.sabea.amazon@gmail.com</v>
      </c>
      <c r="J36" s="134" t="str">
        <f>IFERROR(__xludf.DUMMYFUNCTION("""COMPUTED_VALUE"""),"01095606314")</f>
        <v>01095606314</v>
      </c>
      <c r="K36" t="str">
        <f>IFERROR(__xludf.DUMMYFUNCTION("""COMPUTED_VALUE"""),"nour.mustafabakr@gmail.com")</f>
        <v>nour.mustafabakr@gmail.com</v>
      </c>
      <c r="L36" t="str">
        <f>IFERROR(__xludf.DUMMYFUNCTION("""COMPUTED_VALUE"""),"Mustafa.sabea86")</f>
        <v>Mustafa.sabea86</v>
      </c>
      <c r="M36" s="135">
        <f>IFERROR(__xludf.DUMMYFUNCTION("""COMPUTED_VALUE"""),31658.0)</f>
        <v>31658</v>
      </c>
      <c r="N36">
        <f>IFERROR(__xludf.DUMMYFUNCTION("""COMPUTED_VALUE"""),34.0)</f>
        <v>34</v>
      </c>
      <c r="O36" t="str">
        <f>IFERROR(__xludf.DUMMYFUNCTION("""COMPUTED_VALUE"""),"Single")</f>
        <v>Single</v>
      </c>
      <c r="P36" t="str">
        <f>IFERROR(__xludf.DUMMYFUNCTION("""COMPUTED_VALUE"""),"Yes")</f>
        <v>Yes</v>
      </c>
      <c r="Q36" t="str">
        <f>IFERROR(__xludf.DUMMYFUNCTION("""COMPUTED_VALUE"""),"Yes")</f>
        <v>Yes</v>
      </c>
      <c r="S36" t="str">
        <f>IFERROR(__xludf.DUMMYFUNCTION("""COMPUTED_VALUE"""),"Egypt")</f>
        <v>Egypt</v>
      </c>
      <c r="T36" t="str">
        <f>IFERROR(__xludf.DUMMYFUNCTION("""COMPUTED_VALUE"""),"Cairo")</f>
        <v>Cairo</v>
      </c>
      <c r="U36" t="str">
        <f>IFERROR(__xludf.DUMMYFUNCTION("""COMPUTED_VALUE"""),"GMT +2")</f>
        <v>GMT +2</v>
      </c>
      <c r="V36" t="str">
        <f>IFERROR(__xludf.DUMMYFUNCTION("""COMPUTED_VALUE"""),"Yes")</f>
        <v>Yes</v>
      </c>
      <c r="W36" t="str">
        <f>IFERROR(__xludf.DUMMYFUNCTION("""COMPUTED_VALUE"""),"Egypt")</f>
        <v>Egypt</v>
      </c>
      <c r="X36" t="str">
        <f>IFERROR(__xludf.DUMMYFUNCTION("""COMPUTED_VALUE"""),"Paid")</f>
        <v>Paid</v>
      </c>
      <c r="Y36" t="str">
        <f>IFERROR(__xludf.DUMMYFUNCTION("""COMPUTED_VALUE"""),"Recitation")</f>
        <v>Recitation</v>
      </c>
      <c r="Z36" t="str">
        <f>IFERROR(__xludf.DUMMYFUNCTION("""COMPUTED_VALUE"""),"Vodafone Cash")</f>
        <v>Vodafone Cash</v>
      </c>
      <c r="AA36" s="134"/>
      <c r="AC36" s="136">
        <f>IFERROR(__xludf.DUMMYFUNCTION("""COMPUTED_VALUE"""),200.0)</f>
        <v>200</v>
      </c>
      <c r="AE36" s="136">
        <f>IFERROR(__xludf.DUMMYFUNCTION("""COMPUTED_VALUE"""),0.0)</f>
        <v>0</v>
      </c>
      <c r="AF36" s="136">
        <f>IFERROR(__xludf.DUMMYFUNCTION("""COMPUTED_VALUE"""),200.0)</f>
        <v>200</v>
      </c>
      <c r="AH36" s="131">
        <f>IFERROR(__xludf.DUMMYFUNCTION("""COMPUTED_VALUE"""),30.11731843575419)</f>
        <v>30.11731844</v>
      </c>
      <c r="AI36" s="131">
        <f>IFERROR(__xludf.DUMMYFUNCTION("""COMPUTED_VALUE"""),14.0)</f>
        <v>14</v>
      </c>
      <c r="AJ36" s="131">
        <f>IFERROR(__xludf.DUMMYFUNCTION("""COMPUTED_VALUE"""),200.0)</f>
        <v>200</v>
      </c>
      <c r="AK36" s="136" t="str">
        <f>IFERROR(__xludf.DUMMYFUNCTION("""COMPUTED_VALUE"""),"Attended")</f>
        <v>Attended</v>
      </c>
      <c r="AL36" s="136">
        <f>IFERROR(__xludf.DUMMYFUNCTION("""COMPUTED_VALUE"""),200.0)</f>
        <v>200</v>
      </c>
      <c r="AM36" s="136">
        <f>IFERROR(__xludf.DUMMYFUNCTION("""COMPUTED_VALUE"""),184.0)</f>
        <v>184</v>
      </c>
      <c r="AN36" s="136">
        <f>IFERROR(__xludf.DUMMYFUNCTION("""COMPUTED_VALUE"""),184.0)</f>
        <v>184</v>
      </c>
      <c r="AO36" s="136">
        <f>IFERROR(__xludf.DUMMYFUNCTION("""COMPUTED_VALUE"""),0.0)</f>
        <v>0</v>
      </c>
      <c r="AP36" s="136">
        <f>IFERROR(__xludf.DUMMYFUNCTION("""COMPUTED_VALUE"""),0.0)</f>
        <v>0</v>
      </c>
      <c r="AQ36" s="136">
        <f>IFERROR(__xludf.DUMMYFUNCTION("""COMPUTED_VALUE"""),0.0)</f>
        <v>0</v>
      </c>
      <c r="AR36" s="136">
        <f>IFERROR(__xludf.DUMMYFUNCTION("""COMPUTED_VALUE"""),16.0)</f>
        <v>16</v>
      </c>
      <c r="AS36" s="136">
        <f>IFERROR(__xludf.DUMMYFUNCTION("""COMPUTED_VALUE"""),100.0)</f>
        <v>100</v>
      </c>
      <c r="AT36" s="131">
        <f>IFERROR(__xludf.DUMMYFUNCTION("""COMPUTED_VALUE"""),0.0)</f>
        <v>0</v>
      </c>
      <c r="AU36" s="131">
        <f>IFERROR(__xludf.DUMMYFUNCTION("""COMPUTED_VALUE"""),0.0)</f>
        <v>0</v>
      </c>
      <c r="AV36" s="131">
        <f>IFERROR(__xludf.DUMMYFUNCTION("""COMPUTED_VALUE"""),0.0)</f>
        <v>0</v>
      </c>
      <c r="AW36" s="131">
        <f>IFERROR(__xludf.DUMMYFUNCTION("""COMPUTED_VALUE"""),8.0)</f>
        <v>8</v>
      </c>
      <c r="AX36" s="131">
        <f>IFERROR(__xludf.DUMMYFUNCTION("""COMPUTED_VALUE"""),100.0)</f>
        <v>100</v>
      </c>
      <c r="AY36" s="131">
        <f>IFERROR(__xludf.DUMMYFUNCTION("""COMPUTED_VALUE"""),117.0)</f>
        <v>117</v>
      </c>
      <c r="AZ36" s="131">
        <f>IFERROR(__xludf.DUMMYFUNCTION("""COMPUTED_VALUE"""),108.0)</f>
        <v>108</v>
      </c>
      <c r="BA36" s="131">
        <f>IFERROR(__xludf.DUMMYFUNCTION("""COMPUTED_VALUE"""),9.0)</f>
        <v>9</v>
      </c>
      <c r="BB36" s="131">
        <f>IFERROR(__xludf.DUMMYFUNCTION("""COMPUTED_VALUE"""),13.0)</f>
        <v>13</v>
      </c>
      <c r="BC36" s="131">
        <f>IFERROR(__xludf.DUMMYFUNCTION("""COMPUTED_VALUE"""),92.3076923076923)</f>
        <v>92.30769231</v>
      </c>
      <c r="BD36" s="131">
        <f>IFERROR(__xludf.DUMMYFUNCTION("""COMPUTED_VALUE"""),7.6923076923076925)</f>
        <v>7.692307692</v>
      </c>
      <c r="BE36" s="131">
        <f>IFERROR(__xludf.DUMMYFUNCTION("""COMPUTED_VALUE"""),10.0)</f>
        <v>10</v>
      </c>
    </row>
    <row r="37">
      <c r="A37" t="str">
        <f>IFERROR(__xludf.DUMMYFUNCTION("""COMPUTED_VALUE"""),"TEA129")</f>
        <v>TEA129</v>
      </c>
      <c r="B37" t="str">
        <f>IFERROR(__xludf.DUMMYFUNCTION("""COMPUTED_VALUE"""),"Sara Abo Setta")</f>
        <v>Sara Abo Setta</v>
      </c>
      <c r="C37" t="str">
        <f>IFERROR(__xludf.DUMMYFUNCTION("""COMPUTED_VALUE"""),"""1lq2sfJLzVnesEIffdyYnaCW_445_5aMb14HNYnpTE9s""")</f>
        <v>"1lq2sfJLzVnesEIffdyYnaCW_445_5aMb14HNYnpTE9s"</v>
      </c>
      <c r="D37" t="str">
        <f>IFERROR(__xludf.DUMMYFUNCTION("""COMPUTED_VALUE"""),"Active")</f>
        <v>Active</v>
      </c>
      <c r="E37" t="str">
        <f>IFERROR(__xludf.DUMMYFUNCTION("""COMPUTED_VALUE"""),"Female")</f>
        <v>Female</v>
      </c>
      <c r="F37" s="132">
        <f>IFERROR(__xludf.DUMMYFUNCTION("""COMPUTED_VALUE"""),44228.0)</f>
        <v>44228</v>
      </c>
      <c r="G37" s="133"/>
      <c r="H37" s="131">
        <f>IFERROR(__xludf.DUMMYFUNCTION("""COMPUTED_VALUE"""),0.7565789473684211)</f>
        <v>0.7565789474</v>
      </c>
      <c r="I37" t="str">
        <f>IFERROR(__xludf.DUMMYFUNCTION("""COMPUTED_VALUE"""),"saraabosetta@yahoo.com")</f>
        <v>saraabosetta@yahoo.com</v>
      </c>
      <c r="J37" s="134" t="str">
        <f>IFERROR(__xludf.DUMMYFUNCTION("""COMPUTED_VALUE"""),"01229081145")</f>
        <v>01229081145</v>
      </c>
      <c r="K37" t="str">
        <f>IFERROR(__xludf.DUMMYFUNCTION("""COMPUTED_VALUE"""),"nour.saraabosetta")</f>
        <v>nour.saraabosetta</v>
      </c>
      <c r="L37" t="str">
        <f>IFERROR(__xludf.DUMMYFUNCTION("""COMPUTED_VALUE"""),"abosetta88")</f>
        <v>abosetta88</v>
      </c>
      <c r="M37" s="135">
        <f>IFERROR(__xludf.DUMMYFUNCTION("""COMPUTED_VALUE"""),32431.0)</f>
        <v>32431</v>
      </c>
      <c r="N37">
        <f>IFERROR(__xludf.DUMMYFUNCTION("""COMPUTED_VALUE"""),32.0)</f>
        <v>32</v>
      </c>
      <c r="O37" t="str">
        <f>IFERROR(__xludf.DUMMYFUNCTION("""COMPUTED_VALUE"""),"Married")</f>
        <v>Married</v>
      </c>
      <c r="P37" t="str">
        <f>IFERROR(__xludf.DUMMYFUNCTION("""COMPUTED_VALUE"""),"Yes")</f>
        <v>Yes</v>
      </c>
      <c r="Q37" t="str">
        <f>IFERROR(__xludf.DUMMYFUNCTION("""COMPUTED_VALUE"""),"Yes")</f>
        <v>Yes</v>
      </c>
      <c r="S37" t="str">
        <f>IFERROR(__xludf.DUMMYFUNCTION("""COMPUTED_VALUE"""),"Egypt")</f>
        <v>Egypt</v>
      </c>
      <c r="T37" t="str">
        <f>IFERROR(__xludf.DUMMYFUNCTION("""COMPUTED_VALUE"""),"Alexandria")</f>
        <v>Alexandria</v>
      </c>
      <c r="U37" t="str">
        <f>IFERROR(__xludf.DUMMYFUNCTION("""COMPUTED_VALUE"""),"GMT +2")</f>
        <v>GMT +2</v>
      </c>
      <c r="V37" t="str">
        <f>IFERROR(__xludf.DUMMYFUNCTION("""COMPUTED_VALUE"""),"No")</f>
        <v>No</v>
      </c>
      <c r="W37" t="str">
        <f>IFERROR(__xludf.DUMMYFUNCTION("""COMPUTED_VALUE"""),"Egypt")</f>
        <v>Egypt</v>
      </c>
      <c r="X37" t="str">
        <f>IFERROR(__xludf.DUMMYFUNCTION("""COMPUTED_VALUE"""),"Paid")</f>
        <v>Paid</v>
      </c>
      <c r="Y37" t="str">
        <f>IFERROR(__xludf.DUMMYFUNCTION("""COMPUTED_VALUE"""),"Recitation")</f>
        <v>Recitation</v>
      </c>
      <c r="Z37" t="str">
        <f>IFERROR(__xludf.DUMMYFUNCTION("""COMPUTED_VALUE"""),"Vodafone Cash")</f>
        <v>Vodafone Cash</v>
      </c>
      <c r="AA37" s="134" t="str">
        <f>IFERROR(__xludf.DUMMYFUNCTION("""COMPUTED_VALUE"""),"01030101668")</f>
        <v>01030101668</v>
      </c>
      <c r="AC37" s="136">
        <f>IFERROR(__xludf.DUMMYFUNCTION("""COMPUTED_VALUE"""),0.0)</f>
        <v>0</v>
      </c>
      <c r="AE37" s="136">
        <f>IFERROR(__xludf.DUMMYFUNCTION("""COMPUTED_VALUE"""),0.0)</f>
        <v>0</v>
      </c>
      <c r="AF37" s="136">
        <f>IFERROR(__xludf.DUMMYFUNCTION("""COMPUTED_VALUE"""),0.0)</f>
        <v>0</v>
      </c>
      <c r="AG37">
        <f>IFERROR(__xludf.DUMMYFUNCTION("""COMPUTED_VALUE"""),0.0)</f>
        <v>0</v>
      </c>
      <c r="AH37" s="131" t="str">
        <f>IFERROR(__xludf.DUMMYFUNCTION("""COMPUTED_VALUE"""),"#REF!")</f>
        <v>#REF!</v>
      </c>
      <c r="AI37" s="131"/>
      <c r="AJ37" s="131"/>
      <c r="AK37" s="136"/>
      <c r="AL37" s="136"/>
      <c r="AM37" s="136"/>
      <c r="AN37" s="136"/>
      <c r="AO37" s="136"/>
      <c r="AP37" s="136"/>
      <c r="AQ37" s="136"/>
      <c r="AR37" s="136"/>
      <c r="AS37" s="136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</row>
  </sheetData>
  <drawing r:id="rId1"/>
</worksheet>
</file>