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EENER2.0" sheetId="1" r:id="rId3"/>
  </sheets>
  <definedNames/>
  <calcPr/>
</workbook>
</file>

<file path=xl/sharedStrings.xml><?xml version="1.0" encoding="utf-8"?>
<sst xmlns="http://schemas.openxmlformats.org/spreadsheetml/2006/main" count="49" uniqueCount="44">
  <si>
    <t>TICKER</t>
  </si>
  <si>
    <t>Name</t>
  </si>
  <si>
    <t>Industry</t>
  </si>
  <si>
    <t>Trend</t>
  </si>
  <si>
    <t>Zakat per Share</t>
  </si>
  <si>
    <t>Debt/MarketCap</t>
  </si>
  <si>
    <t>Cash/MarketCap</t>
  </si>
  <si>
    <t>Dividend Yield</t>
  </si>
  <si>
    <t>Price</t>
  </si>
  <si>
    <t>MM Market Cap</t>
  </si>
  <si>
    <t>AVRG Market Cap</t>
  </si>
  <si>
    <t>PE Ratio</t>
  </si>
  <si>
    <t>EPS</t>
  </si>
  <si>
    <t>Beta</t>
  </si>
  <si>
    <t>Long Term Debt</t>
  </si>
  <si>
    <t>Short Term Debt</t>
  </si>
  <si>
    <t>Total Debt</t>
  </si>
  <si>
    <t>Total Assets</t>
  </si>
  <si>
    <t>Cash, Cash Equivalent &amp; Securities</t>
  </si>
  <si>
    <t>Current Assets</t>
  </si>
  <si>
    <t>Number of Shares</t>
  </si>
  <si>
    <t>AAPL</t>
  </si>
  <si>
    <t>GOOGL</t>
  </si>
  <si>
    <t>BYND</t>
  </si>
  <si>
    <t>BABA</t>
  </si>
  <si>
    <t>GME</t>
  </si>
  <si>
    <t>TSLA</t>
  </si>
  <si>
    <t>NVDA</t>
  </si>
  <si>
    <t>SIEGY</t>
  </si>
  <si>
    <t>German Market - to be tested</t>
  </si>
  <si>
    <t>VAR1</t>
  </si>
  <si>
    <t>ENR</t>
  </si>
  <si>
    <t>No warranties</t>
  </si>
  <si>
    <t>Plausibility Check required</t>
  </si>
  <si>
    <t>Data Sources:</t>
  </si>
  <si>
    <t>Google Finance, Marketwatch</t>
  </si>
  <si>
    <t xml:space="preserve">Part of the </t>
  </si>
  <si>
    <t>www.islamicwealthmanagement.com</t>
  </si>
  <si>
    <t>book project</t>
  </si>
  <si>
    <t>GPL-3.0 License</t>
  </si>
  <si>
    <t>https://github.com/IslamicWealthManagement/Googlesheet</t>
  </si>
  <si>
    <t>NB: If the data are not automatically loaded, manual entry is possible.</t>
  </si>
  <si>
    <t>Please note that the level impermissible income / total revenue needs deeper research - a spreadsheet is not enough.</t>
  </si>
  <si>
    <t>Grateful for comments and corrections.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</si>
</sst>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9">
    <font>
      <sz val="10.0"/>
      <color rgb="FF000000"/>
      <name val="Arial"/>
    </font>
    <font/>
    <font>
      <name val="Arial"/>
    </font>
    <font>
      <sz val="10.0"/>
      <name val="Inconsolata"/>
    </font>
    <font>
      <sz val="10.0"/>
      <color rgb="FF000000"/>
      <name val="Inconsolata"/>
    </font>
    <font>
      <sz val="11.0"/>
      <color rgb="FF000000"/>
      <name val="Inconsolata"/>
    </font>
    <font>
      <u/>
      <sz val="10.0"/>
      <color rgb="FF1155CC"/>
      <name val="Inconsolata"/>
    </font>
    <font>
      <u/>
      <sz val="11.0"/>
      <color rgb="FF0000FF"/>
      <name val="-apple-system"/>
    </font>
    <font>
      <u/>
      <sz val="10.0"/>
      <color rgb="FF0000FF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Alignment="1" applyFont="1">
      <alignment horizontal="center" readingOrder="0"/>
    </xf>
    <xf borderId="0" fillId="2" fontId="1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3" fontId="4" numFmtId="0" xfId="0" applyFill="1" applyFont="1"/>
    <xf borderId="0" fillId="0" fontId="3" numFmtId="0" xfId="0" applyFont="1"/>
    <xf borderId="0" fillId="3" fontId="4" numFmtId="10" xfId="0" applyFont="1" applyNumberFormat="1"/>
    <xf borderId="0" fillId="3" fontId="5" numFmtId="10" xfId="0" applyFont="1" applyNumberFormat="1"/>
    <xf borderId="0" fillId="0" fontId="3" numFmtId="10" xfId="0" applyAlignment="1" applyFont="1" applyNumberFormat="1">
      <alignment horizontal="center"/>
    </xf>
    <xf borderId="0" fillId="3" fontId="4" numFmtId="4" xfId="0" applyFont="1" applyNumberFormat="1"/>
    <xf borderId="0" fillId="0" fontId="3" numFmtId="164" xfId="0" applyFont="1" applyNumberFormat="1"/>
    <xf borderId="0" fillId="0" fontId="3" numFmtId="4" xfId="0" applyFont="1" applyNumberFormat="1"/>
    <xf borderId="0" fillId="0" fontId="3" numFmtId="0" xfId="0" applyAlignment="1" applyFont="1">
      <alignment horizontal="center"/>
    </xf>
    <xf borderId="0" fillId="3" fontId="5" numFmtId="0" xfId="0" applyFont="1"/>
    <xf borderId="0" fillId="3" fontId="5" numFmtId="4" xfId="0" applyFont="1" applyNumberFormat="1"/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center"/>
    </xf>
    <xf borderId="0" fillId="0" fontId="1" numFmtId="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slamicwealthmanagement.com/" TargetMode="External"/><Relationship Id="rId2" Type="http://schemas.openxmlformats.org/officeDocument/2006/relationships/hyperlink" Target="https://github.com/IslamicWealthManagement/Googlesheet/blob/main/LICENSE" TargetMode="External"/><Relationship Id="rId3" Type="http://schemas.openxmlformats.org/officeDocument/2006/relationships/hyperlink" Target="https://github.com/IslamicWealthManagement/Googleshee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24.29"/>
    <col customWidth="1" min="3" max="3" width="30.14"/>
    <col customWidth="1" min="6" max="6" width="16.43"/>
    <col customWidth="1" min="7" max="7" width="16.57"/>
    <col customWidth="1" min="8" max="8" width="13.43"/>
    <col customWidth="1" min="9" max="9" width="8.14"/>
    <col customWidth="1" min="11" max="11" width="19.71"/>
    <col customWidth="1" min="15" max="15" width="18.29"/>
    <col customWidth="1" min="17" max="17" width="23.0"/>
    <col customWidth="1" min="18" max="19" width="25.0"/>
    <col customWidth="1" min="20" max="20" width="18.71"/>
    <col customWidth="1" min="21" max="21" width="18.43"/>
    <col customWidth="1" min="23" max="26" width="18.71"/>
    <col customWidth="1" min="28" max="28" width="25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 t="s">
        <v>19</v>
      </c>
      <c r="AA1" s="1" t="s">
        <v>17</v>
      </c>
      <c r="AB1" s="1" t="s">
        <v>18</v>
      </c>
      <c r="AC1" s="1" t="s">
        <v>14</v>
      </c>
      <c r="AD1" s="1" t="s">
        <v>15</v>
      </c>
    </row>
    <row r="2">
      <c r="A2" s="5" t="s">
        <v>21</v>
      </c>
      <c r="B2" s="6" t="str">
        <f>IFERROR(__xludf.DUMMYFUNCTION("IMPORTXML(""https://www.marketwatch.com/investing/stock/""&amp;A2&amp;"""",""/html/body/div[3]/div[2]/div[2]/div/div[2]/h1"")"),"Apple Inc.")</f>
        <v>Apple Inc.</v>
      </c>
      <c r="C2" s="7" t="str">
        <f>IFERROR(__xludf.DUMMYFUNCTION("IMPORTXML(""https://www.marketwatch.com/investing/stock/""&amp;A2&amp;""/company-profile?mod=mw_quote_tab"",""/html/body/div[3]/div[5]/div[1]/div[1]/div/ul/li[1]/span"")"),"Computers/Consumer Electronics")</f>
        <v>Computers/Consumer Electronics</v>
      </c>
      <c r="D2" s="7" t="str">
        <f>IFERROR(__xludf.DUMMYFUNCTION("sparkline(GoogleFinance(A2,""price"",TODAY()-90, TODAY()))"),"")</f>
        <v/>
      </c>
      <c r="E2" s="8">
        <f t="shared" ref="E2:E9" si="2">0.025*(T2-(Q2*T2/R2))/U2</f>
        <v>0.1390254429</v>
      </c>
      <c r="F2" s="9">
        <f t="shared" ref="F2:F9" si="3">Q2/(K2*1000000)</f>
        <v>0.05964859062</v>
      </c>
      <c r="G2" s="10">
        <f t="shared" ref="G2:G9" si="4">S2/(K2*1000000)</f>
        <v>0.04782189614</v>
      </c>
      <c r="H2" s="11">
        <f>IFERROR(__xludf.DUMMYFUNCTION("IMPORTXML(""https://www.marketwatch.com/investing/stock/""&amp;A2&amp;""?mod=mw_quote_tab"",""/html/body/div[3]/div[5]/div[1]/div[1]/div/ul/li[11]/span[1]"")"),0.0068)</f>
        <v>0.0068</v>
      </c>
      <c r="I2" s="7">
        <f>IFERROR(__xludf.DUMMYFUNCTION("(GoogleFinance(A2,""price""))"),121.42)</f>
        <v>121.42</v>
      </c>
      <c r="J2" s="12">
        <f>IFERROR(__xludf.DUMMYFUNCTION("(GoogleFinance(A2,""marketcap""))/1000000"),2038411.07126)</f>
        <v>2038411.071</v>
      </c>
      <c r="K2" s="13">
        <f>IFERROR(__xludf.DUMMYFUNCTION("AVERAGE(INDEX(GoogleFinance(A2, ""all"", WORKDAY(TODAY(),-220),TODAY()),,3))*U2/1000000"),1902475.797382076)</f>
        <v>1902475.797</v>
      </c>
      <c r="L2" s="8">
        <f>IFERROR(__xludf.DUMMYFUNCTION("(GoogleFinance(A2,""pe""))"),32.82)</f>
        <v>32.82</v>
      </c>
      <c r="M2" s="8">
        <f>IFERROR(__xludf.DUMMYFUNCTION("(GoogleFinance(A2,""eps""))"),3.7)</f>
        <v>3.7</v>
      </c>
      <c r="N2" s="8">
        <f>IFERROR(__xludf.DUMMYFUNCTION("(GoogleFinance(A2,""beta""))"),1.25)</f>
        <v>1.25</v>
      </c>
      <c r="O2" s="13">
        <f t="shared" ref="O2:P2" si="1">IF(RIGHT(AC2)="B",LEFT(AC2,FIND("B",AC2)-1)*"1000000000",IF(RIGHT(AC2)="M",LEFT(AC2,FIND("M",AC2)-1)*"1000000",IF(RIGHT(AC2)="K",LEFT(AC2,FIND("K",AC2
)-1)*"1000")))</f>
        <v>107050000000</v>
      </c>
      <c r="P2" s="13">
        <f t="shared" si="1"/>
        <v>6430000000</v>
      </c>
      <c r="Q2" s="13">
        <f t="shared" ref="Q2:Q9" si="6">O2+P2</f>
        <v>113480000000</v>
      </c>
      <c r="R2" s="13">
        <f t="shared" ref="R2:R9" si="7">IF(RIGHT(AA2)="T",LEFT(AA2,FIND("T",AA2)-1)*"1000000000000",IF(RIGHT(AA2)="B",LEFT(AA2,FIND("B",AA2)-1)*"1000000000",IF(RIGHT(AA2)="M",LEFT(AA2,FIND("M",AA2)-1)*"1000000",IF(RIGHT(AA2)="K",LEFT(AA2,FIND("K",AA2
)-1)*"1000"))))</f>
        <v>323890000000</v>
      </c>
      <c r="S2" s="14">
        <f t="shared" ref="S2:S9" si="8">IF(RIGHT(AB2)="B",LEFT(AB2,FIND("B",AB2)-1)*"1000000000",IF(RIGHT(AB2)="M",LEFT(AB2,FIND("M",AB2)-1)*"1000000",IF(RIGHT(AB2)="K",LEFT(AB2,FIND("K",AB2
)-1)*"1000")))</f>
        <v>90980000000</v>
      </c>
      <c r="T2" s="14">
        <f t="shared" ref="T2:T9" si="9">IF(RIGHT(Z2)="B",LEFT(Z2,FIND("B",Z2)-1)*"1000000000",IF(RIGHT(Z2)="M",LEFT(Z2,FIND("M",Z2)-1)*"1000000",IF(RIGHT(Z2)="K",LEFT(Z2,FIND("K",Z2
)-1)*"1000")))</f>
        <v>143710000000</v>
      </c>
      <c r="U2" s="14">
        <f>IFERROR(__xludf.DUMMYFUNCTION("(GoogleFinance(A2,""shares""))"),1.67881E10)</f>
        <v>16788100000</v>
      </c>
      <c r="W2" s="8"/>
      <c r="X2" s="8"/>
      <c r="Y2" s="8"/>
      <c r="Z2" s="8" t="str">
        <f>IFERROR(__xludf.DUMMYFUNCTION("IMPORTXML(""https://www.marketwatch.com/investing/stock/""&amp;A2&amp;""/financials/balance-sheet"",""/html/body/div[3]/div[5]/div/div[2]/div/div/table/tbody/tr[20]/td[6]/div/span"")"),"143.71B")</f>
        <v>143.71B</v>
      </c>
      <c r="AA2" s="8" t="str">
        <f>IFERROR(__xludf.DUMMYFUNCTION("IMPORTXML(""https://www.marketwatch.com/investing/stock/""&amp;A2&amp;""/financials/balance-sheet"",""/html/body/div[3]/div[5]/div/div[2]/div/div/table/tbody/tr[35]/td[6]/div/span"")"),"323.89B")</f>
        <v>323.89B</v>
      </c>
      <c r="AB2" s="14" t="str">
        <f>IFERROR(__xludf.DUMMYFUNCTION("IMPORTXML(""https://www.marketwatch.com/investing/stock/""&amp;A2&amp;""/financials/balance-sheet"",""/html/body/div[3]/div[5]/div/div[2]/div/div/table/tbody/tr[1]/td[6]/div/span"")"),"90.98B")</f>
        <v>90.98B</v>
      </c>
      <c r="AC2" s="8" t="str">
        <f>IFERROR(__xludf.DUMMYFUNCTION("IMPORTXML(""https://www.marketwatch.com/investing/stock/""&amp;A2&amp;""/financials/balance-sheet"",""/html/body/div[3]/div[5]/div/div[3]/div/div/table/tbody/tr[12]/td[6]/div/span"")"),"107.05B")</f>
        <v>107.05B</v>
      </c>
      <c r="AD2" s="8" t="str">
        <f>IFERROR(__xludf.DUMMYFUNCTION("IMPORTXML(""https://www.marketwatch.com/investing/stock/""&amp;A2&amp;""/financials/balance-sheet"",""/html/body/div[3]/div[5]/div/div[3]/div/div/table/tbody/tr[2]/td[6]/div"")"),"6.43B")</f>
        <v>6.43B</v>
      </c>
    </row>
    <row r="3">
      <c r="A3" s="6" t="s">
        <v>22</v>
      </c>
      <c r="B3" s="6" t="str">
        <f>IFERROR(__xludf.DUMMYFUNCTION("IMPORTXML(""https://www.marketwatch.com/investing/stock/""&amp;A3&amp;"""",""/html/body/div[3]/div[2]/div[2]/div/div[2]/h1"")"),"Alphabet Inc. Cl A")</f>
        <v>Alphabet Inc. Cl A</v>
      </c>
      <c r="C3" s="7" t="str">
        <f>IFERROR(__xludf.DUMMYFUNCTION("IMPORTXML(""https://www.marketwatch.com/investing/stock/""&amp;A3&amp;""/company-profile?mod=mw_quote_tab"",""/html/body/div[3]/div[5]/div[1]/div[1]/div/ul/li[1]/span"")"),"Internet/Online")</f>
        <v>Internet/Online</v>
      </c>
      <c r="D3" s="7" t="str">
        <f>IFERROR(__xludf.DUMMYFUNCTION("sparkline(GoogleFinance(A3,""price"",TODAY()-90, TODAY()))"),"")</f>
        <v/>
      </c>
      <c r="E3" s="8">
        <f t="shared" si="2"/>
        <v>13.27583401</v>
      </c>
      <c r="F3" s="9">
        <f t="shared" si="3"/>
        <v>0.05382710262</v>
      </c>
      <c r="G3" s="10">
        <f t="shared" si="4"/>
        <v>0.2748459715</v>
      </c>
      <c r="H3" s="15" t="str">
        <f>IFERROR(__xludf.DUMMYFUNCTION("IMPORTXML(""https://www.marketwatch.com/investing/stock/""&amp;A3&amp;""?mod=mw_quote_tab"",""/html/body/div[3]/div[5]/div[1]/div[1]/div/ul/li[11]/span[1]"")"),"N/A")</f>
        <v>N/A</v>
      </c>
      <c r="I3" s="7">
        <f>IFERROR(__xludf.DUMMYFUNCTION("(GoogleFinance(A3,""price""))"),2097.07)</f>
        <v>2097.07</v>
      </c>
      <c r="J3" s="12">
        <f>IFERROR(__xludf.DUMMYFUNCTION("(GoogleFinance(A3,""marketcap""))/1000000"),1418832.101831)</f>
        <v>1418832.102</v>
      </c>
      <c r="K3" s="13">
        <f>IFERROR(__xludf.DUMMYFUNCTION("AVERAGE(INDEX(GoogleFinance(A3, ""all"", WORKDAY(TODAY(),-220),TODAY()),,3))*U3/1000000"),497333.10354080173)</f>
        <v>497333.1035</v>
      </c>
      <c r="L3" s="8">
        <f>IFERROR(__xludf.DUMMYFUNCTION("(GoogleFinance(A3,""pe""))"),35.78)</f>
        <v>35.78</v>
      </c>
      <c r="M3" s="8">
        <f>IFERROR(__xludf.DUMMYFUNCTION("(GoogleFinance(A3,""eps""))"),58.61)</f>
        <v>58.61</v>
      </c>
      <c r="N3" s="8">
        <f>IFERROR(__xludf.DUMMYFUNCTION("(GoogleFinance(A3,""beta""))"),1.0)</f>
        <v>1</v>
      </c>
      <c r="O3" s="13">
        <f t="shared" ref="O3:P3" si="5">IF(RIGHT(AC3)="B",LEFT(AC3,FIND("B",AC3)-1)*"1000000000",IF(RIGHT(AC3)="M",LEFT(AC3,FIND("M",AC3)-1)*"1000000",IF(RIGHT(AC3)="K",LEFT(AC3,FIND("K",AC3
)-1)*"1000")))</f>
        <v>25080000000</v>
      </c>
      <c r="P3" s="13">
        <f t="shared" si="5"/>
        <v>1690000000</v>
      </c>
      <c r="Q3" s="13">
        <f t="shared" si="6"/>
        <v>26770000000</v>
      </c>
      <c r="R3" s="13">
        <f t="shared" si="7"/>
        <v>319620000000</v>
      </c>
      <c r="S3" s="14">
        <f t="shared" si="8"/>
        <v>136690000000</v>
      </c>
      <c r="T3" s="14">
        <f t="shared" si="9"/>
        <v>174300000000</v>
      </c>
      <c r="U3" s="14">
        <f>IFERROR(__xludf.DUMMYFUNCTION("(GoogleFinance(A3,""shares""))"),3.00737E8)</f>
        <v>300737000</v>
      </c>
      <c r="W3" s="8"/>
      <c r="X3" s="8"/>
      <c r="Y3" s="8"/>
      <c r="Z3" s="8" t="str">
        <f>IFERROR(__xludf.DUMMYFUNCTION("IMPORTXML(""https://www.marketwatch.com/investing/stock/""&amp;A3&amp;""/financials/balance-sheet"",""/html/body/div[3]/div[5]/div/div[2]/div/div/table/tbody/tr[20]/td[6]/div/span"")"),"174.3B")</f>
        <v>174.3B</v>
      </c>
      <c r="AA3" s="8" t="str">
        <f>IFERROR(__xludf.DUMMYFUNCTION("IMPORTXML(""https://www.marketwatch.com/investing/stock/""&amp;A3&amp;""/financials/balance-sheet"",""/html/body/div[3]/div[5]/div/div[2]/div/div/table/tbody/tr[35]/td[6]/div/span"")"),"319.62B")</f>
        <v>319.62B</v>
      </c>
      <c r="AB3" s="14" t="str">
        <f>IFERROR(__xludf.DUMMYFUNCTION("IMPORTXML(""https://www.marketwatch.com/investing/stock/""&amp;A3&amp;""/financials/balance-sheet"",""/html/body/div[3]/div[5]/div/div[2]/div/div/table/tbody/tr[1]/td[6]/div/span"")"),"136.69B")</f>
        <v>136.69B</v>
      </c>
      <c r="AC3" s="8" t="str">
        <f>IFERROR(__xludf.DUMMYFUNCTION("IMPORTXML(""https://www.marketwatch.com/investing/stock/""&amp;A3&amp;""/financials/balance-sheet"",""/html/body/div[3]/div[5]/div/div[3]/div/div/table/tbody/tr[12]/td[6]/div/span"")"),"25.08B")</f>
        <v>25.08B</v>
      </c>
      <c r="AD3" s="8" t="str">
        <f>IFERROR(__xludf.DUMMYFUNCTION("IMPORTXML(""https://www.marketwatch.com/investing/stock/""&amp;A3&amp;""/financials/balance-sheet"",""/html/body/div[3]/div[5]/div/div[3]/div/div/table/tbody/tr[2]/td[6]/div"")"),"1.69B")</f>
        <v>1.69B</v>
      </c>
    </row>
    <row r="4">
      <c r="A4" s="6" t="s">
        <v>23</v>
      </c>
      <c r="B4" s="6" t="str">
        <f>IFERROR(__xludf.DUMMYFUNCTION("IMPORTXML(""https://www.marketwatch.com/investing/stock/""&amp;A4&amp;"""",""/html/body/div[3]/div[2]/div[2]/div/div[2]/h1"")"),"Beyond Meat Inc.")</f>
        <v>Beyond Meat Inc.</v>
      </c>
      <c r="C4" s="7" t="str">
        <f>IFERROR(__xludf.DUMMYFUNCTION("IMPORTXML(""https://www.marketwatch.com/investing/stock/""&amp;A4&amp;""/company-profile?mod=mw_quote_tab"",""/html/body/div[3]/div[5]/div[1]/div[1]/div/ul/li[1]/span"")"),"Food Products")</f>
        <v>Food Products</v>
      </c>
      <c r="D4" s="7" t="str">
        <f>IFERROR(__xludf.DUMMYFUNCTION("sparkline(GoogleFinance(A4,""price"",TODAY()-90, TODAY()))"),"")</f>
        <v/>
      </c>
      <c r="E4" s="8">
        <f t="shared" si="2"/>
        <v>0.1206730557</v>
      </c>
      <c r="F4" s="9">
        <f t="shared" si="3"/>
        <v>0.004286893341</v>
      </c>
      <c r="G4" s="10">
        <f t="shared" si="4"/>
        <v>0.01703729614</v>
      </c>
      <c r="H4" s="15" t="str">
        <f>IFERROR(__xludf.DUMMYFUNCTION("IMPORTXML(""https://www.marketwatch.com/investing/stock/""&amp;A4&amp;""?mod=mw_quote_tab"",""/html/body/div[3]/div[5]/div[1]/div[1]/div/ul/li[11]/span[1]"")"),"N/A")</f>
        <v>N/A</v>
      </c>
      <c r="I4" s="7">
        <f>IFERROR(__xludf.DUMMYFUNCTION("(GoogleFinance(A4,""price""))"),138.3)</f>
        <v>138.3</v>
      </c>
      <c r="J4" s="12">
        <f>IFERROR(__xludf.DUMMYFUNCTION("(GoogleFinance(A4,""marketcap""))/1000000"),8704.602192)</f>
        <v>8704.602192</v>
      </c>
      <c r="K4" s="13">
        <f>IFERROR(__xludf.DUMMYFUNCTION("AVERAGE(INDEX(GoogleFinance(A4, ""all"", WORKDAY(TODAY(),-220),TODAY()),,3))*U4/1000000"),9340.097085849055)</f>
        <v>9340.097086</v>
      </c>
      <c r="L4" s="8" t="str">
        <f>IFERROR(__xludf.DUMMYFUNCTION("(GoogleFinance(A4,""pe""))"),"#N/A")</f>
        <v>#N/A</v>
      </c>
      <c r="M4" s="8">
        <f>IFERROR(__xludf.DUMMYFUNCTION("(GoogleFinance(A4,""eps""))"),-0.85)</f>
        <v>-0.85</v>
      </c>
      <c r="N4" s="8" t="str">
        <f>IFERROR(__xludf.DUMMYFUNCTION("(GoogleFinance(A4,""beta""))"),"#N/A")</f>
        <v>#N/A</v>
      </c>
      <c r="O4" s="13">
        <f t="shared" ref="O4:P4" si="10">IF(RIGHT(AC4)="B",LEFT(AC4,FIND("B",AC4)-1)*"1000000000",IF(RIGHT(AC4)="M",LEFT(AC4,FIND("M",AC4)-1)*"1000000",IF(RIGHT(AC4)="K",LEFT(AC4,FIND("K",AC4
)-1)*"1000")))</f>
        <v>11940000</v>
      </c>
      <c r="P4" s="13">
        <f t="shared" si="10"/>
        <v>28100000</v>
      </c>
      <c r="Q4" s="13">
        <f t="shared" si="6"/>
        <v>40040000</v>
      </c>
      <c r="R4" s="13">
        <f t="shared" si="7"/>
        <v>468010000</v>
      </c>
      <c r="S4" s="14">
        <f t="shared" si="8"/>
        <v>159130000</v>
      </c>
      <c r="T4" s="14">
        <f t="shared" si="9"/>
        <v>332230000</v>
      </c>
      <c r="U4" s="14">
        <f>IFERROR(__xludf.DUMMYFUNCTION("(GoogleFinance(A4,""shares""))"),6.294E7)</f>
        <v>62940000</v>
      </c>
      <c r="W4" s="8"/>
      <c r="X4" s="8"/>
      <c r="Y4" s="8"/>
      <c r="Z4" s="8" t="str">
        <f>IFERROR(__xludf.DUMMYFUNCTION("IMPORTXML(""https://www.marketwatch.com/investing/stock/""&amp;A4&amp;""/financials/balance-sheet"",""/html/body/div[3]/div[5]/div/div[2]/div/div/table/tbody/tr[20]/td[6]/div/span"")"),"332.23M")</f>
        <v>332.23M</v>
      </c>
      <c r="AA4" s="8" t="str">
        <f>IFERROR(__xludf.DUMMYFUNCTION("IMPORTXML(""https://www.marketwatch.com/investing/stock/""&amp;A4&amp;""/financials/balance-sheet"",""/html/body/div[3]/div[5]/div/div[2]/div/div/table/tbody/tr[35]/td[6]/div/span"")"),"468.01M")</f>
        <v>468.01M</v>
      </c>
      <c r="AB4" s="14" t="str">
        <f>IFERROR(__xludf.DUMMYFUNCTION("IMPORTXML(""https://www.marketwatch.com/investing/stock/""&amp;A4&amp;""/financials/balance-sheet"",""/html/body/div[3]/div[5]/div/div[2]/div/div/table/tbody/tr[1]/td[6]/div/span"")"),"159.13M")</f>
        <v>159.13M</v>
      </c>
      <c r="AC4" s="8" t="str">
        <f>IFERROR(__xludf.DUMMYFUNCTION("IMPORTXML(""https://www.marketwatch.com/investing/stock/""&amp;A4&amp;""/financials/balance-sheet"",""/html/body/div[3]/div[5]/div/div[3]/div/div/table/tbody/tr[12]/td[6]/div/span"")"),"11.94M")</f>
        <v>11.94M</v>
      </c>
      <c r="AD4" s="8" t="str">
        <f>IFERROR(__xludf.DUMMYFUNCTION("IMPORTXML(""https://www.marketwatch.com/investing/stock/""&amp;A4&amp;""/financials/balance-sheet"",""/html/body/div[3]/div[5]/div/div[3]/div/div/table/tbody/tr[2]/td[6]/div"")"),"28.1M")</f>
        <v>28.1M</v>
      </c>
    </row>
    <row r="5">
      <c r="A5" s="6" t="s">
        <v>24</v>
      </c>
      <c r="B5" s="6" t="str">
        <f>IFERROR(__xludf.DUMMYFUNCTION("IMPORTXML(""https://www.marketwatch.com/investing/stock/""&amp;A5&amp;"""",""/html/body/div[3]/div[2]/div[2]/div/div[2]/h1"")"),"Alibaba Group Holding Ltd. ADR")</f>
        <v>Alibaba Group Holding Ltd. ADR</v>
      </c>
      <c r="C5" s="7" t="str">
        <f>IFERROR(__xludf.DUMMYFUNCTION("IMPORTXML(""https://www.marketwatch.com/investing/stock/""&amp;A5&amp;""/company-profile?mod=mw_quote_tab"",""/html/body/div[3]/div[5]/div[1]/div[1]/div/ul/li[1]/span"")"),"Mixed Retailing")</f>
        <v>Mixed Retailing</v>
      </c>
      <c r="D5" s="7" t="str">
        <f>IFERROR(__xludf.DUMMYFUNCTION("sparkline(GoogleFinance(A5,""price"",TODAY()-90, TODAY()))"),"")</f>
        <v/>
      </c>
      <c r="E5" s="8">
        <f t="shared" si="2"/>
        <v>4.130121251</v>
      </c>
      <c r="F5" s="9">
        <f t="shared" si="3"/>
        <v>0.2301871471</v>
      </c>
      <c r="G5" s="10">
        <f t="shared" si="4"/>
        <v>0.5867240679</v>
      </c>
      <c r="H5" s="15" t="str">
        <f>IFERROR(__xludf.DUMMYFUNCTION("IMPORTXML(""https://www.marketwatch.com/investing/stock/""&amp;A5&amp;""?mod=mw_quote_tab"",""/html/body/div[3]/div[5]/div[1]/div[1]/div/ul/li[11]/span[1]"")"),"N/A")</f>
        <v>N/A</v>
      </c>
      <c r="I5" s="7">
        <f>IFERROR(__xludf.DUMMYFUNCTION("(GoogleFinance(A5,""price""))"),233.89)</f>
        <v>233.89</v>
      </c>
      <c r="J5" s="12">
        <f>IFERROR(__xludf.DUMMYFUNCTION("(GoogleFinance(A5,""marketcap""))/1000000"),632821.260861)</f>
        <v>632821.2609</v>
      </c>
      <c r="K5" s="13">
        <f>IFERROR(__xludf.DUMMYFUNCTION("AVERAGE(INDEX(GoogleFinance(A5, ""all"", WORKDAY(TODAY(),-220),TODAY()),,3))*U5/1000000"),699170.2274531246)</f>
        <v>699170.2275</v>
      </c>
      <c r="L5" s="8">
        <f>IFERROR(__xludf.DUMMYFUNCTION("(GoogleFinance(A5,""pe""))"),26.26)</f>
        <v>26.26</v>
      </c>
      <c r="M5" s="8">
        <f>IFERROR(__xludf.DUMMYFUNCTION("(GoogleFinance(A5,""eps""))"),8.91)</f>
        <v>8.91</v>
      </c>
      <c r="N5" s="8">
        <f>IFERROR(__xludf.DUMMYFUNCTION("(GoogleFinance(A5,""beta""))"),0.88)</f>
        <v>0.88</v>
      </c>
      <c r="O5" s="13">
        <f t="shared" ref="O5:P5" si="11">IF(RIGHT(AC5)="B",LEFT(AC5,FIND("B",AC5)-1)*"1000000000",IF(RIGHT(AC5)="M",LEFT(AC5,FIND("M",AC5)-1)*"1000000",IF(RIGHT(AC5)="K",LEFT(AC5,FIND("K",AC5
)-1)*"1000")))</f>
        <v>152290000000</v>
      </c>
      <c r="P5" s="13">
        <f t="shared" si="11"/>
        <v>8650000000</v>
      </c>
      <c r="Q5" s="13">
        <f t="shared" si="6"/>
        <v>160940000000</v>
      </c>
      <c r="R5" s="13">
        <f t="shared" si="7"/>
        <v>1430000000000</v>
      </c>
      <c r="S5" s="14">
        <f t="shared" si="8"/>
        <v>410220000000</v>
      </c>
      <c r="T5" s="14">
        <f t="shared" si="9"/>
        <v>503670000000</v>
      </c>
      <c r="U5" s="14">
        <f>IFERROR(__xludf.DUMMYFUNCTION("(GoogleFinance(A5,""shares""))"),2.70563625E9)</f>
        <v>2705636250</v>
      </c>
      <c r="W5" s="8"/>
      <c r="X5" s="8"/>
      <c r="Y5" s="8"/>
      <c r="Z5" s="8" t="str">
        <f>IFERROR(__xludf.DUMMYFUNCTION("IMPORTXML(""https://www.marketwatch.com/investing/stock/""&amp;A5&amp;""/financials/balance-sheet"",""/html/body/div[3]/div[5]/div/div[2]/div/div/table/tbody/tr[20]/td[6]/div/span"")"),"503.67B")</f>
        <v>503.67B</v>
      </c>
      <c r="AA5" s="8" t="str">
        <f>IFERROR(__xludf.DUMMYFUNCTION("IMPORTXML(""https://www.marketwatch.com/investing/stock/""&amp;A5&amp;""/financials/balance-sheet"",""/html/body/div[3]/div[5]/div/div[2]/div/div/table/tbody/tr[35]/td[6]/div/span"")"),"1.43T")</f>
        <v>1.43T</v>
      </c>
      <c r="AB5" s="14" t="str">
        <f>IFERROR(__xludf.DUMMYFUNCTION("IMPORTXML(""https://www.marketwatch.com/investing/stock/""&amp;A5&amp;""/financials/balance-sheet"",""/html/body/div[3]/div[5]/div/div[2]/div/div/table/tbody/tr[1]/td[6]/div/span"")"),"410.22B")</f>
        <v>410.22B</v>
      </c>
      <c r="AC5" s="8" t="str">
        <f>IFERROR(__xludf.DUMMYFUNCTION("IMPORTXML(""https://www.marketwatch.com/investing/stock/""&amp;A5&amp;""/financials/balance-sheet"",""/html/body/div[3]/div[5]/div/div[3]/div/div/table/tbody/tr[12]/td[6]/div/span"")"),"152.29B")</f>
        <v>152.29B</v>
      </c>
      <c r="AD5" s="8" t="str">
        <f>IFERROR(__xludf.DUMMYFUNCTION("IMPORTXML(""https://www.marketwatch.com/investing/stock/""&amp;A5&amp;""/financials/balance-sheet"",""/html/body/div[3]/div[5]/div/div[3]/div/div/table/tbody/tr[2]/td[6]/div"")"),"8.65B")</f>
        <v>8.65B</v>
      </c>
    </row>
    <row r="6">
      <c r="A6" s="6" t="s">
        <v>25</v>
      </c>
      <c r="B6" s="6" t="str">
        <f>IFERROR(__xludf.DUMMYFUNCTION("IMPORTXML(""https://www.marketwatch.com/investing/stock/""&amp;A6&amp;"""",""/html/body/div[3]/div[2]/div[2]/div/div[2]/h1"")"),"GameStop Corp. Cl A")</f>
        <v>GameStop Corp. Cl A</v>
      </c>
      <c r="C6" s="7" t="str">
        <f>IFERROR(__xludf.DUMMYFUNCTION("IMPORTXML(""https://www.marketwatch.com/investing/stock/""&amp;A6&amp;""/company-profile?mod=mw_quote_tab"",""/html/body/div[3]/div[5]/div[1]/div[1]/div/ul/li[1]/span"")"),"Specialty Retail")</f>
        <v>Specialty Retail</v>
      </c>
      <c r="D6" s="7" t="str">
        <f>IFERROR(__xludf.DUMMYFUNCTION("sparkline(GoogleFinance(A6,""price"",TODAY()-90, TODAY()))"),"")</f>
        <v/>
      </c>
      <c r="E6" s="8">
        <f t="shared" si="2"/>
        <v>0.3380181735</v>
      </c>
      <c r="F6" s="9">
        <f t="shared" si="3"/>
        <v>0.5969321193</v>
      </c>
      <c r="G6" s="10">
        <f t="shared" si="4"/>
        <v>0.2509776862</v>
      </c>
      <c r="H6" s="11">
        <f>IFERROR(__xludf.DUMMYFUNCTION("IMPORTXML(""https://www.marketwatch.com/investing/stock/""&amp;A6&amp;""?mod=mw_quote_tab"",""/html/body/div[3]/div[5]/div[1]/div[1]/div/ul/li[11]/span[1]"")"),0.0)</f>
        <v>0</v>
      </c>
      <c r="I6" s="7">
        <f>IFERROR(__xludf.DUMMYFUNCTION("(GoogleFinance(A6,""price""))"),137.74)</f>
        <v>137.74</v>
      </c>
      <c r="J6" s="12">
        <f>IFERROR(__xludf.DUMMYFUNCTION("(GoogleFinance(A6,""marketcap""))/1000000"),9606.952163)</f>
        <v>9606.952163</v>
      </c>
      <c r="K6" s="13">
        <f>IFERROR(__xludf.DUMMYFUNCTION("AVERAGE(INDEX(GoogleFinance(A6, ""all"", WORKDAY(TODAY(),-220),TODAY()),,3))*U6/1000000"),1991.013653773584)</f>
        <v>1991.013654</v>
      </c>
      <c r="L6" s="8" t="str">
        <f>IFERROR(__xludf.DUMMYFUNCTION("(GoogleFinance(A6,""pe""))"),"#N/A")</f>
        <v>#N/A</v>
      </c>
      <c r="M6" s="8">
        <f>IFERROR(__xludf.DUMMYFUNCTION("(GoogleFinance(A6,""eps""))"),-4.25)</f>
        <v>-4.25</v>
      </c>
      <c r="N6" s="8">
        <f>IFERROR(__xludf.DUMMYFUNCTION("(GoogleFinance(A6,""beta""))"),-2.18)</f>
        <v>-2.18</v>
      </c>
      <c r="O6" s="13">
        <f t="shared" ref="O6:P6" si="12">IF(RIGHT(AC6)="B",LEFT(AC6,FIND("B",AC6)-1)*"1000000000",IF(RIGHT(AC6)="M",LEFT(AC6,FIND("M",AC6)-1)*"1000000",IF(RIGHT(AC6)="K",LEFT(AC6,FIND("K",AC6
)-1)*"1000")))</f>
        <v>949100000</v>
      </c>
      <c r="P6" s="13">
        <f t="shared" si="12"/>
        <v>239400000</v>
      </c>
      <c r="Q6" s="13">
        <f t="shared" si="6"/>
        <v>1188500000</v>
      </c>
      <c r="R6" s="13">
        <f t="shared" si="7"/>
        <v>2820000000</v>
      </c>
      <c r="S6" s="14">
        <f t="shared" si="8"/>
        <v>499700000</v>
      </c>
      <c r="T6" s="14">
        <f t="shared" si="9"/>
        <v>1630000000</v>
      </c>
      <c r="U6" s="14">
        <f>IFERROR(__xludf.DUMMYFUNCTION("(GoogleFinance(A6,""shares""))"),6.9747E7)</f>
        <v>69747000</v>
      </c>
      <c r="W6" s="8"/>
      <c r="X6" s="8"/>
      <c r="Y6" s="8"/>
      <c r="Z6" s="8" t="str">
        <f>IFERROR(__xludf.DUMMYFUNCTION("IMPORTXML(""https://www.marketwatch.com/investing/stock/""&amp;A6&amp;""/financials/balance-sheet"",""/html/body/div[3]/div[5]/div/div[2]/div/div/table/tbody/tr[20]/td[6]/div/span"")"),"1.63B")</f>
        <v>1.63B</v>
      </c>
      <c r="AA6" s="8" t="str">
        <f>IFERROR(__xludf.DUMMYFUNCTION("IMPORTXML(""https://www.marketwatch.com/investing/stock/""&amp;A6&amp;""/financials/balance-sheet"",""/html/body/div[3]/div[5]/div/div[2]/div/div/table/tbody/tr[35]/td[6]/div/span"")"),"2.82B")</f>
        <v>2.82B</v>
      </c>
      <c r="AB6" s="14" t="str">
        <f>IFERROR(__xludf.DUMMYFUNCTION("IMPORTXML(""https://www.marketwatch.com/investing/stock/""&amp;A6&amp;""/financials/balance-sheet"",""/html/body/div[3]/div[5]/div/div[2]/div/div/table/tbody/tr[1]/td[6]/div/span"")"),"499.7M")</f>
        <v>499.7M</v>
      </c>
      <c r="AC6" s="8" t="str">
        <f>IFERROR(__xludf.DUMMYFUNCTION("IMPORTXML(""https://www.marketwatch.com/investing/stock/""&amp;A6&amp;""/financials/balance-sheet"",""/html/body/div[3]/div[5]/div/div[3]/div/div/table/tbody/tr[12]/td[6]/div/span"")"),"949.1M")</f>
        <v>949.1M</v>
      </c>
      <c r="AD6" s="8" t="str">
        <f>IFERROR(__xludf.DUMMYFUNCTION("IMPORTXML(""https://www.marketwatch.com/investing/stock/""&amp;A6&amp;""/financials/balance-sheet"",""/html/body/div[3]/div[5]/div/div[3]/div/div/table/tbody/tr[2]/td[6]/div"")"),"239.4M")</f>
        <v>239.4M</v>
      </c>
    </row>
    <row r="7">
      <c r="A7" s="6" t="s">
        <v>26</v>
      </c>
      <c r="B7" s="6" t="str">
        <f>IFERROR(__xludf.DUMMYFUNCTION("IMPORTXML(""https://www.marketwatch.com/investing/stock/""&amp;A7&amp;"""",""/html/body/div[3]/div[2]/div[2]/div/div[2]/h1"")"),"Tesla Inc.")</f>
        <v>Tesla Inc.</v>
      </c>
      <c r="C7" s="7" t="str">
        <f>IFERROR(__xludf.DUMMYFUNCTION("IMPORTXML(""https://www.marketwatch.com/investing/stock/""&amp;A7&amp;""/company-profile?mod=mw_quote_tab"",""/html/body/div[3]/div[5]/div[1]/div[1]/div/ul/li[1]/span"")"),"Automobiles")</f>
        <v>Automobiles</v>
      </c>
      <c r="D7" s="7" t="str">
        <f>IFERROR(__xludf.DUMMYFUNCTION("sparkline(GoogleFinance(A7,""price"",TODAY()-90, TODAY()))"),"")</f>
        <v/>
      </c>
      <c r="E7" s="8">
        <f t="shared" si="2"/>
        <v>0.5467960061</v>
      </c>
      <c r="F7" s="9">
        <f t="shared" si="3"/>
        <v>0.02481531822</v>
      </c>
      <c r="G7" s="10">
        <f t="shared" si="4"/>
        <v>0.04356447239</v>
      </c>
      <c r="H7" s="15" t="str">
        <f>IFERROR(__xludf.DUMMYFUNCTION("IMPORTXML(""https://www.marketwatch.com/investing/stock/""&amp;A7&amp;""?mod=mw_quote_tab"",""/html/body/div[3]/div[5]/div[1]/div[1]/div/ul/li[11]/span[1]"")"),"N/A")</f>
        <v>N/A</v>
      </c>
      <c r="I7" s="7">
        <f>IFERROR(__xludf.DUMMYFUNCTION("(GoogleFinance(A7,""price""))"),597.95)</f>
        <v>597.95</v>
      </c>
      <c r="J7" s="12">
        <f>IFERROR(__xludf.DUMMYFUNCTION("(GoogleFinance(A7,""marketcap""))/1000000"),573944.412041)</f>
        <v>573944.412</v>
      </c>
      <c r="K7" s="13">
        <f>IFERROR(__xludf.DUMMYFUNCTION("AVERAGE(INDEX(GoogleFinance(A7, ""all"", WORKDAY(TODAY(),-220),TODAY()),,3))*U7/1000000"),450366.98306216975)</f>
        <v>450366.9831</v>
      </c>
      <c r="L7" s="8">
        <f>IFERROR(__xludf.DUMMYFUNCTION("(GoogleFinance(A7,""pe""))"),938.52)</f>
        <v>938.52</v>
      </c>
      <c r="M7" s="8">
        <f>IFERROR(__xludf.DUMMYFUNCTION("(GoogleFinance(A7,""eps""))"),0.64)</f>
        <v>0.64</v>
      </c>
      <c r="N7" s="8">
        <f>IFERROR(__xludf.DUMMYFUNCTION("(GoogleFinance(A7,""beta""))"),2.05)</f>
        <v>2.05</v>
      </c>
      <c r="O7" s="13">
        <f t="shared" ref="O7:P7" si="13">IF(RIGHT(AC7)="B",LEFT(AC7,FIND("B",AC7)-1)*"1000000000",IF(RIGHT(AC7)="M",LEFT(AC7,FIND("M",AC7)-1)*"1000000",IF(RIGHT(AC7)="K",LEFT(AC7,FIND("K",AC7
)-1)*"1000")))</f>
        <v>10890000000</v>
      </c>
      <c r="P7" s="13">
        <f t="shared" si="13"/>
        <v>286000000</v>
      </c>
      <c r="Q7" s="13">
        <f t="shared" si="6"/>
        <v>11176000000</v>
      </c>
      <c r="R7" s="13">
        <f t="shared" si="7"/>
        <v>52150000000</v>
      </c>
      <c r="S7" s="14">
        <f t="shared" si="8"/>
        <v>19620000000</v>
      </c>
      <c r="T7" s="14">
        <f t="shared" si="9"/>
        <v>26720000000</v>
      </c>
      <c r="U7" s="14">
        <f>IFERROR(__xludf.DUMMYFUNCTION("(GoogleFinance(A7,""shares""))"),9.59854E8)</f>
        <v>959854000</v>
      </c>
      <c r="W7" s="8"/>
      <c r="X7" s="8"/>
      <c r="Y7" s="8"/>
      <c r="Z7" s="8" t="str">
        <f>IFERROR(__xludf.DUMMYFUNCTION("IMPORTXML(""https://www.marketwatch.com/investing/stock/""&amp;A7&amp;""/financials/balance-sheet"",""/html/body/div[3]/div[5]/div/div[2]/div/div/table/tbody/tr[20]/td[6]/div/span"")"),"26.72B")</f>
        <v>26.72B</v>
      </c>
      <c r="AA7" s="8" t="str">
        <f>IFERROR(__xludf.DUMMYFUNCTION("IMPORTXML(""https://www.marketwatch.com/investing/stock/""&amp;A7&amp;""/financials/balance-sheet"",""/html/body/div[3]/div[5]/div/div[2]/div/div/table/tbody/tr[35]/td[6]/div/span"")"),"52.15B")</f>
        <v>52.15B</v>
      </c>
      <c r="AB7" s="14" t="str">
        <f>IFERROR(__xludf.DUMMYFUNCTION("IMPORTXML(""https://www.marketwatch.com/investing/stock/""&amp;A7&amp;""/financials/balance-sheet"",""/html/body/div[3]/div[5]/div/div[2]/div/div/table/tbody/tr[1]/td[6]/div/span"")"),"19.62B")</f>
        <v>19.62B</v>
      </c>
      <c r="AC7" s="8" t="str">
        <f>IFERROR(__xludf.DUMMYFUNCTION("IMPORTXML(""https://www.marketwatch.com/investing/stock/""&amp;A7&amp;""/financials/balance-sheet"",""/html/body/div[3]/div[5]/div/div[3]/div/div/table/tbody/tr[12]/td[6]/div/span"")"),"10.89B")</f>
        <v>10.89B</v>
      </c>
      <c r="AD7" s="8" t="str">
        <f>IFERROR(__xludf.DUMMYFUNCTION("IMPORTXML(""https://www.marketwatch.com/investing/stock/""&amp;A7&amp;""/financials/balance-sheet"",""/html/body/div[3]/div[5]/div/div[3]/div/div/table/tbody/tr[2]/td[6]/div"")"),"286M")</f>
        <v>286M</v>
      </c>
    </row>
    <row r="8">
      <c r="A8" s="6" t="s">
        <v>27</v>
      </c>
      <c r="B8" s="6" t="str">
        <f>IFERROR(__xludf.DUMMYFUNCTION("IMPORTXML(""https://www.marketwatch.com/investing/stock/""&amp;A8&amp;"""",""/html/body/div[3]/div[2]/div[2]/div/div[2]/h1"")"),"NVIDIA Corp.")</f>
        <v>NVIDIA Corp.</v>
      </c>
      <c r="C8" s="7" t="str">
        <f>IFERROR(__xludf.DUMMYFUNCTION("IMPORTXML(""https://www.marketwatch.com/investing/stock/""&amp;A8&amp;""/company-profile?mod=mw_quote_tab"",""/html/body/div[3]/div[5]/div[1]/div[1]/div/ul/li[1]/span"")"),"Semiconductors")</f>
        <v>Semiconductors</v>
      </c>
      <c r="D8" s="7" t="str">
        <f>IFERROR(__xludf.DUMMYFUNCTION("sparkline(GoogleFinance(A8,""price"",TODAY()-90, TODAY()))"),"")</f>
        <v/>
      </c>
      <c r="E8" s="8">
        <f t="shared" si="2"/>
        <v>0.4739327612</v>
      </c>
      <c r="F8" s="9">
        <f t="shared" si="3"/>
        <v>0.02548026241</v>
      </c>
      <c r="G8" s="10">
        <f t="shared" si="4"/>
        <v>0.03815438257</v>
      </c>
      <c r="H8" s="11">
        <f>IFERROR(__xludf.DUMMYFUNCTION("IMPORTXML(""https://www.marketwatch.com/investing/stock/""&amp;A8&amp;""?mod=mw_quote_tab"",""/html/body/div[3]/div[5]/div[1]/div[1]/div/ul/li[11]/span[1]"")"),0.0013)</f>
        <v>0.0013</v>
      </c>
      <c r="I8" s="7">
        <f>IFERROR(__xludf.DUMMYFUNCTION("(GoogleFinance(A8,""price""))"),498.46)</f>
        <v>498.46</v>
      </c>
      <c r="J8" s="12">
        <f>IFERROR(__xludf.DUMMYFUNCTION("(GoogleFinance(A8,""marketcap""))/1000000"),309045.194702)</f>
        <v>309045.1947</v>
      </c>
      <c r="K8" s="13">
        <f>IFERROR(__xludf.DUMMYFUNCTION("AVERAGE(INDEX(GoogleFinance(A8, ""all"", WORKDAY(TODAY(),-220),TODAY()),,3))*U8/1000000"),302979.61132075463)</f>
        <v>302979.6113</v>
      </c>
      <c r="L8" s="8">
        <f>IFERROR(__xludf.DUMMYFUNCTION("(GoogleFinance(A8,""pe""))"),72.26)</f>
        <v>72.26</v>
      </c>
      <c r="M8" s="8">
        <f>IFERROR(__xludf.DUMMYFUNCTION("(GoogleFinance(A8,""eps""))"),6.9)</f>
        <v>6.9</v>
      </c>
      <c r="N8" s="8">
        <f>IFERROR(__xludf.DUMMYFUNCTION("(GoogleFinance(A8,""beta""))"),1.42)</f>
        <v>1.42</v>
      </c>
      <c r="O8" s="13">
        <f t="shared" ref="O8:P8" si="14">IF(RIGHT(AC8)="B",LEFT(AC8,FIND("B",AC8)-1)*"1000000000",IF(RIGHT(AC8)="M",LEFT(AC8,FIND("M",AC8)-1)*"1000000",IF(RIGHT(AC8)="K",LEFT(AC8,FIND("K",AC8
)-1)*"1000")))</f>
        <v>6600000000</v>
      </c>
      <c r="P8" s="13">
        <f t="shared" si="14"/>
        <v>1120000000</v>
      </c>
      <c r="Q8" s="13">
        <f t="shared" si="6"/>
        <v>7720000000</v>
      </c>
      <c r="R8" s="13">
        <f t="shared" si="7"/>
        <v>28790000000</v>
      </c>
      <c r="S8" s="14">
        <f t="shared" si="8"/>
        <v>11560000000</v>
      </c>
      <c r="T8" s="14">
        <f t="shared" si="9"/>
        <v>16060000000</v>
      </c>
      <c r="U8" s="14">
        <f>IFERROR(__xludf.DUMMYFUNCTION("(GoogleFinance(A8,""shares""))"),6.2E8)</f>
        <v>620000000</v>
      </c>
      <c r="W8" s="8"/>
      <c r="X8" s="8"/>
      <c r="Y8" s="8"/>
      <c r="Z8" s="8" t="str">
        <f>IFERROR(__xludf.DUMMYFUNCTION("IMPORTXML(""https://www.marketwatch.com/investing/stock/""&amp;A8&amp;""/financials/balance-sheet"",""/html/body/div[3]/div[5]/div/div[2]/div/div/table/tbody/tr[20]/td[6]/div/span"")"),"16.06B")</f>
        <v>16.06B</v>
      </c>
      <c r="AA8" s="8" t="str">
        <f>IFERROR(__xludf.DUMMYFUNCTION("IMPORTXML(""https://www.marketwatch.com/investing/stock/""&amp;A8&amp;""/financials/balance-sheet"",""/html/body/div[3]/div[5]/div/div[2]/div/div/table/tbody/tr[35]/td[6]/div/span"")"),"28.79B")</f>
        <v>28.79B</v>
      </c>
      <c r="AB8" s="14" t="str">
        <f>IFERROR(__xludf.DUMMYFUNCTION("IMPORTXML(""https://www.marketwatch.com/investing/stock/""&amp;A8&amp;""/financials/balance-sheet"",""/html/body/div[3]/div[5]/div/div[2]/div/div/table/tbody/tr[1]/td[6]/div/span"")"),"11.56B")</f>
        <v>11.56B</v>
      </c>
      <c r="AC8" s="8" t="str">
        <f>IFERROR(__xludf.DUMMYFUNCTION("IMPORTXML(""https://www.marketwatch.com/investing/stock/""&amp;A8&amp;""/financials/balance-sheet"",""/html/body/div[3]/div[5]/div/div[3]/div/div/table/tbody/tr[12]/td[6]/div/span"")"),"6.6B")</f>
        <v>6.6B</v>
      </c>
      <c r="AD8" s="8" t="str">
        <f>IFERROR(__xludf.DUMMYFUNCTION("IMPORTXML(""https://www.marketwatch.com/investing/stock/""&amp;A8&amp;""/financials/balance-sheet"",""/html/body/div[3]/div[5]/div/div[3]/div/div/table/tbody/tr[2]/td[6]/div"")"),"1.12B")</f>
        <v>1.12B</v>
      </c>
    </row>
    <row r="9">
      <c r="A9" s="6" t="s">
        <v>28</v>
      </c>
      <c r="B9" s="6" t="str">
        <f>IFERROR(__xludf.DUMMYFUNCTION("IMPORTXML(""https://www.marketwatch.com/investing/stock/""&amp;A9&amp;"""",""/html/body/div[3]/div[2]/div[2]/div/div[2]/h1"")"),"Siemens AG ADR")</f>
        <v>Siemens AG ADR</v>
      </c>
      <c r="C9" s="7" t="str">
        <f>IFERROR(__xludf.DUMMYFUNCTION("IMPORTXML(""https://www.marketwatch.com/investing/stock/""&amp;A9&amp;""/company-profile?mod=mw_quote_tab"",""/html/body/div[3]/div[5]/div[1]/div[1]/div/ul/li[1]/span"")"),"Diversified Holding Companies")</f>
        <v>Diversified Holding Companies</v>
      </c>
      <c r="D9" s="7" t="str">
        <f>IFERROR(__xludf.DUMMYFUNCTION("sparkline(GoogleFinance(A9,""price"",TODAY()-90, TODAY()))"),"")</f>
        <v/>
      </c>
      <c r="E9" s="8">
        <f t="shared" si="2"/>
        <v>0.5030301595</v>
      </c>
      <c r="F9" s="9">
        <f t="shared" si="3"/>
        <v>0.3797181656</v>
      </c>
      <c r="G9" s="10">
        <f t="shared" si="4"/>
        <v>0.1323692853</v>
      </c>
      <c r="H9" s="11">
        <f>IFERROR(__xludf.DUMMYFUNCTION("IMPORTXML(""https://www.marketwatch.com/investing/stock/""&amp;A9&amp;""?mod=mw_quote_tab"",""/html/body/div[3]/div[5]/div[1]/div[1]/div/ul/li[11]/span[1]"")"),0.02)</f>
        <v>0.02</v>
      </c>
      <c r="I9" s="7">
        <f>IFERROR(__xludf.DUMMYFUNCTION("(GoogleFinance(A9,""price""))"),77.56)</f>
        <v>77.56</v>
      </c>
      <c r="J9" s="12">
        <f>IFERROR(__xludf.DUMMYFUNCTION("(GoogleFinance(A9,""marketcap""))/1000000"),131848.597717)</f>
        <v>131848.5977</v>
      </c>
      <c r="K9" s="13">
        <f>IFERROR(__xludf.DUMMYFUNCTION("AVERAGE(INDEX(GoogleFinance(A9, ""all"", WORKDAY(TODAY(),-220),TODAY()),,3))*U9/1000000"),115585.72641509438)</f>
        <v>115585.7264</v>
      </c>
      <c r="L9" s="8">
        <f>IFERROR(__xludf.DUMMYFUNCTION("(GoogleFinance(A9,""pe""))"),24.45)</f>
        <v>24.45</v>
      </c>
      <c r="M9" s="8">
        <f>IFERROR(__xludf.DUMMYFUNCTION("(GoogleFinance(A9,""eps""))"),3.17)</f>
        <v>3.17</v>
      </c>
      <c r="N9" s="8">
        <f>IFERROR(__xludf.DUMMYFUNCTION("(GoogleFinance(A9,""beta""))"),1.2)</f>
        <v>1.2</v>
      </c>
      <c r="O9" s="13">
        <f t="shared" ref="O9:P9" si="15">IF(RIGHT(AC9)="B",LEFT(AC9,FIND("B",AC9)-1)*"1000000000",IF(RIGHT(AC9)="M",LEFT(AC9,FIND("M",AC9)-1)*"1000000",IF(RIGHT(AC9)="K",LEFT(AC9,FIND("K",AC9
)-1)*"1000")))</f>
        <v>38010000000</v>
      </c>
      <c r="P9" s="13">
        <f t="shared" si="15"/>
        <v>5880000000</v>
      </c>
      <c r="Q9" s="13">
        <f t="shared" si="6"/>
        <v>43890000000</v>
      </c>
      <c r="R9" s="13">
        <f t="shared" si="7"/>
        <v>123900000000</v>
      </c>
      <c r="S9" s="14">
        <f t="shared" si="8"/>
        <v>15300000000</v>
      </c>
      <c r="T9" s="14">
        <f t="shared" si="9"/>
        <v>52970000000</v>
      </c>
      <c r="U9" s="14">
        <f>IFERROR(__xludf.DUMMYFUNCTION("(GoogleFinance(A9,""shares""))"),1.7E9)</f>
        <v>1700000000</v>
      </c>
      <c r="W9" s="8"/>
      <c r="X9" s="8"/>
      <c r="Y9" s="8"/>
      <c r="Z9" s="8" t="str">
        <f>IFERROR(__xludf.DUMMYFUNCTION("IMPORTXML(""https://www.marketwatch.com/investing/stock/""&amp;A9&amp;""/financials/balance-sheet"",""/html/body/div[3]/div[5]/div/div[2]/div/div/table/tbody/tr[20]/td[6]/div/span"")"),"52.97B")</f>
        <v>52.97B</v>
      </c>
      <c r="AA9" s="8" t="str">
        <f>IFERROR(__xludf.DUMMYFUNCTION("IMPORTXML(""https://www.marketwatch.com/investing/stock/""&amp;A9&amp;""/financials/balance-sheet"",""/html/body/div[3]/div[5]/div/div[2]/div/div/table/tbody/tr[35]/td[6]/div/span"")"),"123.9B")</f>
        <v>123.9B</v>
      </c>
      <c r="AB9" s="14" t="str">
        <f>IFERROR(__xludf.DUMMYFUNCTION("IMPORTXML(""https://www.marketwatch.com/investing/stock/""&amp;A9&amp;""/financials/balance-sheet"",""/html/body/div[3]/div[5]/div/div[2]/div/div/table/tbody/tr[1]/td[6]/div/span"")"),"15.3B")</f>
        <v>15.3B</v>
      </c>
      <c r="AC9" s="8" t="str">
        <f>IFERROR(__xludf.DUMMYFUNCTION("IMPORTXML(""https://www.marketwatch.com/investing/stock/""&amp;A9&amp;""/financials/balance-sheet"",""/html/body/div[3]/div[5]/div/div[3]/div/div/table/tbody/tr[12]/td[6]/div/span"")"),"38.01B")</f>
        <v>38.01B</v>
      </c>
      <c r="AD9" s="8" t="str">
        <f>IFERROR(__xludf.DUMMYFUNCTION("IMPORTXML(""https://www.marketwatch.com/investing/stock/""&amp;A9&amp;""/financials/balance-sheet"",""/html/body/div[3]/div[5]/div/div[3]/div/div/table/tbody/tr[2]/td[6]/div"")"),"5.88B")</f>
        <v>5.88B</v>
      </c>
    </row>
    <row r="10">
      <c r="A10" s="6"/>
      <c r="B10" s="6"/>
      <c r="C10" s="7"/>
      <c r="D10" s="7"/>
      <c r="E10" s="8"/>
      <c r="F10" s="9"/>
      <c r="G10" s="10"/>
      <c r="H10" s="15"/>
      <c r="I10" s="7"/>
      <c r="J10" s="12"/>
      <c r="K10" s="13"/>
      <c r="L10" s="8"/>
      <c r="M10" s="8"/>
      <c r="N10" s="8"/>
      <c r="O10" s="13"/>
      <c r="P10" s="13"/>
      <c r="Q10" s="8"/>
      <c r="R10" s="13"/>
      <c r="S10" s="14"/>
      <c r="T10" s="14"/>
      <c r="U10" s="14"/>
      <c r="W10" s="8"/>
      <c r="X10" s="8"/>
      <c r="Y10" s="8"/>
      <c r="Z10" s="8"/>
      <c r="AA10" s="8"/>
      <c r="AB10" s="14"/>
      <c r="AC10" s="8"/>
      <c r="AD10" s="8"/>
    </row>
    <row r="11">
      <c r="A11" s="6"/>
      <c r="C11" s="7"/>
      <c r="D11" s="7"/>
      <c r="E11" s="8"/>
      <c r="F11" s="9"/>
      <c r="G11" s="9"/>
      <c r="H11" s="15"/>
      <c r="I11" s="7"/>
      <c r="J11" s="12"/>
      <c r="K11" s="13"/>
      <c r="L11" s="8"/>
      <c r="M11" s="8"/>
      <c r="N11" s="8"/>
      <c r="O11" s="13"/>
      <c r="P11" s="8"/>
      <c r="Q11" s="8"/>
      <c r="R11" s="14"/>
      <c r="S11" s="14"/>
      <c r="T11" s="8"/>
      <c r="U11" s="14"/>
      <c r="W11" s="8"/>
      <c r="X11" s="8"/>
      <c r="Y11" s="8"/>
      <c r="Z11" s="8"/>
      <c r="AA11" s="8"/>
      <c r="AB11" s="14"/>
      <c r="AC11" s="8"/>
      <c r="AD11" s="8"/>
    </row>
    <row r="12">
      <c r="A12" s="6" t="s">
        <v>29</v>
      </c>
      <c r="C12" s="7"/>
      <c r="D12" s="7"/>
      <c r="E12" s="8"/>
      <c r="F12" s="9"/>
      <c r="G12" s="9"/>
      <c r="H12" s="15"/>
      <c r="I12" s="7"/>
      <c r="J12" s="12"/>
      <c r="K12" s="13"/>
      <c r="L12" s="8"/>
      <c r="M12" s="8"/>
      <c r="N12" s="8"/>
      <c r="O12" s="13"/>
      <c r="P12" s="8"/>
      <c r="Q12" s="8"/>
      <c r="R12" s="14"/>
      <c r="S12" s="14"/>
      <c r="T12" s="8"/>
      <c r="U12" s="14"/>
      <c r="W12" s="8"/>
      <c r="X12" s="8"/>
      <c r="Y12" s="8"/>
      <c r="Z12" s="8"/>
      <c r="AA12" s="8"/>
      <c r="AB12" s="14"/>
      <c r="AC12" s="8"/>
      <c r="AD12" s="8"/>
    </row>
    <row r="13">
      <c r="A13" s="6" t="s">
        <v>30</v>
      </c>
      <c r="B13" s="6" t="str">
        <f>IFERROR(__xludf.DUMMYFUNCTION("IMPORTXML(""https://www.marketwatch.com/investing/stock/""&amp;A13&amp;"""",""/html/body/div[3]/div[2]/div[2]/div/div[2]/h1"")"),"Varta AG")</f>
        <v>Varta AG</v>
      </c>
      <c r="C13" s="7" t="str">
        <f>IFERROR(__xludf.DUMMYFUNCTION("IMPORTXML(""https://www.marketwatch.com/investing/stock/""&amp;A13&amp;""/company-profile?mod=mw_quote_tab"",""/html/body/div[3]/div[5]/div[1]/div[1]/div/ul/li[1]/span"")"),"Industrial Electronics")</f>
        <v>Industrial Electronics</v>
      </c>
      <c r="D13" s="7" t="str">
        <f>IFERROR(__xludf.DUMMYFUNCTION("sparkline(GoogleFinance(A13,""price"",TODAY()-90, TODAY()))"),"")</f>
        <v/>
      </c>
      <c r="E13" s="8">
        <f t="shared" ref="E13:E14" si="17">0.025*(T13-(Q13*T13/R13))/U13</f>
        <v>0.2258585819</v>
      </c>
      <c r="F13" s="9">
        <f t="shared" ref="F13:F14" si="18">Q13/(K13*1000000)</f>
        <v>0.005889488782</v>
      </c>
      <c r="G13" s="10">
        <f t="shared" ref="G13:G14" si="19">S13/(K13*1000000)</f>
        <v>0.05267186935</v>
      </c>
      <c r="H13" s="11">
        <f>IFERROR(__xludf.DUMMYFUNCTION("IMPORTXML(""https://www.marketwatch.com/investing/stock/""&amp;A13&amp;""?mod=mw_quote_tab"",""/html/body/div[3]/div[5]/div[1]/div[1]/div/ul/li[11]/span[1]"")"),0.0236)</f>
        <v>0.0236</v>
      </c>
      <c r="I13" s="7">
        <f>IFERROR(__xludf.DUMMYFUNCTION("(GoogleFinance(A13,""price""))"),106.1)</f>
        <v>106.1</v>
      </c>
      <c r="J13" s="12">
        <f>IFERROR(__xludf.DUMMYFUNCTION("(GoogleFinance(A13,""marketcap""))/1000000"),4530.23977)</f>
        <v>4530.23977</v>
      </c>
      <c r="K13" s="13">
        <f>IFERROR(__xludf.DUMMYFUNCTION("AVERAGE(INDEX(GoogleFinance(A13, ""all"", WORKDAY(TODAY(),-220),TODAY()),,3))*U13/1000000"),4647.262438635812)</f>
        <v>4647.262439</v>
      </c>
      <c r="L13" s="8">
        <f>IFERROR(__xludf.DUMMYFUNCTION("(GoogleFinance(A13,""pe""))"),44.19)</f>
        <v>44.19</v>
      </c>
      <c r="M13" s="8">
        <f>IFERROR(__xludf.DUMMYFUNCTION("(GoogleFinance(A13,""eps""))"),2.4)</f>
        <v>2.4</v>
      </c>
      <c r="N13" s="8" t="str">
        <f>IFERROR(__xludf.DUMMYFUNCTION("(GoogleFinance(A13,""beta""))"),"#N/A")</f>
        <v>#N/A</v>
      </c>
      <c r="O13" s="13">
        <f t="shared" ref="O13:P13" si="16">IF(RIGHT(AC13)="B",LEFT(AC13,FIND("B",AC13)-1)*"1000000000",IF(RIGHT(AC13)="M",LEFT(AC13,FIND("M",AC13)-1)*"1000000",IF(RIGHT(AC13)="K",LEFT(AC13,FIND("K",AC13
)-1)*"1000")))</f>
        <v>23310000</v>
      </c>
      <c r="P13" s="13">
        <f t="shared" si="16"/>
        <v>4060000</v>
      </c>
      <c r="Q13" s="13">
        <f t="shared" ref="Q13:Q14" si="21">O13+P13</f>
        <v>27370000</v>
      </c>
      <c r="R13" s="13">
        <f t="shared" ref="R13:R14" si="22">IF(RIGHT(AA13)="T",LEFT(AA13,FIND("T",AA13)-1)*"1000000000000",IF(RIGHT(AA13)="B",LEFT(AA13,FIND("B",AA13)-1)*"1000000000",IF(RIGHT(AA13)="M",LEFT(AA13,FIND("M",AA13)-1)*"1000000",IF(RIGHT(AA13)="K",LEFT(AA13,FIND("K",AA13
)-1)*"1000"))))</f>
        <v>685520000</v>
      </c>
      <c r="S13" s="14">
        <f t="shared" ref="S13:S14" si="23">IF(RIGHT(AB13)="B",LEFT(AB13,FIND("B",AB13)-1)*"1000000000",IF(RIGHT(AB13)="M",LEFT(AB13,FIND("M",AB13)-1)*"1000000",IF(RIGHT(AB13)="K",LEFT(AB13,FIND("K",AB13
)-1)*"1000")))</f>
        <v>244780000</v>
      </c>
      <c r="T13" s="14">
        <f t="shared" ref="T13:T14" si="24">IF(RIGHT(Z13)="B",LEFT(Z13,FIND("B",Z13)-1)*"1000000000",IF(RIGHT(Z13)="M",LEFT(Z13,FIND("M",Z13)-1)*"1000000",IF(RIGHT(Z13)="K",LEFT(Z13,FIND("K",Z13
)-1)*"1000")))</f>
        <v>380370000</v>
      </c>
      <c r="U13" s="14">
        <f>IFERROR(__xludf.DUMMYFUNCTION("(GoogleFinance(A13,""shares""))"),4.0421686E7)</f>
        <v>40421686</v>
      </c>
      <c r="W13" s="8"/>
      <c r="X13" s="8"/>
      <c r="Y13" s="8"/>
      <c r="Z13" s="8" t="str">
        <f>IFERROR(__xludf.DUMMYFUNCTION("IMPORTXML(""https://www.marketwatch.com/investing/stock/""&amp;A13&amp;""/financials/balance-sheet?countrycode=de&amp;iso=xfra"",""/html/body/div[3]/div[5]/div/div[2]/div/div/table/tbody/tr[20]/td[5]/div/span"")"),"380.37M")</f>
        <v>380.37M</v>
      </c>
      <c r="AA13" s="16" t="str">
        <f>IFERROR(__xludf.DUMMYFUNCTION("IMPORTXML(""https://www.marketwatch.com/investing/stock/""&amp;A13&amp;""/financials/balance-sheet?countrycode=de&amp;iso=xfra"",""/html/body/div[3]/div[5]/div/div[2]/div/div/table/tbody/tr[35]/td[5]/div/span"")"),"685.52M")</f>
        <v>685.52M</v>
      </c>
      <c r="AB13" s="17" t="str">
        <f>IFERROR(__xludf.DUMMYFUNCTION("IMPORTXML(""https://www.marketwatch.com/investing/stock/""&amp;A13&amp;""/financials/balance-sheet?countrycode=de&amp;iso=xfra"",""/html/body/div[3]/div[5]/div/div[2]/div/div/table/tbody/tr[1]/td[5]/div/span"")"),"244.78M")</f>
        <v>244.78M</v>
      </c>
      <c r="AC13" s="16" t="str">
        <f>IFERROR(__xludf.DUMMYFUNCTION("IMPORTXML(""https://www.marketwatch.com/investing/stock/""&amp;A13&amp;""/financials/balance-sheet?countrycode=de&amp;iso=xfra"",""/html/body/div[3]/div[5]/div/div[3]/div/div/table/tbody/tr[12]/td[5]/div"")"),"23.31M")</f>
        <v>23.31M</v>
      </c>
      <c r="AD13" s="16" t="str">
        <f>IFERROR(__xludf.DUMMYFUNCTION("IMPORTXML(""https://www.marketwatch.com/investing/stock/""&amp;A13&amp;""/financials/balance-sheet?countrycode=de&amp;iso=xfra"",""/html/body/div[3]/div[5]/div/div[3]/div/div/table/tbody/tr[2]/td[5]/div/span"")"),"4.06M")</f>
        <v>4.06M</v>
      </c>
    </row>
    <row r="14">
      <c r="A14" s="6" t="s">
        <v>31</v>
      </c>
      <c r="B14" s="6" t="str">
        <f>IFERROR(__xludf.DUMMYFUNCTION("IMPORTXML(""https://www.marketwatch.com/investing/stock/""&amp;A14&amp;"""",""/html/body/div[3]/div[2]/div[2]/div/div[2]/h1"")"),"Energizer Holdings Inc.")</f>
        <v>Energizer Holdings Inc.</v>
      </c>
      <c r="C14" s="7" t="str">
        <f>IFERROR(__xludf.DUMMYFUNCTION("IMPORTXML(""https://www.marketwatch.com/investing/stock/""&amp;A14&amp;""/company-profile?mod=mw_quote_tab"",""/html/body/div[3]/div[5]/div[1]/div[1]/div/ul/li[1]/span"")"),"Industrial Electronics")</f>
        <v>Industrial Electronics</v>
      </c>
      <c r="D14" s="7" t="str">
        <f>IFERROR(__xludf.DUMMYFUNCTION("sparkline(GoogleFinance(A14,""price"",TODAY()-90, TODAY()))"),"")</f>
        <v/>
      </c>
      <c r="E14" s="8">
        <f t="shared" si="17"/>
        <v>7.788511095</v>
      </c>
      <c r="F14" s="9">
        <f t="shared" si="18"/>
        <v>0.7729190952</v>
      </c>
      <c r="G14" s="10">
        <f t="shared" si="19"/>
        <v>1.499210478</v>
      </c>
      <c r="H14" s="11">
        <f>IFERROR(__xludf.DUMMYFUNCTION("IMPORTXML(""https://www.marketwatch.com/investing/stock/""&amp;A14&amp;""?mod=mw_quote_tab"",""/html/body/div[3]/div[5]/div[1]/div[1]/div/ul/li[11]/span[1]"")"),0.0269)</f>
        <v>0.0269</v>
      </c>
      <c r="I14" s="7">
        <f>IFERROR(__xludf.DUMMYFUNCTION("(GoogleFinance(A14,""price""))"),44.67)</f>
        <v>44.67</v>
      </c>
      <c r="J14" s="12">
        <f>IFERROR(__xludf.DUMMYFUNCTION("(GoogleFinance(A14,""marketcap""))/1000000"),3053.952424)</f>
        <v>3053.952424</v>
      </c>
      <c r="K14" s="13">
        <f>IFERROR(__xludf.DUMMYFUNCTION("AVERAGE(INDEX(GoogleFinance(A14, ""all"", WORKDAY(TODAY(),-220),TODAY()),,3))*U14/1000000"),3088.29218320755)</f>
        <v>3088.292183</v>
      </c>
      <c r="L14" s="8" t="str">
        <f>IFERROR(__xludf.DUMMYFUNCTION("(GoogleFinance(A14,""pe""))"),"#N/A")</f>
        <v>#N/A</v>
      </c>
      <c r="M14" s="8">
        <f>IFERROR(__xludf.DUMMYFUNCTION("(GoogleFinance(A14,""eps""))"),-1.34)</f>
        <v>-1.34</v>
      </c>
      <c r="N14" s="8">
        <f>IFERROR(__xludf.DUMMYFUNCTION("(GoogleFinance(A14,""beta""))"),1.18)</f>
        <v>1.18</v>
      </c>
      <c r="O14" s="13">
        <f t="shared" ref="O14:P14" si="20">IF(RIGHT(AC14)="B",LEFT(AC14,FIND("B",AC14)-1)*"1000000000",IF(RIGHT(AC14)="M",LEFT(AC14,FIND("M",AC14)-1)*"1000000",IF(RIGHT(AC14)="K",LEFT(AC14,FIND("K",AC14
)-1)*"1000")))</f>
        <v>1670000000</v>
      </c>
      <c r="P14" s="13">
        <f t="shared" si="20"/>
        <v>717000000</v>
      </c>
      <c r="Q14" s="13">
        <f t="shared" si="21"/>
        <v>2387000000</v>
      </c>
      <c r="R14" s="13">
        <f t="shared" si="22"/>
        <v>43030000000</v>
      </c>
      <c r="S14" s="14">
        <f t="shared" si="23"/>
        <v>4630000000</v>
      </c>
      <c r="T14" s="14">
        <f t="shared" si="24"/>
        <v>22550000000</v>
      </c>
      <c r="U14" s="14">
        <f>IFERROR(__xludf.DUMMYFUNCTION("(GoogleFinance(A14,""shares""))"),6.8367E7)</f>
        <v>68367000</v>
      </c>
      <c r="W14" s="8"/>
      <c r="X14" s="8"/>
      <c r="Y14" s="8"/>
      <c r="Z14" s="8" t="str">
        <f>IFERROR(__xludf.DUMMYFUNCTION("IMPORTXML(""https://www.marketwatch.com/investing/stock/""&amp;A14&amp;""/financials/balance-sheet?countrycode=de&amp;iso=xfra"",""/html/body/div[3]/div[5]/div/div[2]/div/div/table/tbody/tr[20]/td[5]/div/span"")"),"22.55B")</f>
        <v>22.55B</v>
      </c>
      <c r="AA14" s="16" t="str">
        <f>IFERROR(__xludf.DUMMYFUNCTION("IMPORTXML(""https://www.marketwatch.com/investing/stock/""&amp;A14&amp;""/financials/balance-sheet?countrycode=de&amp;iso=xfra"",""/html/body/div[3]/div[5]/div/div[2]/div/div/table/tbody/tr[35]/td[5]/div/span"")"),"43.03B")</f>
        <v>43.03B</v>
      </c>
      <c r="AB14" s="17" t="str">
        <f>IFERROR(__xludf.DUMMYFUNCTION("IMPORTXML(""https://www.marketwatch.com/investing/stock/""&amp;A14&amp;""/financials/balance-sheet?countrycode=de&amp;iso=xfra"",""/html/body/div[3]/div[5]/div/div[2]/div/div/table/tbody/tr[1]/td[5]/div/span"")"),"4.63B")</f>
        <v>4.63B</v>
      </c>
      <c r="AC14" s="16" t="str">
        <f>IFERROR(__xludf.DUMMYFUNCTION("IMPORTXML(""https://www.marketwatch.com/investing/stock/""&amp;A14&amp;""/financials/balance-sheet?countrycode=de&amp;iso=xfra"",""/html/body/div[3]/div[5]/div/div[3]/div/div/table/tbody/tr[12]/td[5]/div"")"),"1.67B")</f>
        <v>1.67B</v>
      </c>
      <c r="AD14" s="16" t="str">
        <f>IFERROR(__xludf.DUMMYFUNCTION("IMPORTXML(""https://www.marketwatch.com/investing/stock/""&amp;A14&amp;""/financials/balance-sheet?countrycode=de&amp;iso=xfra"",""/html/body/div[3]/div[5]/div/div[3]/div/div/table/tbody/tr[2]/td[5]/div/span"")"),"717M")</f>
        <v>717M</v>
      </c>
    </row>
    <row r="15">
      <c r="A15" s="6"/>
      <c r="C15" s="7"/>
      <c r="D15" s="7"/>
      <c r="E15" s="8"/>
      <c r="F15" s="7"/>
      <c r="G15" s="7"/>
      <c r="H15" s="15"/>
      <c r="I15" s="7"/>
      <c r="J15" s="12"/>
      <c r="K15" s="13"/>
      <c r="L15" s="8"/>
      <c r="M15" s="8"/>
      <c r="N15" s="8"/>
      <c r="O15" s="8"/>
      <c r="P15" s="8"/>
      <c r="Q15" s="8"/>
      <c r="R15" s="14"/>
      <c r="S15" s="14"/>
      <c r="T15" s="8"/>
      <c r="U15" s="14"/>
      <c r="W15" s="8"/>
      <c r="X15" s="8"/>
      <c r="Y15" s="8"/>
      <c r="Z15" s="8"/>
      <c r="AA15" s="8"/>
      <c r="AB15" s="14"/>
      <c r="AC15" s="8"/>
      <c r="AD15" s="8"/>
    </row>
    <row r="16">
      <c r="A16" s="6"/>
      <c r="C16" s="7"/>
      <c r="D16" s="7"/>
      <c r="E16" s="8"/>
      <c r="F16" s="7"/>
      <c r="G16" s="7"/>
      <c r="H16" s="15"/>
      <c r="I16" s="7"/>
      <c r="J16" s="12"/>
      <c r="K16" s="13"/>
      <c r="L16" s="8"/>
      <c r="M16" s="8"/>
      <c r="N16" s="8"/>
      <c r="O16" s="8"/>
      <c r="P16" s="8"/>
      <c r="Q16" s="8"/>
      <c r="R16" s="14"/>
      <c r="S16" s="14"/>
      <c r="T16" s="8"/>
      <c r="U16" s="14"/>
      <c r="W16" s="8"/>
      <c r="X16" s="8"/>
      <c r="Y16" s="8"/>
      <c r="Z16" s="8"/>
      <c r="AA16" s="8"/>
      <c r="AB16" s="14"/>
      <c r="AC16" s="8"/>
      <c r="AD16" s="8"/>
    </row>
    <row r="17">
      <c r="A17" s="6"/>
      <c r="C17" s="7"/>
      <c r="D17" s="7"/>
      <c r="E17" s="8"/>
      <c r="F17" s="7"/>
      <c r="G17" s="7"/>
      <c r="H17" s="15"/>
      <c r="I17" s="7"/>
      <c r="J17" s="12"/>
      <c r="K17" s="13"/>
      <c r="L17" s="8"/>
      <c r="M17" s="8"/>
      <c r="N17" s="8"/>
      <c r="O17" s="8"/>
      <c r="P17" s="8"/>
      <c r="Q17" s="8"/>
      <c r="R17" s="14"/>
      <c r="S17" s="14"/>
      <c r="T17" s="8"/>
      <c r="U17" s="14"/>
      <c r="W17" s="8"/>
      <c r="X17" s="8"/>
      <c r="Y17" s="8"/>
      <c r="Z17" s="8"/>
      <c r="AA17" s="8"/>
      <c r="AB17" s="14"/>
      <c r="AC17" s="8"/>
      <c r="AD17" s="8"/>
    </row>
    <row r="18">
      <c r="A18" s="6"/>
      <c r="B18" s="6"/>
      <c r="C18" s="7"/>
      <c r="D18" s="7"/>
      <c r="E18" s="8"/>
      <c r="F18" s="7"/>
      <c r="G18" s="7"/>
      <c r="H18" s="15"/>
      <c r="I18" s="7"/>
      <c r="J18" s="12"/>
      <c r="K18" s="13"/>
      <c r="L18" s="8"/>
      <c r="M18" s="8"/>
      <c r="N18" s="8"/>
      <c r="O18" s="8"/>
      <c r="P18" s="8"/>
      <c r="Q18" s="8"/>
      <c r="R18" s="14"/>
      <c r="S18" s="14"/>
      <c r="T18" s="8"/>
      <c r="U18" s="14"/>
      <c r="W18" s="8"/>
      <c r="X18" s="8"/>
      <c r="Y18" s="8"/>
      <c r="Z18" s="8"/>
      <c r="AA18" s="8"/>
      <c r="AB18" s="14"/>
      <c r="AC18" s="8"/>
      <c r="AD18" s="8"/>
    </row>
    <row r="19">
      <c r="A19" s="6"/>
      <c r="B19" s="6"/>
      <c r="C19" s="7"/>
      <c r="D19" s="7"/>
      <c r="E19" s="8"/>
      <c r="F19" s="7"/>
      <c r="G19" s="7"/>
      <c r="H19" s="15"/>
      <c r="I19" s="7"/>
      <c r="J19" s="12"/>
      <c r="K19" s="13"/>
      <c r="L19" s="8"/>
      <c r="M19" s="8"/>
      <c r="N19" s="8"/>
      <c r="O19" s="8"/>
      <c r="P19" s="8"/>
      <c r="Q19" s="8"/>
      <c r="R19" s="14"/>
      <c r="S19" s="14"/>
      <c r="T19" s="8"/>
      <c r="U19" s="14"/>
      <c r="W19" s="8"/>
      <c r="X19" s="8"/>
      <c r="Y19" s="8"/>
      <c r="Z19" s="8"/>
      <c r="AA19" s="8"/>
      <c r="AB19" s="14"/>
      <c r="AC19" s="8"/>
      <c r="AD19" s="8"/>
    </row>
    <row r="20">
      <c r="A20" s="6"/>
      <c r="B20" s="6" t="s">
        <v>32</v>
      </c>
      <c r="C20" s="7"/>
      <c r="D20" s="7"/>
      <c r="E20" s="8"/>
      <c r="F20" s="7"/>
      <c r="G20" s="7"/>
      <c r="H20" s="15"/>
      <c r="I20" s="7"/>
      <c r="J20" s="12"/>
      <c r="K20" s="13"/>
      <c r="L20" s="8"/>
      <c r="M20" s="8"/>
      <c r="N20" s="8"/>
      <c r="O20" s="8"/>
      <c r="P20" s="8"/>
      <c r="Q20" s="8"/>
      <c r="R20" s="14"/>
      <c r="S20" s="14"/>
      <c r="T20" s="8"/>
      <c r="U20" s="14"/>
      <c r="W20" s="8"/>
      <c r="X20" s="8"/>
      <c r="Y20" s="8"/>
      <c r="Z20" s="8"/>
      <c r="AA20" s="8"/>
      <c r="AB20" s="14"/>
      <c r="AC20" s="8"/>
      <c r="AD20" s="8"/>
    </row>
    <row r="21">
      <c r="A21" s="6"/>
      <c r="B21" s="6" t="s">
        <v>33</v>
      </c>
      <c r="C21" s="7"/>
      <c r="D21" s="7"/>
      <c r="E21" s="8"/>
      <c r="F21" s="7"/>
      <c r="G21" s="7"/>
      <c r="H21" s="15"/>
      <c r="I21" s="7"/>
      <c r="J21" s="12"/>
      <c r="K21" s="13"/>
      <c r="L21" s="8"/>
      <c r="M21" s="8"/>
      <c r="N21" s="8"/>
      <c r="O21" s="8"/>
      <c r="P21" s="8"/>
      <c r="Q21" s="8"/>
      <c r="R21" s="14"/>
      <c r="S21" s="14"/>
      <c r="T21" s="8"/>
      <c r="U21" s="14"/>
      <c r="W21" s="8"/>
      <c r="X21" s="8"/>
      <c r="Y21" s="8"/>
      <c r="Z21" s="8"/>
      <c r="AA21" s="8"/>
      <c r="AB21" s="14"/>
      <c r="AC21" s="8"/>
      <c r="AD21" s="8"/>
    </row>
    <row r="22">
      <c r="A22" s="6"/>
      <c r="B22" s="6"/>
      <c r="C22" s="7"/>
      <c r="D22" s="7"/>
      <c r="E22" s="8"/>
      <c r="F22" s="7"/>
      <c r="G22" s="7"/>
      <c r="H22" s="15"/>
      <c r="I22" s="7"/>
      <c r="J22" s="12"/>
      <c r="K22" s="13"/>
      <c r="L22" s="8"/>
      <c r="M22" s="8"/>
      <c r="N22" s="8"/>
      <c r="O22" s="8"/>
      <c r="P22" s="8"/>
      <c r="Q22" s="8"/>
      <c r="R22" s="14"/>
      <c r="S22" s="14"/>
      <c r="T22" s="8"/>
      <c r="U22" s="14"/>
      <c r="W22" s="8"/>
      <c r="X22" s="8"/>
      <c r="Y22" s="8"/>
      <c r="Z22" s="8"/>
      <c r="AA22" s="8"/>
      <c r="AB22" s="14"/>
      <c r="AC22" s="8"/>
      <c r="AD22" s="8"/>
    </row>
    <row r="23">
      <c r="A23" s="6"/>
      <c r="B23" s="6" t="s">
        <v>34</v>
      </c>
      <c r="C23" s="7"/>
      <c r="D23" s="7"/>
      <c r="E23" s="8"/>
      <c r="F23" s="7"/>
      <c r="G23" s="7"/>
      <c r="H23" s="15"/>
      <c r="I23" s="7"/>
      <c r="J23" s="12"/>
      <c r="K23" s="13"/>
      <c r="L23" s="8"/>
      <c r="M23" s="8"/>
      <c r="N23" s="8"/>
      <c r="O23" s="8"/>
      <c r="P23" s="8"/>
      <c r="Q23" s="8"/>
      <c r="R23" s="14"/>
      <c r="S23" s="14"/>
      <c r="T23" s="8"/>
      <c r="U23" s="14"/>
      <c r="W23" s="8"/>
      <c r="X23" s="8"/>
      <c r="Y23" s="8"/>
      <c r="Z23" s="8"/>
      <c r="AA23" s="8"/>
      <c r="AB23" s="14"/>
      <c r="AC23" s="8"/>
      <c r="AD23" s="8"/>
    </row>
    <row r="24">
      <c r="A24" s="6"/>
      <c r="B24" s="6" t="s">
        <v>35</v>
      </c>
      <c r="C24" s="7"/>
      <c r="D24" s="7"/>
      <c r="E24" s="8"/>
      <c r="F24" s="7"/>
      <c r="G24" s="7"/>
      <c r="H24" s="15"/>
      <c r="I24" s="7"/>
      <c r="J24" s="12"/>
      <c r="K24" s="13"/>
      <c r="L24" s="8"/>
      <c r="M24" s="8"/>
      <c r="N24" s="8"/>
      <c r="O24" s="8"/>
      <c r="P24" s="8"/>
      <c r="Q24" s="8"/>
      <c r="R24" s="14"/>
      <c r="S24" s="14"/>
      <c r="T24" s="8"/>
      <c r="U24" s="14"/>
      <c r="W24" s="8"/>
      <c r="X24" s="8"/>
      <c r="Y24" s="8"/>
      <c r="Z24" s="8"/>
      <c r="AA24" s="8"/>
      <c r="AB24" s="14"/>
      <c r="AC24" s="8"/>
      <c r="AD24" s="8"/>
    </row>
    <row r="25">
      <c r="A25" s="6"/>
      <c r="B25" s="6"/>
      <c r="C25" s="7"/>
      <c r="D25" s="7"/>
      <c r="E25" s="8"/>
      <c r="F25" s="7"/>
      <c r="G25" s="7"/>
      <c r="H25" s="15"/>
      <c r="I25" s="7"/>
      <c r="J25" s="12"/>
      <c r="K25" s="13"/>
      <c r="L25" s="8"/>
      <c r="M25" s="8"/>
      <c r="N25" s="8"/>
      <c r="O25" s="8"/>
      <c r="P25" s="8"/>
      <c r="Q25" s="8"/>
      <c r="R25" s="14"/>
      <c r="S25" s="14"/>
      <c r="T25" s="8"/>
      <c r="U25" s="14"/>
      <c r="W25" s="8"/>
      <c r="X25" s="8"/>
      <c r="Y25" s="8"/>
      <c r="Z25" s="8"/>
      <c r="AA25" s="8"/>
      <c r="AB25" s="14"/>
      <c r="AC25" s="8"/>
      <c r="AD25" s="8"/>
    </row>
    <row r="26">
      <c r="A26" s="6"/>
      <c r="B26" s="6" t="s">
        <v>36</v>
      </c>
      <c r="C26" s="7"/>
      <c r="D26" s="7"/>
      <c r="E26" s="8"/>
      <c r="F26" s="7"/>
      <c r="G26" s="7"/>
      <c r="H26" s="15"/>
      <c r="I26" s="7"/>
      <c r="J26" s="12"/>
      <c r="K26" s="13"/>
      <c r="L26" s="8"/>
      <c r="M26" s="8"/>
      <c r="N26" s="8"/>
      <c r="O26" s="8"/>
      <c r="P26" s="8"/>
      <c r="Q26" s="8"/>
      <c r="R26" s="14"/>
      <c r="S26" s="14"/>
      <c r="T26" s="8"/>
      <c r="U26" s="14"/>
      <c r="W26" s="8"/>
      <c r="X26" s="8"/>
      <c r="Y26" s="8"/>
      <c r="Z26" s="8"/>
      <c r="AA26" s="8"/>
      <c r="AB26" s="14"/>
      <c r="AC26" s="8"/>
      <c r="AD26" s="8"/>
    </row>
    <row r="27">
      <c r="A27" s="6"/>
      <c r="B27" s="18" t="s">
        <v>37</v>
      </c>
      <c r="C27" s="7"/>
      <c r="D27" s="7"/>
      <c r="E27" s="8"/>
      <c r="F27" s="7"/>
      <c r="G27" s="7"/>
      <c r="H27" s="15"/>
      <c r="I27" s="7"/>
      <c r="J27" s="12"/>
      <c r="K27" s="13"/>
      <c r="L27" s="8"/>
      <c r="M27" s="8"/>
      <c r="N27" s="8"/>
      <c r="O27" s="8"/>
      <c r="P27" s="8"/>
      <c r="Q27" s="8"/>
      <c r="R27" s="14"/>
      <c r="S27" s="14"/>
      <c r="T27" s="8"/>
      <c r="U27" s="14"/>
      <c r="W27" s="8"/>
      <c r="X27" s="8"/>
      <c r="Y27" s="8"/>
      <c r="Z27" s="8"/>
      <c r="AA27" s="8"/>
      <c r="AB27" s="14"/>
      <c r="AC27" s="8"/>
      <c r="AD27" s="8"/>
    </row>
    <row r="28">
      <c r="A28" s="6"/>
      <c r="B28" s="6" t="s">
        <v>38</v>
      </c>
      <c r="C28" s="7"/>
      <c r="D28" s="7"/>
      <c r="E28" s="8"/>
      <c r="F28" s="7"/>
      <c r="G28" s="7"/>
      <c r="H28" s="15"/>
      <c r="I28" s="7"/>
      <c r="J28" s="12"/>
      <c r="K28" s="13"/>
      <c r="L28" s="8"/>
      <c r="M28" s="8"/>
      <c r="N28" s="8"/>
      <c r="O28" s="8"/>
      <c r="P28" s="8"/>
      <c r="Q28" s="8"/>
      <c r="R28" s="14"/>
      <c r="S28" s="14"/>
      <c r="T28" s="8"/>
      <c r="U28" s="14"/>
      <c r="W28" s="8"/>
      <c r="X28" s="8"/>
      <c r="Y28" s="8"/>
      <c r="Z28" s="8"/>
      <c r="AA28" s="8"/>
      <c r="AB28" s="14"/>
      <c r="AC28" s="8"/>
      <c r="AD28" s="8"/>
    </row>
    <row r="29">
      <c r="A29" s="6"/>
      <c r="B29" s="6"/>
      <c r="C29" s="7"/>
      <c r="D29" s="7"/>
      <c r="E29" s="8"/>
      <c r="F29" s="7"/>
      <c r="G29" s="7"/>
      <c r="H29" s="15"/>
      <c r="I29" s="7"/>
      <c r="J29" s="12"/>
      <c r="K29" s="13"/>
      <c r="L29" s="8"/>
      <c r="M29" s="8"/>
      <c r="N29" s="8"/>
      <c r="O29" s="8"/>
      <c r="P29" s="8"/>
      <c r="Q29" s="8"/>
      <c r="R29" s="14"/>
      <c r="S29" s="14"/>
      <c r="T29" s="8"/>
      <c r="U29" s="14"/>
      <c r="W29" s="8"/>
      <c r="X29" s="8"/>
      <c r="Y29" s="8"/>
      <c r="Z29" s="8"/>
      <c r="AA29" s="8"/>
      <c r="AB29" s="14"/>
      <c r="AC29" s="8"/>
      <c r="AD29" s="8"/>
    </row>
    <row r="30">
      <c r="A30" s="6"/>
      <c r="B30" s="19" t="s">
        <v>39</v>
      </c>
      <c r="C30" s="7"/>
      <c r="D30" s="7"/>
      <c r="E30" s="8"/>
      <c r="F30" s="7"/>
      <c r="G30" s="7"/>
      <c r="H30" s="15"/>
      <c r="I30" s="7"/>
      <c r="J30" s="12"/>
      <c r="K30" s="13"/>
      <c r="L30" s="8"/>
      <c r="M30" s="8"/>
      <c r="N30" s="8"/>
      <c r="O30" s="8"/>
      <c r="P30" s="8"/>
      <c r="Q30" s="8"/>
      <c r="R30" s="14"/>
      <c r="S30" s="14"/>
      <c r="T30" s="8"/>
      <c r="U30" s="14"/>
      <c r="W30" s="8"/>
      <c r="X30" s="8"/>
      <c r="Y30" s="8"/>
      <c r="Z30" s="8"/>
      <c r="AA30" s="8"/>
      <c r="AB30" s="14"/>
      <c r="AC30" s="8"/>
      <c r="AD30" s="8"/>
    </row>
    <row r="31">
      <c r="A31" s="6"/>
      <c r="B31" s="20" t="s">
        <v>40</v>
      </c>
      <c r="C31" s="7"/>
      <c r="D31" s="7"/>
      <c r="E31" s="8"/>
      <c r="F31" s="7"/>
      <c r="G31" s="7"/>
      <c r="H31" s="15"/>
      <c r="I31" s="7"/>
      <c r="J31" s="12"/>
      <c r="K31" s="13"/>
      <c r="L31" s="8"/>
      <c r="M31" s="8"/>
      <c r="N31" s="8"/>
      <c r="O31" s="8"/>
      <c r="P31" s="8"/>
      <c r="Q31" s="8"/>
      <c r="R31" s="14"/>
      <c r="S31" s="14"/>
      <c r="T31" s="8"/>
      <c r="U31" s="14"/>
      <c r="W31" s="8"/>
      <c r="X31" s="8"/>
      <c r="Y31" s="8"/>
      <c r="Z31" s="8"/>
      <c r="AA31" s="8"/>
      <c r="AB31" s="14"/>
      <c r="AC31" s="8"/>
      <c r="AD31" s="8"/>
    </row>
    <row r="32">
      <c r="A32" s="6"/>
      <c r="B32" s="6"/>
      <c r="C32" s="7"/>
      <c r="D32" s="7"/>
      <c r="E32" s="8"/>
      <c r="F32" s="7"/>
      <c r="G32" s="7"/>
      <c r="H32" s="15"/>
      <c r="I32" s="7"/>
      <c r="J32" s="12"/>
      <c r="K32" s="13"/>
      <c r="L32" s="8"/>
      <c r="M32" s="8"/>
      <c r="N32" s="8"/>
      <c r="O32" s="8"/>
      <c r="P32" s="8"/>
      <c r="Q32" s="8"/>
      <c r="R32" s="14"/>
      <c r="S32" s="14"/>
      <c r="T32" s="8"/>
      <c r="U32" s="14"/>
      <c r="W32" s="8"/>
      <c r="X32" s="8"/>
      <c r="Y32" s="8"/>
      <c r="Z32" s="8"/>
      <c r="AA32" s="8"/>
      <c r="AB32" s="14"/>
      <c r="AC32" s="8"/>
      <c r="AD32" s="8"/>
    </row>
    <row r="33">
      <c r="A33" s="6"/>
      <c r="B33" s="6" t="s">
        <v>41</v>
      </c>
      <c r="C33" s="7"/>
      <c r="D33" s="7"/>
      <c r="E33" s="8"/>
      <c r="F33" s="7"/>
      <c r="G33" s="7"/>
      <c r="H33" s="15"/>
      <c r="I33" s="7"/>
      <c r="J33" s="12"/>
      <c r="K33" s="13"/>
      <c r="L33" s="8"/>
      <c r="M33" s="8"/>
      <c r="N33" s="8"/>
      <c r="O33" s="8"/>
      <c r="P33" s="8"/>
      <c r="Q33" s="8"/>
      <c r="R33" s="14"/>
      <c r="S33" s="14"/>
      <c r="T33" s="8"/>
      <c r="U33" s="14"/>
      <c r="W33" s="8"/>
      <c r="X33" s="8"/>
      <c r="Y33" s="8"/>
      <c r="Z33" s="8"/>
      <c r="AA33" s="8"/>
      <c r="AB33" s="14"/>
      <c r="AC33" s="8"/>
      <c r="AD33" s="8"/>
    </row>
    <row r="34">
      <c r="A34" s="6"/>
      <c r="B34" s="6"/>
      <c r="C34" s="7"/>
      <c r="D34" s="7"/>
      <c r="E34" s="8"/>
      <c r="F34" s="7"/>
      <c r="G34" s="7"/>
      <c r="H34" s="15"/>
      <c r="I34" s="7"/>
      <c r="J34" s="12"/>
      <c r="K34" s="13"/>
      <c r="L34" s="8"/>
      <c r="M34" s="8"/>
      <c r="N34" s="8"/>
      <c r="O34" s="8"/>
      <c r="P34" s="8"/>
      <c r="Q34" s="8"/>
      <c r="R34" s="14"/>
      <c r="S34" s="14"/>
      <c r="T34" s="8"/>
      <c r="U34" s="14"/>
      <c r="W34" s="8"/>
      <c r="X34" s="8"/>
      <c r="Y34" s="8"/>
      <c r="Z34" s="8"/>
      <c r="AA34" s="8"/>
      <c r="AB34" s="14"/>
      <c r="AC34" s="8"/>
      <c r="AD34" s="8"/>
    </row>
    <row r="35">
      <c r="A35" s="6"/>
      <c r="B35" s="6" t="s">
        <v>42</v>
      </c>
      <c r="C35" s="7"/>
      <c r="D35" s="7"/>
      <c r="E35" s="8"/>
      <c r="F35" s="7"/>
      <c r="G35" s="7"/>
      <c r="H35" s="15"/>
      <c r="I35" s="7"/>
      <c r="J35" s="12"/>
      <c r="K35" s="13"/>
      <c r="L35" s="8"/>
      <c r="M35" s="8"/>
      <c r="N35" s="8"/>
      <c r="O35" s="8"/>
      <c r="P35" s="8"/>
      <c r="Q35" s="8"/>
      <c r="R35" s="14"/>
      <c r="S35" s="14"/>
      <c r="T35" s="8"/>
      <c r="U35" s="14"/>
      <c r="W35" s="8"/>
      <c r="X35" s="8"/>
      <c r="Y35" s="8"/>
      <c r="Z35" s="8"/>
      <c r="AA35" s="8"/>
      <c r="AB35" s="14"/>
      <c r="AC35" s="8"/>
      <c r="AD35" s="8"/>
    </row>
    <row r="36">
      <c r="A36" s="6"/>
      <c r="B36" s="6" t="s">
        <v>43</v>
      </c>
      <c r="C36" s="7"/>
      <c r="D36" s="7"/>
      <c r="E36" s="8"/>
      <c r="F36" s="7"/>
      <c r="G36" s="7"/>
      <c r="H36" s="15"/>
      <c r="I36" s="7"/>
      <c r="J36" s="12"/>
      <c r="K36" s="13"/>
      <c r="L36" s="8"/>
      <c r="M36" s="8"/>
      <c r="N36" s="8"/>
      <c r="O36" s="8"/>
      <c r="P36" s="8"/>
      <c r="Q36" s="8"/>
      <c r="R36" s="14"/>
      <c r="S36" s="14"/>
      <c r="T36" s="8"/>
      <c r="U36" s="14"/>
      <c r="W36" s="8"/>
      <c r="X36" s="8"/>
      <c r="Y36" s="8"/>
      <c r="Z36" s="8"/>
      <c r="AA36" s="8"/>
      <c r="AB36" s="14"/>
      <c r="AC36" s="8"/>
      <c r="AD36" s="8"/>
    </row>
    <row r="37">
      <c r="A37" s="21"/>
      <c r="B37" s="21"/>
      <c r="C37" s="16"/>
      <c r="D37" s="16"/>
      <c r="F37" s="16"/>
      <c r="G37" s="16"/>
      <c r="H37" s="22"/>
      <c r="I37" s="16"/>
      <c r="J37" s="17"/>
    </row>
    <row r="38">
      <c r="A38" s="21"/>
      <c r="B38" s="21"/>
      <c r="C38" s="16"/>
      <c r="D38" s="16"/>
      <c r="F38" s="16"/>
      <c r="G38" s="16"/>
      <c r="H38" s="22"/>
      <c r="I38" s="16"/>
      <c r="J38" s="17"/>
    </row>
    <row r="39">
      <c r="A39" s="21"/>
      <c r="B39" s="21"/>
      <c r="C39" s="16"/>
      <c r="D39" s="16"/>
      <c r="F39" s="16"/>
      <c r="G39" s="16"/>
      <c r="H39" s="22"/>
      <c r="I39" s="16"/>
      <c r="J39" s="17"/>
    </row>
    <row r="40">
      <c r="A40" s="21"/>
      <c r="B40" s="21"/>
      <c r="C40" s="16"/>
      <c r="D40" s="16"/>
      <c r="F40" s="16"/>
      <c r="G40" s="16"/>
      <c r="H40" s="22"/>
      <c r="I40" s="16"/>
      <c r="J40" s="17"/>
    </row>
    <row r="41">
      <c r="A41" s="21"/>
      <c r="B41" s="21"/>
      <c r="C41" s="16"/>
      <c r="D41" s="16"/>
      <c r="F41" s="16"/>
      <c r="G41" s="16"/>
      <c r="H41" s="22"/>
      <c r="I41" s="16"/>
      <c r="J41" s="17"/>
    </row>
    <row r="42">
      <c r="A42" s="21"/>
      <c r="B42" s="21"/>
      <c r="C42" s="16"/>
      <c r="D42" s="16"/>
      <c r="F42" s="16"/>
      <c r="G42" s="16"/>
      <c r="H42" s="22"/>
      <c r="I42" s="16"/>
      <c r="J42" s="17"/>
    </row>
    <row r="43">
      <c r="A43" s="21"/>
      <c r="B43" s="21"/>
      <c r="C43" s="16"/>
      <c r="D43" s="16"/>
      <c r="F43" s="16"/>
      <c r="G43" s="16"/>
      <c r="H43" s="22"/>
      <c r="I43" s="16"/>
      <c r="J43" s="17"/>
    </row>
    <row r="44">
      <c r="A44" s="21"/>
      <c r="B44" s="21"/>
      <c r="C44" s="16"/>
      <c r="D44" s="16"/>
      <c r="F44" s="16"/>
      <c r="G44" s="16"/>
      <c r="H44" s="22"/>
      <c r="I44" s="16"/>
      <c r="J44" s="17"/>
    </row>
    <row r="45">
      <c r="A45" s="21"/>
      <c r="B45" s="21"/>
      <c r="C45" s="16"/>
      <c r="D45" s="16"/>
      <c r="F45" s="16"/>
      <c r="G45" s="16"/>
      <c r="H45" s="22"/>
      <c r="I45" s="16"/>
      <c r="J45" s="17"/>
    </row>
    <row r="46">
      <c r="A46" s="21"/>
      <c r="B46" s="21"/>
      <c r="C46" s="16"/>
      <c r="D46" s="16"/>
      <c r="F46" s="16"/>
      <c r="G46" s="16"/>
      <c r="H46" s="22"/>
      <c r="I46" s="16"/>
      <c r="J46" s="17"/>
    </row>
    <row r="47">
      <c r="A47" s="21"/>
      <c r="B47" s="21"/>
      <c r="C47" s="16"/>
      <c r="D47" s="16"/>
      <c r="F47" s="16"/>
      <c r="G47" s="16"/>
      <c r="H47" s="22"/>
      <c r="I47" s="16"/>
      <c r="J47" s="17"/>
    </row>
    <row r="48">
      <c r="A48" s="21"/>
      <c r="B48" s="21"/>
      <c r="C48" s="16"/>
      <c r="D48" s="16"/>
      <c r="F48" s="16"/>
      <c r="G48" s="16"/>
      <c r="H48" s="22"/>
      <c r="I48" s="16"/>
      <c r="J48" s="17"/>
    </row>
    <row r="49">
      <c r="A49" s="21"/>
      <c r="B49" s="21"/>
      <c r="C49" s="16"/>
      <c r="D49" s="16"/>
      <c r="F49" s="16"/>
      <c r="G49" s="16"/>
      <c r="H49" s="22"/>
      <c r="I49" s="16"/>
      <c r="J49" s="17"/>
    </row>
    <row r="50">
      <c r="A50" s="21"/>
      <c r="B50" s="21"/>
      <c r="C50" s="16"/>
      <c r="D50" s="16"/>
      <c r="F50" s="16"/>
      <c r="G50" s="16"/>
      <c r="H50" s="22"/>
      <c r="I50" s="16"/>
      <c r="J50" s="17"/>
    </row>
    <row r="51">
      <c r="A51" s="21"/>
      <c r="B51" s="21"/>
      <c r="C51" s="16"/>
      <c r="D51" s="16"/>
      <c r="F51" s="16"/>
      <c r="G51" s="16"/>
      <c r="H51" s="22"/>
      <c r="I51" s="16"/>
      <c r="J51" s="17"/>
    </row>
    <row r="52">
      <c r="A52" s="21"/>
      <c r="B52" s="21"/>
      <c r="C52" s="16"/>
      <c r="D52" s="16"/>
      <c r="F52" s="16"/>
      <c r="G52" s="16"/>
      <c r="H52" s="22"/>
      <c r="I52" s="16"/>
      <c r="J52" s="17"/>
    </row>
    <row r="53">
      <c r="A53" s="21"/>
      <c r="B53" s="21"/>
      <c r="C53" s="16"/>
      <c r="D53" s="16"/>
      <c r="F53" s="16"/>
      <c r="G53" s="16"/>
      <c r="H53" s="22"/>
      <c r="I53" s="16"/>
      <c r="J53" s="17"/>
    </row>
    <row r="54">
      <c r="A54" s="21"/>
      <c r="B54" s="21"/>
      <c r="C54" s="16"/>
      <c r="D54" s="16"/>
      <c r="F54" s="16"/>
      <c r="G54" s="16"/>
      <c r="H54" s="22"/>
      <c r="I54" s="16"/>
      <c r="J54" s="17"/>
    </row>
    <row r="55">
      <c r="A55" s="21"/>
      <c r="B55" s="21"/>
      <c r="C55" s="16"/>
      <c r="D55" s="16"/>
      <c r="F55" s="16"/>
      <c r="G55" s="16"/>
      <c r="H55" s="22"/>
      <c r="I55" s="16"/>
      <c r="J55" s="17"/>
    </row>
    <row r="56">
      <c r="A56" s="21"/>
      <c r="B56" s="21"/>
      <c r="C56" s="16"/>
      <c r="D56" s="16"/>
      <c r="F56" s="16"/>
      <c r="G56" s="16"/>
      <c r="H56" s="22"/>
      <c r="I56" s="16"/>
      <c r="J56" s="17"/>
    </row>
    <row r="57">
      <c r="A57" s="21"/>
      <c r="B57" s="21"/>
      <c r="C57" s="16"/>
      <c r="D57" s="16"/>
      <c r="F57" s="16"/>
      <c r="G57" s="16"/>
      <c r="H57" s="22"/>
      <c r="I57" s="16"/>
      <c r="J57" s="17"/>
    </row>
    <row r="58">
      <c r="B58" s="21"/>
      <c r="H58" s="22"/>
      <c r="J58" s="23"/>
    </row>
    <row r="59">
      <c r="B59" s="21"/>
      <c r="H59" s="22"/>
      <c r="J59" s="23"/>
    </row>
    <row r="60">
      <c r="B60" s="21"/>
      <c r="H60" s="22"/>
      <c r="J60" s="23"/>
    </row>
    <row r="61">
      <c r="B61" s="21"/>
      <c r="H61" s="22"/>
      <c r="J61" s="23"/>
    </row>
    <row r="62">
      <c r="B62" s="21"/>
      <c r="H62" s="22"/>
      <c r="J62" s="23"/>
    </row>
    <row r="63">
      <c r="B63" s="21"/>
      <c r="H63" s="22"/>
      <c r="J63" s="23"/>
    </row>
    <row r="64">
      <c r="B64" s="21"/>
      <c r="H64" s="22"/>
      <c r="J64" s="23"/>
    </row>
    <row r="65">
      <c r="B65" s="21"/>
      <c r="H65" s="22"/>
      <c r="J65" s="23"/>
    </row>
    <row r="66">
      <c r="B66" s="21"/>
      <c r="H66" s="22"/>
      <c r="J66" s="23"/>
    </row>
    <row r="67">
      <c r="B67" s="21"/>
      <c r="H67" s="22"/>
      <c r="J67" s="23"/>
    </row>
    <row r="68">
      <c r="B68" s="21"/>
      <c r="H68" s="22"/>
      <c r="J68" s="23"/>
    </row>
    <row r="69">
      <c r="B69" s="21"/>
      <c r="H69" s="22"/>
      <c r="J69" s="23"/>
    </row>
    <row r="70">
      <c r="B70" s="21"/>
      <c r="H70" s="22"/>
      <c r="J70" s="23"/>
    </row>
    <row r="71">
      <c r="B71" s="21"/>
      <c r="H71" s="22"/>
      <c r="J71" s="23"/>
    </row>
    <row r="72">
      <c r="B72" s="21"/>
      <c r="H72" s="22"/>
      <c r="J72" s="23"/>
    </row>
    <row r="73">
      <c r="B73" s="21"/>
      <c r="H73" s="22"/>
      <c r="J73" s="23"/>
    </row>
    <row r="74">
      <c r="B74" s="21"/>
      <c r="H74" s="22"/>
      <c r="J74" s="23"/>
    </row>
    <row r="75">
      <c r="B75" s="21"/>
      <c r="H75" s="22"/>
      <c r="J75" s="23"/>
    </row>
    <row r="76">
      <c r="B76" s="21"/>
      <c r="H76" s="22"/>
      <c r="J76" s="23"/>
    </row>
    <row r="77">
      <c r="B77" s="21"/>
      <c r="H77" s="22"/>
      <c r="J77" s="23"/>
    </row>
    <row r="78">
      <c r="B78" s="21"/>
      <c r="H78" s="22"/>
      <c r="J78" s="23"/>
    </row>
    <row r="79">
      <c r="B79" s="21"/>
      <c r="H79" s="22"/>
      <c r="J79" s="23"/>
    </row>
    <row r="80">
      <c r="B80" s="21"/>
      <c r="H80" s="22"/>
      <c r="J80" s="23"/>
    </row>
    <row r="81">
      <c r="B81" s="21"/>
      <c r="H81" s="22"/>
      <c r="J81" s="23"/>
    </row>
    <row r="82">
      <c r="B82" s="21"/>
      <c r="H82" s="22"/>
      <c r="J82" s="23"/>
    </row>
    <row r="83">
      <c r="B83" s="21"/>
      <c r="H83" s="22"/>
      <c r="J83" s="23"/>
    </row>
    <row r="84">
      <c r="B84" s="21"/>
      <c r="H84" s="22"/>
      <c r="J84" s="23"/>
    </row>
    <row r="85">
      <c r="B85" s="21"/>
      <c r="H85" s="22"/>
      <c r="J85" s="23"/>
    </row>
    <row r="86">
      <c r="B86" s="21"/>
      <c r="H86" s="22"/>
      <c r="J86" s="23"/>
    </row>
    <row r="87">
      <c r="B87" s="21"/>
      <c r="H87" s="22"/>
      <c r="J87" s="23"/>
    </row>
    <row r="88">
      <c r="B88" s="21"/>
      <c r="H88" s="22"/>
      <c r="J88" s="23"/>
    </row>
    <row r="89">
      <c r="B89" s="21"/>
      <c r="H89" s="22"/>
      <c r="J89" s="23"/>
    </row>
    <row r="90">
      <c r="B90" s="21"/>
      <c r="H90" s="22"/>
      <c r="J90" s="23"/>
    </row>
    <row r="91">
      <c r="B91" s="21"/>
      <c r="H91" s="22"/>
      <c r="J91" s="23"/>
    </row>
    <row r="92">
      <c r="B92" s="21"/>
      <c r="H92" s="22"/>
      <c r="J92" s="23"/>
    </row>
    <row r="93">
      <c r="B93" s="21"/>
      <c r="H93" s="22"/>
      <c r="J93" s="23"/>
    </row>
    <row r="94">
      <c r="B94" s="21"/>
      <c r="H94" s="22"/>
      <c r="J94" s="23"/>
    </row>
    <row r="95">
      <c r="B95" s="21"/>
      <c r="H95" s="22"/>
      <c r="J95" s="23"/>
    </row>
    <row r="96">
      <c r="B96" s="21"/>
      <c r="H96" s="22"/>
      <c r="J96" s="23"/>
    </row>
    <row r="97">
      <c r="B97" s="21"/>
      <c r="H97" s="22"/>
      <c r="J97" s="23"/>
    </row>
    <row r="98">
      <c r="B98" s="21"/>
      <c r="H98" s="22"/>
      <c r="J98" s="23"/>
    </row>
    <row r="99">
      <c r="B99" s="21"/>
      <c r="H99" s="22"/>
      <c r="J99" s="23"/>
    </row>
    <row r="100">
      <c r="B100" s="21"/>
      <c r="H100" s="22"/>
      <c r="J100" s="23"/>
    </row>
    <row r="101">
      <c r="B101" s="21"/>
      <c r="H101" s="22"/>
      <c r="J101" s="23"/>
    </row>
    <row r="102">
      <c r="B102" s="21"/>
      <c r="H102" s="22"/>
      <c r="J102" s="23"/>
    </row>
    <row r="103">
      <c r="B103" s="21"/>
      <c r="H103" s="22"/>
      <c r="J103" s="23"/>
    </row>
    <row r="104">
      <c r="B104" s="21"/>
      <c r="H104" s="22"/>
      <c r="J104" s="23"/>
    </row>
    <row r="105">
      <c r="B105" s="21"/>
      <c r="H105" s="22"/>
      <c r="J105" s="23"/>
    </row>
    <row r="106">
      <c r="B106" s="21"/>
      <c r="H106" s="22"/>
      <c r="J106" s="23"/>
    </row>
    <row r="107">
      <c r="B107" s="21"/>
      <c r="H107" s="22"/>
      <c r="J107" s="23"/>
    </row>
    <row r="108">
      <c r="B108" s="21"/>
      <c r="H108" s="22"/>
      <c r="J108" s="23"/>
    </row>
    <row r="109">
      <c r="B109" s="21"/>
      <c r="H109" s="22"/>
      <c r="J109" s="23"/>
    </row>
    <row r="110">
      <c r="B110" s="21"/>
      <c r="H110" s="22"/>
      <c r="J110" s="23"/>
    </row>
    <row r="111">
      <c r="B111" s="21"/>
      <c r="H111" s="22"/>
      <c r="J111" s="23"/>
    </row>
    <row r="112">
      <c r="B112" s="21"/>
      <c r="H112" s="22"/>
      <c r="J112" s="23"/>
    </row>
    <row r="113">
      <c r="B113" s="21"/>
      <c r="H113" s="22"/>
      <c r="J113" s="23"/>
    </row>
    <row r="114">
      <c r="B114" s="21"/>
      <c r="H114" s="22"/>
      <c r="J114" s="23"/>
    </row>
    <row r="115">
      <c r="B115" s="21"/>
      <c r="H115" s="22"/>
      <c r="J115" s="23"/>
    </row>
    <row r="116">
      <c r="B116" s="21"/>
      <c r="H116" s="22"/>
      <c r="J116" s="23"/>
    </row>
    <row r="117">
      <c r="B117" s="21"/>
      <c r="H117" s="22"/>
      <c r="J117" s="23"/>
    </row>
    <row r="118">
      <c r="B118" s="21"/>
      <c r="H118" s="22"/>
      <c r="J118" s="23"/>
    </row>
    <row r="119">
      <c r="B119" s="21"/>
      <c r="H119" s="22"/>
      <c r="J119" s="23"/>
    </row>
    <row r="120">
      <c r="B120" s="21"/>
      <c r="H120" s="22"/>
      <c r="J120" s="23"/>
    </row>
    <row r="121">
      <c r="B121" s="21"/>
      <c r="H121" s="22"/>
      <c r="J121" s="23"/>
    </row>
    <row r="122">
      <c r="B122" s="21"/>
      <c r="H122" s="22"/>
      <c r="J122" s="23"/>
    </row>
    <row r="123">
      <c r="B123" s="21"/>
      <c r="H123" s="22"/>
      <c r="J123" s="23"/>
    </row>
    <row r="124">
      <c r="B124" s="21"/>
      <c r="H124" s="22"/>
      <c r="J124" s="23"/>
    </row>
    <row r="125">
      <c r="B125" s="21"/>
      <c r="H125" s="22"/>
      <c r="J125" s="23"/>
    </row>
    <row r="126">
      <c r="B126" s="21"/>
      <c r="H126" s="22"/>
      <c r="J126" s="23"/>
    </row>
    <row r="127">
      <c r="B127" s="21"/>
      <c r="H127" s="22"/>
      <c r="J127" s="23"/>
    </row>
    <row r="128">
      <c r="B128" s="21"/>
      <c r="H128" s="22"/>
      <c r="J128" s="23"/>
    </row>
    <row r="129">
      <c r="B129" s="21"/>
      <c r="H129" s="22"/>
      <c r="J129" s="23"/>
    </row>
    <row r="130">
      <c r="B130" s="21"/>
      <c r="H130" s="22"/>
      <c r="J130" s="23"/>
    </row>
    <row r="131">
      <c r="B131" s="21"/>
      <c r="H131" s="22"/>
      <c r="J131" s="23"/>
    </row>
    <row r="132">
      <c r="B132" s="21"/>
      <c r="H132" s="22"/>
      <c r="J132" s="23"/>
    </row>
    <row r="133">
      <c r="B133" s="21"/>
      <c r="H133" s="22"/>
      <c r="J133" s="23"/>
    </row>
    <row r="134">
      <c r="B134" s="21"/>
      <c r="H134" s="22"/>
      <c r="J134" s="23"/>
    </row>
    <row r="135">
      <c r="B135" s="21"/>
      <c r="H135" s="22"/>
      <c r="J135" s="23"/>
    </row>
    <row r="136">
      <c r="B136" s="21"/>
      <c r="H136" s="22"/>
      <c r="J136" s="23"/>
    </row>
    <row r="137">
      <c r="B137" s="21"/>
      <c r="H137" s="22"/>
      <c r="J137" s="23"/>
    </row>
    <row r="138">
      <c r="B138" s="21"/>
      <c r="H138" s="22"/>
      <c r="J138" s="23"/>
    </row>
    <row r="139">
      <c r="B139" s="21"/>
      <c r="H139" s="22"/>
      <c r="J139" s="23"/>
    </row>
    <row r="140">
      <c r="B140" s="21"/>
      <c r="H140" s="22"/>
      <c r="J140" s="23"/>
    </row>
    <row r="141">
      <c r="B141" s="21"/>
      <c r="H141" s="22"/>
      <c r="J141" s="23"/>
    </row>
    <row r="142">
      <c r="B142" s="21"/>
      <c r="H142" s="22"/>
      <c r="J142" s="23"/>
    </row>
    <row r="143">
      <c r="B143" s="21"/>
      <c r="H143" s="22"/>
      <c r="J143" s="23"/>
    </row>
    <row r="144">
      <c r="B144" s="21"/>
      <c r="H144" s="22"/>
      <c r="J144" s="23"/>
    </row>
    <row r="145">
      <c r="B145" s="21"/>
      <c r="H145" s="22"/>
      <c r="J145" s="23"/>
    </row>
    <row r="146">
      <c r="B146" s="21"/>
      <c r="H146" s="22"/>
      <c r="J146" s="23"/>
    </row>
    <row r="147">
      <c r="B147" s="21"/>
      <c r="H147" s="22"/>
      <c r="J147" s="23"/>
    </row>
    <row r="148">
      <c r="B148" s="21"/>
      <c r="H148" s="22"/>
      <c r="J148" s="23"/>
    </row>
    <row r="149">
      <c r="B149" s="21"/>
      <c r="H149" s="22"/>
      <c r="J149" s="23"/>
    </row>
    <row r="150">
      <c r="B150" s="21"/>
      <c r="H150" s="22"/>
      <c r="J150" s="23"/>
    </row>
    <row r="151">
      <c r="B151" s="21"/>
      <c r="H151" s="22"/>
      <c r="J151" s="23"/>
    </row>
    <row r="152">
      <c r="B152" s="21"/>
      <c r="H152" s="22"/>
      <c r="J152" s="23"/>
    </row>
    <row r="153">
      <c r="B153" s="21"/>
      <c r="H153" s="22"/>
      <c r="J153" s="23"/>
    </row>
    <row r="154">
      <c r="B154" s="21"/>
      <c r="H154" s="22"/>
      <c r="J154" s="23"/>
    </row>
    <row r="155">
      <c r="B155" s="21"/>
      <c r="H155" s="22"/>
      <c r="J155" s="23"/>
    </row>
    <row r="156">
      <c r="B156" s="21"/>
      <c r="H156" s="22"/>
      <c r="J156" s="23"/>
    </row>
    <row r="157">
      <c r="B157" s="21"/>
      <c r="H157" s="22"/>
      <c r="J157" s="23"/>
    </row>
    <row r="158">
      <c r="B158" s="21"/>
      <c r="H158" s="22"/>
      <c r="J158" s="23"/>
    </row>
    <row r="159">
      <c r="B159" s="21"/>
      <c r="H159" s="22"/>
      <c r="J159" s="23"/>
    </row>
    <row r="160">
      <c r="B160" s="21"/>
      <c r="H160" s="22"/>
      <c r="J160" s="23"/>
    </row>
    <row r="161">
      <c r="B161" s="21"/>
      <c r="H161" s="22"/>
      <c r="J161" s="23"/>
    </row>
    <row r="162">
      <c r="B162" s="21"/>
      <c r="H162" s="22"/>
      <c r="J162" s="23"/>
    </row>
    <row r="163">
      <c r="B163" s="21"/>
      <c r="H163" s="22"/>
      <c r="J163" s="23"/>
    </row>
    <row r="164">
      <c r="B164" s="21"/>
      <c r="H164" s="22"/>
      <c r="J164" s="23"/>
    </row>
    <row r="165">
      <c r="B165" s="21"/>
      <c r="H165" s="22"/>
      <c r="J165" s="23"/>
    </row>
    <row r="166">
      <c r="B166" s="21"/>
      <c r="H166" s="22"/>
      <c r="J166" s="23"/>
    </row>
    <row r="167">
      <c r="B167" s="21"/>
      <c r="H167" s="22"/>
      <c r="J167" s="23"/>
    </row>
    <row r="168">
      <c r="B168" s="21"/>
      <c r="H168" s="22"/>
      <c r="J168" s="23"/>
    </row>
    <row r="169">
      <c r="B169" s="21"/>
      <c r="H169" s="22"/>
      <c r="J169" s="23"/>
    </row>
    <row r="170">
      <c r="B170" s="21"/>
      <c r="H170" s="22"/>
      <c r="J170" s="23"/>
    </row>
    <row r="171">
      <c r="B171" s="21"/>
      <c r="H171" s="22"/>
      <c r="J171" s="23"/>
    </row>
    <row r="172">
      <c r="B172" s="21"/>
      <c r="H172" s="22"/>
      <c r="J172" s="23"/>
    </row>
    <row r="173">
      <c r="B173" s="21"/>
      <c r="H173" s="22"/>
      <c r="J173" s="23"/>
    </row>
    <row r="174">
      <c r="B174" s="21"/>
      <c r="H174" s="22"/>
      <c r="J174" s="23"/>
    </row>
    <row r="175">
      <c r="B175" s="21"/>
      <c r="H175" s="22"/>
      <c r="J175" s="23"/>
    </row>
    <row r="176">
      <c r="B176" s="21"/>
      <c r="H176" s="22"/>
      <c r="J176" s="23"/>
    </row>
    <row r="177">
      <c r="B177" s="21"/>
      <c r="H177" s="22"/>
      <c r="J177" s="23"/>
    </row>
    <row r="178">
      <c r="B178" s="21"/>
      <c r="H178" s="22"/>
      <c r="J178" s="23"/>
    </row>
    <row r="179">
      <c r="B179" s="21"/>
      <c r="H179" s="22"/>
      <c r="J179" s="23"/>
    </row>
    <row r="180">
      <c r="B180" s="21"/>
      <c r="H180" s="22"/>
      <c r="J180" s="23"/>
    </row>
    <row r="181">
      <c r="B181" s="21"/>
      <c r="H181" s="22"/>
      <c r="J181" s="23"/>
    </row>
    <row r="182">
      <c r="B182" s="21"/>
      <c r="H182" s="22"/>
      <c r="J182" s="23"/>
    </row>
    <row r="183">
      <c r="B183" s="21"/>
      <c r="H183" s="22"/>
      <c r="J183" s="23"/>
    </row>
    <row r="184">
      <c r="B184" s="21"/>
      <c r="H184" s="22"/>
      <c r="J184" s="23"/>
    </row>
    <row r="185">
      <c r="B185" s="21"/>
      <c r="H185" s="22"/>
      <c r="J185" s="23"/>
    </row>
    <row r="186">
      <c r="B186" s="21"/>
      <c r="H186" s="22"/>
      <c r="J186" s="23"/>
    </row>
    <row r="187">
      <c r="B187" s="21"/>
      <c r="H187" s="22"/>
      <c r="J187" s="23"/>
    </row>
    <row r="188">
      <c r="B188" s="21"/>
      <c r="H188" s="22"/>
      <c r="J188" s="23"/>
    </row>
    <row r="189">
      <c r="B189" s="21"/>
      <c r="H189" s="22"/>
      <c r="J189" s="23"/>
    </row>
    <row r="190">
      <c r="B190" s="21"/>
      <c r="H190" s="22"/>
      <c r="J190" s="23"/>
    </row>
    <row r="191">
      <c r="B191" s="21"/>
      <c r="H191" s="22"/>
      <c r="J191" s="23"/>
    </row>
    <row r="192">
      <c r="B192" s="21"/>
      <c r="H192" s="22"/>
      <c r="J192" s="23"/>
    </row>
    <row r="193">
      <c r="B193" s="21"/>
      <c r="H193" s="22"/>
      <c r="J193" s="23"/>
    </row>
    <row r="194">
      <c r="B194" s="21"/>
      <c r="H194" s="22"/>
      <c r="J194" s="23"/>
    </row>
    <row r="195">
      <c r="B195" s="21"/>
      <c r="H195" s="22"/>
      <c r="J195" s="23"/>
    </row>
    <row r="196">
      <c r="B196" s="21"/>
      <c r="H196" s="22"/>
      <c r="J196" s="23"/>
    </row>
    <row r="197">
      <c r="B197" s="21"/>
      <c r="H197" s="22"/>
      <c r="J197" s="23"/>
    </row>
    <row r="198">
      <c r="B198" s="21"/>
      <c r="H198" s="22"/>
      <c r="J198" s="23"/>
    </row>
    <row r="199">
      <c r="B199" s="21"/>
      <c r="H199" s="22"/>
      <c r="J199" s="23"/>
    </row>
    <row r="200">
      <c r="B200" s="21"/>
      <c r="H200" s="22"/>
      <c r="J200" s="23"/>
    </row>
    <row r="201">
      <c r="B201" s="21"/>
      <c r="H201" s="22"/>
      <c r="J201" s="23"/>
    </row>
    <row r="202">
      <c r="B202" s="21"/>
      <c r="H202" s="22"/>
      <c r="J202" s="23"/>
    </row>
    <row r="203">
      <c r="B203" s="21"/>
      <c r="H203" s="22"/>
      <c r="J203" s="23"/>
    </row>
    <row r="204">
      <c r="B204" s="21"/>
      <c r="H204" s="22"/>
      <c r="J204" s="23"/>
    </row>
    <row r="205">
      <c r="B205" s="21"/>
      <c r="H205" s="22"/>
      <c r="J205" s="23"/>
    </row>
    <row r="206">
      <c r="B206" s="21"/>
      <c r="H206" s="22"/>
      <c r="J206" s="23"/>
    </row>
    <row r="207">
      <c r="B207" s="21"/>
      <c r="H207" s="22"/>
      <c r="J207" s="23"/>
    </row>
    <row r="208">
      <c r="B208" s="21"/>
      <c r="H208" s="22"/>
      <c r="J208" s="23"/>
    </row>
    <row r="209">
      <c r="B209" s="21"/>
      <c r="H209" s="22"/>
      <c r="J209" s="23"/>
    </row>
    <row r="210">
      <c r="B210" s="21"/>
      <c r="H210" s="22"/>
      <c r="J210" s="23"/>
    </row>
    <row r="211">
      <c r="B211" s="21"/>
      <c r="H211" s="22"/>
      <c r="J211" s="23"/>
    </row>
    <row r="212">
      <c r="B212" s="21"/>
      <c r="H212" s="22"/>
      <c r="J212" s="23"/>
    </row>
    <row r="213">
      <c r="B213" s="21"/>
      <c r="H213" s="22"/>
      <c r="J213" s="23"/>
    </row>
    <row r="214">
      <c r="B214" s="21"/>
      <c r="H214" s="22"/>
      <c r="J214" s="23"/>
    </row>
    <row r="215">
      <c r="B215" s="21"/>
      <c r="H215" s="22"/>
      <c r="J215" s="23"/>
    </row>
    <row r="216">
      <c r="B216" s="21"/>
      <c r="H216" s="22"/>
      <c r="J216" s="23"/>
    </row>
    <row r="217">
      <c r="B217" s="21"/>
      <c r="H217" s="22"/>
      <c r="J217" s="23"/>
    </row>
    <row r="218">
      <c r="B218" s="21"/>
      <c r="H218" s="22"/>
      <c r="J218" s="23"/>
    </row>
    <row r="219">
      <c r="B219" s="21"/>
      <c r="H219" s="22"/>
      <c r="J219" s="23"/>
    </row>
    <row r="220">
      <c r="B220" s="21"/>
      <c r="H220" s="22"/>
      <c r="J220" s="23"/>
    </row>
    <row r="221">
      <c r="B221" s="21"/>
      <c r="H221" s="22"/>
      <c r="J221" s="23"/>
    </row>
    <row r="222">
      <c r="B222" s="21"/>
      <c r="H222" s="22"/>
      <c r="J222" s="23"/>
    </row>
    <row r="223">
      <c r="B223" s="21"/>
      <c r="H223" s="22"/>
      <c r="J223" s="23"/>
    </row>
    <row r="224">
      <c r="B224" s="21"/>
      <c r="H224" s="22"/>
      <c r="J224" s="23"/>
    </row>
    <row r="225">
      <c r="B225" s="21"/>
      <c r="H225" s="22"/>
      <c r="J225" s="23"/>
    </row>
    <row r="226">
      <c r="B226" s="21"/>
      <c r="H226" s="22"/>
      <c r="J226" s="23"/>
    </row>
    <row r="227">
      <c r="B227" s="21"/>
      <c r="H227" s="22"/>
      <c r="J227" s="23"/>
    </row>
    <row r="228">
      <c r="B228" s="21"/>
      <c r="H228" s="22"/>
      <c r="J228" s="23"/>
    </row>
    <row r="229">
      <c r="B229" s="21"/>
      <c r="H229" s="22"/>
      <c r="J229" s="23"/>
    </row>
    <row r="230">
      <c r="B230" s="21"/>
      <c r="H230" s="22"/>
      <c r="J230" s="23"/>
    </row>
    <row r="231">
      <c r="B231" s="21"/>
      <c r="H231" s="22"/>
      <c r="J231" s="23"/>
    </row>
    <row r="232">
      <c r="B232" s="21"/>
      <c r="H232" s="22"/>
      <c r="J232" s="23"/>
    </row>
    <row r="233">
      <c r="B233" s="21"/>
      <c r="H233" s="22"/>
      <c r="J233" s="23"/>
    </row>
    <row r="234">
      <c r="B234" s="21"/>
      <c r="H234" s="22"/>
      <c r="J234" s="23"/>
    </row>
    <row r="235">
      <c r="B235" s="21"/>
      <c r="H235" s="22"/>
      <c r="J235" s="23"/>
    </row>
    <row r="236">
      <c r="B236" s="21"/>
      <c r="H236" s="22"/>
      <c r="J236" s="23"/>
    </row>
    <row r="237">
      <c r="B237" s="21"/>
      <c r="H237" s="22"/>
      <c r="J237" s="23"/>
    </row>
    <row r="238">
      <c r="B238" s="21"/>
      <c r="H238" s="22"/>
      <c r="J238" s="23"/>
    </row>
    <row r="239">
      <c r="B239" s="21"/>
      <c r="H239" s="22"/>
      <c r="J239" s="23"/>
    </row>
    <row r="240">
      <c r="B240" s="21"/>
      <c r="H240" s="22"/>
      <c r="J240" s="23"/>
    </row>
    <row r="241">
      <c r="B241" s="21"/>
      <c r="H241" s="22"/>
      <c r="J241" s="23"/>
    </row>
    <row r="242">
      <c r="B242" s="21"/>
      <c r="H242" s="22"/>
      <c r="J242" s="23"/>
    </row>
    <row r="243">
      <c r="B243" s="21"/>
      <c r="H243" s="22"/>
      <c r="J243" s="23"/>
    </row>
    <row r="244">
      <c r="B244" s="21"/>
      <c r="H244" s="22"/>
      <c r="J244" s="23"/>
    </row>
    <row r="245">
      <c r="B245" s="21"/>
      <c r="H245" s="22"/>
      <c r="J245" s="23"/>
    </row>
    <row r="246">
      <c r="B246" s="21"/>
      <c r="H246" s="22"/>
      <c r="J246" s="23"/>
    </row>
    <row r="247">
      <c r="B247" s="21"/>
      <c r="H247" s="22"/>
      <c r="J247" s="23"/>
    </row>
    <row r="248">
      <c r="B248" s="21"/>
      <c r="H248" s="22"/>
      <c r="J248" s="23"/>
    </row>
    <row r="249">
      <c r="B249" s="21"/>
      <c r="H249" s="22"/>
      <c r="J249" s="23"/>
    </row>
    <row r="250">
      <c r="B250" s="21"/>
      <c r="H250" s="22"/>
      <c r="J250" s="23"/>
    </row>
    <row r="251">
      <c r="B251" s="21"/>
      <c r="H251" s="22"/>
      <c r="J251" s="23"/>
    </row>
    <row r="252">
      <c r="B252" s="21"/>
      <c r="H252" s="22"/>
      <c r="J252" s="23"/>
    </row>
    <row r="253">
      <c r="B253" s="21"/>
      <c r="H253" s="22"/>
      <c r="J253" s="23"/>
    </row>
    <row r="254">
      <c r="B254" s="21"/>
      <c r="H254" s="22"/>
      <c r="J254" s="23"/>
    </row>
    <row r="255">
      <c r="B255" s="21"/>
      <c r="H255" s="22"/>
      <c r="J255" s="23"/>
    </row>
    <row r="256">
      <c r="B256" s="21"/>
      <c r="H256" s="22"/>
      <c r="J256" s="23"/>
    </row>
    <row r="257">
      <c r="B257" s="21"/>
      <c r="H257" s="22"/>
      <c r="J257" s="23"/>
    </row>
    <row r="258">
      <c r="B258" s="21"/>
      <c r="H258" s="22"/>
      <c r="J258" s="23"/>
    </row>
    <row r="259">
      <c r="B259" s="21"/>
      <c r="H259" s="22"/>
      <c r="J259" s="23"/>
    </row>
    <row r="260">
      <c r="B260" s="21"/>
      <c r="H260" s="22"/>
      <c r="J260" s="23"/>
    </row>
    <row r="261">
      <c r="B261" s="21"/>
      <c r="H261" s="22"/>
      <c r="J261" s="23"/>
    </row>
    <row r="262">
      <c r="B262" s="21"/>
      <c r="H262" s="22"/>
      <c r="J262" s="23"/>
    </row>
    <row r="263">
      <c r="B263" s="21"/>
      <c r="H263" s="22"/>
      <c r="J263" s="23"/>
    </row>
    <row r="264">
      <c r="B264" s="21"/>
      <c r="H264" s="22"/>
      <c r="J264" s="23"/>
    </row>
    <row r="265">
      <c r="B265" s="21"/>
      <c r="H265" s="22"/>
      <c r="J265" s="23"/>
    </row>
    <row r="266">
      <c r="B266" s="21"/>
      <c r="H266" s="22"/>
      <c r="J266" s="23"/>
    </row>
    <row r="267">
      <c r="B267" s="21"/>
      <c r="H267" s="22"/>
      <c r="J267" s="23"/>
    </row>
    <row r="268">
      <c r="B268" s="21"/>
      <c r="H268" s="22"/>
      <c r="J268" s="23"/>
    </row>
    <row r="269">
      <c r="B269" s="21"/>
      <c r="H269" s="22"/>
      <c r="J269" s="23"/>
    </row>
    <row r="270">
      <c r="B270" s="21"/>
      <c r="H270" s="22"/>
      <c r="J270" s="23"/>
    </row>
    <row r="271">
      <c r="B271" s="21"/>
      <c r="H271" s="22"/>
      <c r="J271" s="23"/>
    </row>
    <row r="272">
      <c r="B272" s="21"/>
      <c r="H272" s="22"/>
      <c r="J272" s="23"/>
    </row>
    <row r="273">
      <c r="B273" s="21"/>
      <c r="H273" s="22"/>
      <c r="J273" s="23"/>
    </row>
    <row r="274">
      <c r="B274" s="21"/>
      <c r="H274" s="22"/>
      <c r="J274" s="23"/>
    </row>
    <row r="275">
      <c r="B275" s="21"/>
      <c r="H275" s="22"/>
      <c r="J275" s="23"/>
    </row>
    <row r="276">
      <c r="B276" s="21"/>
      <c r="H276" s="22"/>
      <c r="J276" s="23"/>
    </row>
    <row r="277">
      <c r="B277" s="21"/>
      <c r="H277" s="22"/>
      <c r="J277" s="23"/>
    </row>
    <row r="278">
      <c r="B278" s="21"/>
      <c r="H278" s="22"/>
      <c r="J278" s="23"/>
    </row>
    <row r="279">
      <c r="B279" s="21"/>
      <c r="H279" s="22"/>
      <c r="J279" s="23"/>
    </row>
    <row r="280">
      <c r="B280" s="21"/>
      <c r="H280" s="22"/>
      <c r="J280" s="23"/>
    </row>
    <row r="281">
      <c r="B281" s="21"/>
      <c r="H281" s="22"/>
      <c r="J281" s="23"/>
    </row>
    <row r="282">
      <c r="B282" s="21"/>
      <c r="H282" s="22"/>
      <c r="J282" s="23"/>
    </row>
    <row r="283">
      <c r="B283" s="21"/>
      <c r="H283" s="22"/>
      <c r="J283" s="23"/>
    </row>
    <row r="284">
      <c r="B284" s="21"/>
      <c r="H284" s="22"/>
      <c r="J284" s="23"/>
    </row>
    <row r="285">
      <c r="B285" s="21"/>
      <c r="H285" s="22"/>
      <c r="J285" s="23"/>
    </row>
    <row r="286">
      <c r="B286" s="21"/>
      <c r="H286" s="22"/>
      <c r="J286" s="23"/>
    </row>
    <row r="287">
      <c r="B287" s="21"/>
      <c r="H287" s="22"/>
      <c r="J287" s="23"/>
    </row>
    <row r="288">
      <c r="B288" s="21"/>
      <c r="H288" s="22"/>
      <c r="J288" s="23"/>
    </row>
    <row r="289">
      <c r="B289" s="21"/>
      <c r="H289" s="22"/>
      <c r="J289" s="23"/>
    </row>
    <row r="290">
      <c r="B290" s="21"/>
      <c r="H290" s="22"/>
      <c r="J290" s="23"/>
    </row>
    <row r="291">
      <c r="B291" s="21"/>
      <c r="H291" s="22"/>
      <c r="J291" s="23"/>
    </row>
    <row r="292">
      <c r="B292" s="21"/>
      <c r="H292" s="22"/>
      <c r="J292" s="23"/>
    </row>
    <row r="293">
      <c r="B293" s="21"/>
      <c r="H293" s="22"/>
      <c r="J293" s="23"/>
    </row>
    <row r="294">
      <c r="B294" s="21"/>
      <c r="H294" s="22"/>
      <c r="J294" s="23"/>
    </row>
    <row r="295">
      <c r="B295" s="21"/>
      <c r="H295" s="22"/>
      <c r="J295" s="23"/>
    </row>
    <row r="296">
      <c r="B296" s="21"/>
      <c r="H296" s="22"/>
      <c r="J296" s="23"/>
    </row>
    <row r="297">
      <c r="B297" s="21"/>
      <c r="H297" s="22"/>
      <c r="J297" s="23"/>
    </row>
    <row r="298">
      <c r="B298" s="21"/>
      <c r="H298" s="22"/>
      <c r="J298" s="23"/>
    </row>
    <row r="299">
      <c r="B299" s="21"/>
      <c r="H299" s="22"/>
      <c r="J299" s="23"/>
    </row>
    <row r="300">
      <c r="B300" s="21"/>
      <c r="H300" s="22"/>
      <c r="J300" s="23"/>
    </row>
    <row r="301">
      <c r="B301" s="21"/>
      <c r="H301" s="22"/>
      <c r="J301" s="23"/>
    </row>
    <row r="302">
      <c r="B302" s="21"/>
      <c r="H302" s="22"/>
      <c r="J302" s="23"/>
    </row>
    <row r="303">
      <c r="B303" s="21"/>
      <c r="H303" s="22"/>
      <c r="J303" s="23"/>
    </row>
    <row r="304">
      <c r="B304" s="21"/>
      <c r="H304" s="22"/>
      <c r="J304" s="23"/>
    </row>
    <row r="305">
      <c r="B305" s="21"/>
      <c r="H305" s="22"/>
      <c r="J305" s="23"/>
    </row>
    <row r="306">
      <c r="B306" s="21"/>
      <c r="H306" s="22"/>
      <c r="J306" s="23"/>
    </row>
    <row r="307">
      <c r="B307" s="21"/>
      <c r="H307" s="22"/>
      <c r="J307" s="23"/>
    </row>
    <row r="308">
      <c r="B308" s="21"/>
      <c r="H308" s="22"/>
      <c r="J308" s="23"/>
    </row>
    <row r="309">
      <c r="B309" s="21"/>
      <c r="H309" s="22"/>
      <c r="J309" s="23"/>
    </row>
    <row r="310">
      <c r="B310" s="21"/>
      <c r="H310" s="22"/>
      <c r="J310" s="23"/>
    </row>
    <row r="311">
      <c r="B311" s="21"/>
      <c r="H311" s="22"/>
      <c r="J311" s="23"/>
    </row>
    <row r="312">
      <c r="B312" s="21"/>
      <c r="H312" s="22"/>
      <c r="J312" s="23"/>
    </row>
    <row r="313">
      <c r="B313" s="21"/>
      <c r="H313" s="22"/>
      <c r="J313" s="23"/>
    </row>
    <row r="314">
      <c r="B314" s="21"/>
      <c r="H314" s="22"/>
      <c r="J314" s="23"/>
    </row>
    <row r="315">
      <c r="B315" s="21"/>
      <c r="H315" s="22"/>
      <c r="J315" s="23"/>
    </row>
    <row r="316">
      <c r="B316" s="21"/>
      <c r="H316" s="22"/>
      <c r="J316" s="23"/>
    </row>
    <row r="317">
      <c r="B317" s="21"/>
      <c r="H317" s="22"/>
      <c r="J317" s="23"/>
    </row>
    <row r="318">
      <c r="B318" s="21"/>
      <c r="H318" s="22"/>
      <c r="J318" s="23"/>
    </row>
    <row r="319">
      <c r="B319" s="21"/>
      <c r="H319" s="22"/>
      <c r="J319" s="23"/>
    </row>
    <row r="320">
      <c r="B320" s="21"/>
      <c r="H320" s="22"/>
      <c r="J320" s="23"/>
    </row>
    <row r="321">
      <c r="B321" s="21"/>
      <c r="H321" s="22"/>
      <c r="J321" s="23"/>
    </row>
    <row r="322">
      <c r="B322" s="21"/>
      <c r="H322" s="22"/>
      <c r="J322" s="23"/>
    </row>
    <row r="323">
      <c r="B323" s="21"/>
      <c r="H323" s="22"/>
      <c r="J323" s="23"/>
    </row>
    <row r="324">
      <c r="B324" s="21"/>
      <c r="H324" s="22"/>
      <c r="J324" s="23"/>
    </row>
    <row r="325">
      <c r="B325" s="21"/>
      <c r="H325" s="22"/>
      <c r="J325" s="23"/>
    </row>
    <row r="326">
      <c r="B326" s="21"/>
      <c r="H326" s="22"/>
      <c r="J326" s="23"/>
    </row>
    <row r="327">
      <c r="B327" s="21"/>
      <c r="H327" s="22"/>
      <c r="J327" s="23"/>
    </row>
    <row r="328">
      <c r="B328" s="21"/>
      <c r="H328" s="22"/>
      <c r="J328" s="23"/>
    </row>
    <row r="329">
      <c r="B329" s="21"/>
      <c r="H329" s="22"/>
      <c r="J329" s="23"/>
    </row>
    <row r="330">
      <c r="B330" s="21"/>
      <c r="H330" s="22"/>
      <c r="J330" s="23"/>
    </row>
    <row r="331">
      <c r="B331" s="21"/>
      <c r="H331" s="22"/>
      <c r="J331" s="23"/>
    </row>
    <row r="332">
      <c r="B332" s="21"/>
      <c r="H332" s="22"/>
      <c r="J332" s="23"/>
    </row>
    <row r="333">
      <c r="B333" s="21"/>
      <c r="H333" s="22"/>
      <c r="J333" s="23"/>
    </row>
    <row r="334">
      <c r="B334" s="21"/>
      <c r="H334" s="22"/>
      <c r="J334" s="23"/>
    </row>
    <row r="335">
      <c r="B335" s="21"/>
      <c r="H335" s="22"/>
      <c r="J335" s="23"/>
    </row>
    <row r="336">
      <c r="B336" s="21"/>
      <c r="H336" s="22"/>
      <c r="J336" s="23"/>
    </row>
    <row r="337">
      <c r="B337" s="21"/>
      <c r="H337" s="22"/>
      <c r="J337" s="23"/>
    </row>
    <row r="338">
      <c r="B338" s="21"/>
      <c r="H338" s="22"/>
      <c r="J338" s="23"/>
    </row>
    <row r="339">
      <c r="B339" s="21"/>
      <c r="H339" s="22"/>
      <c r="J339" s="23"/>
    </row>
    <row r="340">
      <c r="B340" s="21"/>
      <c r="H340" s="22"/>
      <c r="J340" s="23"/>
    </row>
    <row r="341">
      <c r="B341" s="21"/>
      <c r="H341" s="22"/>
      <c r="J341" s="23"/>
    </row>
    <row r="342">
      <c r="B342" s="21"/>
      <c r="H342" s="22"/>
      <c r="J342" s="23"/>
    </row>
    <row r="343">
      <c r="B343" s="21"/>
      <c r="H343" s="22"/>
      <c r="J343" s="23"/>
    </row>
    <row r="344">
      <c r="B344" s="21"/>
      <c r="H344" s="22"/>
      <c r="J344" s="23"/>
    </row>
    <row r="345">
      <c r="B345" s="21"/>
      <c r="H345" s="22"/>
      <c r="J345" s="23"/>
    </row>
    <row r="346">
      <c r="B346" s="21"/>
      <c r="H346" s="22"/>
      <c r="J346" s="23"/>
    </row>
    <row r="347">
      <c r="B347" s="21"/>
      <c r="H347" s="22"/>
      <c r="J347" s="23"/>
    </row>
    <row r="348">
      <c r="B348" s="21"/>
      <c r="H348" s="22"/>
      <c r="J348" s="23"/>
    </row>
    <row r="349">
      <c r="B349" s="21"/>
      <c r="H349" s="22"/>
      <c r="J349" s="23"/>
    </row>
    <row r="350">
      <c r="B350" s="21"/>
      <c r="H350" s="22"/>
      <c r="J350" s="23"/>
    </row>
    <row r="351">
      <c r="B351" s="21"/>
      <c r="H351" s="22"/>
      <c r="J351" s="23"/>
    </row>
    <row r="352">
      <c r="B352" s="21"/>
      <c r="H352" s="22"/>
      <c r="J352" s="23"/>
    </row>
    <row r="353">
      <c r="B353" s="21"/>
      <c r="H353" s="22"/>
      <c r="J353" s="23"/>
    </row>
    <row r="354">
      <c r="B354" s="21"/>
      <c r="H354" s="22"/>
      <c r="J354" s="23"/>
    </row>
    <row r="355">
      <c r="B355" s="21"/>
      <c r="H355" s="22"/>
      <c r="J355" s="23"/>
    </row>
    <row r="356">
      <c r="B356" s="21"/>
      <c r="H356" s="22"/>
      <c r="J356" s="23"/>
    </row>
    <row r="357">
      <c r="B357" s="21"/>
      <c r="H357" s="22"/>
      <c r="J357" s="23"/>
    </row>
    <row r="358">
      <c r="B358" s="21"/>
      <c r="H358" s="22"/>
      <c r="J358" s="23"/>
    </row>
    <row r="359">
      <c r="B359" s="21"/>
      <c r="H359" s="22"/>
      <c r="J359" s="23"/>
    </row>
    <row r="360">
      <c r="B360" s="21"/>
      <c r="H360" s="22"/>
      <c r="J360" s="23"/>
    </row>
    <row r="361">
      <c r="B361" s="21"/>
      <c r="H361" s="22"/>
      <c r="J361" s="23"/>
    </row>
    <row r="362">
      <c r="B362" s="21"/>
      <c r="H362" s="22"/>
      <c r="J362" s="23"/>
    </row>
    <row r="363">
      <c r="B363" s="21"/>
      <c r="H363" s="22"/>
      <c r="J363" s="23"/>
    </row>
    <row r="364">
      <c r="B364" s="21"/>
      <c r="H364" s="22"/>
      <c r="J364" s="23"/>
    </row>
    <row r="365">
      <c r="B365" s="21"/>
      <c r="H365" s="22"/>
      <c r="J365" s="23"/>
    </row>
    <row r="366">
      <c r="B366" s="21"/>
      <c r="H366" s="22"/>
      <c r="J366" s="23"/>
    </row>
    <row r="367">
      <c r="B367" s="21"/>
      <c r="H367" s="22"/>
      <c r="J367" s="23"/>
    </row>
    <row r="368">
      <c r="B368" s="21"/>
      <c r="H368" s="22"/>
      <c r="J368" s="23"/>
    </row>
    <row r="369">
      <c r="B369" s="21"/>
      <c r="H369" s="22"/>
      <c r="J369" s="23"/>
    </row>
    <row r="370">
      <c r="B370" s="21"/>
      <c r="H370" s="22"/>
      <c r="J370" s="23"/>
    </row>
    <row r="371">
      <c r="B371" s="21"/>
      <c r="H371" s="22"/>
      <c r="J371" s="23"/>
    </row>
    <row r="372">
      <c r="B372" s="21"/>
      <c r="H372" s="22"/>
      <c r="J372" s="23"/>
    </row>
    <row r="373">
      <c r="B373" s="21"/>
      <c r="H373" s="22"/>
      <c r="J373" s="23"/>
    </row>
    <row r="374">
      <c r="B374" s="21"/>
      <c r="H374" s="22"/>
      <c r="J374" s="23"/>
    </row>
    <row r="375">
      <c r="B375" s="21"/>
      <c r="H375" s="22"/>
      <c r="J375" s="23"/>
    </row>
    <row r="376">
      <c r="B376" s="21"/>
      <c r="H376" s="22"/>
      <c r="J376" s="23"/>
    </row>
    <row r="377">
      <c r="B377" s="21"/>
      <c r="H377" s="22"/>
      <c r="J377" s="23"/>
    </row>
    <row r="378">
      <c r="B378" s="21"/>
      <c r="H378" s="22"/>
      <c r="J378" s="23"/>
    </row>
    <row r="379">
      <c r="B379" s="21"/>
      <c r="H379" s="22"/>
      <c r="J379" s="23"/>
    </row>
    <row r="380">
      <c r="B380" s="21"/>
      <c r="H380" s="22"/>
      <c r="J380" s="23"/>
    </row>
    <row r="381">
      <c r="B381" s="21"/>
      <c r="H381" s="22"/>
      <c r="J381" s="23"/>
    </row>
    <row r="382">
      <c r="B382" s="21"/>
      <c r="H382" s="22"/>
      <c r="J382" s="23"/>
    </row>
    <row r="383">
      <c r="B383" s="21"/>
      <c r="H383" s="22"/>
      <c r="J383" s="23"/>
    </row>
    <row r="384">
      <c r="B384" s="21"/>
      <c r="H384" s="22"/>
      <c r="J384" s="23"/>
    </row>
    <row r="385">
      <c r="B385" s="21"/>
      <c r="H385" s="22"/>
      <c r="J385" s="23"/>
    </row>
    <row r="386">
      <c r="B386" s="21"/>
      <c r="H386" s="22"/>
      <c r="J386" s="23"/>
    </row>
    <row r="387">
      <c r="B387" s="21"/>
      <c r="H387" s="22"/>
      <c r="J387" s="23"/>
    </row>
    <row r="388">
      <c r="B388" s="21"/>
      <c r="H388" s="22"/>
      <c r="J388" s="23"/>
    </row>
    <row r="389">
      <c r="B389" s="21"/>
      <c r="H389" s="22"/>
      <c r="J389" s="23"/>
    </row>
    <row r="390">
      <c r="B390" s="21"/>
      <c r="H390" s="22"/>
      <c r="J390" s="23"/>
    </row>
    <row r="391">
      <c r="B391" s="21"/>
      <c r="H391" s="22"/>
      <c r="J391" s="23"/>
    </row>
    <row r="392">
      <c r="B392" s="21"/>
      <c r="H392" s="22"/>
      <c r="J392" s="23"/>
    </row>
    <row r="393">
      <c r="B393" s="21"/>
      <c r="H393" s="22"/>
      <c r="J393" s="23"/>
    </row>
    <row r="394">
      <c r="B394" s="21"/>
      <c r="H394" s="22"/>
      <c r="J394" s="23"/>
    </row>
    <row r="395">
      <c r="B395" s="21"/>
      <c r="H395" s="22"/>
      <c r="J395" s="23"/>
    </row>
    <row r="396">
      <c r="B396" s="21"/>
      <c r="H396" s="22"/>
      <c r="J396" s="23"/>
    </row>
    <row r="397">
      <c r="B397" s="21"/>
      <c r="H397" s="22"/>
      <c r="J397" s="23"/>
    </row>
    <row r="398">
      <c r="B398" s="21"/>
      <c r="H398" s="22"/>
      <c r="J398" s="23"/>
    </row>
    <row r="399">
      <c r="B399" s="21"/>
      <c r="H399" s="22"/>
      <c r="J399" s="23"/>
    </row>
    <row r="400">
      <c r="B400" s="21"/>
      <c r="H400" s="22"/>
      <c r="J400" s="23"/>
    </row>
    <row r="401">
      <c r="B401" s="21"/>
      <c r="H401" s="22"/>
      <c r="J401" s="23"/>
    </row>
    <row r="402">
      <c r="B402" s="21"/>
      <c r="H402" s="22"/>
      <c r="J402" s="23"/>
    </row>
    <row r="403">
      <c r="B403" s="21"/>
      <c r="H403" s="22"/>
      <c r="J403" s="23"/>
    </row>
    <row r="404">
      <c r="B404" s="21"/>
      <c r="H404" s="22"/>
      <c r="J404" s="23"/>
    </row>
    <row r="405">
      <c r="B405" s="21"/>
      <c r="H405" s="22"/>
      <c r="J405" s="23"/>
    </row>
    <row r="406">
      <c r="B406" s="21"/>
      <c r="H406" s="22"/>
      <c r="J406" s="23"/>
    </row>
    <row r="407">
      <c r="B407" s="21"/>
      <c r="H407" s="22"/>
      <c r="J407" s="23"/>
    </row>
    <row r="408">
      <c r="B408" s="21"/>
      <c r="H408" s="22"/>
      <c r="J408" s="23"/>
    </row>
    <row r="409">
      <c r="B409" s="21"/>
      <c r="H409" s="22"/>
      <c r="J409" s="23"/>
    </row>
    <row r="410">
      <c r="B410" s="21"/>
      <c r="H410" s="22"/>
      <c r="J410" s="23"/>
    </row>
    <row r="411">
      <c r="B411" s="21"/>
      <c r="H411" s="22"/>
      <c r="J411" s="23"/>
    </row>
    <row r="412">
      <c r="B412" s="21"/>
      <c r="H412" s="22"/>
      <c r="J412" s="23"/>
    </row>
    <row r="413">
      <c r="B413" s="21"/>
      <c r="H413" s="22"/>
      <c r="J413" s="23"/>
    </row>
    <row r="414">
      <c r="B414" s="21"/>
      <c r="H414" s="22"/>
      <c r="J414" s="23"/>
    </row>
    <row r="415">
      <c r="B415" s="21"/>
      <c r="H415" s="22"/>
      <c r="J415" s="23"/>
    </row>
    <row r="416">
      <c r="B416" s="21"/>
      <c r="H416" s="22"/>
      <c r="J416" s="23"/>
    </row>
    <row r="417">
      <c r="B417" s="21"/>
      <c r="H417" s="22"/>
      <c r="J417" s="23"/>
    </row>
    <row r="418">
      <c r="B418" s="21"/>
      <c r="H418" s="22"/>
      <c r="J418" s="23"/>
    </row>
    <row r="419">
      <c r="B419" s="21"/>
      <c r="H419" s="22"/>
      <c r="J419" s="23"/>
    </row>
    <row r="420">
      <c r="B420" s="21"/>
      <c r="H420" s="22"/>
      <c r="J420" s="23"/>
    </row>
    <row r="421">
      <c r="B421" s="21"/>
      <c r="H421" s="22"/>
      <c r="J421" s="23"/>
    </row>
    <row r="422">
      <c r="B422" s="21"/>
      <c r="H422" s="22"/>
      <c r="J422" s="23"/>
    </row>
    <row r="423">
      <c r="B423" s="21"/>
      <c r="H423" s="22"/>
      <c r="J423" s="23"/>
    </row>
    <row r="424">
      <c r="B424" s="21"/>
      <c r="H424" s="22"/>
      <c r="J424" s="23"/>
    </row>
    <row r="425">
      <c r="B425" s="21"/>
      <c r="H425" s="22"/>
      <c r="J425" s="23"/>
    </row>
    <row r="426">
      <c r="B426" s="21"/>
      <c r="H426" s="22"/>
      <c r="J426" s="23"/>
    </row>
    <row r="427">
      <c r="B427" s="21"/>
      <c r="H427" s="22"/>
      <c r="J427" s="23"/>
    </row>
    <row r="428">
      <c r="B428" s="21"/>
      <c r="H428" s="22"/>
      <c r="J428" s="23"/>
    </row>
    <row r="429">
      <c r="B429" s="21"/>
      <c r="H429" s="22"/>
      <c r="J429" s="23"/>
    </row>
    <row r="430">
      <c r="B430" s="21"/>
      <c r="H430" s="22"/>
      <c r="J430" s="23"/>
    </row>
    <row r="431">
      <c r="B431" s="21"/>
      <c r="H431" s="22"/>
      <c r="J431" s="23"/>
    </row>
    <row r="432">
      <c r="B432" s="21"/>
      <c r="H432" s="22"/>
      <c r="J432" s="23"/>
    </row>
    <row r="433">
      <c r="B433" s="21"/>
      <c r="H433" s="22"/>
      <c r="J433" s="23"/>
    </row>
    <row r="434">
      <c r="B434" s="21"/>
      <c r="H434" s="22"/>
      <c r="J434" s="23"/>
    </row>
    <row r="435">
      <c r="B435" s="21"/>
      <c r="H435" s="22"/>
      <c r="J435" s="23"/>
    </row>
    <row r="436">
      <c r="B436" s="21"/>
      <c r="H436" s="22"/>
      <c r="J436" s="23"/>
    </row>
    <row r="437">
      <c r="B437" s="21"/>
      <c r="H437" s="22"/>
      <c r="J437" s="23"/>
    </row>
    <row r="438">
      <c r="B438" s="21"/>
      <c r="H438" s="22"/>
      <c r="J438" s="23"/>
    </row>
    <row r="439">
      <c r="B439" s="21"/>
      <c r="H439" s="22"/>
      <c r="J439" s="23"/>
    </row>
    <row r="440">
      <c r="B440" s="21"/>
      <c r="H440" s="22"/>
      <c r="J440" s="23"/>
    </row>
    <row r="441">
      <c r="B441" s="21"/>
      <c r="H441" s="22"/>
      <c r="J441" s="23"/>
    </row>
    <row r="442">
      <c r="B442" s="21"/>
      <c r="H442" s="22"/>
      <c r="J442" s="23"/>
    </row>
    <row r="443">
      <c r="B443" s="21"/>
      <c r="H443" s="22"/>
      <c r="J443" s="23"/>
    </row>
    <row r="444">
      <c r="B444" s="21"/>
      <c r="H444" s="22"/>
      <c r="J444" s="23"/>
    </row>
    <row r="445">
      <c r="B445" s="21"/>
      <c r="H445" s="22"/>
      <c r="J445" s="23"/>
    </row>
    <row r="446">
      <c r="B446" s="21"/>
      <c r="H446" s="22"/>
      <c r="J446" s="23"/>
    </row>
    <row r="447">
      <c r="B447" s="21"/>
      <c r="H447" s="22"/>
      <c r="J447" s="23"/>
    </row>
    <row r="448">
      <c r="B448" s="21"/>
      <c r="H448" s="22"/>
      <c r="J448" s="23"/>
    </row>
    <row r="449">
      <c r="B449" s="21"/>
      <c r="H449" s="22"/>
      <c r="J449" s="23"/>
    </row>
    <row r="450">
      <c r="B450" s="21"/>
      <c r="H450" s="22"/>
      <c r="J450" s="23"/>
    </row>
    <row r="451">
      <c r="B451" s="21"/>
      <c r="H451" s="22"/>
      <c r="J451" s="23"/>
    </row>
    <row r="452">
      <c r="B452" s="21"/>
      <c r="H452" s="22"/>
      <c r="J452" s="23"/>
    </row>
    <row r="453">
      <c r="B453" s="21"/>
      <c r="H453" s="22"/>
      <c r="J453" s="23"/>
    </row>
    <row r="454">
      <c r="B454" s="21"/>
      <c r="H454" s="22"/>
      <c r="J454" s="23"/>
    </row>
    <row r="455">
      <c r="B455" s="21"/>
      <c r="H455" s="22"/>
      <c r="J455" s="23"/>
    </row>
    <row r="456">
      <c r="B456" s="21"/>
      <c r="H456" s="22"/>
      <c r="J456" s="23"/>
    </row>
    <row r="457">
      <c r="B457" s="21"/>
      <c r="H457" s="22"/>
      <c r="J457" s="23"/>
    </row>
    <row r="458">
      <c r="B458" s="21"/>
      <c r="H458" s="22"/>
      <c r="J458" s="23"/>
    </row>
    <row r="459">
      <c r="B459" s="21"/>
      <c r="H459" s="22"/>
      <c r="J459" s="23"/>
    </row>
    <row r="460">
      <c r="B460" s="21"/>
      <c r="H460" s="22"/>
      <c r="J460" s="23"/>
    </row>
    <row r="461">
      <c r="B461" s="21"/>
      <c r="H461" s="22"/>
      <c r="J461" s="23"/>
    </row>
    <row r="462">
      <c r="B462" s="21"/>
      <c r="H462" s="22"/>
      <c r="J462" s="23"/>
    </row>
    <row r="463">
      <c r="B463" s="21"/>
      <c r="H463" s="22"/>
      <c r="J463" s="23"/>
    </row>
    <row r="464">
      <c r="B464" s="21"/>
      <c r="H464" s="22"/>
      <c r="J464" s="23"/>
    </row>
    <row r="465">
      <c r="B465" s="21"/>
      <c r="H465" s="22"/>
      <c r="J465" s="23"/>
    </row>
    <row r="466">
      <c r="B466" s="21"/>
      <c r="H466" s="22"/>
      <c r="J466" s="23"/>
    </row>
    <row r="467">
      <c r="B467" s="21"/>
      <c r="H467" s="22"/>
      <c r="J467" s="23"/>
    </row>
    <row r="468">
      <c r="B468" s="21"/>
      <c r="H468" s="22"/>
      <c r="J468" s="23"/>
    </row>
    <row r="469">
      <c r="B469" s="21"/>
      <c r="H469" s="22"/>
      <c r="J469" s="23"/>
    </row>
    <row r="470">
      <c r="B470" s="21"/>
      <c r="H470" s="22"/>
      <c r="J470" s="23"/>
    </row>
    <row r="471">
      <c r="B471" s="21"/>
      <c r="H471" s="22"/>
      <c r="J471" s="23"/>
    </row>
    <row r="472">
      <c r="B472" s="21"/>
      <c r="H472" s="22"/>
      <c r="J472" s="23"/>
    </row>
    <row r="473">
      <c r="B473" s="21"/>
      <c r="H473" s="22"/>
      <c r="J473" s="23"/>
    </row>
    <row r="474">
      <c r="B474" s="21"/>
      <c r="H474" s="22"/>
      <c r="J474" s="23"/>
    </row>
    <row r="475">
      <c r="B475" s="21"/>
      <c r="H475" s="22"/>
      <c r="J475" s="23"/>
    </row>
    <row r="476">
      <c r="B476" s="21"/>
      <c r="H476" s="22"/>
      <c r="J476" s="23"/>
    </row>
    <row r="477">
      <c r="B477" s="21"/>
      <c r="H477" s="22"/>
      <c r="J477" s="23"/>
    </row>
    <row r="478">
      <c r="B478" s="21"/>
      <c r="H478" s="22"/>
      <c r="J478" s="23"/>
    </row>
    <row r="479">
      <c r="B479" s="21"/>
      <c r="H479" s="22"/>
      <c r="J479" s="23"/>
    </row>
    <row r="480">
      <c r="B480" s="21"/>
      <c r="H480" s="22"/>
      <c r="J480" s="23"/>
    </row>
    <row r="481">
      <c r="B481" s="21"/>
      <c r="H481" s="22"/>
      <c r="J481" s="23"/>
    </row>
    <row r="482">
      <c r="B482" s="21"/>
      <c r="H482" s="22"/>
      <c r="J482" s="23"/>
    </row>
    <row r="483">
      <c r="B483" s="21"/>
      <c r="H483" s="22"/>
      <c r="J483" s="23"/>
    </row>
    <row r="484">
      <c r="B484" s="21"/>
      <c r="H484" s="22"/>
      <c r="J484" s="23"/>
    </row>
    <row r="485">
      <c r="B485" s="21"/>
      <c r="H485" s="22"/>
      <c r="J485" s="23"/>
    </row>
    <row r="486">
      <c r="B486" s="21"/>
      <c r="H486" s="22"/>
      <c r="J486" s="23"/>
    </row>
    <row r="487">
      <c r="B487" s="21"/>
      <c r="H487" s="22"/>
      <c r="J487" s="23"/>
    </row>
    <row r="488">
      <c r="B488" s="21"/>
      <c r="H488" s="22"/>
      <c r="J488" s="23"/>
    </row>
    <row r="489">
      <c r="B489" s="21"/>
      <c r="H489" s="22"/>
      <c r="J489" s="23"/>
    </row>
    <row r="490">
      <c r="B490" s="21"/>
      <c r="H490" s="22"/>
      <c r="J490" s="23"/>
    </row>
    <row r="491">
      <c r="B491" s="21"/>
      <c r="H491" s="22"/>
      <c r="J491" s="23"/>
    </row>
    <row r="492">
      <c r="B492" s="21"/>
      <c r="H492" s="22"/>
      <c r="J492" s="23"/>
    </row>
    <row r="493">
      <c r="B493" s="21"/>
      <c r="H493" s="22"/>
      <c r="J493" s="23"/>
    </row>
    <row r="494">
      <c r="B494" s="21"/>
      <c r="H494" s="22"/>
      <c r="J494" s="23"/>
    </row>
    <row r="495">
      <c r="B495" s="21"/>
      <c r="H495" s="22"/>
      <c r="J495" s="23"/>
    </row>
    <row r="496">
      <c r="B496" s="21"/>
      <c r="H496" s="22"/>
      <c r="J496" s="23"/>
    </row>
    <row r="497">
      <c r="B497" s="21"/>
      <c r="H497" s="22"/>
      <c r="J497" s="23"/>
    </row>
    <row r="498">
      <c r="B498" s="21"/>
      <c r="H498" s="22"/>
      <c r="J498" s="23"/>
    </row>
    <row r="499">
      <c r="B499" s="21"/>
      <c r="H499" s="22"/>
      <c r="J499" s="23"/>
    </row>
    <row r="500">
      <c r="B500" s="21"/>
      <c r="H500" s="22"/>
      <c r="J500" s="23"/>
    </row>
    <row r="501">
      <c r="B501" s="21"/>
      <c r="H501" s="22"/>
      <c r="J501" s="23"/>
    </row>
    <row r="502">
      <c r="B502" s="21"/>
      <c r="H502" s="22"/>
      <c r="J502" s="23"/>
    </row>
    <row r="503">
      <c r="B503" s="21"/>
      <c r="H503" s="22"/>
      <c r="J503" s="23"/>
    </row>
    <row r="504">
      <c r="B504" s="21"/>
      <c r="H504" s="22"/>
      <c r="J504" s="23"/>
    </row>
    <row r="505">
      <c r="B505" s="21"/>
      <c r="H505" s="22"/>
      <c r="J505" s="23"/>
    </row>
    <row r="506">
      <c r="B506" s="21"/>
      <c r="H506" s="22"/>
      <c r="J506" s="23"/>
    </row>
    <row r="507">
      <c r="B507" s="21"/>
      <c r="H507" s="22"/>
      <c r="J507" s="23"/>
    </row>
    <row r="508">
      <c r="B508" s="21"/>
      <c r="H508" s="22"/>
      <c r="J508" s="23"/>
    </row>
    <row r="509">
      <c r="B509" s="21"/>
      <c r="H509" s="22"/>
      <c r="J509" s="23"/>
    </row>
    <row r="510">
      <c r="B510" s="21"/>
      <c r="H510" s="22"/>
      <c r="J510" s="23"/>
    </row>
    <row r="511">
      <c r="B511" s="21"/>
      <c r="H511" s="22"/>
      <c r="J511" s="23"/>
    </row>
    <row r="512">
      <c r="B512" s="21"/>
      <c r="H512" s="22"/>
      <c r="J512" s="23"/>
    </row>
    <row r="513">
      <c r="B513" s="21"/>
      <c r="H513" s="22"/>
      <c r="J513" s="23"/>
    </row>
    <row r="514">
      <c r="B514" s="21"/>
      <c r="H514" s="22"/>
      <c r="J514" s="23"/>
    </row>
    <row r="515">
      <c r="B515" s="21"/>
      <c r="H515" s="22"/>
      <c r="J515" s="23"/>
    </row>
    <row r="516">
      <c r="B516" s="21"/>
      <c r="H516" s="22"/>
      <c r="J516" s="23"/>
    </row>
    <row r="517">
      <c r="B517" s="21"/>
      <c r="H517" s="22"/>
      <c r="J517" s="23"/>
    </row>
    <row r="518">
      <c r="B518" s="21"/>
      <c r="H518" s="22"/>
      <c r="J518" s="23"/>
    </row>
    <row r="519">
      <c r="B519" s="21"/>
      <c r="H519" s="22"/>
      <c r="J519" s="23"/>
    </row>
    <row r="520">
      <c r="B520" s="21"/>
      <c r="H520" s="22"/>
      <c r="J520" s="23"/>
    </row>
    <row r="521">
      <c r="B521" s="21"/>
      <c r="H521" s="22"/>
      <c r="J521" s="23"/>
    </row>
    <row r="522">
      <c r="B522" s="21"/>
      <c r="H522" s="22"/>
      <c r="J522" s="23"/>
    </row>
    <row r="523">
      <c r="B523" s="21"/>
      <c r="H523" s="22"/>
      <c r="J523" s="23"/>
    </row>
    <row r="524">
      <c r="B524" s="21"/>
      <c r="H524" s="22"/>
      <c r="J524" s="23"/>
    </row>
    <row r="525">
      <c r="B525" s="21"/>
      <c r="H525" s="22"/>
      <c r="J525" s="23"/>
    </row>
    <row r="526">
      <c r="B526" s="21"/>
      <c r="H526" s="22"/>
      <c r="J526" s="23"/>
    </row>
    <row r="527">
      <c r="B527" s="21"/>
      <c r="H527" s="22"/>
      <c r="J527" s="23"/>
    </row>
    <row r="528">
      <c r="B528" s="21"/>
      <c r="H528" s="22"/>
      <c r="J528" s="23"/>
    </row>
    <row r="529">
      <c r="B529" s="21"/>
      <c r="H529" s="22"/>
      <c r="J529" s="23"/>
    </row>
    <row r="530">
      <c r="B530" s="21"/>
      <c r="H530" s="22"/>
      <c r="J530" s="23"/>
    </row>
    <row r="531">
      <c r="B531" s="21"/>
      <c r="H531" s="22"/>
      <c r="J531" s="23"/>
    </row>
    <row r="532">
      <c r="B532" s="21"/>
      <c r="H532" s="22"/>
      <c r="J532" s="23"/>
    </row>
    <row r="533">
      <c r="B533" s="21"/>
      <c r="H533" s="22"/>
      <c r="J533" s="23"/>
    </row>
    <row r="534">
      <c r="B534" s="21"/>
      <c r="H534" s="22"/>
      <c r="J534" s="23"/>
    </row>
    <row r="535">
      <c r="B535" s="21"/>
      <c r="H535" s="22"/>
      <c r="J535" s="23"/>
    </row>
    <row r="536">
      <c r="B536" s="21"/>
      <c r="H536" s="22"/>
      <c r="J536" s="23"/>
    </row>
    <row r="537">
      <c r="B537" s="21"/>
      <c r="H537" s="22"/>
      <c r="J537" s="23"/>
    </row>
    <row r="538">
      <c r="B538" s="21"/>
      <c r="H538" s="22"/>
      <c r="J538" s="23"/>
    </row>
    <row r="539">
      <c r="B539" s="21"/>
      <c r="H539" s="22"/>
      <c r="J539" s="23"/>
    </row>
    <row r="540">
      <c r="B540" s="21"/>
      <c r="H540" s="22"/>
      <c r="J540" s="23"/>
    </row>
    <row r="541">
      <c r="B541" s="21"/>
      <c r="H541" s="22"/>
      <c r="J541" s="23"/>
    </row>
    <row r="542">
      <c r="B542" s="21"/>
      <c r="H542" s="22"/>
      <c r="J542" s="23"/>
    </row>
    <row r="543">
      <c r="B543" s="21"/>
      <c r="H543" s="22"/>
      <c r="J543" s="23"/>
    </row>
    <row r="544">
      <c r="B544" s="21"/>
      <c r="H544" s="22"/>
      <c r="J544" s="23"/>
    </row>
    <row r="545">
      <c r="B545" s="21"/>
      <c r="H545" s="22"/>
      <c r="J545" s="23"/>
    </row>
    <row r="546">
      <c r="B546" s="21"/>
      <c r="H546" s="22"/>
      <c r="J546" s="23"/>
    </row>
    <row r="547">
      <c r="B547" s="21"/>
      <c r="H547" s="22"/>
      <c r="J547" s="23"/>
    </row>
    <row r="548">
      <c r="B548" s="21"/>
      <c r="H548" s="22"/>
      <c r="J548" s="23"/>
    </row>
    <row r="549">
      <c r="B549" s="21"/>
      <c r="H549" s="22"/>
      <c r="J549" s="23"/>
    </row>
    <row r="550">
      <c r="B550" s="21"/>
      <c r="H550" s="22"/>
      <c r="J550" s="23"/>
    </row>
    <row r="551">
      <c r="B551" s="21"/>
      <c r="H551" s="22"/>
      <c r="J551" s="23"/>
    </row>
    <row r="552">
      <c r="B552" s="21"/>
      <c r="H552" s="22"/>
      <c r="J552" s="23"/>
    </row>
    <row r="553">
      <c r="B553" s="21"/>
      <c r="H553" s="22"/>
      <c r="J553" s="23"/>
    </row>
    <row r="554">
      <c r="B554" s="21"/>
      <c r="H554" s="22"/>
      <c r="J554" s="23"/>
    </row>
    <row r="555">
      <c r="B555" s="21"/>
      <c r="H555" s="22"/>
      <c r="J555" s="23"/>
    </row>
    <row r="556">
      <c r="B556" s="21"/>
      <c r="H556" s="22"/>
      <c r="J556" s="23"/>
    </row>
    <row r="557">
      <c r="B557" s="21"/>
      <c r="H557" s="22"/>
      <c r="J557" s="23"/>
    </row>
    <row r="558">
      <c r="B558" s="21"/>
      <c r="H558" s="22"/>
      <c r="J558" s="23"/>
    </row>
    <row r="559">
      <c r="B559" s="21"/>
      <c r="H559" s="22"/>
      <c r="J559" s="23"/>
    </row>
    <row r="560">
      <c r="B560" s="21"/>
      <c r="H560" s="22"/>
      <c r="J560" s="23"/>
    </row>
    <row r="561">
      <c r="B561" s="21"/>
      <c r="H561" s="22"/>
      <c r="J561" s="23"/>
    </row>
    <row r="562">
      <c r="B562" s="21"/>
      <c r="H562" s="22"/>
      <c r="J562" s="23"/>
    </row>
    <row r="563">
      <c r="B563" s="21"/>
      <c r="H563" s="22"/>
      <c r="J563" s="23"/>
    </row>
    <row r="564">
      <c r="B564" s="21"/>
      <c r="H564" s="22"/>
      <c r="J564" s="23"/>
    </row>
    <row r="565">
      <c r="B565" s="21"/>
      <c r="H565" s="22"/>
      <c r="J565" s="23"/>
    </row>
    <row r="566">
      <c r="B566" s="21"/>
      <c r="H566" s="22"/>
      <c r="J566" s="23"/>
    </row>
    <row r="567">
      <c r="B567" s="21"/>
      <c r="H567" s="22"/>
      <c r="J567" s="23"/>
    </row>
    <row r="568">
      <c r="B568" s="21"/>
      <c r="H568" s="22"/>
      <c r="J568" s="23"/>
    </row>
    <row r="569">
      <c r="B569" s="21"/>
      <c r="H569" s="22"/>
      <c r="J569" s="23"/>
    </row>
    <row r="570">
      <c r="B570" s="21"/>
      <c r="H570" s="22"/>
      <c r="J570" s="23"/>
    </row>
    <row r="571">
      <c r="B571" s="21"/>
      <c r="H571" s="22"/>
      <c r="J571" s="23"/>
    </row>
    <row r="572">
      <c r="B572" s="21"/>
      <c r="H572" s="22"/>
      <c r="J572" s="23"/>
    </row>
    <row r="573">
      <c r="B573" s="21"/>
      <c r="H573" s="22"/>
      <c r="J573" s="23"/>
    </row>
    <row r="574">
      <c r="B574" s="21"/>
      <c r="H574" s="22"/>
      <c r="J574" s="23"/>
    </row>
    <row r="575">
      <c r="B575" s="21"/>
      <c r="H575" s="22"/>
      <c r="J575" s="23"/>
    </row>
    <row r="576">
      <c r="B576" s="21"/>
      <c r="H576" s="22"/>
      <c r="J576" s="23"/>
    </row>
    <row r="577">
      <c r="B577" s="21"/>
      <c r="H577" s="22"/>
      <c r="J577" s="23"/>
    </row>
    <row r="578">
      <c r="B578" s="21"/>
      <c r="H578" s="22"/>
      <c r="J578" s="23"/>
    </row>
    <row r="579">
      <c r="B579" s="21"/>
      <c r="H579" s="22"/>
      <c r="J579" s="23"/>
    </row>
    <row r="580">
      <c r="B580" s="21"/>
      <c r="H580" s="22"/>
      <c r="J580" s="23"/>
    </row>
    <row r="581">
      <c r="B581" s="21"/>
      <c r="H581" s="22"/>
      <c r="J581" s="23"/>
    </row>
    <row r="582">
      <c r="B582" s="21"/>
      <c r="H582" s="22"/>
      <c r="J582" s="23"/>
    </row>
    <row r="583">
      <c r="B583" s="21"/>
      <c r="H583" s="22"/>
      <c r="J583" s="23"/>
    </row>
    <row r="584">
      <c r="B584" s="21"/>
      <c r="H584" s="22"/>
      <c r="J584" s="23"/>
    </row>
    <row r="585">
      <c r="B585" s="21"/>
      <c r="H585" s="22"/>
      <c r="J585" s="23"/>
    </row>
    <row r="586">
      <c r="B586" s="21"/>
      <c r="H586" s="22"/>
      <c r="J586" s="23"/>
    </row>
    <row r="587">
      <c r="B587" s="21"/>
      <c r="H587" s="22"/>
      <c r="J587" s="23"/>
    </row>
    <row r="588">
      <c r="B588" s="21"/>
      <c r="H588" s="22"/>
      <c r="J588" s="23"/>
    </row>
    <row r="589">
      <c r="B589" s="21"/>
      <c r="H589" s="22"/>
      <c r="J589" s="23"/>
    </row>
    <row r="590">
      <c r="B590" s="21"/>
      <c r="H590" s="22"/>
      <c r="J590" s="23"/>
    </row>
    <row r="591">
      <c r="B591" s="21"/>
      <c r="H591" s="22"/>
      <c r="J591" s="23"/>
    </row>
    <row r="592">
      <c r="B592" s="21"/>
      <c r="H592" s="22"/>
      <c r="J592" s="23"/>
    </row>
    <row r="593">
      <c r="B593" s="21"/>
      <c r="H593" s="22"/>
      <c r="J593" s="23"/>
    </row>
    <row r="594">
      <c r="B594" s="21"/>
      <c r="H594" s="22"/>
      <c r="J594" s="23"/>
    </row>
    <row r="595">
      <c r="B595" s="21"/>
      <c r="H595" s="22"/>
      <c r="J595" s="23"/>
    </row>
    <row r="596">
      <c r="B596" s="21"/>
      <c r="H596" s="22"/>
      <c r="J596" s="23"/>
    </row>
    <row r="597">
      <c r="B597" s="21"/>
      <c r="H597" s="22"/>
      <c r="J597" s="23"/>
    </row>
    <row r="598">
      <c r="B598" s="21"/>
      <c r="H598" s="22"/>
      <c r="J598" s="23"/>
    </row>
    <row r="599">
      <c r="B599" s="21"/>
      <c r="H599" s="22"/>
      <c r="J599" s="23"/>
    </row>
    <row r="600">
      <c r="B600" s="21"/>
      <c r="H600" s="22"/>
      <c r="J600" s="23"/>
    </row>
    <row r="601">
      <c r="B601" s="21"/>
      <c r="H601" s="22"/>
      <c r="J601" s="23"/>
    </row>
    <row r="602">
      <c r="B602" s="21"/>
      <c r="H602" s="22"/>
      <c r="J602" s="23"/>
    </row>
    <row r="603">
      <c r="B603" s="21"/>
      <c r="H603" s="22"/>
      <c r="J603" s="23"/>
    </row>
    <row r="604">
      <c r="B604" s="21"/>
      <c r="H604" s="22"/>
      <c r="J604" s="23"/>
    </row>
    <row r="605">
      <c r="B605" s="21"/>
      <c r="H605" s="22"/>
      <c r="J605" s="23"/>
    </row>
    <row r="606">
      <c r="B606" s="21"/>
      <c r="H606" s="22"/>
      <c r="J606" s="23"/>
    </row>
    <row r="607">
      <c r="B607" s="21"/>
      <c r="H607" s="22"/>
      <c r="J607" s="23"/>
    </row>
    <row r="608">
      <c r="B608" s="21"/>
      <c r="H608" s="22"/>
      <c r="J608" s="23"/>
    </row>
    <row r="609">
      <c r="B609" s="21"/>
      <c r="H609" s="22"/>
      <c r="J609" s="23"/>
    </row>
    <row r="610">
      <c r="B610" s="21"/>
      <c r="H610" s="22"/>
      <c r="J610" s="23"/>
    </row>
    <row r="611">
      <c r="B611" s="21"/>
      <c r="H611" s="22"/>
      <c r="J611" s="23"/>
    </row>
    <row r="612">
      <c r="B612" s="21"/>
      <c r="H612" s="22"/>
      <c r="J612" s="23"/>
    </row>
    <row r="613">
      <c r="B613" s="21"/>
      <c r="H613" s="22"/>
      <c r="J613" s="23"/>
    </row>
    <row r="614">
      <c r="B614" s="21"/>
      <c r="H614" s="22"/>
      <c r="J614" s="23"/>
    </row>
    <row r="615">
      <c r="B615" s="21"/>
      <c r="H615" s="22"/>
      <c r="J615" s="23"/>
    </row>
    <row r="616">
      <c r="B616" s="21"/>
      <c r="H616" s="22"/>
      <c r="J616" s="23"/>
    </row>
    <row r="617">
      <c r="B617" s="21"/>
      <c r="H617" s="22"/>
      <c r="J617" s="23"/>
    </row>
    <row r="618">
      <c r="B618" s="21"/>
      <c r="H618" s="22"/>
      <c r="J618" s="23"/>
    </row>
    <row r="619">
      <c r="B619" s="21"/>
      <c r="H619" s="22"/>
      <c r="J619" s="23"/>
    </row>
    <row r="620">
      <c r="B620" s="21"/>
      <c r="H620" s="22"/>
      <c r="J620" s="23"/>
    </row>
    <row r="621">
      <c r="B621" s="21"/>
      <c r="H621" s="22"/>
      <c r="J621" s="23"/>
    </row>
    <row r="622">
      <c r="B622" s="21"/>
      <c r="H622" s="22"/>
      <c r="J622" s="23"/>
    </row>
    <row r="623">
      <c r="B623" s="21"/>
      <c r="H623" s="22"/>
      <c r="J623" s="23"/>
    </row>
    <row r="624">
      <c r="B624" s="21"/>
      <c r="H624" s="22"/>
      <c r="J624" s="23"/>
    </row>
    <row r="625">
      <c r="B625" s="21"/>
      <c r="H625" s="22"/>
      <c r="J625" s="23"/>
    </row>
    <row r="626">
      <c r="B626" s="21"/>
      <c r="H626" s="22"/>
      <c r="J626" s="23"/>
    </row>
    <row r="627">
      <c r="B627" s="21"/>
      <c r="H627" s="22"/>
      <c r="J627" s="23"/>
    </row>
    <row r="628">
      <c r="B628" s="21"/>
      <c r="H628" s="22"/>
      <c r="J628" s="23"/>
    </row>
    <row r="629">
      <c r="B629" s="21"/>
      <c r="H629" s="22"/>
      <c r="J629" s="23"/>
    </row>
    <row r="630">
      <c r="B630" s="21"/>
      <c r="H630" s="22"/>
      <c r="J630" s="23"/>
    </row>
    <row r="631">
      <c r="B631" s="21"/>
      <c r="H631" s="22"/>
      <c r="J631" s="23"/>
    </row>
    <row r="632">
      <c r="B632" s="21"/>
      <c r="H632" s="22"/>
      <c r="J632" s="23"/>
    </row>
    <row r="633">
      <c r="B633" s="21"/>
      <c r="H633" s="22"/>
      <c r="J633" s="23"/>
    </row>
    <row r="634">
      <c r="B634" s="21"/>
      <c r="H634" s="22"/>
      <c r="J634" s="23"/>
    </row>
    <row r="635">
      <c r="B635" s="21"/>
      <c r="H635" s="22"/>
      <c r="J635" s="23"/>
    </row>
    <row r="636">
      <c r="B636" s="21"/>
      <c r="H636" s="22"/>
      <c r="J636" s="23"/>
    </row>
    <row r="637">
      <c r="B637" s="21"/>
      <c r="H637" s="22"/>
      <c r="J637" s="23"/>
    </row>
    <row r="638">
      <c r="B638" s="21"/>
      <c r="H638" s="22"/>
      <c r="J638" s="23"/>
    </row>
    <row r="639">
      <c r="B639" s="21"/>
      <c r="H639" s="22"/>
      <c r="J639" s="23"/>
    </row>
    <row r="640">
      <c r="B640" s="21"/>
      <c r="H640" s="22"/>
      <c r="J640" s="23"/>
    </row>
    <row r="641">
      <c r="B641" s="21"/>
      <c r="H641" s="22"/>
      <c r="J641" s="23"/>
    </row>
    <row r="642">
      <c r="B642" s="21"/>
      <c r="H642" s="22"/>
      <c r="J642" s="23"/>
    </row>
    <row r="643">
      <c r="B643" s="21"/>
      <c r="H643" s="22"/>
      <c r="J643" s="23"/>
    </row>
    <row r="644">
      <c r="B644" s="21"/>
      <c r="H644" s="22"/>
      <c r="J644" s="23"/>
    </row>
    <row r="645">
      <c r="B645" s="21"/>
      <c r="H645" s="22"/>
      <c r="J645" s="23"/>
    </row>
    <row r="646">
      <c r="B646" s="21"/>
      <c r="H646" s="22"/>
      <c r="J646" s="23"/>
    </row>
    <row r="647">
      <c r="B647" s="21"/>
      <c r="H647" s="22"/>
      <c r="J647" s="23"/>
    </row>
    <row r="648">
      <c r="B648" s="21"/>
      <c r="H648" s="22"/>
      <c r="J648" s="23"/>
    </row>
    <row r="649">
      <c r="B649" s="21"/>
      <c r="H649" s="22"/>
      <c r="J649" s="23"/>
    </row>
    <row r="650">
      <c r="B650" s="21"/>
      <c r="H650" s="22"/>
      <c r="J650" s="23"/>
    </row>
    <row r="651">
      <c r="B651" s="21"/>
      <c r="H651" s="22"/>
      <c r="J651" s="23"/>
    </row>
    <row r="652">
      <c r="B652" s="21"/>
      <c r="H652" s="22"/>
      <c r="J652" s="23"/>
    </row>
    <row r="653">
      <c r="B653" s="21"/>
      <c r="H653" s="22"/>
      <c r="J653" s="23"/>
    </row>
    <row r="654">
      <c r="B654" s="21"/>
      <c r="H654" s="22"/>
      <c r="J654" s="23"/>
    </row>
    <row r="655">
      <c r="B655" s="21"/>
      <c r="H655" s="22"/>
      <c r="J655" s="23"/>
    </row>
    <row r="656">
      <c r="B656" s="21"/>
      <c r="H656" s="22"/>
      <c r="J656" s="23"/>
    </row>
    <row r="657">
      <c r="B657" s="21"/>
      <c r="H657" s="22"/>
      <c r="J657" s="23"/>
    </row>
    <row r="658">
      <c r="B658" s="21"/>
      <c r="H658" s="22"/>
      <c r="J658" s="23"/>
    </row>
    <row r="659">
      <c r="B659" s="21"/>
      <c r="H659" s="22"/>
      <c r="J659" s="23"/>
    </row>
    <row r="660">
      <c r="B660" s="21"/>
      <c r="H660" s="22"/>
      <c r="J660" s="23"/>
    </row>
    <row r="661">
      <c r="B661" s="21"/>
      <c r="H661" s="22"/>
      <c r="J661" s="23"/>
    </row>
    <row r="662">
      <c r="B662" s="21"/>
      <c r="H662" s="22"/>
      <c r="J662" s="23"/>
    </row>
    <row r="663">
      <c r="B663" s="21"/>
      <c r="H663" s="22"/>
      <c r="J663" s="23"/>
    </row>
    <row r="664">
      <c r="B664" s="21"/>
      <c r="H664" s="22"/>
      <c r="J664" s="23"/>
    </row>
    <row r="665">
      <c r="B665" s="21"/>
      <c r="H665" s="22"/>
      <c r="J665" s="23"/>
    </row>
    <row r="666">
      <c r="B666" s="21"/>
      <c r="H666" s="22"/>
      <c r="J666" s="23"/>
    </row>
    <row r="667">
      <c r="B667" s="21"/>
      <c r="H667" s="22"/>
      <c r="J667" s="23"/>
    </row>
    <row r="668">
      <c r="B668" s="21"/>
      <c r="H668" s="22"/>
      <c r="J668" s="23"/>
    </row>
    <row r="669">
      <c r="B669" s="21"/>
      <c r="H669" s="22"/>
      <c r="J669" s="23"/>
    </row>
    <row r="670">
      <c r="B670" s="21"/>
      <c r="H670" s="22"/>
      <c r="J670" s="23"/>
    </row>
    <row r="671">
      <c r="B671" s="21"/>
      <c r="H671" s="22"/>
      <c r="J671" s="23"/>
    </row>
    <row r="672">
      <c r="B672" s="21"/>
      <c r="H672" s="22"/>
      <c r="J672" s="23"/>
    </row>
    <row r="673">
      <c r="B673" s="21"/>
      <c r="H673" s="22"/>
      <c r="J673" s="23"/>
    </row>
    <row r="674">
      <c r="B674" s="21"/>
      <c r="H674" s="22"/>
      <c r="J674" s="23"/>
    </row>
    <row r="675">
      <c r="B675" s="21"/>
      <c r="H675" s="22"/>
      <c r="J675" s="23"/>
    </row>
    <row r="676">
      <c r="B676" s="21"/>
      <c r="H676" s="22"/>
      <c r="J676" s="23"/>
    </row>
    <row r="677">
      <c r="B677" s="21"/>
      <c r="H677" s="22"/>
      <c r="J677" s="23"/>
    </row>
    <row r="678">
      <c r="B678" s="21"/>
      <c r="H678" s="22"/>
      <c r="J678" s="23"/>
    </row>
    <row r="679">
      <c r="B679" s="21"/>
      <c r="H679" s="22"/>
      <c r="J679" s="23"/>
    </row>
    <row r="680">
      <c r="B680" s="21"/>
      <c r="H680" s="22"/>
      <c r="J680" s="23"/>
    </row>
    <row r="681">
      <c r="B681" s="21"/>
      <c r="H681" s="22"/>
      <c r="J681" s="23"/>
    </row>
    <row r="682">
      <c r="B682" s="21"/>
      <c r="H682" s="22"/>
      <c r="J682" s="23"/>
    </row>
    <row r="683">
      <c r="B683" s="21"/>
      <c r="H683" s="22"/>
      <c r="J683" s="23"/>
    </row>
    <row r="684">
      <c r="B684" s="21"/>
      <c r="H684" s="22"/>
      <c r="J684" s="23"/>
    </row>
    <row r="685">
      <c r="B685" s="21"/>
      <c r="H685" s="22"/>
      <c r="J685" s="23"/>
    </row>
    <row r="686">
      <c r="B686" s="21"/>
      <c r="H686" s="22"/>
      <c r="J686" s="23"/>
    </row>
    <row r="687">
      <c r="B687" s="21"/>
      <c r="H687" s="22"/>
      <c r="J687" s="23"/>
    </row>
    <row r="688">
      <c r="B688" s="21"/>
      <c r="H688" s="22"/>
      <c r="J688" s="23"/>
    </row>
    <row r="689">
      <c r="B689" s="21"/>
      <c r="H689" s="22"/>
      <c r="J689" s="23"/>
    </row>
    <row r="690">
      <c r="B690" s="21"/>
      <c r="H690" s="22"/>
      <c r="J690" s="23"/>
    </row>
    <row r="691">
      <c r="B691" s="21"/>
      <c r="H691" s="22"/>
      <c r="J691" s="23"/>
    </row>
    <row r="692">
      <c r="B692" s="21"/>
      <c r="H692" s="22"/>
      <c r="J692" s="23"/>
    </row>
    <row r="693">
      <c r="B693" s="21"/>
      <c r="H693" s="22"/>
      <c r="J693" s="23"/>
    </row>
    <row r="694">
      <c r="B694" s="21"/>
      <c r="H694" s="22"/>
      <c r="J694" s="23"/>
    </row>
    <row r="695">
      <c r="B695" s="21"/>
      <c r="H695" s="22"/>
      <c r="J695" s="23"/>
    </row>
    <row r="696">
      <c r="B696" s="21"/>
      <c r="H696" s="22"/>
      <c r="J696" s="23"/>
    </row>
    <row r="697">
      <c r="B697" s="21"/>
      <c r="H697" s="22"/>
      <c r="J697" s="23"/>
    </row>
    <row r="698">
      <c r="B698" s="21"/>
      <c r="H698" s="22"/>
      <c r="J698" s="23"/>
    </row>
    <row r="699">
      <c r="B699" s="21"/>
      <c r="H699" s="22"/>
      <c r="J699" s="23"/>
    </row>
    <row r="700">
      <c r="B700" s="21"/>
      <c r="H700" s="22"/>
      <c r="J700" s="23"/>
    </row>
    <row r="701">
      <c r="B701" s="21"/>
      <c r="H701" s="22"/>
      <c r="J701" s="23"/>
    </row>
    <row r="702">
      <c r="B702" s="21"/>
      <c r="H702" s="22"/>
      <c r="J702" s="23"/>
    </row>
    <row r="703">
      <c r="B703" s="21"/>
      <c r="H703" s="22"/>
      <c r="J703" s="23"/>
    </row>
    <row r="704">
      <c r="B704" s="21"/>
      <c r="H704" s="22"/>
      <c r="J704" s="23"/>
    </row>
    <row r="705">
      <c r="B705" s="21"/>
      <c r="H705" s="22"/>
      <c r="J705" s="23"/>
    </row>
    <row r="706">
      <c r="B706" s="21"/>
      <c r="H706" s="22"/>
      <c r="J706" s="23"/>
    </row>
    <row r="707">
      <c r="B707" s="21"/>
      <c r="H707" s="22"/>
      <c r="J707" s="23"/>
    </row>
    <row r="708">
      <c r="B708" s="21"/>
      <c r="H708" s="22"/>
      <c r="J708" s="23"/>
    </row>
    <row r="709">
      <c r="B709" s="21"/>
      <c r="H709" s="22"/>
      <c r="J709" s="23"/>
    </row>
    <row r="710">
      <c r="B710" s="21"/>
      <c r="H710" s="22"/>
      <c r="J710" s="23"/>
    </row>
    <row r="711">
      <c r="B711" s="21"/>
      <c r="H711" s="22"/>
      <c r="J711" s="23"/>
    </row>
    <row r="712">
      <c r="B712" s="21"/>
      <c r="H712" s="22"/>
      <c r="J712" s="23"/>
    </row>
    <row r="713">
      <c r="B713" s="21"/>
      <c r="H713" s="22"/>
      <c r="J713" s="23"/>
    </row>
    <row r="714">
      <c r="B714" s="21"/>
      <c r="H714" s="22"/>
      <c r="J714" s="23"/>
    </row>
    <row r="715">
      <c r="B715" s="21"/>
      <c r="H715" s="22"/>
      <c r="J715" s="23"/>
    </row>
    <row r="716">
      <c r="B716" s="21"/>
      <c r="H716" s="22"/>
      <c r="J716" s="23"/>
    </row>
    <row r="717">
      <c r="B717" s="21"/>
      <c r="H717" s="22"/>
      <c r="J717" s="23"/>
    </row>
    <row r="718">
      <c r="B718" s="21"/>
      <c r="H718" s="22"/>
      <c r="J718" s="23"/>
    </row>
    <row r="719">
      <c r="B719" s="21"/>
      <c r="H719" s="22"/>
      <c r="J719" s="23"/>
    </row>
    <row r="720">
      <c r="B720" s="21"/>
      <c r="H720" s="22"/>
      <c r="J720" s="23"/>
    </row>
    <row r="721">
      <c r="B721" s="21"/>
      <c r="H721" s="22"/>
      <c r="J721" s="23"/>
    </row>
    <row r="722">
      <c r="B722" s="21"/>
      <c r="H722" s="22"/>
      <c r="J722" s="23"/>
    </row>
    <row r="723">
      <c r="B723" s="21"/>
      <c r="H723" s="22"/>
      <c r="J723" s="23"/>
    </row>
    <row r="724">
      <c r="B724" s="21"/>
      <c r="H724" s="22"/>
      <c r="J724" s="23"/>
    </row>
    <row r="725">
      <c r="B725" s="21"/>
      <c r="H725" s="22"/>
      <c r="J725" s="23"/>
    </row>
    <row r="726">
      <c r="B726" s="21"/>
      <c r="H726" s="22"/>
      <c r="J726" s="23"/>
    </row>
    <row r="727">
      <c r="B727" s="21"/>
      <c r="H727" s="22"/>
      <c r="J727" s="23"/>
    </row>
    <row r="728">
      <c r="B728" s="21"/>
      <c r="H728" s="22"/>
      <c r="J728" s="23"/>
    </row>
    <row r="729">
      <c r="B729" s="21"/>
      <c r="H729" s="22"/>
      <c r="J729" s="23"/>
    </row>
    <row r="730">
      <c r="B730" s="21"/>
      <c r="H730" s="22"/>
      <c r="J730" s="23"/>
    </row>
    <row r="731">
      <c r="B731" s="21"/>
      <c r="H731" s="22"/>
      <c r="J731" s="23"/>
    </row>
    <row r="732">
      <c r="B732" s="21"/>
      <c r="H732" s="22"/>
      <c r="J732" s="23"/>
    </row>
    <row r="733">
      <c r="B733" s="21"/>
      <c r="H733" s="22"/>
      <c r="J733" s="23"/>
    </row>
    <row r="734">
      <c r="B734" s="21"/>
      <c r="H734" s="22"/>
      <c r="J734" s="23"/>
    </row>
    <row r="735">
      <c r="B735" s="21"/>
      <c r="H735" s="22"/>
      <c r="J735" s="23"/>
    </row>
    <row r="736">
      <c r="B736" s="21"/>
      <c r="H736" s="22"/>
      <c r="J736" s="23"/>
    </row>
    <row r="737">
      <c r="B737" s="21"/>
      <c r="H737" s="22"/>
      <c r="J737" s="23"/>
    </row>
    <row r="738">
      <c r="B738" s="21"/>
      <c r="H738" s="22"/>
      <c r="J738" s="23"/>
    </row>
    <row r="739">
      <c r="B739" s="21"/>
      <c r="H739" s="22"/>
      <c r="J739" s="23"/>
    </row>
    <row r="740">
      <c r="B740" s="21"/>
      <c r="H740" s="22"/>
      <c r="J740" s="23"/>
    </row>
    <row r="741">
      <c r="B741" s="21"/>
      <c r="H741" s="22"/>
      <c r="J741" s="23"/>
    </row>
    <row r="742">
      <c r="B742" s="21"/>
      <c r="H742" s="22"/>
      <c r="J742" s="23"/>
    </row>
    <row r="743">
      <c r="B743" s="21"/>
      <c r="H743" s="22"/>
      <c r="J743" s="23"/>
    </row>
    <row r="744">
      <c r="B744" s="21"/>
      <c r="H744" s="22"/>
      <c r="J744" s="23"/>
    </row>
    <row r="745">
      <c r="B745" s="21"/>
      <c r="H745" s="22"/>
      <c r="J745" s="23"/>
    </row>
    <row r="746">
      <c r="B746" s="21"/>
      <c r="H746" s="22"/>
      <c r="J746" s="23"/>
    </row>
    <row r="747">
      <c r="B747" s="21"/>
      <c r="H747" s="22"/>
      <c r="J747" s="23"/>
    </row>
    <row r="748">
      <c r="B748" s="21"/>
      <c r="H748" s="22"/>
      <c r="J748" s="23"/>
    </row>
    <row r="749">
      <c r="B749" s="21"/>
      <c r="H749" s="22"/>
      <c r="J749" s="23"/>
    </row>
    <row r="750">
      <c r="B750" s="21"/>
      <c r="H750" s="22"/>
      <c r="J750" s="23"/>
    </row>
    <row r="751">
      <c r="B751" s="21"/>
      <c r="H751" s="22"/>
      <c r="J751" s="23"/>
    </row>
    <row r="752">
      <c r="B752" s="21"/>
      <c r="H752" s="22"/>
      <c r="J752" s="23"/>
    </row>
    <row r="753">
      <c r="B753" s="21"/>
      <c r="H753" s="22"/>
      <c r="J753" s="23"/>
    </row>
    <row r="754">
      <c r="B754" s="21"/>
      <c r="H754" s="22"/>
      <c r="J754" s="23"/>
    </row>
    <row r="755">
      <c r="B755" s="21"/>
      <c r="H755" s="22"/>
      <c r="J755" s="23"/>
    </row>
    <row r="756">
      <c r="B756" s="21"/>
      <c r="H756" s="22"/>
      <c r="J756" s="23"/>
    </row>
    <row r="757">
      <c r="B757" s="21"/>
      <c r="H757" s="22"/>
      <c r="J757" s="23"/>
    </row>
    <row r="758">
      <c r="B758" s="21"/>
      <c r="H758" s="22"/>
      <c r="J758" s="23"/>
    </row>
    <row r="759">
      <c r="B759" s="21"/>
      <c r="H759" s="22"/>
      <c r="J759" s="23"/>
    </row>
    <row r="760">
      <c r="B760" s="21"/>
      <c r="H760" s="22"/>
      <c r="J760" s="23"/>
    </row>
    <row r="761">
      <c r="B761" s="21"/>
      <c r="H761" s="22"/>
      <c r="J761" s="23"/>
    </row>
    <row r="762">
      <c r="B762" s="21"/>
      <c r="H762" s="22"/>
      <c r="J762" s="23"/>
    </row>
    <row r="763">
      <c r="B763" s="21"/>
      <c r="H763" s="22"/>
      <c r="J763" s="23"/>
    </row>
    <row r="764">
      <c r="B764" s="21"/>
      <c r="H764" s="22"/>
      <c r="J764" s="23"/>
    </row>
    <row r="765">
      <c r="B765" s="21"/>
      <c r="H765" s="22"/>
      <c r="J765" s="23"/>
    </row>
    <row r="766">
      <c r="B766" s="21"/>
      <c r="H766" s="22"/>
      <c r="J766" s="23"/>
    </row>
    <row r="767">
      <c r="B767" s="21"/>
      <c r="H767" s="22"/>
      <c r="J767" s="23"/>
    </row>
    <row r="768">
      <c r="B768" s="21"/>
      <c r="H768" s="22"/>
      <c r="J768" s="23"/>
    </row>
    <row r="769">
      <c r="B769" s="21"/>
      <c r="H769" s="22"/>
      <c r="J769" s="23"/>
    </row>
    <row r="770">
      <c r="B770" s="21"/>
      <c r="H770" s="22"/>
      <c r="J770" s="23"/>
    </row>
    <row r="771">
      <c r="B771" s="21"/>
      <c r="H771" s="22"/>
      <c r="J771" s="23"/>
    </row>
    <row r="772">
      <c r="B772" s="21"/>
      <c r="H772" s="22"/>
      <c r="J772" s="23"/>
    </row>
    <row r="773">
      <c r="B773" s="21"/>
      <c r="H773" s="22"/>
      <c r="J773" s="23"/>
    </row>
    <row r="774">
      <c r="B774" s="21"/>
      <c r="H774" s="22"/>
      <c r="J774" s="23"/>
    </row>
    <row r="775">
      <c r="B775" s="21"/>
      <c r="H775" s="22"/>
      <c r="J775" s="23"/>
    </row>
    <row r="776">
      <c r="B776" s="21"/>
      <c r="H776" s="22"/>
      <c r="J776" s="23"/>
    </row>
    <row r="777">
      <c r="B777" s="21"/>
      <c r="H777" s="22"/>
      <c r="J777" s="23"/>
    </row>
    <row r="778">
      <c r="B778" s="21"/>
      <c r="H778" s="22"/>
      <c r="J778" s="23"/>
    </row>
    <row r="779">
      <c r="B779" s="21"/>
      <c r="H779" s="22"/>
      <c r="J779" s="23"/>
    </row>
    <row r="780">
      <c r="B780" s="21"/>
      <c r="H780" s="22"/>
      <c r="J780" s="23"/>
    </row>
    <row r="781">
      <c r="B781" s="21"/>
      <c r="H781" s="22"/>
      <c r="J781" s="23"/>
    </row>
    <row r="782">
      <c r="B782" s="21"/>
      <c r="H782" s="22"/>
      <c r="J782" s="23"/>
    </row>
    <row r="783">
      <c r="B783" s="21"/>
      <c r="H783" s="22"/>
      <c r="J783" s="23"/>
    </row>
    <row r="784">
      <c r="B784" s="21"/>
      <c r="H784" s="22"/>
      <c r="J784" s="23"/>
    </row>
    <row r="785">
      <c r="B785" s="21"/>
      <c r="H785" s="22"/>
      <c r="J785" s="23"/>
    </row>
    <row r="786">
      <c r="B786" s="21"/>
      <c r="H786" s="22"/>
      <c r="J786" s="23"/>
    </row>
    <row r="787">
      <c r="B787" s="21"/>
      <c r="H787" s="22"/>
      <c r="J787" s="23"/>
    </row>
    <row r="788">
      <c r="B788" s="21"/>
      <c r="H788" s="22"/>
      <c r="J788" s="23"/>
    </row>
    <row r="789">
      <c r="B789" s="21"/>
      <c r="H789" s="22"/>
      <c r="J789" s="23"/>
    </row>
    <row r="790">
      <c r="B790" s="21"/>
      <c r="H790" s="22"/>
      <c r="J790" s="23"/>
    </row>
    <row r="791">
      <c r="B791" s="21"/>
      <c r="H791" s="22"/>
      <c r="J791" s="23"/>
    </row>
    <row r="792">
      <c r="B792" s="21"/>
      <c r="H792" s="22"/>
      <c r="J792" s="23"/>
    </row>
    <row r="793">
      <c r="B793" s="21"/>
      <c r="H793" s="22"/>
      <c r="J793" s="23"/>
    </row>
    <row r="794">
      <c r="B794" s="21"/>
      <c r="H794" s="22"/>
      <c r="J794" s="23"/>
    </row>
    <row r="795">
      <c r="B795" s="21"/>
      <c r="H795" s="22"/>
      <c r="J795" s="23"/>
    </row>
    <row r="796">
      <c r="B796" s="21"/>
      <c r="H796" s="22"/>
      <c r="J796" s="23"/>
    </row>
    <row r="797">
      <c r="B797" s="21"/>
      <c r="H797" s="22"/>
      <c r="J797" s="23"/>
    </row>
    <row r="798">
      <c r="B798" s="21"/>
      <c r="H798" s="22"/>
      <c r="J798" s="23"/>
    </row>
    <row r="799">
      <c r="B799" s="21"/>
      <c r="H799" s="22"/>
      <c r="J799" s="23"/>
    </row>
    <row r="800">
      <c r="B800" s="21"/>
      <c r="H800" s="22"/>
      <c r="J800" s="23"/>
    </row>
    <row r="801">
      <c r="B801" s="21"/>
      <c r="H801" s="22"/>
      <c r="J801" s="23"/>
    </row>
    <row r="802">
      <c r="B802" s="21"/>
      <c r="H802" s="22"/>
      <c r="J802" s="23"/>
    </row>
    <row r="803">
      <c r="B803" s="21"/>
      <c r="H803" s="22"/>
      <c r="J803" s="23"/>
    </row>
    <row r="804">
      <c r="B804" s="21"/>
      <c r="H804" s="22"/>
      <c r="J804" s="23"/>
    </row>
    <row r="805">
      <c r="B805" s="21"/>
      <c r="H805" s="22"/>
      <c r="J805" s="23"/>
    </row>
    <row r="806">
      <c r="B806" s="21"/>
      <c r="H806" s="22"/>
      <c r="J806" s="23"/>
    </row>
    <row r="807">
      <c r="B807" s="21"/>
      <c r="H807" s="22"/>
      <c r="J807" s="23"/>
    </row>
    <row r="808">
      <c r="B808" s="21"/>
      <c r="H808" s="22"/>
      <c r="J808" s="23"/>
    </row>
    <row r="809">
      <c r="B809" s="21"/>
      <c r="H809" s="22"/>
      <c r="J809" s="23"/>
    </row>
    <row r="810">
      <c r="B810" s="21"/>
      <c r="H810" s="22"/>
      <c r="J810" s="23"/>
    </row>
    <row r="811">
      <c r="B811" s="21"/>
      <c r="H811" s="22"/>
      <c r="J811" s="23"/>
    </row>
    <row r="812">
      <c r="B812" s="21"/>
      <c r="H812" s="22"/>
      <c r="J812" s="23"/>
    </row>
    <row r="813">
      <c r="B813" s="21"/>
      <c r="H813" s="22"/>
      <c r="J813" s="23"/>
    </row>
    <row r="814">
      <c r="B814" s="21"/>
      <c r="H814" s="22"/>
      <c r="J814" s="23"/>
    </row>
    <row r="815">
      <c r="B815" s="21"/>
      <c r="H815" s="22"/>
      <c r="J815" s="23"/>
    </row>
    <row r="816">
      <c r="B816" s="21"/>
      <c r="H816" s="22"/>
      <c r="J816" s="23"/>
    </row>
    <row r="817">
      <c r="B817" s="21"/>
      <c r="H817" s="22"/>
      <c r="J817" s="23"/>
    </row>
    <row r="818">
      <c r="B818" s="21"/>
      <c r="H818" s="22"/>
      <c r="J818" s="23"/>
    </row>
    <row r="819">
      <c r="B819" s="21"/>
      <c r="H819" s="22"/>
      <c r="J819" s="23"/>
    </row>
    <row r="820">
      <c r="B820" s="21"/>
      <c r="H820" s="22"/>
      <c r="J820" s="23"/>
    </row>
    <row r="821">
      <c r="B821" s="21"/>
      <c r="H821" s="22"/>
      <c r="J821" s="23"/>
    </row>
    <row r="822">
      <c r="B822" s="21"/>
      <c r="H822" s="22"/>
      <c r="J822" s="23"/>
    </row>
    <row r="823">
      <c r="B823" s="21"/>
      <c r="H823" s="22"/>
      <c r="J823" s="23"/>
    </row>
    <row r="824">
      <c r="B824" s="21"/>
      <c r="H824" s="22"/>
      <c r="J824" s="23"/>
    </row>
    <row r="825">
      <c r="B825" s="21"/>
      <c r="H825" s="22"/>
      <c r="J825" s="23"/>
    </row>
    <row r="826">
      <c r="B826" s="21"/>
      <c r="H826" s="22"/>
      <c r="J826" s="23"/>
    </row>
    <row r="827">
      <c r="B827" s="21"/>
      <c r="H827" s="22"/>
      <c r="J827" s="23"/>
    </row>
    <row r="828">
      <c r="B828" s="21"/>
      <c r="H828" s="22"/>
      <c r="J828" s="23"/>
    </row>
    <row r="829">
      <c r="B829" s="21"/>
      <c r="H829" s="22"/>
      <c r="J829" s="23"/>
    </row>
    <row r="830">
      <c r="B830" s="21"/>
      <c r="H830" s="22"/>
      <c r="J830" s="23"/>
    </row>
    <row r="831">
      <c r="B831" s="21"/>
      <c r="H831" s="22"/>
      <c r="J831" s="23"/>
    </row>
    <row r="832">
      <c r="B832" s="21"/>
      <c r="H832" s="22"/>
      <c r="J832" s="23"/>
    </row>
    <row r="833">
      <c r="B833" s="21"/>
      <c r="H833" s="22"/>
      <c r="J833" s="23"/>
    </row>
    <row r="834">
      <c r="B834" s="21"/>
      <c r="H834" s="22"/>
      <c r="J834" s="23"/>
    </row>
    <row r="835">
      <c r="B835" s="21"/>
      <c r="H835" s="22"/>
      <c r="J835" s="23"/>
    </row>
    <row r="836">
      <c r="B836" s="21"/>
      <c r="H836" s="22"/>
      <c r="J836" s="23"/>
    </row>
    <row r="837">
      <c r="B837" s="21"/>
      <c r="H837" s="22"/>
      <c r="J837" s="23"/>
    </row>
    <row r="838">
      <c r="B838" s="21"/>
      <c r="H838" s="22"/>
      <c r="J838" s="23"/>
    </row>
    <row r="839">
      <c r="B839" s="21"/>
      <c r="H839" s="22"/>
      <c r="J839" s="23"/>
    </row>
    <row r="840">
      <c r="B840" s="21"/>
      <c r="H840" s="22"/>
      <c r="J840" s="23"/>
    </row>
    <row r="841">
      <c r="B841" s="21"/>
      <c r="H841" s="22"/>
      <c r="J841" s="23"/>
    </row>
    <row r="842">
      <c r="B842" s="21"/>
      <c r="H842" s="22"/>
      <c r="J842" s="23"/>
    </row>
    <row r="843">
      <c r="B843" s="21"/>
      <c r="H843" s="22"/>
      <c r="J843" s="23"/>
    </row>
    <row r="844">
      <c r="B844" s="21"/>
      <c r="H844" s="22"/>
      <c r="J844" s="23"/>
    </row>
    <row r="845">
      <c r="B845" s="21"/>
      <c r="H845" s="22"/>
      <c r="J845" s="23"/>
    </row>
    <row r="846">
      <c r="B846" s="21"/>
      <c r="H846" s="22"/>
      <c r="J846" s="23"/>
    </row>
    <row r="847">
      <c r="B847" s="21"/>
      <c r="H847" s="22"/>
      <c r="J847" s="23"/>
    </row>
    <row r="848">
      <c r="B848" s="21"/>
      <c r="H848" s="22"/>
      <c r="J848" s="23"/>
    </row>
    <row r="849">
      <c r="B849" s="21"/>
      <c r="H849" s="22"/>
      <c r="J849" s="23"/>
    </row>
    <row r="850">
      <c r="B850" s="21"/>
      <c r="H850" s="22"/>
      <c r="J850" s="23"/>
    </row>
    <row r="851">
      <c r="B851" s="21"/>
      <c r="H851" s="22"/>
      <c r="J851" s="23"/>
    </row>
    <row r="852">
      <c r="B852" s="21"/>
      <c r="H852" s="22"/>
      <c r="J852" s="23"/>
    </row>
    <row r="853">
      <c r="B853" s="21"/>
      <c r="H853" s="22"/>
      <c r="J853" s="23"/>
    </row>
    <row r="854">
      <c r="B854" s="21"/>
      <c r="H854" s="22"/>
      <c r="J854" s="23"/>
    </row>
    <row r="855">
      <c r="B855" s="21"/>
      <c r="H855" s="22"/>
      <c r="J855" s="23"/>
    </row>
    <row r="856">
      <c r="B856" s="21"/>
      <c r="H856" s="22"/>
      <c r="J856" s="23"/>
    </row>
    <row r="857">
      <c r="B857" s="21"/>
      <c r="H857" s="22"/>
      <c r="J857" s="23"/>
    </row>
    <row r="858">
      <c r="B858" s="21"/>
      <c r="H858" s="22"/>
      <c r="J858" s="23"/>
    </row>
    <row r="859">
      <c r="B859" s="21"/>
      <c r="H859" s="22"/>
      <c r="J859" s="23"/>
    </row>
    <row r="860">
      <c r="B860" s="21"/>
      <c r="H860" s="22"/>
      <c r="J860" s="23"/>
    </row>
    <row r="861">
      <c r="B861" s="21"/>
      <c r="H861" s="22"/>
      <c r="J861" s="23"/>
    </row>
    <row r="862">
      <c r="B862" s="21"/>
      <c r="H862" s="22"/>
      <c r="J862" s="23"/>
    </row>
    <row r="863">
      <c r="B863" s="21"/>
      <c r="H863" s="22"/>
      <c r="J863" s="23"/>
    </row>
    <row r="864">
      <c r="B864" s="21"/>
      <c r="H864" s="22"/>
      <c r="J864" s="23"/>
    </row>
    <row r="865">
      <c r="B865" s="21"/>
      <c r="H865" s="22"/>
      <c r="J865" s="23"/>
    </row>
    <row r="866">
      <c r="B866" s="21"/>
      <c r="H866" s="22"/>
      <c r="J866" s="23"/>
    </row>
    <row r="867">
      <c r="B867" s="21"/>
      <c r="H867" s="22"/>
      <c r="J867" s="23"/>
    </row>
    <row r="868">
      <c r="B868" s="21"/>
      <c r="H868" s="22"/>
      <c r="J868" s="23"/>
    </row>
    <row r="869">
      <c r="B869" s="21"/>
      <c r="H869" s="22"/>
      <c r="J869" s="23"/>
    </row>
    <row r="870">
      <c r="B870" s="21"/>
      <c r="H870" s="22"/>
      <c r="J870" s="23"/>
    </row>
    <row r="871">
      <c r="B871" s="21"/>
      <c r="H871" s="22"/>
      <c r="J871" s="23"/>
    </row>
    <row r="872">
      <c r="B872" s="21"/>
      <c r="H872" s="22"/>
      <c r="J872" s="23"/>
    </row>
    <row r="873">
      <c r="B873" s="21"/>
      <c r="H873" s="22"/>
      <c r="J873" s="23"/>
    </row>
    <row r="874">
      <c r="B874" s="21"/>
      <c r="H874" s="22"/>
      <c r="J874" s="23"/>
    </row>
    <row r="875">
      <c r="B875" s="21"/>
      <c r="H875" s="22"/>
      <c r="J875" s="23"/>
    </row>
    <row r="876">
      <c r="B876" s="21"/>
      <c r="H876" s="22"/>
      <c r="J876" s="23"/>
    </row>
    <row r="877">
      <c r="B877" s="21"/>
      <c r="H877" s="22"/>
      <c r="J877" s="23"/>
    </row>
    <row r="878">
      <c r="B878" s="21"/>
      <c r="H878" s="22"/>
      <c r="J878" s="23"/>
    </row>
    <row r="879">
      <c r="B879" s="21"/>
      <c r="H879" s="22"/>
      <c r="J879" s="23"/>
    </row>
    <row r="880">
      <c r="B880" s="21"/>
      <c r="H880" s="22"/>
      <c r="J880" s="23"/>
    </row>
    <row r="881">
      <c r="B881" s="21"/>
      <c r="H881" s="22"/>
      <c r="J881" s="23"/>
    </row>
    <row r="882">
      <c r="B882" s="21"/>
      <c r="H882" s="22"/>
      <c r="J882" s="23"/>
    </row>
    <row r="883">
      <c r="B883" s="21"/>
      <c r="H883" s="22"/>
      <c r="J883" s="23"/>
    </row>
    <row r="884">
      <c r="B884" s="21"/>
      <c r="H884" s="22"/>
      <c r="J884" s="23"/>
    </row>
    <row r="885">
      <c r="B885" s="21"/>
      <c r="H885" s="22"/>
      <c r="J885" s="23"/>
    </row>
    <row r="886">
      <c r="B886" s="21"/>
      <c r="H886" s="22"/>
      <c r="J886" s="23"/>
    </row>
    <row r="887">
      <c r="B887" s="21"/>
      <c r="H887" s="22"/>
      <c r="J887" s="23"/>
    </row>
    <row r="888">
      <c r="B888" s="21"/>
      <c r="H888" s="22"/>
      <c r="J888" s="23"/>
    </row>
    <row r="889">
      <c r="B889" s="21"/>
      <c r="H889" s="22"/>
      <c r="J889" s="23"/>
    </row>
    <row r="890">
      <c r="B890" s="21"/>
      <c r="H890" s="22"/>
      <c r="J890" s="23"/>
    </row>
    <row r="891">
      <c r="B891" s="21"/>
      <c r="H891" s="22"/>
      <c r="J891" s="23"/>
    </row>
    <row r="892">
      <c r="B892" s="21"/>
      <c r="H892" s="22"/>
      <c r="J892" s="23"/>
    </row>
    <row r="893">
      <c r="B893" s="21"/>
      <c r="H893" s="22"/>
      <c r="J893" s="23"/>
    </row>
    <row r="894">
      <c r="B894" s="21"/>
      <c r="H894" s="22"/>
      <c r="J894" s="23"/>
    </row>
    <row r="895">
      <c r="B895" s="21"/>
      <c r="H895" s="22"/>
      <c r="J895" s="23"/>
    </row>
    <row r="896">
      <c r="B896" s="21"/>
      <c r="H896" s="22"/>
      <c r="J896" s="23"/>
    </row>
    <row r="897">
      <c r="B897" s="21"/>
      <c r="H897" s="22"/>
      <c r="J897" s="23"/>
    </row>
    <row r="898">
      <c r="B898" s="21"/>
      <c r="H898" s="22"/>
      <c r="J898" s="23"/>
    </row>
    <row r="899">
      <c r="B899" s="21"/>
      <c r="H899" s="22"/>
      <c r="J899" s="23"/>
    </row>
    <row r="900">
      <c r="B900" s="21"/>
      <c r="H900" s="22"/>
      <c r="J900" s="23"/>
    </row>
    <row r="901">
      <c r="B901" s="21"/>
      <c r="H901" s="22"/>
      <c r="J901" s="23"/>
    </row>
    <row r="902">
      <c r="B902" s="21"/>
      <c r="H902" s="22"/>
      <c r="J902" s="23"/>
    </row>
    <row r="903">
      <c r="B903" s="21"/>
      <c r="H903" s="22"/>
      <c r="J903" s="23"/>
    </row>
    <row r="904">
      <c r="B904" s="21"/>
      <c r="H904" s="22"/>
      <c r="J904" s="23"/>
    </row>
    <row r="905">
      <c r="B905" s="21"/>
      <c r="H905" s="22"/>
      <c r="J905" s="23"/>
    </row>
    <row r="906">
      <c r="B906" s="21"/>
      <c r="H906" s="22"/>
      <c r="J906" s="23"/>
    </row>
    <row r="907">
      <c r="B907" s="21"/>
      <c r="H907" s="22"/>
      <c r="J907" s="23"/>
    </row>
    <row r="908">
      <c r="B908" s="21"/>
      <c r="H908" s="22"/>
      <c r="J908" s="23"/>
    </row>
    <row r="909">
      <c r="B909" s="21"/>
      <c r="H909" s="22"/>
      <c r="J909" s="23"/>
    </row>
    <row r="910">
      <c r="B910" s="21"/>
      <c r="H910" s="22"/>
      <c r="J910" s="23"/>
    </row>
    <row r="911">
      <c r="B911" s="21"/>
      <c r="H911" s="22"/>
      <c r="J911" s="23"/>
    </row>
    <row r="912">
      <c r="B912" s="21"/>
      <c r="H912" s="22"/>
      <c r="J912" s="23"/>
    </row>
    <row r="913">
      <c r="B913" s="21"/>
      <c r="H913" s="22"/>
      <c r="J913" s="23"/>
    </row>
    <row r="914">
      <c r="B914" s="21"/>
      <c r="H914" s="22"/>
      <c r="J914" s="23"/>
    </row>
    <row r="915">
      <c r="B915" s="21"/>
      <c r="H915" s="22"/>
      <c r="J915" s="23"/>
    </row>
    <row r="916">
      <c r="B916" s="21"/>
      <c r="H916" s="22"/>
      <c r="J916" s="23"/>
    </row>
    <row r="917">
      <c r="B917" s="21"/>
      <c r="H917" s="22"/>
      <c r="J917" s="23"/>
    </row>
    <row r="918">
      <c r="B918" s="21"/>
      <c r="H918" s="22"/>
      <c r="J918" s="23"/>
    </row>
    <row r="919">
      <c r="B919" s="21"/>
      <c r="H919" s="22"/>
      <c r="J919" s="23"/>
    </row>
    <row r="920">
      <c r="B920" s="21"/>
      <c r="H920" s="22"/>
      <c r="J920" s="23"/>
    </row>
    <row r="921">
      <c r="B921" s="21"/>
      <c r="H921" s="22"/>
      <c r="J921" s="23"/>
    </row>
    <row r="922">
      <c r="B922" s="21"/>
      <c r="H922" s="22"/>
      <c r="J922" s="23"/>
    </row>
    <row r="923">
      <c r="B923" s="21"/>
      <c r="H923" s="22"/>
      <c r="J923" s="23"/>
    </row>
    <row r="924">
      <c r="B924" s="21"/>
      <c r="H924" s="22"/>
      <c r="J924" s="23"/>
    </row>
    <row r="925">
      <c r="B925" s="21"/>
      <c r="H925" s="22"/>
      <c r="J925" s="23"/>
    </row>
    <row r="926">
      <c r="B926" s="21"/>
      <c r="H926" s="22"/>
      <c r="J926" s="23"/>
    </row>
    <row r="927">
      <c r="B927" s="21"/>
      <c r="H927" s="22"/>
      <c r="J927" s="23"/>
    </row>
    <row r="928">
      <c r="B928" s="21"/>
      <c r="H928" s="22"/>
      <c r="J928" s="23"/>
    </row>
    <row r="929">
      <c r="B929" s="21"/>
      <c r="H929" s="22"/>
      <c r="J929" s="23"/>
    </row>
    <row r="930">
      <c r="B930" s="21"/>
      <c r="H930" s="22"/>
      <c r="J930" s="23"/>
    </row>
    <row r="931">
      <c r="B931" s="21"/>
      <c r="H931" s="22"/>
      <c r="J931" s="23"/>
    </row>
    <row r="932">
      <c r="B932" s="21"/>
      <c r="H932" s="22"/>
      <c r="J932" s="23"/>
    </row>
    <row r="933">
      <c r="B933" s="21"/>
      <c r="H933" s="22"/>
      <c r="J933" s="23"/>
    </row>
    <row r="934">
      <c r="B934" s="21"/>
      <c r="H934" s="22"/>
      <c r="J934" s="23"/>
    </row>
    <row r="935">
      <c r="B935" s="21"/>
      <c r="H935" s="22"/>
      <c r="J935" s="23"/>
    </row>
    <row r="936">
      <c r="B936" s="21"/>
      <c r="H936" s="22"/>
      <c r="J936" s="23"/>
    </row>
    <row r="937">
      <c r="B937" s="21"/>
      <c r="H937" s="22"/>
      <c r="J937" s="23"/>
    </row>
    <row r="938">
      <c r="B938" s="21"/>
      <c r="H938" s="22"/>
      <c r="J938" s="23"/>
    </row>
    <row r="939">
      <c r="B939" s="21"/>
      <c r="H939" s="22"/>
      <c r="J939" s="23"/>
    </row>
    <row r="940">
      <c r="B940" s="21"/>
      <c r="H940" s="22"/>
      <c r="J940" s="23"/>
    </row>
    <row r="941">
      <c r="B941" s="21"/>
      <c r="H941" s="22"/>
      <c r="J941" s="23"/>
    </row>
    <row r="942">
      <c r="B942" s="21"/>
      <c r="H942" s="22"/>
      <c r="J942" s="23"/>
    </row>
    <row r="943">
      <c r="B943" s="21"/>
      <c r="H943" s="22"/>
      <c r="J943" s="23"/>
    </row>
    <row r="944">
      <c r="B944" s="21"/>
      <c r="H944" s="22"/>
      <c r="J944" s="23"/>
    </row>
    <row r="945">
      <c r="B945" s="21"/>
      <c r="H945" s="22"/>
      <c r="J945" s="23"/>
    </row>
    <row r="946">
      <c r="B946" s="21"/>
      <c r="H946" s="22"/>
      <c r="J946" s="23"/>
    </row>
    <row r="947">
      <c r="B947" s="21"/>
      <c r="H947" s="22"/>
      <c r="J947" s="23"/>
    </row>
    <row r="948">
      <c r="B948" s="21"/>
      <c r="H948" s="22"/>
      <c r="J948" s="23"/>
    </row>
    <row r="949">
      <c r="B949" s="21"/>
      <c r="H949" s="22"/>
      <c r="J949" s="23"/>
    </row>
    <row r="950">
      <c r="B950" s="21"/>
      <c r="H950" s="22"/>
      <c r="J950" s="23"/>
    </row>
    <row r="951">
      <c r="B951" s="21"/>
      <c r="H951" s="22"/>
      <c r="J951" s="23"/>
    </row>
    <row r="952">
      <c r="B952" s="21"/>
      <c r="H952" s="22"/>
      <c r="J952" s="23"/>
    </row>
    <row r="953">
      <c r="B953" s="21"/>
      <c r="H953" s="22"/>
      <c r="J953" s="23"/>
    </row>
    <row r="954">
      <c r="B954" s="21"/>
      <c r="H954" s="22"/>
      <c r="J954" s="23"/>
    </row>
    <row r="955">
      <c r="B955" s="21"/>
      <c r="H955" s="22"/>
      <c r="J955" s="23"/>
    </row>
    <row r="956">
      <c r="B956" s="21"/>
      <c r="H956" s="22"/>
      <c r="J956" s="23"/>
    </row>
    <row r="957">
      <c r="B957" s="21"/>
      <c r="H957" s="22"/>
      <c r="J957" s="23"/>
    </row>
    <row r="958">
      <c r="B958" s="21"/>
      <c r="H958" s="22"/>
      <c r="J958" s="23"/>
    </row>
    <row r="959">
      <c r="B959" s="21"/>
      <c r="H959" s="22"/>
      <c r="J959" s="23"/>
    </row>
    <row r="960">
      <c r="B960" s="21"/>
      <c r="H960" s="22"/>
      <c r="J960" s="23"/>
    </row>
    <row r="961">
      <c r="B961" s="21"/>
      <c r="H961" s="22"/>
      <c r="J961" s="23"/>
    </row>
    <row r="962">
      <c r="B962" s="21"/>
      <c r="H962" s="22"/>
      <c r="J962" s="23"/>
    </row>
    <row r="963">
      <c r="B963" s="21"/>
      <c r="H963" s="22"/>
      <c r="J963" s="23"/>
    </row>
    <row r="964">
      <c r="B964" s="21"/>
      <c r="H964" s="22"/>
      <c r="J964" s="23"/>
    </row>
    <row r="965">
      <c r="B965" s="21"/>
      <c r="H965" s="22"/>
      <c r="J965" s="23"/>
    </row>
    <row r="966">
      <c r="B966" s="21"/>
      <c r="H966" s="22"/>
      <c r="J966" s="23"/>
    </row>
    <row r="967">
      <c r="B967" s="21"/>
      <c r="H967" s="22"/>
      <c r="J967" s="23"/>
    </row>
    <row r="968">
      <c r="B968" s="21"/>
      <c r="H968" s="22"/>
      <c r="J968" s="23"/>
    </row>
    <row r="969">
      <c r="B969" s="21"/>
      <c r="H969" s="22"/>
      <c r="J969" s="23"/>
    </row>
    <row r="970">
      <c r="B970" s="21"/>
      <c r="H970" s="22"/>
      <c r="J970" s="23"/>
    </row>
    <row r="971">
      <c r="B971" s="21"/>
      <c r="H971" s="22"/>
      <c r="J971" s="23"/>
    </row>
    <row r="972">
      <c r="B972" s="21"/>
      <c r="H972" s="22"/>
      <c r="J972" s="23"/>
    </row>
    <row r="973">
      <c r="B973" s="21"/>
      <c r="H973" s="22"/>
      <c r="J973" s="23"/>
    </row>
    <row r="974">
      <c r="B974" s="21"/>
      <c r="H974" s="22"/>
      <c r="J974" s="23"/>
    </row>
    <row r="975">
      <c r="B975" s="21"/>
      <c r="H975" s="22"/>
      <c r="J975" s="23"/>
    </row>
    <row r="976">
      <c r="B976" s="21"/>
      <c r="H976" s="22"/>
      <c r="J976" s="23"/>
    </row>
    <row r="977">
      <c r="B977" s="21"/>
      <c r="H977" s="22"/>
      <c r="J977" s="23"/>
    </row>
    <row r="978">
      <c r="B978" s="21"/>
      <c r="H978" s="22"/>
      <c r="J978" s="23"/>
    </row>
    <row r="979">
      <c r="B979" s="21"/>
      <c r="H979" s="22"/>
      <c r="J979" s="23"/>
    </row>
    <row r="980">
      <c r="B980" s="21"/>
      <c r="H980" s="22"/>
      <c r="J980" s="23"/>
    </row>
    <row r="981">
      <c r="B981" s="21"/>
      <c r="H981" s="22"/>
      <c r="J981" s="23"/>
    </row>
    <row r="982">
      <c r="B982" s="21"/>
      <c r="H982" s="22"/>
      <c r="J982" s="23"/>
    </row>
    <row r="983">
      <c r="B983" s="21"/>
      <c r="H983" s="22"/>
      <c r="J983" s="23"/>
    </row>
    <row r="984">
      <c r="B984" s="21"/>
      <c r="H984" s="22"/>
      <c r="J984" s="23"/>
    </row>
    <row r="985">
      <c r="B985" s="21"/>
      <c r="H985" s="22"/>
      <c r="J985" s="23"/>
    </row>
    <row r="986">
      <c r="B986" s="21"/>
      <c r="H986" s="22"/>
      <c r="J986" s="23"/>
    </row>
    <row r="987">
      <c r="B987" s="21"/>
      <c r="H987" s="22"/>
      <c r="J987" s="23"/>
    </row>
    <row r="988">
      <c r="B988" s="21"/>
      <c r="H988" s="22"/>
      <c r="J988" s="23"/>
    </row>
    <row r="989">
      <c r="B989" s="21"/>
      <c r="H989" s="22"/>
      <c r="J989" s="23"/>
    </row>
    <row r="990">
      <c r="B990" s="21"/>
      <c r="H990" s="22"/>
      <c r="J990" s="23"/>
    </row>
    <row r="991">
      <c r="B991" s="21"/>
      <c r="H991" s="22"/>
      <c r="J991" s="23"/>
    </row>
    <row r="992">
      <c r="B992" s="21"/>
      <c r="H992" s="22"/>
      <c r="J992" s="23"/>
    </row>
    <row r="993">
      <c r="B993" s="21"/>
      <c r="H993" s="22"/>
      <c r="J993" s="23"/>
    </row>
    <row r="994">
      <c r="B994" s="21"/>
      <c r="H994" s="22"/>
      <c r="J994" s="23"/>
    </row>
    <row r="995">
      <c r="B995" s="21"/>
      <c r="H995" s="22"/>
      <c r="J995" s="23"/>
    </row>
  </sheetData>
  <conditionalFormatting sqref="F1:G993">
    <cfRule type="cellIs" dxfId="0" priority="1" operator="greaterThanOrEqual">
      <formula>"30%"</formula>
    </cfRule>
  </conditionalFormatting>
  <conditionalFormatting sqref="F2:G100">
    <cfRule type="cellIs" dxfId="1" priority="2" operator="lessThan">
      <formula>"30%"</formula>
    </cfRule>
  </conditionalFormatting>
  <hyperlinks>
    <hyperlink r:id="rId1" ref="B27"/>
    <hyperlink r:id="rId2" ref="B30"/>
    <hyperlink r:id="rId3" ref="B31"/>
  </hyperlinks>
  <drawing r:id="rId4"/>
</worksheet>
</file>