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Desktop\42\Work\Research\Election Forecasting\Colombia\Presidential\"/>
    </mc:Choice>
  </mc:AlternateContent>
  <xr:revisionPtr revIDLastSave="0" documentId="13_ncr:1_{D791D2F7-F129-416F-B644-77D2CD05F20F}" xr6:coauthVersionLast="47" xr6:coauthVersionMax="47" xr10:uidLastSave="{00000000-0000-0000-0000-000000000000}"/>
  <bookViews>
    <workbookView xWindow="-110" yWindow="-110" windowWidth="19420" windowHeight="10420" activeTab="1" xr2:uid="{07CEEE19-8B8D-4CDD-B03E-3F3853251916}"/>
  </bookViews>
  <sheets>
    <sheet name="Polls" sheetId="1" r:id="rId1"/>
    <sheet name="TSPollsWeight" sheetId="8" r:id="rId2"/>
    <sheet name="TimeSeries" sheetId="7" r:id="rId3"/>
    <sheet name="NullBlanco" sheetId="6" r:id="rId4"/>
    <sheet name="PollRatin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5" i="8" l="1"/>
  <c r="AM35" i="8"/>
  <c r="AH35" i="8"/>
  <c r="C28" i="7"/>
  <c r="D28" i="7"/>
  <c r="E28" i="7"/>
  <c r="F28" i="7"/>
  <c r="G28" i="7"/>
  <c r="H28" i="7"/>
  <c r="I28" i="7"/>
  <c r="J28" i="7"/>
  <c r="K28" i="7"/>
  <c r="L28" i="7"/>
  <c r="M28" i="7"/>
  <c r="C29" i="7"/>
  <c r="D29" i="7"/>
  <c r="E29" i="7"/>
  <c r="F29" i="7"/>
  <c r="G29" i="7"/>
  <c r="H29" i="7"/>
  <c r="I29" i="7"/>
  <c r="J29" i="7"/>
  <c r="K29" i="7"/>
  <c r="L29" i="7"/>
  <c r="M29" i="7"/>
  <c r="C30" i="7"/>
  <c r="D30" i="7"/>
  <c r="E30" i="7"/>
  <c r="F30" i="7"/>
  <c r="G30" i="7"/>
  <c r="H30" i="7"/>
  <c r="I30" i="7"/>
  <c r="J30" i="7"/>
  <c r="K30" i="7"/>
  <c r="L30" i="7"/>
  <c r="M30" i="7"/>
  <c r="C31" i="7"/>
  <c r="D31" i="7"/>
  <c r="E31" i="7"/>
  <c r="F31" i="7"/>
  <c r="G31" i="7"/>
  <c r="H31" i="7"/>
  <c r="I31" i="7"/>
  <c r="J31" i="7"/>
  <c r="K31" i="7"/>
  <c r="L31" i="7"/>
  <c r="M31" i="7"/>
  <c r="C32" i="7"/>
  <c r="D32" i="7"/>
  <c r="E32" i="7"/>
  <c r="F32" i="7"/>
  <c r="G32" i="7"/>
  <c r="H32" i="7"/>
  <c r="I32" i="7"/>
  <c r="J32" i="7"/>
  <c r="K32" i="7"/>
  <c r="L32" i="7"/>
  <c r="M32" i="7"/>
  <c r="C33" i="7"/>
  <c r="D33" i="7"/>
  <c r="E33" i="7"/>
  <c r="F33" i="7"/>
  <c r="G33" i="7"/>
  <c r="H33" i="7"/>
  <c r="I33" i="7"/>
  <c r="J33" i="7"/>
  <c r="K33" i="7"/>
  <c r="L33" i="7"/>
  <c r="M33" i="7"/>
  <c r="D27" i="7"/>
  <c r="E27" i="7"/>
  <c r="F27" i="7"/>
  <c r="G27" i="7"/>
  <c r="H27" i="7"/>
  <c r="I27" i="7"/>
  <c r="J27" i="7"/>
  <c r="K27" i="7"/>
  <c r="L27" i="7"/>
  <c r="M27" i="7"/>
  <c r="C27" i="7"/>
  <c r="C23" i="7"/>
  <c r="D23" i="7"/>
  <c r="E23" i="7"/>
  <c r="F23" i="7"/>
  <c r="G23" i="7"/>
  <c r="H23" i="7"/>
  <c r="I23" i="7"/>
  <c r="J23" i="7"/>
  <c r="K23" i="7"/>
  <c r="L23" i="7"/>
  <c r="M23" i="7"/>
  <c r="C24" i="7"/>
  <c r="D24" i="7"/>
  <c r="E24" i="7"/>
  <c r="F24" i="7"/>
  <c r="G24" i="7"/>
  <c r="H24" i="7"/>
  <c r="I24" i="7"/>
  <c r="J24" i="7"/>
  <c r="K24" i="7"/>
  <c r="L24" i="7"/>
  <c r="M24" i="7"/>
  <c r="C25" i="7"/>
  <c r="D25" i="7"/>
  <c r="E25" i="7"/>
  <c r="F25" i="7"/>
  <c r="G25" i="7"/>
  <c r="H25" i="7"/>
  <c r="I25" i="7"/>
  <c r="J25" i="7"/>
  <c r="K25" i="7"/>
  <c r="L25" i="7"/>
  <c r="M25" i="7"/>
  <c r="C26" i="7"/>
  <c r="D26" i="7"/>
  <c r="E26" i="7"/>
  <c r="F26" i="7"/>
  <c r="G26" i="7"/>
  <c r="H26" i="7"/>
  <c r="I26" i="7"/>
  <c r="J26" i="7"/>
  <c r="K26" i="7"/>
  <c r="L26" i="7"/>
  <c r="M26" i="7"/>
  <c r="D22" i="7"/>
  <c r="E22" i="7"/>
  <c r="F22" i="7"/>
  <c r="G22" i="7"/>
  <c r="H22" i="7"/>
  <c r="I22" i="7"/>
  <c r="J22" i="7"/>
  <c r="K22" i="7"/>
  <c r="L22" i="7"/>
  <c r="M22" i="7"/>
  <c r="C22" i="7"/>
  <c r="D21" i="7"/>
  <c r="E21" i="7"/>
  <c r="F21" i="7"/>
  <c r="G21" i="7"/>
  <c r="H21" i="7"/>
  <c r="I21" i="7"/>
  <c r="J21" i="7"/>
  <c r="K21" i="7"/>
  <c r="L21" i="7"/>
  <c r="M21" i="7"/>
  <c r="C21" i="7"/>
  <c r="C17" i="7"/>
  <c r="D17" i="7"/>
  <c r="E17" i="7"/>
  <c r="F17" i="7"/>
  <c r="G17" i="7"/>
  <c r="H17" i="7"/>
  <c r="I17" i="7"/>
  <c r="J17" i="7"/>
  <c r="K17" i="7"/>
  <c r="L17" i="7"/>
  <c r="M17" i="7"/>
  <c r="C18" i="7"/>
  <c r="D18" i="7"/>
  <c r="E18" i="7"/>
  <c r="F18" i="7"/>
  <c r="G18" i="7"/>
  <c r="H18" i="7"/>
  <c r="I18" i="7"/>
  <c r="J18" i="7"/>
  <c r="K18" i="7"/>
  <c r="L18" i="7"/>
  <c r="M18" i="7"/>
  <c r="C19" i="7"/>
  <c r="D19" i="7"/>
  <c r="E19" i="7"/>
  <c r="F19" i="7"/>
  <c r="G19" i="7"/>
  <c r="H19" i="7"/>
  <c r="I19" i="7"/>
  <c r="J19" i="7"/>
  <c r="K19" i="7"/>
  <c r="L19" i="7"/>
  <c r="M19" i="7"/>
  <c r="C20" i="7"/>
  <c r="D20" i="7"/>
  <c r="E20" i="7"/>
  <c r="F20" i="7"/>
  <c r="G20" i="7"/>
  <c r="H20" i="7"/>
  <c r="I20" i="7"/>
  <c r="J20" i="7"/>
  <c r="K20" i="7"/>
  <c r="L20" i="7"/>
  <c r="M20" i="7"/>
  <c r="D16" i="7"/>
  <c r="E16" i="7"/>
  <c r="F16" i="7"/>
  <c r="G16" i="7"/>
  <c r="H16" i="7"/>
  <c r="I16" i="7"/>
  <c r="J16" i="7"/>
  <c r="K16" i="7"/>
  <c r="L16" i="7"/>
  <c r="M16" i="7"/>
  <c r="C16" i="7"/>
  <c r="D15" i="7"/>
  <c r="E15" i="7"/>
  <c r="F15" i="7"/>
  <c r="G15" i="7"/>
  <c r="H15" i="7"/>
  <c r="I15" i="7"/>
  <c r="J15" i="7"/>
  <c r="K15" i="7"/>
  <c r="L15" i="7"/>
  <c r="M15" i="7"/>
  <c r="C15" i="7"/>
  <c r="D14" i="7"/>
  <c r="E14" i="7"/>
  <c r="F14" i="7"/>
  <c r="G14" i="7"/>
  <c r="H14" i="7"/>
  <c r="I14" i="7"/>
  <c r="J14" i="7"/>
  <c r="K14" i="7"/>
  <c r="L14" i="7"/>
  <c r="M14" i="7"/>
  <c r="C14" i="7"/>
  <c r="C7" i="7"/>
  <c r="D7" i="7"/>
  <c r="E7" i="7"/>
  <c r="F7" i="7"/>
  <c r="G7" i="7"/>
  <c r="H7" i="7"/>
  <c r="I7" i="7"/>
  <c r="J7" i="7"/>
  <c r="K7" i="7"/>
  <c r="L7" i="7"/>
  <c r="M7" i="7"/>
  <c r="C8" i="7"/>
  <c r="D8" i="7"/>
  <c r="E8" i="7"/>
  <c r="F8" i="7"/>
  <c r="G8" i="7"/>
  <c r="H8" i="7"/>
  <c r="I8" i="7"/>
  <c r="J8" i="7"/>
  <c r="K8" i="7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D6" i="7"/>
  <c r="E6" i="7"/>
  <c r="F6" i="7"/>
  <c r="G6" i="7"/>
  <c r="H6" i="7"/>
  <c r="I6" i="7"/>
  <c r="J6" i="7"/>
  <c r="K6" i="7"/>
  <c r="L6" i="7"/>
  <c r="M6" i="7"/>
  <c r="C6" i="7"/>
  <c r="D5" i="7"/>
  <c r="E5" i="7"/>
  <c r="F5" i="7"/>
  <c r="G5" i="7"/>
  <c r="H5" i="7"/>
  <c r="I5" i="7"/>
  <c r="J5" i="7"/>
  <c r="K5" i="7"/>
  <c r="L5" i="7"/>
  <c r="M5" i="7"/>
  <c r="D4" i="7"/>
  <c r="E4" i="7"/>
  <c r="F4" i="7"/>
  <c r="G4" i="7"/>
  <c r="H4" i="7"/>
  <c r="I4" i="7"/>
  <c r="J4" i="7"/>
  <c r="K4" i="7"/>
  <c r="L4" i="7"/>
  <c r="M4" i="7"/>
  <c r="C5" i="7"/>
  <c r="C4" i="7"/>
  <c r="D2" i="7"/>
  <c r="E2" i="7"/>
  <c r="F2" i="7"/>
  <c r="G2" i="7"/>
  <c r="H2" i="7"/>
  <c r="I2" i="7"/>
  <c r="J2" i="7"/>
  <c r="K2" i="7"/>
  <c r="L2" i="7"/>
  <c r="M2" i="7"/>
  <c r="D3" i="7"/>
  <c r="E3" i="7"/>
  <c r="F3" i="7"/>
  <c r="G3" i="7"/>
  <c r="H3" i="7"/>
  <c r="I3" i="7"/>
  <c r="J3" i="7"/>
  <c r="K3" i="7"/>
  <c r="L3" i="7"/>
  <c r="M3" i="7"/>
  <c r="C3" i="7"/>
  <c r="C2" i="7"/>
  <c r="AR29" i="8"/>
  <c r="AS29" i="8" s="1"/>
  <c r="AR30" i="8"/>
  <c r="AS30" i="8"/>
  <c r="AR31" i="8"/>
  <c r="AS31" i="8" s="1"/>
  <c r="AR32" i="8"/>
  <c r="AS32" i="8"/>
  <c r="AR33" i="8"/>
  <c r="AS33" i="8" s="1"/>
  <c r="AR34" i="8"/>
  <c r="AS34" i="8"/>
  <c r="AM29" i="8"/>
  <c r="AM30" i="8"/>
  <c r="AN30" i="8" s="1"/>
  <c r="AM31" i="8"/>
  <c r="AN31" i="8"/>
  <c r="AM32" i="8"/>
  <c r="AN32" i="8" s="1"/>
  <c r="AM33" i="8"/>
  <c r="AM34" i="8"/>
  <c r="AN34" i="8" s="1"/>
  <c r="AH29" i="8"/>
  <c r="AH30" i="8"/>
  <c r="AH31" i="8"/>
  <c r="AI31" i="8" s="1"/>
  <c r="AH32" i="8"/>
  <c r="AH33" i="8"/>
  <c r="AH34" i="8"/>
  <c r="AI34" i="8" s="1"/>
  <c r="AC29" i="8"/>
  <c r="AC30" i="8"/>
  <c r="AD30" i="8" s="1"/>
  <c r="AC31" i="8"/>
  <c r="AD31" i="8" s="1"/>
  <c r="AC32" i="8"/>
  <c r="AC33" i="8"/>
  <c r="AC34" i="8"/>
  <c r="AC35" i="8"/>
  <c r="X29" i="8"/>
  <c r="X30" i="8"/>
  <c r="X31" i="8"/>
  <c r="Y31" i="8"/>
  <c r="X32" i="8"/>
  <c r="X33" i="8"/>
  <c r="X34" i="8"/>
  <c r="X35" i="8"/>
  <c r="S29" i="8"/>
  <c r="S30" i="8"/>
  <c r="S31" i="8"/>
  <c r="T31" i="8" s="1"/>
  <c r="S32" i="8"/>
  <c r="S33" i="8"/>
  <c r="S34" i="8"/>
  <c r="S35" i="8"/>
  <c r="N29" i="8"/>
  <c r="N30" i="8"/>
  <c r="N31" i="8"/>
  <c r="N32" i="8"/>
  <c r="N33" i="8"/>
  <c r="N34" i="8"/>
  <c r="N35" i="8"/>
  <c r="I29" i="8"/>
  <c r="I30" i="8"/>
  <c r="I31" i="8"/>
  <c r="I32" i="8"/>
  <c r="I33" i="8"/>
  <c r="I34" i="8"/>
  <c r="I35" i="8"/>
  <c r="D29" i="8"/>
  <c r="D30" i="8"/>
  <c r="D31" i="8"/>
  <c r="D32" i="8"/>
  <c r="D33" i="8"/>
  <c r="D34" i="8"/>
  <c r="D35" i="8"/>
  <c r="E28" i="8"/>
  <c r="J28" i="8"/>
  <c r="O28" i="8"/>
  <c r="T28" i="8"/>
  <c r="Y28" i="8"/>
  <c r="AD28" i="8"/>
  <c r="AI28" i="8"/>
  <c r="AN28" i="8"/>
  <c r="D28" i="8"/>
  <c r="I28" i="8"/>
  <c r="N28" i="8"/>
  <c r="S28" i="8"/>
  <c r="X28" i="8"/>
  <c r="AC28" i="8"/>
  <c r="AH28" i="8"/>
  <c r="AM28" i="8"/>
  <c r="AR28" i="8"/>
  <c r="AM24" i="8"/>
  <c r="AN24" i="8" s="1"/>
  <c r="AM25" i="8"/>
  <c r="AN25" i="8"/>
  <c r="AM26" i="8"/>
  <c r="AN26" i="8" s="1"/>
  <c r="AM27" i="8"/>
  <c r="T27" i="8" s="1"/>
  <c r="AH24" i="8"/>
  <c r="AH25" i="8"/>
  <c r="AI25" i="8"/>
  <c r="AH26" i="8"/>
  <c r="AH27" i="8"/>
  <c r="AC24" i="8"/>
  <c r="T24" i="8" s="1"/>
  <c r="AC25" i="8"/>
  <c r="O25" i="8" s="1"/>
  <c r="AD25" i="8"/>
  <c r="AC26" i="8"/>
  <c r="AD26" i="8" s="1"/>
  <c r="AC27" i="8"/>
  <c r="AD27" i="8"/>
  <c r="X24" i="8"/>
  <c r="Y24" i="8"/>
  <c r="X25" i="8"/>
  <c r="X26" i="8"/>
  <c r="X27" i="8"/>
  <c r="Y27" i="8"/>
  <c r="S24" i="8"/>
  <c r="S25" i="8"/>
  <c r="S26" i="8"/>
  <c r="S27" i="8"/>
  <c r="N24" i="8"/>
  <c r="N25" i="8"/>
  <c r="N26" i="8"/>
  <c r="N27" i="8"/>
  <c r="O27" i="8"/>
  <c r="I24" i="8"/>
  <c r="I25" i="8"/>
  <c r="I26" i="8"/>
  <c r="I27" i="8"/>
  <c r="E27" i="8"/>
  <c r="D24" i="8"/>
  <c r="D25" i="8"/>
  <c r="D26" i="8"/>
  <c r="D27" i="8"/>
  <c r="E23" i="8"/>
  <c r="J23" i="8"/>
  <c r="O23" i="8"/>
  <c r="T23" i="8"/>
  <c r="Y23" i="8"/>
  <c r="AD23" i="8"/>
  <c r="AD22" i="8"/>
  <c r="AN23" i="8"/>
  <c r="AI23" i="8"/>
  <c r="D23" i="8"/>
  <c r="I23" i="8"/>
  <c r="S23" i="8"/>
  <c r="N23" i="8"/>
  <c r="X23" i="8"/>
  <c r="AC23" i="8"/>
  <c r="AH23" i="8"/>
  <c r="AM23" i="8"/>
  <c r="E22" i="8"/>
  <c r="J22" i="8"/>
  <c r="O22" i="8"/>
  <c r="T22" i="8"/>
  <c r="Y22" i="8"/>
  <c r="AI22" i="8"/>
  <c r="D22" i="8"/>
  <c r="I22" i="8"/>
  <c r="N22" i="8"/>
  <c r="S22" i="8"/>
  <c r="X22" i="8"/>
  <c r="AC22" i="8"/>
  <c r="AH22" i="8"/>
  <c r="AC18" i="8"/>
  <c r="AD18" i="8"/>
  <c r="AC19" i="8"/>
  <c r="AD19" i="8" s="1"/>
  <c r="AC20" i="8"/>
  <c r="AD20" i="8"/>
  <c r="AC21" i="8"/>
  <c r="T21" i="8" s="1"/>
  <c r="AD21" i="8"/>
  <c r="X18" i="8"/>
  <c r="Y18" i="8" s="1"/>
  <c r="X19" i="8"/>
  <c r="Y19" i="8"/>
  <c r="X20" i="8"/>
  <c r="X21" i="8"/>
  <c r="Y21" i="8"/>
  <c r="S18" i="8"/>
  <c r="S19" i="8"/>
  <c r="T19" i="8" s="1"/>
  <c r="S20" i="8"/>
  <c r="T20" i="8"/>
  <c r="S21" i="8"/>
  <c r="N18" i="8"/>
  <c r="N19" i="8"/>
  <c r="O19" i="8" s="1"/>
  <c r="N20" i="8"/>
  <c r="N21" i="8"/>
  <c r="I18" i="8"/>
  <c r="I19" i="8"/>
  <c r="J19" i="8" s="1"/>
  <c r="I20" i="8"/>
  <c r="I21" i="8"/>
  <c r="D18" i="8"/>
  <c r="D19" i="8"/>
  <c r="D20" i="8"/>
  <c r="D21" i="8"/>
  <c r="E17" i="8"/>
  <c r="J17" i="8"/>
  <c r="O17" i="8"/>
  <c r="O16" i="8"/>
  <c r="T17" i="8"/>
  <c r="AD17" i="8"/>
  <c r="Y17" i="8"/>
  <c r="X17" i="8"/>
  <c r="S17" i="8"/>
  <c r="N17" i="8"/>
  <c r="I17" i="8"/>
  <c r="D17" i="8"/>
  <c r="AC17" i="8"/>
  <c r="E16" i="8"/>
  <c r="J16" i="8"/>
  <c r="O15" i="8"/>
  <c r="T16" i="8"/>
  <c r="Y16" i="8"/>
  <c r="S16" i="8"/>
  <c r="N16" i="8"/>
  <c r="I16" i="8"/>
  <c r="D16" i="8"/>
  <c r="X16" i="8"/>
  <c r="T15" i="8"/>
  <c r="O8" i="8"/>
  <c r="O9" i="8"/>
  <c r="O10" i="8"/>
  <c r="O11" i="8"/>
  <c r="O12" i="8"/>
  <c r="O13" i="8"/>
  <c r="O14" i="8"/>
  <c r="O7" i="8"/>
  <c r="J15" i="8"/>
  <c r="E15" i="8"/>
  <c r="N15" i="8"/>
  <c r="I15" i="8"/>
  <c r="D15" i="8"/>
  <c r="D14" i="8"/>
  <c r="E14" i="8" s="1"/>
  <c r="S15" i="8"/>
  <c r="N8" i="8"/>
  <c r="N9" i="8"/>
  <c r="N10" i="8"/>
  <c r="N11" i="8"/>
  <c r="J11" i="8" s="1"/>
  <c r="N12" i="8"/>
  <c r="N13" i="8"/>
  <c r="N14" i="8"/>
  <c r="I8" i="8"/>
  <c r="J8" i="8" s="1"/>
  <c r="I9" i="8"/>
  <c r="J9" i="8"/>
  <c r="I10" i="8"/>
  <c r="J10" i="8" s="1"/>
  <c r="I11" i="8"/>
  <c r="I12" i="8"/>
  <c r="J12" i="8" s="1"/>
  <c r="I13" i="8"/>
  <c r="I14" i="8"/>
  <c r="E9" i="8"/>
  <c r="E10" i="8"/>
  <c r="D8" i="8"/>
  <c r="D9" i="8"/>
  <c r="D10" i="8"/>
  <c r="D11" i="8"/>
  <c r="D12" i="8"/>
  <c r="D13" i="8"/>
  <c r="J7" i="8"/>
  <c r="E7" i="8"/>
  <c r="D7" i="8"/>
  <c r="D6" i="8"/>
  <c r="I7" i="8"/>
  <c r="I6" i="8"/>
  <c r="N7" i="8"/>
  <c r="J5" i="8"/>
  <c r="E5" i="8"/>
  <c r="E4" i="8"/>
  <c r="E3" i="8"/>
  <c r="I5" i="8"/>
  <c r="D5" i="8"/>
  <c r="D4" i="8"/>
  <c r="D3" i="8"/>
  <c r="T10" i="1"/>
  <c r="R10" i="1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C3" i="2"/>
  <c r="C4" i="2"/>
  <c r="C5" i="2"/>
  <c r="C6" i="2"/>
  <c r="C7" i="2"/>
  <c r="C8" i="2"/>
  <c r="C9" i="2"/>
  <c r="C10" i="2"/>
  <c r="C11" i="2"/>
  <c r="C12" i="2"/>
  <c r="C2" i="2"/>
  <c r="T3" i="1"/>
  <c r="T4" i="1"/>
  <c r="T5" i="1"/>
  <c r="T6" i="1"/>
  <c r="T7" i="1"/>
  <c r="T8" i="1"/>
  <c r="T9" i="1"/>
  <c r="T2" i="1"/>
  <c r="AD35" i="8" l="1"/>
  <c r="AI35" i="8"/>
  <c r="E35" i="8"/>
  <c r="AN35" i="8"/>
  <c r="AS35" i="8"/>
  <c r="AI33" i="8"/>
  <c r="AI29" i="8"/>
  <c r="AN29" i="8"/>
  <c r="O35" i="8"/>
  <c r="K34" i="7" s="1"/>
  <c r="AN33" i="8"/>
  <c r="AI30" i="8"/>
  <c r="J31" i="8"/>
  <c r="O30" i="8"/>
  <c r="AD29" i="8"/>
  <c r="AD32" i="8"/>
  <c r="AI32" i="8"/>
  <c r="O29" i="8"/>
  <c r="Y35" i="8"/>
  <c r="Y29" i="8"/>
  <c r="T34" i="8"/>
  <c r="Y34" i="8"/>
  <c r="AD34" i="8"/>
  <c r="AD33" i="8"/>
  <c r="T29" i="8"/>
  <c r="Y30" i="8"/>
  <c r="J34" i="8"/>
  <c r="Y33" i="8"/>
  <c r="J32" i="8"/>
  <c r="E30" i="8"/>
  <c r="T30" i="8"/>
  <c r="Y32" i="8"/>
  <c r="E34" i="8"/>
  <c r="O33" i="8"/>
  <c r="T33" i="8"/>
  <c r="T32" i="8"/>
  <c r="O32" i="8"/>
  <c r="O34" i="8"/>
  <c r="T35" i="8"/>
  <c r="E32" i="8"/>
  <c r="E29" i="8"/>
  <c r="J30" i="8"/>
  <c r="O31" i="8"/>
  <c r="J35" i="8"/>
  <c r="J29" i="8"/>
  <c r="J33" i="8"/>
  <c r="E33" i="8"/>
  <c r="E31" i="8"/>
  <c r="AS28" i="8"/>
  <c r="J27" i="8"/>
  <c r="AI27" i="8"/>
  <c r="AN27" i="8"/>
  <c r="AI26" i="8"/>
  <c r="AD24" i="8"/>
  <c r="AI24" i="8"/>
  <c r="O24" i="8"/>
  <c r="Y26" i="8"/>
  <c r="T26" i="8"/>
  <c r="Y25" i="8"/>
  <c r="J25" i="8"/>
  <c r="J24" i="8"/>
  <c r="O26" i="8"/>
  <c r="T25" i="8"/>
  <c r="J26" i="8"/>
  <c r="E26" i="8"/>
  <c r="E25" i="8"/>
  <c r="E24" i="8"/>
  <c r="E20" i="8"/>
  <c r="O18" i="8"/>
  <c r="Y20" i="8"/>
  <c r="J20" i="8"/>
  <c r="T18" i="8"/>
  <c r="E19" i="8"/>
  <c r="O21" i="8"/>
  <c r="J18" i="8"/>
  <c r="O20" i="8"/>
  <c r="E18" i="8"/>
  <c r="E21" i="8"/>
  <c r="J21" i="8"/>
  <c r="J14" i="8"/>
  <c r="J13" i="8"/>
  <c r="E11" i="8"/>
  <c r="E8" i="8"/>
  <c r="E13" i="8"/>
  <c r="E12" i="8"/>
  <c r="E6" i="8"/>
  <c r="J6" i="8"/>
  <c r="B15" i="2"/>
  <c r="R9" i="1"/>
  <c r="J8" i="6"/>
  <c r="J7" i="6"/>
  <c r="J5" i="6"/>
  <c r="K6" i="6" s="1"/>
  <c r="H5" i="6"/>
  <c r="I6" i="6" s="1"/>
  <c r="G6" i="6"/>
  <c r="G5" i="6"/>
  <c r="F5" i="6"/>
  <c r="D5" i="6"/>
  <c r="E6" i="6" s="1"/>
  <c r="C5" i="6"/>
  <c r="B5" i="6"/>
  <c r="C6" i="6" s="1"/>
  <c r="R6" i="1"/>
  <c r="R7" i="1"/>
  <c r="R8" i="1"/>
  <c r="R5" i="1"/>
  <c r="R4" i="1"/>
  <c r="R2" i="1"/>
  <c r="R3" i="1"/>
  <c r="H34" i="7" l="1"/>
  <c r="D34" i="7"/>
  <c r="L34" i="7"/>
  <c r="E34" i="7"/>
  <c r="M34" i="7"/>
  <c r="I34" i="7"/>
  <c r="F34" i="7"/>
  <c r="J34" i="7"/>
  <c r="G34" i="7"/>
  <c r="C34" i="7"/>
  <c r="S2" i="1"/>
  <c r="U2" i="1" s="1"/>
  <c r="S10" i="1"/>
  <c r="U10" i="1" s="1"/>
  <c r="S3" i="1"/>
  <c r="U3" i="1" s="1"/>
  <c r="S8" i="1"/>
  <c r="U8" i="1" s="1"/>
  <c r="S7" i="1"/>
  <c r="U7" i="1" s="1"/>
  <c r="S6" i="1"/>
  <c r="U6" i="1" s="1"/>
  <c r="S5" i="1"/>
  <c r="U5" i="1" s="1"/>
  <c r="S4" i="1"/>
  <c r="U4" i="1" s="1"/>
  <c r="S9" i="1"/>
  <c r="U9" i="1" s="1"/>
  <c r="K5" i="6"/>
  <c r="I5" i="6"/>
  <c r="E5" i="6"/>
  <c r="V10" i="1" l="1"/>
  <c r="V2" i="1"/>
  <c r="V7" i="1"/>
  <c r="V3" i="1"/>
  <c r="V4" i="1"/>
  <c r="V9" i="1"/>
  <c r="V5" i="1"/>
  <c r="V8" i="1"/>
  <c r="V6" i="1"/>
</calcChain>
</file>

<file path=xl/sharedStrings.xml><?xml version="1.0" encoding="utf-8"?>
<sst xmlns="http://schemas.openxmlformats.org/spreadsheetml/2006/main" count="142" uniqueCount="53">
  <si>
    <t>Pollster</t>
  </si>
  <si>
    <t>Date</t>
  </si>
  <si>
    <t>Sample</t>
  </si>
  <si>
    <t>MoE</t>
  </si>
  <si>
    <t>Blanco</t>
  </si>
  <si>
    <t>None</t>
  </si>
  <si>
    <t>Uncertain</t>
  </si>
  <si>
    <t>Total</t>
  </si>
  <si>
    <t>CNC</t>
  </si>
  <si>
    <t>SL</t>
  </si>
  <si>
    <t>Yanhaas</t>
  </si>
  <si>
    <t>MassiveCaller</t>
  </si>
  <si>
    <t>Guarumo</t>
  </si>
  <si>
    <t>Source</t>
  </si>
  <si>
    <t>Semana</t>
  </si>
  <si>
    <t>LaFM</t>
  </si>
  <si>
    <t>ElTiempo</t>
  </si>
  <si>
    <t>Link</t>
  </si>
  <si>
    <t>https://www.massivecaller.com/files/colombia.pdf</t>
  </si>
  <si>
    <t>https://www.semana.com/nacion/articulo/federico-gutierrez-se-dispara-y-se-convierte-en-el-principal-rival-de-gustavo-petro-encuesta-del-cnc-para-semana/202201/</t>
  </si>
  <si>
    <t>https://www.lafm.com.co/politica/la-gran-encuesta-petro-encabeza-intencion-de-voto-para-las-presidenciales-seguido-por-fico</t>
  </si>
  <si>
    <t>https://www.semana.com/nacion/articulo/segunda-vuelta-presidencial-de-infarto-fico-gutierrez-esta-a-solo-tres-puntos-de-gustavo-petro/202242/</t>
  </si>
  <si>
    <t>https://www.eltiempo.com/elecciones-2022/presidencia/fico-y-petro-se-encaminan-a-un-renido-final-en-segunda-vuelta-662689</t>
  </si>
  <si>
    <t>Type</t>
  </si>
  <si>
    <t>Datexco</t>
  </si>
  <si>
    <t>CELAG</t>
  </si>
  <si>
    <t>MedilabApp</t>
  </si>
  <si>
    <t>C&amp;C</t>
  </si>
  <si>
    <t>Invamer</t>
  </si>
  <si>
    <t>Rating</t>
  </si>
  <si>
    <t>La Silla Vacía</t>
  </si>
  <si>
    <t>https://www.lasillavacia.com/historias/silla-nacional/el-semaforo-de-las-encuestadoras-electorales-en-colombia/</t>
  </si>
  <si>
    <t>Weight</t>
  </si>
  <si>
    <t>Null</t>
  </si>
  <si>
    <t>Null2</t>
  </si>
  <si>
    <t>Nulltot</t>
  </si>
  <si>
    <t>Accuracy</t>
  </si>
  <si>
    <t>Decay</t>
  </si>
  <si>
    <t>Time</t>
  </si>
  <si>
    <t>Age</t>
  </si>
  <si>
    <t>Current</t>
  </si>
  <si>
    <t>https://www.eltiempo.com/elecciones-2022/presidencia/petro-34-fico-23-rodolfo-12-y-fajardo-9-en-nueva-encuesta-663957</t>
  </si>
  <si>
    <t>Gustavo_Petro</t>
  </si>
  <si>
    <t>Fico_Gutierrez</t>
  </si>
  <si>
    <t>Sergio_Fajardo</t>
  </si>
  <si>
    <t>Rodolfo_Hernandez</t>
  </si>
  <si>
    <t>Ingrid_Betancourt</t>
  </si>
  <si>
    <t>John_Rodriguez</t>
  </si>
  <si>
    <t>Luis_Perez</t>
  </si>
  <si>
    <t>Enrique_Gomez</t>
  </si>
  <si>
    <t>AtlasIntel</t>
  </si>
  <si>
    <t>Mosqueteros</t>
  </si>
  <si>
    <t>Poll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</si>
</sst>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000000"/>
    <numFmt numFmtId="166" formatCode="0.0000000"/>
    <numFmt numFmtId="167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assivecaller.com/files/colombia.pdf" TargetMode="External"/><Relationship Id="rId7" Type="http://schemas.openxmlformats.org/officeDocument/2006/relationships/hyperlink" Target="https://www.massivecaller.com/files/colombia.pdf" TargetMode="External"/><Relationship Id="rId2" Type="http://schemas.openxmlformats.org/officeDocument/2006/relationships/hyperlink" Target="https://www.semana.com/nacion/articulo/federico-gutierrez-se-dispara-y-se-convierte-en-el-principal-rival-de-gustavo-petro-encuesta-del-cnc-para-semana/202201/" TargetMode="External"/><Relationship Id="rId1" Type="http://schemas.openxmlformats.org/officeDocument/2006/relationships/hyperlink" Target="https://www.lafm.com.co/politica/la-gran-encuesta-petro-encabeza-intencion-de-voto-para-las-presidenciales-seguido-por-fico" TargetMode="External"/><Relationship Id="rId6" Type="http://schemas.openxmlformats.org/officeDocument/2006/relationships/hyperlink" Target="https://www.massivecaller.com/files/colombia.pdf" TargetMode="External"/><Relationship Id="rId5" Type="http://schemas.openxmlformats.org/officeDocument/2006/relationships/hyperlink" Target="https://www.eltiempo.com/elecciones-2022/presidencia/petro-34-fico-23-rodolfo-12-y-fajardo-9-en-nueva-encuesta-663957" TargetMode="External"/><Relationship Id="rId4" Type="http://schemas.openxmlformats.org/officeDocument/2006/relationships/hyperlink" Target="https://www.massivecaller.com/files/colomb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16C7-8BEF-4AC6-B4C3-D0B77FCEA1AF}">
  <dimension ref="A1:X10"/>
  <sheetViews>
    <sheetView topLeftCell="J1" workbookViewId="0">
      <selection activeCell="O17" sqref="O17"/>
    </sheetView>
  </sheetViews>
  <sheetFormatPr defaultRowHeight="14.5" x14ac:dyDescent="0.35"/>
  <cols>
    <col min="1" max="1" width="12.26953125" style="1" bestFit="1" customWidth="1"/>
    <col min="2" max="2" width="10.453125" style="1" bestFit="1" customWidth="1"/>
    <col min="3" max="3" width="6.90625" style="1" bestFit="1" customWidth="1"/>
    <col min="4" max="4" width="4.81640625" style="1" bestFit="1" customWidth="1"/>
    <col min="5" max="5" width="5.81640625" style="1" bestFit="1" customWidth="1"/>
    <col min="6" max="6" width="4.81640625" style="1" bestFit="1" customWidth="1"/>
    <col min="7" max="7" width="13.1796875" style="1" bestFit="1" customWidth="1"/>
    <col min="8" max="8" width="12.90625" style="1" bestFit="1" customWidth="1"/>
    <col min="9" max="9" width="13.26953125" style="1" bestFit="1" customWidth="1"/>
    <col min="10" max="10" width="17.6328125" style="1" bestFit="1" customWidth="1"/>
    <col min="11" max="11" width="15.90625" style="1" bestFit="1" customWidth="1"/>
    <col min="12" max="13" width="14.08984375" style="1" bestFit="1" customWidth="1"/>
    <col min="14" max="14" width="9.54296875" style="1" bestFit="1" customWidth="1"/>
    <col min="15" max="15" width="6.36328125" style="1" bestFit="1" customWidth="1"/>
    <col min="16" max="16" width="5.81640625" style="1" bestFit="1" customWidth="1"/>
    <col min="17" max="17" width="8.90625" style="1" bestFit="1" customWidth="1"/>
    <col min="18" max="18" width="5" style="1" bestFit="1" customWidth="1"/>
    <col min="19" max="19" width="10.08984375" style="1" bestFit="1" customWidth="1"/>
    <col min="20" max="20" width="11.81640625" style="1" bestFit="1" customWidth="1"/>
    <col min="21" max="21" width="11.81640625" bestFit="1" customWidth="1"/>
    <col min="22" max="22" width="11.81640625" style="1" bestFit="1" customWidth="1"/>
    <col min="23" max="23" width="12.26953125" style="1" bestFit="1" customWidth="1"/>
    <col min="24" max="24" width="142.1796875" style="1" bestFit="1" customWidth="1"/>
    <col min="25" max="16384" width="8.7265625" style="1"/>
  </cols>
  <sheetData>
    <row r="1" spans="1:24" x14ac:dyDescent="0.35">
      <c r="A1" s="8" t="s">
        <v>0</v>
      </c>
      <c r="B1" s="8" t="s">
        <v>1</v>
      </c>
      <c r="C1" s="8" t="s">
        <v>2</v>
      </c>
      <c r="D1" s="8" t="s">
        <v>23</v>
      </c>
      <c r="E1" s="8" t="s">
        <v>3</v>
      </c>
      <c r="F1" s="8" t="s">
        <v>9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47</v>
      </c>
      <c r="M1" s="8" t="s">
        <v>49</v>
      </c>
      <c r="N1" s="8" t="s">
        <v>48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39</v>
      </c>
      <c r="T1" s="1" t="s">
        <v>37</v>
      </c>
      <c r="U1" s="1" t="s">
        <v>38</v>
      </c>
      <c r="V1" s="1" t="s">
        <v>32</v>
      </c>
      <c r="W1" s="1" t="s">
        <v>13</v>
      </c>
      <c r="X1" s="1" t="s">
        <v>17</v>
      </c>
    </row>
    <row r="2" spans="1:24" x14ac:dyDescent="0.35">
      <c r="A2" s="8" t="s">
        <v>10</v>
      </c>
      <c r="B2" s="9">
        <v>44637</v>
      </c>
      <c r="C2" s="8">
        <v>1236</v>
      </c>
      <c r="D2" s="8">
        <v>1</v>
      </c>
      <c r="E2" s="8">
        <v>3.2000000000000001E-2</v>
      </c>
      <c r="F2" s="8">
        <v>0.95</v>
      </c>
      <c r="G2" s="8">
        <v>0.37</v>
      </c>
      <c r="H2" s="8">
        <v>0.19</v>
      </c>
      <c r="I2" s="8">
        <v>0.1</v>
      </c>
      <c r="J2" s="8">
        <v>0.11</v>
      </c>
      <c r="K2" s="8">
        <v>0.02</v>
      </c>
      <c r="L2" s="8">
        <v>0</v>
      </c>
      <c r="M2" s="8">
        <v>3.0000000000000001E-3</v>
      </c>
      <c r="N2" s="8">
        <v>2E-3</v>
      </c>
      <c r="O2" s="8">
        <v>0.16</v>
      </c>
      <c r="P2" s="8">
        <v>0</v>
      </c>
      <c r="Q2" s="8">
        <v>0.05</v>
      </c>
      <c r="R2" s="10">
        <f>SUM(G2:Q2)</f>
        <v>1.0050000000000001</v>
      </c>
      <c r="S2" s="12">
        <f ca="1">PollRating!$B$15-B2</f>
        <v>32</v>
      </c>
      <c r="T2" s="1">
        <f>1/(E2*VLOOKUP(A2,PollRating!$A$1:$C$12,3,0))</f>
        <v>43.269230769230774</v>
      </c>
      <c r="U2" s="11">
        <f t="shared" ref="U2:U9" ca="1" si="0">(T2/AVERAGE($T$2:$T$10)*0.5)^(S2/30)</f>
        <v>0.40232342925489251</v>
      </c>
      <c r="V2" s="6">
        <f t="shared" ref="V2:V9" ca="1" si="1">U2/SUM($U$2:$U$10)</f>
        <v>6.9621830844388846E-2</v>
      </c>
      <c r="W2" s="1" t="s">
        <v>15</v>
      </c>
      <c r="X2" s="3" t="s">
        <v>20</v>
      </c>
    </row>
    <row r="3" spans="1:24" x14ac:dyDescent="0.35">
      <c r="A3" s="8" t="s">
        <v>8</v>
      </c>
      <c r="B3" s="9">
        <v>44639</v>
      </c>
      <c r="C3" s="8">
        <v>2143</v>
      </c>
      <c r="D3" s="8">
        <v>2</v>
      </c>
      <c r="E3" s="8">
        <v>2.1000000000000001E-2</v>
      </c>
      <c r="F3" s="8">
        <v>0.95</v>
      </c>
      <c r="G3" s="8">
        <v>0.32</v>
      </c>
      <c r="H3" s="8">
        <v>0.23</v>
      </c>
      <c r="I3" s="8">
        <v>0.1</v>
      </c>
      <c r="J3" s="8">
        <v>0.1</v>
      </c>
      <c r="K3" s="8">
        <v>0.03</v>
      </c>
      <c r="L3" s="8">
        <v>0.01</v>
      </c>
      <c r="M3" s="8">
        <v>0.01</v>
      </c>
      <c r="N3" s="8">
        <v>0</v>
      </c>
      <c r="O3" s="8">
        <v>0.05</v>
      </c>
      <c r="P3" s="8">
        <v>0.02</v>
      </c>
      <c r="Q3" s="8">
        <v>0.13</v>
      </c>
      <c r="R3" s="10">
        <f>SUM(G3:Q3)</f>
        <v>1</v>
      </c>
      <c r="S3" s="8">
        <f ca="1">PollRating!$B$15-B3</f>
        <v>30</v>
      </c>
      <c r="T3" s="2">
        <f>1/(E3*VLOOKUP(A3,PollRating!$A$1:$C$12,3,0))</f>
        <v>54.325955734406442</v>
      </c>
      <c r="U3" s="11">
        <f t="shared" ca="1" si="0"/>
        <v>0.53470909054470039</v>
      </c>
      <c r="V3" s="6">
        <f t="shared" ca="1" si="1"/>
        <v>9.2531091022478459E-2</v>
      </c>
      <c r="W3" s="1" t="s">
        <v>14</v>
      </c>
      <c r="X3" s="3" t="s">
        <v>19</v>
      </c>
    </row>
    <row r="4" spans="1:24" x14ac:dyDescent="0.35">
      <c r="A4" s="8" t="s">
        <v>11</v>
      </c>
      <c r="B4" s="9">
        <v>44641</v>
      </c>
      <c r="C4" s="8">
        <v>1000</v>
      </c>
      <c r="D4" s="8">
        <v>0</v>
      </c>
      <c r="E4" s="8">
        <v>3.4000000000000002E-2</v>
      </c>
      <c r="F4" s="8">
        <v>0.95</v>
      </c>
      <c r="G4" s="8">
        <v>0.33500000000000002</v>
      </c>
      <c r="H4" s="8">
        <v>0.221</v>
      </c>
      <c r="I4" s="8">
        <v>0.1</v>
      </c>
      <c r="J4" s="8">
        <v>8.8999999999999996E-2</v>
      </c>
      <c r="K4" s="8">
        <v>2.4E-2</v>
      </c>
      <c r="L4" s="8">
        <v>0.01</v>
      </c>
      <c r="M4" s="8">
        <v>0</v>
      </c>
      <c r="N4" s="8">
        <v>0</v>
      </c>
      <c r="O4" s="8">
        <v>0.22</v>
      </c>
      <c r="P4" s="8">
        <v>0</v>
      </c>
      <c r="Q4" s="8">
        <v>0</v>
      </c>
      <c r="R4" s="10">
        <f>SUM(G4:Q4)</f>
        <v>0.999</v>
      </c>
      <c r="S4" s="8">
        <f ca="1">PollRating!$B$15-B4</f>
        <v>28</v>
      </c>
      <c r="T4" s="2">
        <f>1/(E4*VLOOKUP(A4,PollRating!$A$1:$C$12,3,0))</f>
        <v>44.891640866873061</v>
      </c>
      <c r="U4" s="11">
        <f t="shared" ca="1" si="0"/>
        <v>0.46657768136175909</v>
      </c>
      <c r="V4" s="6">
        <f t="shared" ca="1" si="1"/>
        <v>8.0740991067053361E-2</v>
      </c>
      <c r="W4" s="1" t="s">
        <v>11</v>
      </c>
      <c r="X4" s="3" t="s">
        <v>18</v>
      </c>
    </row>
    <row r="5" spans="1:24" x14ac:dyDescent="0.35">
      <c r="A5" s="8" t="s">
        <v>11</v>
      </c>
      <c r="B5" s="9">
        <v>44649</v>
      </c>
      <c r="C5" s="8">
        <v>1000</v>
      </c>
      <c r="D5" s="8">
        <v>0</v>
      </c>
      <c r="E5" s="8">
        <v>3.4000000000000002E-2</v>
      </c>
      <c r="F5" s="8">
        <v>0.95</v>
      </c>
      <c r="G5" s="8">
        <v>0.32400000000000001</v>
      </c>
      <c r="H5" s="8">
        <v>0.27600000000000002</v>
      </c>
      <c r="I5" s="8">
        <v>0.123</v>
      </c>
      <c r="J5" s="8">
        <v>9.5000000000000001E-2</v>
      </c>
      <c r="K5" s="8">
        <v>2.5999999999999999E-2</v>
      </c>
      <c r="L5" s="8">
        <v>1.2E-2</v>
      </c>
      <c r="M5" s="8">
        <v>0</v>
      </c>
      <c r="N5" s="8">
        <v>0</v>
      </c>
      <c r="O5" s="8">
        <v>0.14399999999999999</v>
      </c>
      <c r="P5" s="8">
        <v>0</v>
      </c>
      <c r="Q5" s="8">
        <v>0</v>
      </c>
      <c r="R5" s="10">
        <f>SUM(G5:Q5)</f>
        <v>1</v>
      </c>
      <c r="S5" s="8">
        <f ca="1">PollRating!$B$15-B5</f>
        <v>20</v>
      </c>
      <c r="T5" s="2">
        <f>1/(E5*VLOOKUP(A5,PollRating!$A$1:$C$12,3,0))</f>
        <v>44.891640866873061</v>
      </c>
      <c r="U5" s="11">
        <f t="shared" ca="1" si="0"/>
        <v>0.5801190334300218</v>
      </c>
      <c r="V5" s="6">
        <f t="shared" ca="1" si="1"/>
        <v>0.10038925470951598</v>
      </c>
      <c r="W5" s="1" t="s">
        <v>11</v>
      </c>
      <c r="X5" s="3" t="s">
        <v>18</v>
      </c>
    </row>
    <row r="6" spans="1:24" x14ac:dyDescent="0.35">
      <c r="A6" s="8" t="s">
        <v>8</v>
      </c>
      <c r="B6" s="9">
        <v>44650</v>
      </c>
      <c r="C6" s="8">
        <v>4206</v>
      </c>
      <c r="D6" s="8">
        <v>1</v>
      </c>
      <c r="E6" s="8">
        <v>1.4999999999999999E-2</v>
      </c>
      <c r="F6" s="8">
        <v>0.95</v>
      </c>
      <c r="G6" s="8">
        <v>0.36499999999999999</v>
      </c>
      <c r="H6" s="8">
        <v>0.245</v>
      </c>
      <c r="I6" s="8">
        <v>8.4000000000000005E-2</v>
      </c>
      <c r="J6" s="8">
        <v>0.1</v>
      </c>
      <c r="K6" s="8">
        <v>1.4999999999999999E-2</v>
      </c>
      <c r="L6" s="8">
        <v>8.9999999999999993E-3</v>
      </c>
      <c r="M6" s="8">
        <v>5.0000000000000001E-3</v>
      </c>
      <c r="N6" s="8">
        <v>3.0000000000000001E-3</v>
      </c>
      <c r="O6" s="8">
        <v>8.1000000000000003E-2</v>
      </c>
      <c r="P6" s="8">
        <v>2.8000000000000001E-2</v>
      </c>
      <c r="Q6" s="8">
        <v>6.2E-2</v>
      </c>
      <c r="R6" s="10">
        <f t="shared" ref="R6:R10" si="2">SUM(G6:Q6)</f>
        <v>0.99699999999999989</v>
      </c>
      <c r="S6" s="8">
        <f ca="1">PollRating!$B$15-B6</f>
        <v>19</v>
      </c>
      <c r="T6" s="2">
        <f>1/(E6*VLOOKUP(A6,PollRating!$A$1:$C$12,3,0))</f>
        <v>76.056338028169009</v>
      </c>
      <c r="U6" s="11">
        <f t="shared" ca="1" si="0"/>
        <v>0.8324449992709515</v>
      </c>
      <c r="V6" s="6">
        <f t="shared" ca="1" si="1"/>
        <v>0.14405411346248312</v>
      </c>
      <c r="W6" s="1" t="s">
        <v>14</v>
      </c>
      <c r="X6" s="3" t="s">
        <v>21</v>
      </c>
    </row>
    <row r="7" spans="1:24" x14ac:dyDescent="0.35">
      <c r="A7" s="8" t="s">
        <v>12</v>
      </c>
      <c r="B7" s="9">
        <v>44651</v>
      </c>
      <c r="C7" s="8">
        <v>1865</v>
      </c>
      <c r="D7" s="8">
        <v>0</v>
      </c>
      <c r="E7" s="8">
        <v>2.5000000000000001E-2</v>
      </c>
      <c r="F7" s="8">
        <v>0.95</v>
      </c>
      <c r="G7" s="8">
        <v>0.34</v>
      </c>
      <c r="H7" s="8">
        <v>0.25</v>
      </c>
      <c r="I7" s="8">
        <v>9.5000000000000001E-2</v>
      </c>
      <c r="J7" s="8">
        <v>9.2999999999999999E-2</v>
      </c>
      <c r="K7" s="8">
        <v>2.5999999999999999E-2</v>
      </c>
      <c r="L7" s="8">
        <v>0</v>
      </c>
      <c r="M7" s="8">
        <v>1.6E-2</v>
      </c>
      <c r="N7" s="8">
        <v>3.0000000000000001E-3</v>
      </c>
      <c r="O7" s="8">
        <v>0.10299999999999999</v>
      </c>
      <c r="P7" s="8">
        <v>0</v>
      </c>
      <c r="Q7" s="8">
        <v>7.3999999999999996E-2</v>
      </c>
      <c r="R7" s="10">
        <f t="shared" si="2"/>
        <v>1</v>
      </c>
      <c r="S7" s="8">
        <f ca="1">PollRating!$B$15-B7</f>
        <v>18</v>
      </c>
      <c r="T7" s="2">
        <f>1/(E7*VLOOKUP(A7,PollRating!$A$1:$C$12,3,0))</f>
        <v>52.121212121212118</v>
      </c>
      <c r="U7" s="11">
        <f t="shared" ca="1" si="0"/>
        <v>0.67000002592101815</v>
      </c>
      <c r="V7" s="6">
        <f t="shared" ca="1" si="1"/>
        <v>0.11594310715833614</v>
      </c>
      <c r="W7" s="1" t="s">
        <v>16</v>
      </c>
      <c r="X7" s="3" t="s">
        <v>22</v>
      </c>
    </row>
    <row r="8" spans="1:24" x14ac:dyDescent="0.35">
      <c r="A8" s="8" t="s">
        <v>11</v>
      </c>
      <c r="B8" s="9">
        <v>44656</v>
      </c>
      <c r="C8" s="8">
        <v>1000</v>
      </c>
      <c r="D8" s="8">
        <v>0</v>
      </c>
      <c r="E8" s="8">
        <v>3.4000000000000002E-2</v>
      </c>
      <c r="F8" s="8">
        <v>0.95</v>
      </c>
      <c r="G8" s="8">
        <v>0.34399999999999997</v>
      </c>
      <c r="H8" s="8">
        <v>0.28699999999999998</v>
      </c>
      <c r="I8" s="8">
        <v>0.108</v>
      </c>
      <c r="J8" s="8">
        <v>0.107</v>
      </c>
      <c r="K8" s="8">
        <v>2.3E-2</v>
      </c>
      <c r="L8" s="8">
        <v>0.01</v>
      </c>
      <c r="M8" s="8">
        <v>0</v>
      </c>
      <c r="N8" s="8">
        <v>0</v>
      </c>
      <c r="O8" s="8">
        <v>0.121</v>
      </c>
      <c r="P8" s="8">
        <v>0</v>
      </c>
      <c r="Q8" s="8">
        <v>0</v>
      </c>
      <c r="R8" s="10">
        <f t="shared" si="2"/>
        <v>1</v>
      </c>
      <c r="S8" s="8">
        <f ca="1">PollRating!$B$15-B8</f>
        <v>13</v>
      </c>
      <c r="T8" s="2">
        <f>1/(E8*VLOOKUP(A8,PollRating!$A$1:$C$12,3,0))</f>
        <v>44.891640866873061</v>
      </c>
      <c r="U8" s="11">
        <f t="shared" ca="1" si="0"/>
        <v>0.7019175877675301</v>
      </c>
      <c r="V8" s="6">
        <f t="shared" ca="1" si="1"/>
        <v>0.12146642230793764</v>
      </c>
      <c r="W8" s="1" t="s">
        <v>11</v>
      </c>
      <c r="X8" s="3" t="s">
        <v>18</v>
      </c>
    </row>
    <row r="9" spans="1:24" x14ac:dyDescent="0.35">
      <c r="A9" s="8" t="s">
        <v>8</v>
      </c>
      <c r="B9" s="9">
        <v>44657</v>
      </c>
      <c r="C9" s="8">
        <v>1965</v>
      </c>
      <c r="D9" s="8">
        <v>0</v>
      </c>
      <c r="E9" s="8">
        <v>2.1999999999999999E-2</v>
      </c>
      <c r="F9" s="8">
        <v>0.95</v>
      </c>
      <c r="G9" s="8">
        <v>0.34</v>
      </c>
      <c r="H9" s="8">
        <v>0.23</v>
      </c>
      <c r="I9" s="8">
        <v>0.09</v>
      </c>
      <c r="J9" s="8">
        <v>0.12</v>
      </c>
      <c r="K9" s="8">
        <v>0.02</v>
      </c>
      <c r="L9" s="8">
        <v>0.01</v>
      </c>
      <c r="M9" s="8">
        <v>0</v>
      </c>
      <c r="N9" s="8">
        <v>0</v>
      </c>
      <c r="O9" s="8">
        <v>0.04</v>
      </c>
      <c r="P9" s="8">
        <v>0.02</v>
      </c>
      <c r="Q9" s="8">
        <v>0.12</v>
      </c>
      <c r="R9" s="10">
        <f t="shared" si="2"/>
        <v>0.9900000000000001</v>
      </c>
      <c r="S9" s="8">
        <f ca="1">PollRating!$B$15-B9</f>
        <v>12</v>
      </c>
      <c r="T9" s="2">
        <f>1/(E9*VLOOKUP(A9,PollRating!$A$1:$C$12,3,0))</f>
        <v>51.856594110115239</v>
      </c>
      <c r="U9" s="11">
        <f t="shared" ca="1" si="0"/>
        <v>0.76412722360147745</v>
      </c>
      <c r="V9" s="6">
        <f t="shared" ca="1" si="1"/>
        <v>0.13223176289708366</v>
      </c>
      <c r="W9" s="1" t="s">
        <v>16</v>
      </c>
      <c r="X9" s="3" t="s">
        <v>41</v>
      </c>
    </row>
    <row r="10" spans="1:24" x14ac:dyDescent="0.35">
      <c r="A10" s="8" t="s">
        <v>11</v>
      </c>
      <c r="B10" s="9">
        <v>44662</v>
      </c>
      <c r="C10" s="1">
        <v>1000</v>
      </c>
      <c r="D10" s="1">
        <v>0</v>
      </c>
      <c r="E10" s="1">
        <v>3.4000000000000002E-2</v>
      </c>
      <c r="F10" s="1">
        <v>0.95</v>
      </c>
      <c r="G10" s="1">
        <v>0.32900000000000001</v>
      </c>
      <c r="H10" s="1">
        <v>0.27200000000000002</v>
      </c>
      <c r="I10" s="1">
        <v>0.1</v>
      </c>
      <c r="J10" s="1">
        <v>9.2999999999999999E-2</v>
      </c>
      <c r="K10" s="1">
        <v>1.7999999999999999E-2</v>
      </c>
      <c r="L10" s="1">
        <v>8.0000000000000002E-3</v>
      </c>
      <c r="M10" s="1">
        <v>0</v>
      </c>
      <c r="N10" s="1">
        <v>0</v>
      </c>
      <c r="O10" s="1">
        <v>0.18</v>
      </c>
      <c r="P10" s="1">
        <v>0</v>
      </c>
      <c r="Q10" s="1">
        <v>0</v>
      </c>
      <c r="R10" s="10">
        <f t="shared" si="2"/>
        <v>1</v>
      </c>
      <c r="S10" s="8">
        <f ca="1">PollRating!$B$15-B10</f>
        <v>7</v>
      </c>
      <c r="T10" s="6">
        <f>1/(E10*VLOOKUP(A10,PollRating!$A$1:$C$12,3,0))</f>
        <v>44.891640866873061</v>
      </c>
      <c r="U10" s="6">
        <f ca="1">(T10/AVERAGE($T$2:$T$10)*0.5)^(S10/30)</f>
        <v>0.82647741492716797</v>
      </c>
      <c r="V10" s="6">
        <f ca="1">U10/SUM($U$2:$U$10)</f>
        <v>0.14302142653072281</v>
      </c>
      <c r="W10" s="6" t="s">
        <v>11</v>
      </c>
      <c r="X10" s="3" t="s">
        <v>18</v>
      </c>
    </row>
  </sheetData>
  <hyperlinks>
    <hyperlink ref="X2" r:id="rId1" xr:uid="{672F2ADC-F2FF-4D8C-9785-475817C0CED9}"/>
    <hyperlink ref="X3" r:id="rId2" xr:uid="{9AAD1DFB-0DE5-4773-9AD7-AC196366874D}"/>
    <hyperlink ref="X4" r:id="rId3" xr:uid="{CA1CA81F-F8B2-4331-B7E1-95A7D4F7F61E}"/>
    <hyperlink ref="X5" r:id="rId4" xr:uid="{6518617B-7A62-411C-930A-9EEDB8013081}"/>
    <hyperlink ref="X9" r:id="rId5" xr:uid="{5936BE7E-6AAB-4CF2-850F-0A486A3C6107}"/>
    <hyperlink ref="X8" r:id="rId6" xr:uid="{7DCFFC73-9FD9-45E1-A604-6B99AAD84B2A}"/>
    <hyperlink ref="X10" r:id="rId7" xr:uid="{4198094E-F27F-4C5F-9B05-C65ACE70A422}"/>
  </hyperlinks>
  <pageMargins left="0.7" right="0.7" top="0.75" bottom="0.75" header="0.3" footer="0.3"/>
  <pageSetup paperSize="9" orientation="portrait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E7B3-EBAF-477C-9016-644CB2FB999A}">
  <dimension ref="A1:AS35"/>
  <sheetViews>
    <sheetView tabSelected="1" topLeftCell="AA16" zoomScale="84" zoomScaleNormal="84" workbookViewId="0">
      <selection activeCell="AR36" sqref="AR36"/>
    </sheetView>
  </sheetViews>
  <sheetFormatPr defaultRowHeight="14.5" x14ac:dyDescent="0.35"/>
  <cols>
    <col min="1" max="1" width="10.90625" bestFit="1" customWidth="1"/>
    <col min="2" max="2" width="4.08984375" style="13" bestFit="1" customWidth="1"/>
    <col min="3" max="5" width="12.81640625" bestFit="1" customWidth="1"/>
    <col min="6" max="6" width="10.90625" bestFit="1" customWidth="1"/>
    <col min="7" max="7" width="4.08984375" bestFit="1" customWidth="1"/>
    <col min="8" max="10" width="12.81640625" bestFit="1" customWidth="1"/>
    <col min="11" max="11" width="10.90625" bestFit="1" customWidth="1"/>
    <col min="12" max="12" width="4.08984375" bestFit="1" customWidth="1"/>
    <col min="13" max="15" width="12.81640625" bestFit="1" customWidth="1"/>
    <col min="16" max="16" width="10.90625" bestFit="1" customWidth="1"/>
    <col min="17" max="17" width="4.08984375" bestFit="1" customWidth="1"/>
    <col min="18" max="20" width="12.81640625" bestFit="1" customWidth="1"/>
    <col min="21" max="21" width="10.90625" bestFit="1" customWidth="1"/>
    <col min="22" max="22" width="4.08984375" bestFit="1" customWidth="1"/>
    <col min="23" max="25" width="12.81640625" bestFit="1" customWidth="1"/>
    <col min="26" max="26" width="10.90625" bestFit="1" customWidth="1"/>
    <col min="27" max="27" width="4.08984375" bestFit="1" customWidth="1"/>
    <col min="28" max="28" width="12.81640625" bestFit="1" customWidth="1"/>
    <col min="29" max="29" width="12.453125" bestFit="1" customWidth="1"/>
    <col min="30" max="30" width="12.36328125" bestFit="1" customWidth="1"/>
    <col min="31" max="31" width="10.90625" bestFit="1" customWidth="1"/>
    <col min="32" max="32" width="4.08984375" bestFit="1" customWidth="1"/>
    <col min="33" max="33" width="12.81640625" bestFit="1" customWidth="1"/>
    <col min="34" max="35" width="10.1796875" bestFit="1" customWidth="1"/>
    <col min="36" max="36" width="10.90625" bestFit="1" customWidth="1"/>
    <col min="37" max="37" width="4.08984375" bestFit="1" customWidth="1"/>
    <col min="38" max="38" width="12.81640625" bestFit="1" customWidth="1"/>
    <col min="39" max="40" width="11.26953125" bestFit="1" customWidth="1"/>
    <col min="41" max="41" width="10.90625" bestFit="1" customWidth="1"/>
    <col min="42" max="42" width="4.08984375" bestFit="1" customWidth="1"/>
    <col min="43" max="43" width="12.81640625" bestFit="1" customWidth="1"/>
    <col min="44" max="45" width="12.36328125" bestFit="1" customWidth="1"/>
  </cols>
  <sheetData>
    <row r="1" spans="1:45" x14ac:dyDescent="0.35">
      <c r="A1" s="17" t="s">
        <v>10</v>
      </c>
      <c r="B1" s="17"/>
      <c r="C1" s="17"/>
      <c r="D1" s="17"/>
      <c r="E1" s="17"/>
      <c r="F1" s="17" t="s">
        <v>8</v>
      </c>
      <c r="G1" s="17"/>
      <c r="H1" s="17"/>
      <c r="I1" s="17"/>
      <c r="J1" s="17"/>
      <c r="K1" s="17" t="s">
        <v>11</v>
      </c>
      <c r="L1" s="17"/>
      <c r="M1" s="17"/>
      <c r="N1" s="17"/>
      <c r="O1" s="17"/>
      <c r="P1" s="17" t="s">
        <v>11</v>
      </c>
      <c r="Q1" s="17"/>
      <c r="R1" s="17"/>
      <c r="S1" s="17"/>
      <c r="T1" s="17"/>
      <c r="U1" s="17" t="s">
        <v>8</v>
      </c>
      <c r="V1" s="17"/>
      <c r="W1" s="17"/>
      <c r="X1" s="17"/>
      <c r="Y1" s="17"/>
      <c r="Z1" s="17" t="s">
        <v>12</v>
      </c>
      <c r="AA1" s="17"/>
      <c r="AB1" s="17"/>
      <c r="AC1" s="17"/>
      <c r="AD1" s="17"/>
      <c r="AE1" s="17" t="s">
        <v>11</v>
      </c>
      <c r="AF1" s="17"/>
      <c r="AG1" s="17"/>
      <c r="AH1" s="17"/>
      <c r="AI1" s="17"/>
      <c r="AJ1" s="17" t="s">
        <v>8</v>
      </c>
      <c r="AK1" s="17"/>
      <c r="AL1" s="17"/>
      <c r="AM1" s="17"/>
      <c r="AN1" s="17"/>
      <c r="AO1" s="17" t="s">
        <v>11</v>
      </c>
      <c r="AP1" s="17"/>
      <c r="AQ1" s="17"/>
      <c r="AR1" s="17"/>
      <c r="AS1" s="17"/>
    </row>
    <row r="2" spans="1:45" x14ac:dyDescent="0.35">
      <c r="A2" t="s">
        <v>1</v>
      </c>
      <c r="B2" t="s">
        <v>39</v>
      </c>
      <c r="C2" s="6" t="s">
        <v>37</v>
      </c>
      <c r="D2" s="6" t="s">
        <v>38</v>
      </c>
      <c r="E2" s="6" t="s">
        <v>32</v>
      </c>
      <c r="F2" t="s">
        <v>1</v>
      </c>
      <c r="G2" t="s">
        <v>39</v>
      </c>
      <c r="H2" s="6" t="s">
        <v>37</v>
      </c>
      <c r="I2" s="6" t="s">
        <v>38</v>
      </c>
      <c r="J2" s="6" t="s">
        <v>32</v>
      </c>
      <c r="K2" t="s">
        <v>1</v>
      </c>
      <c r="L2" t="s">
        <v>39</v>
      </c>
      <c r="M2" s="6" t="s">
        <v>37</v>
      </c>
      <c r="N2" s="6" t="s">
        <v>38</v>
      </c>
      <c r="O2" s="6" t="s">
        <v>32</v>
      </c>
      <c r="P2" t="s">
        <v>1</v>
      </c>
      <c r="Q2" t="s">
        <v>39</v>
      </c>
      <c r="R2" s="6" t="s">
        <v>37</v>
      </c>
      <c r="S2" s="6" t="s">
        <v>38</v>
      </c>
      <c r="T2" s="6" t="s">
        <v>32</v>
      </c>
      <c r="U2" t="s">
        <v>1</v>
      </c>
      <c r="V2" t="s">
        <v>39</v>
      </c>
      <c r="W2" s="6" t="s">
        <v>37</v>
      </c>
      <c r="X2" s="6" t="s">
        <v>38</v>
      </c>
      <c r="Y2" s="6" t="s">
        <v>32</v>
      </c>
      <c r="Z2" t="s">
        <v>1</v>
      </c>
      <c r="AA2" t="s">
        <v>39</v>
      </c>
      <c r="AB2" s="6" t="s">
        <v>37</v>
      </c>
      <c r="AC2" s="6" t="s">
        <v>38</v>
      </c>
      <c r="AD2" s="6" t="s">
        <v>32</v>
      </c>
      <c r="AE2" t="s">
        <v>1</v>
      </c>
      <c r="AF2" t="s">
        <v>39</v>
      </c>
      <c r="AG2" s="6" t="s">
        <v>37</v>
      </c>
      <c r="AH2" s="6" t="s">
        <v>38</v>
      </c>
      <c r="AI2" s="6" t="s">
        <v>32</v>
      </c>
      <c r="AJ2" t="s">
        <v>1</v>
      </c>
      <c r="AK2" t="s">
        <v>39</v>
      </c>
      <c r="AL2" s="6" t="s">
        <v>37</v>
      </c>
      <c r="AM2" s="6" t="s">
        <v>38</v>
      </c>
      <c r="AN2" s="6" t="s">
        <v>32</v>
      </c>
      <c r="AO2" t="s">
        <v>1</v>
      </c>
      <c r="AP2" t="s">
        <v>39</v>
      </c>
      <c r="AQ2" s="6" t="s">
        <v>37</v>
      </c>
      <c r="AR2" s="6" t="s">
        <v>38</v>
      </c>
      <c r="AS2" s="6" t="s">
        <v>32</v>
      </c>
    </row>
    <row r="3" spans="1:45" x14ac:dyDescent="0.35">
      <c r="A3" s="9">
        <v>44637</v>
      </c>
      <c r="B3" s="13">
        <f>A3-Polls!$B$2</f>
        <v>0</v>
      </c>
      <c r="C3">
        <v>43.269230769230774</v>
      </c>
      <c r="D3">
        <f>($C$3/AVERAGE($C$3)*0.5)^(B3/30)</f>
        <v>1</v>
      </c>
      <c r="E3">
        <f>D3/D3</f>
        <v>1</v>
      </c>
      <c r="F3" s="9">
        <v>44637</v>
      </c>
      <c r="G3" s="13">
        <f>F3-Polls!$B$3</f>
        <v>-2</v>
      </c>
      <c r="H3">
        <v>54.325955734406442</v>
      </c>
      <c r="K3" s="9">
        <v>44637</v>
      </c>
      <c r="L3" s="13">
        <f>K3-Polls!$B$4</f>
        <v>-4</v>
      </c>
      <c r="M3">
        <v>44.891640866873061</v>
      </c>
      <c r="P3" s="9">
        <v>44637</v>
      </c>
      <c r="Q3" s="13">
        <f>P3-Polls!$B$5</f>
        <v>-12</v>
      </c>
      <c r="R3">
        <v>44.891640866873061</v>
      </c>
      <c r="U3" s="9">
        <v>44637</v>
      </c>
      <c r="V3" s="13">
        <f>U3-Polls!$B$6</f>
        <v>-13</v>
      </c>
      <c r="W3">
        <v>76.056338028169009</v>
      </c>
      <c r="Z3" s="9">
        <v>44637</v>
      </c>
      <c r="AA3" s="13">
        <f>Z3-Polls!$B$7</f>
        <v>-14</v>
      </c>
      <c r="AB3">
        <v>52.121212121212118</v>
      </c>
      <c r="AE3" s="9">
        <v>44637</v>
      </c>
      <c r="AF3" s="13">
        <f>AE3-Polls!$B$8</f>
        <v>-19</v>
      </c>
      <c r="AG3">
        <v>44.891640866873061</v>
      </c>
      <c r="AJ3" s="9">
        <v>44637</v>
      </c>
      <c r="AK3" s="13">
        <f>AJ3-Polls!$B$9</f>
        <v>-20</v>
      </c>
      <c r="AL3">
        <v>51.856594110115239</v>
      </c>
      <c r="AO3" s="9">
        <v>44637</v>
      </c>
      <c r="AP3" s="13">
        <f>AO3-Polls!$B$10</f>
        <v>-25</v>
      </c>
      <c r="AQ3">
        <v>44.891640866873061</v>
      </c>
    </row>
    <row r="4" spans="1:45" x14ac:dyDescent="0.35">
      <c r="A4" s="9">
        <v>44638</v>
      </c>
      <c r="B4" s="13">
        <f>A4-Polls!$B$2</f>
        <v>1</v>
      </c>
      <c r="C4">
        <v>43.269230769230774</v>
      </c>
      <c r="D4">
        <f>($C$3/AVERAGE($C$3)*0.5)^(B4/30)</f>
        <v>0.97715996843424591</v>
      </c>
      <c r="E4">
        <f>D4/D4</f>
        <v>1</v>
      </c>
      <c r="F4" s="9">
        <v>44638</v>
      </c>
      <c r="G4" s="13">
        <f>F4-Polls!$B$3</f>
        <v>-1</v>
      </c>
      <c r="H4">
        <v>54.325955734406442</v>
      </c>
      <c r="K4" s="9">
        <v>44638</v>
      </c>
      <c r="L4" s="13">
        <f>K4-Polls!$B$4</f>
        <v>-3</v>
      </c>
      <c r="M4">
        <v>44.891640866873061</v>
      </c>
      <c r="P4" s="9">
        <v>44638</v>
      </c>
      <c r="Q4" s="13">
        <f>P4-Polls!$B$5</f>
        <v>-11</v>
      </c>
      <c r="R4">
        <v>44.891640866873061</v>
      </c>
      <c r="U4" s="9">
        <v>44638</v>
      </c>
      <c r="V4" s="13">
        <f>U4-Polls!$B$6</f>
        <v>-12</v>
      </c>
      <c r="W4">
        <v>76.056338028169009</v>
      </c>
      <c r="Z4" s="9">
        <v>44638</v>
      </c>
      <c r="AA4" s="13">
        <f>Z4-Polls!$B$7</f>
        <v>-13</v>
      </c>
      <c r="AB4">
        <v>52.121212121212118</v>
      </c>
      <c r="AE4" s="9">
        <v>44638</v>
      </c>
      <c r="AF4" s="13">
        <f>AE4-Polls!$B$8</f>
        <v>-18</v>
      </c>
      <c r="AG4">
        <v>44.891640866873061</v>
      </c>
      <c r="AJ4" s="9">
        <v>44638</v>
      </c>
      <c r="AK4" s="13">
        <f>AJ4-Polls!$B$9</f>
        <v>-19</v>
      </c>
      <c r="AL4">
        <v>51.856594110115239</v>
      </c>
      <c r="AO4" s="9">
        <v>44638</v>
      </c>
      <c r="AP4" s="13">
        <f>AO4-Polls!$B$10</f>
        <v>-24</v>
      </c>
      <c r="AQ4">
        <v>44.891640866873061</v>
      </c>
    </row>
    <row r="5" spans="1:45" x14ac:dyDescent="0.35">
      <c r="A5" s="9">
        <v>44639</v>
      </c>
      <c r="B5" s="13">
        <f>A5-Polls!$B$2</f>
        <v>2</v>
      </c>
      <c r="C5">
        <v>43.269230769230774</v>
      </c>
      <c r="D5">
        <f>($C$3/AVERAGE($C$3,$H$5)*0.5)^(B5/30)</f>
        <v>0.9472182385627661</v>
      </c>
      <c r="E5">
        <f>D5/SUM(D5,I5)</f>
        <v>0.48644688089091853</v>
      </c>
      <c r="F5" s="9">
        <v>44639</v>
      </c>
      <c r="G5" s="13">
        <f>F5-Polls!$B$3</f>
        <v>0</v>
      </c>
      <c r="H5">
        <v>54.325955734406442</v>
      </c>
      <c r="I5">
        <f>($H$5/AVERAGE($H$5,$C$5)*0.5)^(G5/30)</f>
        <v>1</v>
      </c>
      <c r="J5">
        <f>I5/SUM(D5,I5)</f>
        <v>0.51355311910908141</v>
      </c>
      <c r="K5" s="9">
        <v>44639</v>
      </c>
      <c r="L5" s="13">
        <f>K5-Polls!$B$4</f>
        <v>-2</v>
      </c>
      <c r="M5">
        <v>44.891640866873061</v>
      </c>
      <c r="P5" s="9">
        <v>44639</v>
      </c>
      <c r="Q5" s="13">
        <f>P5-Polls!$B$5</f>
        <v>-10</v>
      </c>
      <c r="R5">
        <v>44.891640866873061</v>
      </c>
      <c r="U5" s="9">
        <v>44639</v>
      </c>
      <c r="V5" s="13">
        <f>U5-Polls!$B$6</f>
        <v>-11</v>
      </c>
      <c r="W5">
        <v>76.056338028169009</v>
      </c>
      <c r="Z5" s="9">
        <v>44639</v>
      </c>
      <c r="AA5" s="13">
        <f>Z5-Polls!$B$7</f>
        <v>-12</v>
      </c>
      <c r="AB5">
        <v>52.121212121212118</v>
      </c>
      <c r="AE5" s="9">
        <v>44639</v>
      </c>
      <c r="AF5" s="13">
        <f>AE5-Polls!$B$8</f>
        <v>-17</v>
      </c>
      <c r="AG5">
        <v>44.891640866873061</v>
      </c>
      <c r="AJ5" s="9">
        <v>44639</v>
      </c>
      <c r="AK5" s="13">
        <f>AJ5-Polls!$B$9</f>
        <v>-18</v>
      </c>
      <c r="AL5">
        <v>51.856594110115239</v>
      </c>
      <c r="AO5" s="9">
        <v>44639</v>
      </c>
      <c r="AP5" s="13">
        <f>AO5-Polls!$B$10</f>
        <v>-23</v>
      </c>
      <c r="AQ5">
        <v>44.891640866873061</v>
      </c>
    </row>
    <row r="6" spans="1:45" x14ac:dyDescent="0.35">
      <c r="A6" s="9">
        <v>44640</v>
      </c>
      <c r="B6" s="13">
        <f>A6-Polls!$B$2</f>
        <v>3</v>
      </c>
      <c r="C6">
        <v>43.269230769230774</v>
      </c>
      <c r="D6">
        <f>($C$3/AVERAGE($C$3,$H$5)*0.5)^(B6/30)</f>
        <v>0.92188145292301504</v>
      </c>
      <c r="E6">
        <f>D6/SUM(D6,I6)</f>
        <v>0.48455214190847368</v>
      </c>
      <c r="F6" s="9">
        <v>44640</v>
      </c>
      <c r="G6" s="13">
        <f>F6-Polls!$B$3</f>
        <v>1</v>
      </c>
      <c r="H6">
        <v>54.325955734406442</v>
      </c>
      <c r="I6">
        <f t="shared" ref="I6" si="0">($H$5/AVERAGE($H$5,$C$5)*0.5)^(G6/30)</f>
        <v>0.98066189213797494</v>
      </c>
      <c r="J6">
        <f>I6/SUM(D6,I6)</f>
        <v>0.51544785809152627</v>
      </c>
      <c r="K6" s="9">
        <v>44640</v>
      </c>
      <c r="L6" s="13">
        <f>K6-Polls!$B$4</f>
        <v>-1</v>
      </c>
      <c r="M6">
        <v>44.891640866873061</v>
      </c>
      <c r="P6" s="9">
        <v>44640</v>
      </c>
      <c r="Q6" s="13">
        <f>P6-Polls!$B$5</f>
        <v>-9</v>
      </c>
      <c r="R6">
        <v>44.891640866873061</v>
      </c>
      <c r="U6" s="9">
        <v>44640</v>
      </c>
      <c r="V6" s="13">
        <f>U6-Polls!$B$6</f>
        <v>-10</v>
      </c>
      <c r="W6">
        <v>76.056338028169009</v>
      </c>
      <c r="Z6" s="9">
        <v>44640</v>
      </c>
      <c r="AA6" s="13">
        <f>Z6-Polls!$B$7</f>
        <v>-11</v>
      </c>
      <c r="AB6">
        <v>52.121212121212118</v>
      </c>
      <c r="AE6" s="9">
        <v>44640</v>
      </c>
      <c r="AF6" s="13">
        <f>AE6-Polls!$B$8</f>
        <v>-16</v>
      </c>
      <c r="AG6">
        <v>44.891640866873061</v>
      </c>
      <c r="AJ6" s="9">
        <v>44640</v>
      </c>
      <c r="AK6" s="13">
        <f>AJ6-Polls!$B$9</f>
        <v>-17</v>
      </c>
      <c r="AL6">
        <v>51.856594110115239</v>
      </c>
      <c r="AO6" s="9">
        <v>44640</v>
      </c>
      <c r="AP6" s="13">
        <f>AO6-Polls!$B$10</f>
        <v>-22</v>
      </c>
      <c r="AQ6">
        <v>44.891640866873061</v>
      </c>
    </row>
    <row r="7" spans="1:45" x14ac:dyDescent="0.35">
      <c r="A7" s="9">
        <v>44641</v>
      </c>
      <c r="B7" s="13">
        <f>A7-Polls!$B$2</f>
        <v>4</v>
      </c>
      <c r="C7">
        <v>43.269230769230774</v>
      </c>
      <c r="D7">
        <f>($C$3/AVERAGE($C$3,$H$5,$M$7)*0.5)^(B7/30)</f>
        <v>0.90046346283854262</v>
      </c>
      <c r="E7">
        <f>D7/SUM(D7,I7,N7)</f>
        <v>0.31441898164953669</v>
      </c>
      <c r="F7" s="9">
        <v>44641</v>
      </c>
      <c r="G7" s="13">
        <f>F7-Polls!$B$3</f>
        <v>2</v>
      </c>
      <c r="H7">
        <v>54.325955734406442</v>
      </c>
      <c r="I7">
        <f>($H$5/AVERAGE($H$5,$C$5,$M$7)*0.5)^(G7/30)</f>
        <v>0.96343316997427297</v>
      </c>
      <c r="J7">
        <f>I7/SUM(D7,I7,N7)</f>
        <v>0.3364064048038018</v>
      </c>
      <c r="K7" s="9">
        <v>44641</v>
      </c>
      <c r="L7" s="13">
        <f>K7-Polls!$B$4</f>
        <v>0</v>
      </c>
      <c r="M7">
        <v>44.891640866873061</v>
      </c>
      <c r="N7">
        <f>($M$7/AVERAGE($M$7,$H$5,$C$5)*0.5)^(L7/30)</f>
        <v>1</v>
      </c>
      <c r="O7">
        <f>N7/SUM(D7,I7,N7)</f>
        <v>0.34917461354666152</v>
      </c>
      <c r="P7" s="9">
        <v>44641</v>
      </c>
      <c r="Q7" s="13">
        <f>P7-Polls!$B$5</f>
        <v>-8</v>
      </c>
      <c r="R7">
        <v>44.891640866873061</v>
      </c>
      <c r="U7" s="9">
        <v>44641</v>
      </c>
      <c r="V7" s="13">
        <f>U7-Polls!$B$6</f>
        <v>-9</v>
      </c>
      <c r="W7">
        <v>76.056338028169009</v>
      </c>
      <c r="Z7" s="9">
        <v>44641</v>
      </c>
      <c r="AA7" s="13">
        <f>Z7-Polls!$B$7</f>
        <v>-10</v>
      </c>
      <c r="AB7">
        <v>52.121212121212118</v>
      </c>
      <c r="AE7" s="9">
        <v>44641</v>
      </c>
      <c r="AF7" s="13">
        <f>AE7-Polls!$B$8</f>
        <v>-15</v>
      </c>
      <c r="AG7">
        <v>44.891640866873061</v>
      </c>
      <c r="AJ7" s="9">
        <v>44641</v>
      </c>
      <c r="AK7" s="13">
        <f>AJ7-Polls!$B$9</f>
        <v>-16</v>
      </c>
      <c r="AL7">
        <v>51.856594110115239</v>
      </c>
      <c r="AO7" s="9">
        <v>44641</v>
      </c>
      <c r="AP7" s="13">
        <f>AO7-Polls!$B$10</f>
        <v>-21</v>
      </c>
      <c r="AQ7">
        <v>44.891640866873061</v>
      </c>
    </row>
    <row r="8" spans="1:45" x14ac:dyDescent="0.35">
      <c r="A8" s="9">
        <v>44642</v>
      </c>
      <c r="B8" s="13">
        <f>A8-Polls!$B$2</f>
        <v>5</v>
      </c>
      <c r="C8">
        <v>43.269230769230774</v>
      </c>
      <c r="D8">
        <f t="shared" ref="D8:D14" si="1">($C$3/AVERAGE($C$3,$H$5,$M$7)*0.5)^(B8/30)</f>
        <v>0.87716767627628034</v>
      </c>
      <c r="E8">
        <f t="shared" ref="E8:E14" si="2">D8/SUM(D8,I8,N8)</f>
        <v>0.31348162167509036</v>
      </c>
      <c r="F8" s="9">
        <v>44642</v>
      </c>
      <c r="G8" s="13">
        <f>F8-Polls!$B$3</f>
        <v>3</v>
      </c>
      <c r="H8">
        <v>54.325955734406442</v>
      </c>
      <c r="I8">
        <f t="shared" ref="I8:I14" si="3">($H$5/AVERAGE($H$5,$C$5,$M$7)*0.5)^(G8/30)</f>
        <v>0.94565427846541872</v>
      </c>
      <c r="J8">
        <f t="shared" ref="J8:J14" si="4">I8/SUM(D8,I8,N8)</f>
        <v>0.33795731964928899</v>
      </c>
      <c r="K8" s="9">
        <v>44642</v>
      </c>
      <c r="L8" s="13">
        <f>K8-Polls!$B$4</f>
        <v>1</v>
      </c>
      <c r="M8">
        <v>44.891640866873061</v>
      </c>
      <c r="N8">
        <f t="shared" ref="N8:N14" si="5">($M$7/AVERAGE($M$7,$H$5,$C$5)*0.5)^(L8/30)</f>
        <v>0.97532509958681712</v>
      </c>
      <c r="O8">
        <f t="shared" ref="O8:O14" si="6">N8/SUM(D8,I8,N8)</f>
        <v>0.34856105867562071</v>
      </c>
      <c r="P8" s="9">
        <v>44642</v>
      </c>
      <c r="Q8" s="13">
        <f>P8-Polls!$B$5</f>
        <v>-7</v>
      </c>
      <c r="R8">
        <v>44.891640866873061</v>
      </c>
      <c r="U8" s="9">
        <v>44642</v>
      </c>
      <c r="V8" s="13">
        <f>U8-Polls!$B$6</f>
        <v>-8</v>
      </c>
      <c r="W8">
        <v>76.056338028169009</v>
      </c>
      <c r="Z8" s="9">
        <v>44642</v>
      </c>
      <c r="AA8" s="13">
        <f>Z8-Polls!$B$7</f>
        <v>-9</v>
      </c>
      <c r="AB8">
        <v>52.121212121212118</v>
      </c>
      <c r="AE8" s="9">
        <v>44642</v>
      </c>
      <c r="AF8" s="13">
        <f>AE8-Polls!$B$8</f>
        <v>-14</v>
      </c>
      <c r="AG8">
        <v>44.891640866873061</v>
      </c>
      <c r="AJ8" s="9">
        <v>44642</v>
      </c>
      <c r="AK8" s="13">
        <f>AJ8-Polls!$B$9</f>
        <v>-15</v>
      </c>
      <c r="AL8">
        <v>51.856594110115239</v>
      </c>
      <c r="AO8" s="9">
        <v>44642</v>
      </c>
      <c r="AP8" s="13">
        <f>AO8-Polls!$B$10</f>
        <v>-20</v>
      </c>
      <c r="AQ8">
        <v>44.891640866873061</v>
      </c>
    </row>
    <row r="9" spans="1:45" x14ac:dyDescent="0.35">
      <c r="A9" s="9">
        <v>44643</v>
      </c>
      <c r="B9" s="13">
        <f>A9-Polls!$B$2</f>
        <v>6</v>
      </c>
      <c r="C9">
        <v>43.269230769230774</v>
      </c>
      <c r="D9">
        <f t="shared" si="1"/>
        <v>0.85447457232575197</v>
      </c>
      <c r="E9">
        <f t="shared" si="2"/>
        <v>0.31254361112434365</v>
      </c>
      <c r="F9" s="9">
        <v>44643</v>
      </c>
      <c r="G9" s="13">
        <f>F9-Polls!$B$3</f>
        <v>4</v>
      </c>
      <c r="H9">
        <v>54.325955734406442</v>
      </c>
      <c r="I9">
        <f t="shared" si="3"/>
        <v>0.92820347300667638</v>
      </c>
      <c r="J9">
        <f t="shared" si="4"/>
        <v>0.33951164225056341</v>
      </c>
      <c r="K9" s="9">
        <v>44643</v>
      </c>
      <c r="L9" s="13">
        <f>K9-Polls!$B$4</f>
        <v>2</v>
      </c>
      <c r="M9">
        <v>44.891640866873061</v>
      </c>
      <c r="N9">
        <f t="shared" si="5"/>
        <v>0.95125904988403476</v>
      </c>
      <c r="O9">
        <f t="shared" si="6"/>
        <v>0.34794474662509289</v>
      </c>
      <c r="P9" s="9">
        <v>44643</v>
      </c>
      <c r="Q9" s="13">
        <f>P9-Polls!$B$5</f>
        <v>-6</v>
      </c>
      <c r="R9">
        <v>44.891640866873061</v>
      </c>
      <c r="U9" s="9">
        <v>44643</v>
      </c>
      <c r="V9" s="13">
        <f>U9-Polls!$B$6</f>
        <v>-7</v>
      </c>
      <c r="W9">
        <v>76.056338028169009</v>
      </c>
      <c r="Z9" s="9">
        <v>44643</v>
      </c>
      <c r="AA9" s="13">
        <f>Z9-Polls!$B$7</f>
        <v>-8</v>
      </c>
      <c r="AB9">
        <v>52.121212121212118</v>
      </c>
      <c r="AE9" s="9">
        <v>44643</v>
      </c>
      <c r="AF9" s="13">
        <f>AE9-Polls!$B$8</f>
        <v>-13</v>
      </c>
      <c r="AG9">
        <v>44.891640866873061</v>
      </c>
      <c r="AJ9" s="9">
        <v>44643</v>
      </c>
      <c r="AK9" s="13">
        <f>AJ9-Polls!$B$9</f>
        <v>-14</v>
      </c>
      <c r="AL9">
        <v>51.856594110115239</v>
      </c>
      <c r="AO9" s="9">
        <v>44643</v>
      </c>
      <c r="AP9" s="13">
        <f>AO9-Polls!$B$10</f>
        <v>-19</v>
      </c>
      <c r="AQ9">
        <v>44.891640866873061</v>
      </c>
    </row>
    <row r="10" spans="1:45" x14ac:dyDescent="0.35">
      <c r="A10" s="9">
        <v>44644</v>
      </c>
      <c r="B10" s="13">
        <f>A10-Polls!$B$2</f>
        <v>7</v>
      </c>
      <c r="C10">
        <v>43.269230769230774</v>
      </c>
      <c r="D10">
        <f t="shared" si="1"/>
        <v>0.8323685590545058</v>
      </c>
      <c r="E10">
        <f t="shared" si="2"/>
        <v>0.31160496562012435</v>
      </c>
      <c r="F10" s="9">
        <v>44644</v>
      </c>
      <c r="G10" s="13">
        <f>F10-Polls!$B$3</f>
        <v>5</v>
      </c>
      <c r="H10">
        <v>54.325955734406442</v>
      </c>
      <c r="I10">
        <f t="shared" si="3"/>
        <v>0.91107469920167228</v>
      </c>
      <c r="J10">
        <f t="shared" si="4"/>
        <v>0.34106934630565733</v>
      </c>
      <c r="K10" s="9">
        <v>44644</v>
      </c>
      <c r="L10" s="13">
        <f>K10-Polls!$B$4</f>
        <v>3</v>
      </c>
      <c r="M10">
        <v>44.891640866873061</v>
      </c>
      <c r="N10">
        <f t="shared" si="5"/>
        <v>0.92778682756100728</v>
      </c>
      <c r="O10">
        <f t="shared" si="6"/>
        <v>0.34732568807421837</v>
      </c>
      <c r="P10" s="9">
        <v>44644</v>
      </c>
      <c r="Q10" s="13">
        <f>P10-Polls!$B$5</f>
        <v>-5</v>
      </c>
      <c r="R10">
        <v>44.891640866873061</v>
      </c>
      <c r="U10" s="9">
        <v>44644</v>
      </c>
      <c r="V10" s="13">
        <f>U10-Polls!$B$6</f>
        <v>-6</v>
      </c>
      <c r="W10">
        <v>76.056338028169009</v>
      </c>
      <c r="Z10" s="9">
        <v>44644</v>
      </c>
      <c r="AA10" s="13">
        <f>Z10-Polls!$B$7</f>
        <v>-7</v>
      </c>
      <c r="AB10">
        <v>52.121212121212118</v>
      </c>
      <c r="AE10" s="9">
        <v>44644</v>
      </c>
      <c r="AF10" s="13">
        <f>AE10-Polls!$B$8</f>
        <v>-12</v>
      </c>
      <c r="AG10">
        <v>44.891640866873061</v>
      </c>
      <c r="AJ10" s="9">
        <v>44644</v>
      </c>
      <c r="AK10" s="13">
        <f>AJ10-Polls!$B$9</f>
        <v>-13</v>
      </c>
      <c r="AL10">
        <v>51.856594110115239</v>
      </c>
      <c r="AO10" s="9">
        <v>44644</v>
      </c>
      <c r="AP10" s="13">
        <f>AO10-Polls!$B$10</f>
        <v>-18</v>
      </c>
      <c r="AQ10">
        <v>44.891640866873061</v>
      </c>
    </row>
    <row r="11" spans="1:45" x14ac:dyDescent="0.35">
      <c r="A11" s="9">
        <v>44645</v>
      </c>
      <c r="B11" s="13">
        <f>A11-Polls!$B$2</f>
        <v>8</v>
      </c>
      <c r="C11">
        <v>43.269230769230774</v>
      </c>
      <c r="D11">
        <f t="shared" si="1"/>
        <v>0.8108344479071794</v>
      </c>
      <c r="E11">
        <f t="shared" si="2"/>
        <v>0.31066570088051731</v>
      </c>
      <c r="F11" s="9">
        <v>44645</v>
      </c>
      <c r="G11" s="13">
        <f>F11-Polls!$B$3</f>
        <v>6</v>
      </c>
      <c r="H11">
        <v>54.325955734406442</v>
      </c>
      <c r="I11">
        <f t="shared" si="3"/>
        <v>0.89426201437995179</v>
      </c>
      <c r="J11">
        <f t="shared" si="4"/>
        <v>0.34263040523899169</v>
      </c>
      <c r="K11" s="9">
        <v>44645</v>
      </c>
      <c r="L11" s="13">
        <f>K11-Polls!$B$4</f>
        <v>4</v>
      </c>
      <c r="M11">
        <v>44.891640866873061</v>
      </c>
      <c r="N11">
        <f t="shared" si="5"/>
        <v>0.90489377998627651</v>
      </c>
      <c r="O11">
        <f t="shared" si="6"/>
        <v>0.346703893880491</v>
      </c>
      <c r="P11" s="9">
        <v>44645</v>
      </c>
      <c r="Q11" s="13">
        <f>P11-Polls!$B$5</f>
        <v>-4</v>
      </c>
      <c r="R11">
        <v>44.891640866873061</v>
      </c>
      <c r="U11" s="9">
        <v>44645</v>
      </c>
      <c r="V11" s="13">
        <f>U11-Polls!$B$6</f>
        <v>-5</v>
      </c>
      <c r="W11">
        <v>76.056338028169009</v>
      </c>
      <c r="Z11" s="9">
        <v>44645</v>
      </c>
      <c r="AA11" s="13">
        <f>Z11-Polls!$B$7</f>
        <v>-6</v>
      </c>
      <c r="AB11">
        <v>52.121212121212118</v>
      </c>
      <c r="AE11" s="9">
        <v>44645</v>
      </c>
      <c r="AF11" s="13">
        <f>AE11-Polls!$B$8</f>
        <v>-11</v>
      </c>
      <c r="AG11">
        <v>44.891640866873061</v>
      </c>
      <c r="AJ11" s="9">
        <v>44645</v>
      </c>
      <c r="AK11" s="13">
        <f>AJ11-Polls!$B$9</f>
        <v>-12</v>
      </c>
      <c r="AL11">
        <v>51.856594110115239</v>
      </c>
      <c r="AO11" s="9">
        <v>44645</v>
      </c>
      <c r="AP11" s="13">
        <f>AO11-Polls!$B$10</f>
        <v>-17</v>
      </c>
      <c r="AQ11">
        <v>44.891640866873061</v>
      </c>
    </row>
    <row r="12" spans="1:45" x14ac:dyDescent="0.35">
      <c r="A12" s="9">
        <v>44646</v>
      </c>
      <c r="B12" s="13">
        <f>A12-Polls!$B$2</f>
        <v>9</v>
      </c>
      <c r="C12">
        <v>43.269230769230774</v>
      </c>
      <c r="D12">
        <f t="shared" si="1"/>
        <v>0.78985744326977714</v>
      </c>
      <c r="E12">
        <f t="shared" si="2"/>
        <v>0.30972583271783943</v>
      </c>
      <c r="F12" s="9">
        <v>44646</v>
      </c>
      <c r="G12" s="13">
        <f>F12-Polls!$B$3</f>
        <v>7</v>
      </c>
      <c r="H12">
        <v>54.325955734406442</v>
      </c>
      <c r="I12">
        <f t="shared" si="3"/>
        <v>0.87775958553522437</v>
      </c>
      <c r="J12">
        <f t="shared" si="4"/>
        <v>0.34419479220265714</v>
      </c>
      <c r="K12" s="9">
        <v>44646</v>
      </c>
      <c r="L12" s="13">
        <f>K12-Polls!$B$4</f>
        <v>5</v>
      </c>
      <c r="M12">
        <v>44.891640866873061</v>
      </c>
      <c r="N12">
        <f t="shared" si="5"/>
        <v>0.88256561608060657</v>
      </c>
      <c r="O12">
        <f t="shared" si="6"/>
        <v>0.34607937507950348</v>
      </c>
      <c r="P12" s="9">
        <v>44646</v>
      </c>
      <c r="Q12" s="13">
        <f>P12-Polls!$B$5</f>
        <v>-3</v>
      </c>
      <c r="R12">
        <v>44.891640866873061</v>
      </c>
      <c r="U12" s="9">
        <v>44646</v>
      </c>
      <c r="V12" s="13">
        <f>U12-Polls!$B$6</f>
        <v>-4</v>
      </c>
      <c r="W12">
        <v>76.056338028169009</v>
      </c>
      <c r="Z12" s="9">
        <v>44646</v>
      </c>
      <c r="AA12" s="13">
        <f>Z12-Polls!$B$7</f>
        <v>-5</v>
      </c>
      <c r="AB12">
        <v>52.121212121212118</v>
      </c>
      <c r="AE12" s="9">
        <v>44646</v>
      </c>
      <c r="AF12" s="13">
        <f>AE12-Polls!$B$8</f>
        <v>-10</v>
      </c>
      <c r="AG12">
        <v>44.891640866873061</v>
      </c>
      <c r="AJ12" s="9">
        <v>44646</v>
      </c>
      <c r="AK12" s="13">
        <f>AJ12-Polls!$B$9</f>
        <v>-11</v>
      </c>
      <c r="AL12">
        <v>51.856594110115239</v>
      </c>
      <c r="AO12" s="9">
        <v>44646</v>
      </c>
      <c r="AP12" s="13">
        <f>AO12-Polls!$B$10</f>
        <v>-16</v>
      </c>
      <c r="AQ12">
        <v>44.891640866873061</v>
      </c>
    </row>
    <row r="13" spans="1:45" x14ac:dyDescent="0.35">
      <c r="A13" s="9">
        <v>44647</v>
      </c>
      <c r="B13" s="13">
        <f>A13-Polls!$B$2</f>
        <v>10</v>
      </c>
      <c r="C13">
        <v>43.269230769230774</v>
      </c>
      <c r="D13">
        <f t="shared" si="1"/>
        <v>0.76942313230392945</v>
      </c>
      <c r="E13">
        <f t="shared" si="2"/>
        <v>0.3087853770375954</v>
      </c>
      <c r="F13" s="9">
        <v>44647</v>
      </c>
      <c r="G13" s="13">
        <f>F13-Polls!$B$3</f>
        <v>8</v>
      </c>
      <c r="H13">
        <v>54.325955734406442</v>
      </c>
      <c r="I13">
        <f t="shared" si="3"/>
        <v>0.86156168730165583</v>
      </c>
      <c r="J13">
        <f t="shared" si="4"/>
        <v>0.34576248007773863</v>
      </c>
      <c r="K13" s="9">
        <v>44647</v>
      </c>
      <c r="L13" s="13">
        <f>K13-Polls!$B$4</f>
        <v>6</v>
      </c>
      <c r="M13">
        <v>44.891640866873061</v>
      </c>
      <c r="N13">
        <f t="shared" si="5"/>
        <v>0.86078839739571822</v>
      </c>
      <c r="O13">
        <f t="shared" si="6"/>
        <v>0.34545214288466602</v>
      </c>
      <c r="P13" s="9">
        <v>44647</v>
      </c>
      <c r="Q13" s="13">
        <f>P13-Polls!$B$5</f>
        <v>-2</v>
      </c>
      <c r="R13">
        <v>44.891640866873061</v>
      </c>
      <c r="U13" s="9">
        <v>44647</v>
      </c>
      <c r="V13" s="13">
        <f>U13-Polls!$B$6</f>
        <v>-3</v>
      </c>
      <c r="W13">
        <v>76.056338028169009</v>
      </c>
      <c r="Z13" s="9">
        <v>44647</v>
      </c>
      <c r="AA13" s="13">
        <f>Z13-Polls!$B$7</f>
        <v>-4</v>
      </c>
      <c r="AB13">
        <v>52.121212121212118</v>
      </c>
      <c r="AE13" s="9">
        <v>44647</v>
      </c>
      <c r="AF13" s="13">
        <f>AE13-Polls!$B$8</f>
        <v>-9</v>
      </c>
      <c r="AG13">
        <v>44.891640866873061</v>
      </c>
      <c r="AJ13" s="9">
        <v>44647</v>
      </c>
      <c r="AK13" s="13">
        <f>AJ13-Polls!$B$9</f>
        <v>-10</v>
      </c>
      <c r="AL13">
        <v>51.856594110115239</v>
      </c>
      <c r="AO13" s="9">
        <v>44647</v>
      </c>
      <c r="AP13" s="13">
        <f>AO13-Polls!$B$10</f>
        <v>-15</v>
      </c>
      <c r="AQ13">
        <v>44.891640866873061</v>
      </c>
    </row>
    <row r="14" spans="1:45" x14ac:dyDescent="0.35">
      <c r="A14" s="9">
        <v>44648</v>
      </c>
      <c r="B14" s="13">
        <f>A14-Polls!$B$2</f>
        <v>11</v>
      </c>
      <c r="C14">
        <v>43.269230769230774</v>
      </c>
      <c r="D14">
        <f t="shared" si="1"/>
        <v>0.74951747504414834</v>
      </c>
      <c r="E14">
        <f t="shared" si="2"/>
        <v>0.30784434983741549</v>
      </c>
      <c r="F14" s="9">
        <v>44648</v>
      </c>
      <c r="G14" s="13">
        <f>F14-Polls!$B$3</f>
        <v>9</v>
      </c>
      <c r="H14">
        <v>54.325955734406442</v>
      </c>
      <c r="I14">
        <f t="shared" si="3"/>
        <v>0.8456626999675052</v>
      </c>
      <c r="J14">
        <f t="shared" si="4"/>
        <v>0.34733344147568512</v>
      </c>
      <c r="K14" s="9">
        <v>44648</v>
      </c>
      <c r="L14" s="13">
        <f>K14-Polls!$B$4</f>
        <v>7</v>
      </c>
      <c r="M14">
        <v>44.891640866873061</v>
      </c>
      <c r="N14">
        <f t="shared" si="5"/>
        <v>0.83954852941315561</v>
      </c>
      <c r="O14">
        <f t="shared" si="6"/>
        <v>0.34482220868689933</v>
      </c>
      <c r="P14" s="9">
        <v>44648</v>
      </c>
      <c r="Q14" s="13">
        <f>P14-Polls!$B$5</f>
        <v>-1</v>
      </c>
      <c r="R14">
        <v>44.891640866873061</v>
      </c>
      <c r="U14" s="9">
        <v>44648</v>
      </c>
      <c r="V14" s="13">
        <f>U14-Polls!$B$6</f>
        <v>-2</v>
      </c>
      <c r="W14">
        <v>76.056338028169009</v>
      </c>
      <c r="Z14" s="9">
        <v>44648</v>
      </c>
      <c r="AA14" s="13">
        <f>Z14-Polls!$B$7</f>
        <v>-3</v>
      </c>
      <c r="AB14">
        <v>52.121212121212118</v>
      </c>
      <c r="AE14" s="9">
        <v>44648</v>
      </c>
      <c r="AF14" s="13">
        <f>AE14-Polls!$B$8</f>
        <v>-8</v>
      </c>
      <c r="AG14">
        <v>44.891640866873061</v>
      </c>
      <c r="AJ14" s="9">
        <v>44648</v>
      </c>
      <c r="AK14" s="13">
        <f>AJ14-Polls!$B$9</f>
        <v>-9</v>
      </c>
      <c r="AL14">
        <v>51.856594110115239</v>
      </c>
      <c r="AO14" s="9">
        <v>44648</v>
      </c>
      <c r="AP14" s="13">
        <f>AO14-Polls!$B$10</f>
        <v>-14</v>
      </c>
      <c r="AQ14">
        <v>44.891640866873061</v>
      </c>
    </row>
    <row r="15" spans="1:45" x14ac:dyDescent="0.35">
      <c r="A15" s="9">
        <v>44649</v>
      </c>
      <c r="B15" s="13">
        <f>A15-Polls!$B$2</f>
        <v>12</v>
      </c>
      <c r="C15">
        <v>43.269230769230774</v>
      </c>
      <c r="D15">
        <f>($C$3/AVERAGE($C$3,$H$5,$M$7,$R$15)*0.5)^(B15/30)</f>
        <v>0.73416858017752651</v>
      </c>
      <c r="E15">
        <f>D15/SUM(D15,I15,N15,S15)</f>
        <v>0.21657497621852767</v>
      </c>
      <c r="F15" s="9">
        <v>44649</v>
      </c>
      <c r="G15" s="13">
        <f>F15-Polls!$B$3</f>
        <v>10</v>
      </c>
      <c r="H15">
        <v>54.325955734406442</v>
      </c>
      <c r="I15">
        <f>($H$5/AVERAGE($H$5,$C$5,$M$7,$R$15)*0.5)^(G15/30)</f>
        <v>0.8338844888426693</v>
      </c>
      <c r="J15">
        <f>I15/SUM(D15,I15,N15,S15)</f>
        <v>0.24599052345229808</v>
      </c>
      <c r="K15" s="9">
        <v>44649</v>
      </c>
      <c r="L15" s="13">
        <f>K15-Polls!$B$4</f>
        <v>8</v>
      </c>
      <c r="M15">
        <v>44.891640866873061</v>
      </c>
      <c r="N15">
        <f>($M$7/AVERAGE($M$7,$H$5,$C$5,$R$15)*0.5)^(L15/30)</f>
        <v>0.82185186365650698</v>
      </c>
      <c r="O15">
        <f>N15/SUM(D15,I15,N15,S15)</f>
        <v>0.24244097695316918</v>
      </c>
      <c r="P15" s="9">
        <v>44649</v>
      </c>
      <c r="Q15" s="13">
        <f>P15-Polls!$B$5</f>
        <v>0</v>
      </c>
      <c r="R15">
        <v>44.891640866873061</v>
      </c>
      <c r="S15">
        <f>($R$15/AVERAGE($M$7,$H$5,$C$5,$R$15)*0.5)^(Q15/30)</f>
        <v>1</v>
      </c>
      <c r="T15">
        <f>S15/SUM(D15,I15,N15,S15)</f>
        <v>0.29499352337600515</v>
      </c>
      <c r="U15" s="9">
        <v>44649</v>
      </c>
      <c r="V15" s="13">
        <f>U15-Polls!$B$6</f>
        <v>-1</v>
      </c>
      <c r="W15">
        <v>76.056338028169009</v>
      </c>
      <c r="Z15" s="9">
        <v>44649</v>
      </c>
      <c r="AA15" s="13">
        <f>Z15-Polls!$B$7</f>
        <v>-2</v>
      </c>
      <c r="AB15">
        <v>52.121212121212118</v>
      </c>
      <c r="AE15" s="9">
        <v>44649</v>
      </c>
      <c r="AF15" s="13">
        <f>AE15-Polls!$B$8</f>
        <v>-7</v>
      </c>
      <c r="AG15">
        <v>44.891640866873061</v>
      </c>
      <c r="AJ15" s="9">
        <v>44649</v>
      </c>
      <c r="AK15" s="13">
        <f>AJ15-Polls!$B$9</f>
        <v>-8</v>
      </c>
      <c r="AL15">
        <v>51.856594110115239</v>
      </c>
      <c r="AO15" s="9">
        <v>44649</v>
      </c>
      <c r="AP15" s="13">
        <f>AO15-Polls!$B$10</f>
        <v>-13</v>
      </c>
      <c r="AQ15">
        <v>44.891640866873061</v>
      </c>
    </row>
    <row r="16" spans="1:45" x14ac:dyDescent="0.35">
      <c r="A16" s="9">
        <v>44650</v>
      </c>
      <c r="B16" s="13">
        <f>A16-Polls!$B$2</f>
        <v>13</v>
      </c>
      <c r="C16">
        <v>43.269230769230774</v>
      </c>
      <c r="D16">
        <f>($C$3/AVERAGE($C$3,$H$5,$M$7,$R$15,$W$16)*0.5)^(B16/30)</f>
        <v>0.67997552130462979</v>
      </c>
      <c r="E16">
        <f>D16/SUM(D16,I16,N16,S16,X16)</f>
        <v>0.16149805886971078</v>
      </c>
      <c r="F16" s="9">
        <v>44650</v>
      </c>
      <c r="G16" s="13">
        <f>F16-Polls!$B$3</f>
        <v>11</v>
      </c>
      <c r="H16">
        <v>54.325955734406442</v>
      </c>
      <c r="I16">
        <f>($H$5/AVERAGE($H$5,$C$5,$M$7,$R$15,$W$16)*0.5)^(G16/30)</f>
        <v>0.78433311306900821</v>
      </c>
      <c r="J16">
        <f>I16/SUM(D16,I16,N16,S16,X16)</f>
        <v>0.18628358124547056</v>
      </c>
      <c r="K16" s="9">
        <v>44650</v>
      </c>
      <c r="L16" s="13">
        <f>K16-Polls!$B$4</f>
        <v>9</v>
      </c>
      <c r="M16">
        <v>44.891640866873061</v>
      </c>
      <c r="N16">
        <f>($M$7/AVERAGE($M$7,$H$5,$C$5,$R$15,$W$16)*0.5)^(L16/30)</f>
        <v>0.77415816731948162</v>
      </c>
      <c r="O16">
        <f>N16/SUM(D16,I16,N16,S16,X16)</f>
        <v>0.18386697368215654</v>
      </c>
      <c r="P16" s="9">
        <v>44650</v>
      </c>
      <c r="Q16" s="13">
        <f>P16-Polls!$B$5</f>
        <v>1</v>
      </c>
      <c r="R16">
        <v>44.891640866873061</v>
      </c>
      <c r="S16">
        <f>($R$15/AVERAGE($M$7,$H$5,$C$5,$R$15,$W$16)*0.5)^(Q16/30)</f>
        <v>0.97195854994038111</v>
      </c>
      <c r="T16">
        <f>S16/SUM(D16,I16,N16,S16,X16)</f>
        <v>0.23084569105667543</v>
      </c>
      <c r="U16" s="9">
        <v>44650</v>
      </c>
      <c r="V16" s="13">
        <f>U16-Polls!$B$6</f>
        <v>0</v>
      </c>
      <c r="W16">
        <v>76.056338028169009</v>
      </c>
      <c r="X16">
        <f>($W$16/AVERAGE($M$7,$H$5,$C$5,$R$15,$W$16)*0.5)^(V16/30)</f>
        <v>1</v>
      </c>
      <c r="Y16">
        <f>X16/SUM(D16,I16,N16,S16,X16)</f>
        <v>0.23750569514598668</v>
      </c>
      <c r="Z16" s="9">
        <v>44650</v>
      </c>
      <c r="AA16" s="13">
        <f>Z16-Polls!$B$7</f>
        <v>-1</v>
      </c>
      <c r="AB16">
        <v>52.121212121212118</v>
      </c>
      <c r="AE16" s="9">
        <v>44650</v>
      </c>
      <c r="AF16" s="13">
        <f>AE16-Polls!$B$8</f>
        <v>-6</v>
      </c>
      <c r="AG16">
        <v>44.891640866873061</v>
      </c>
      <c r="AJ16" s="9">
        <v>44650</v>
      </c>
      <c r="AK16" s="13">
        <f>AJ16-Polls!$B$9</f>
        <v>-7</v>
      </c>
      <c r="AL16">
        <v>51.856594110115239</v>
      </c>
      <c r="AO16" s="9">
        <v>44650</v>
      </c>
      <c r="AP16" s="13">
        <f>AO16-Polls!$B$10</f>
        <v>-12</v>
      </c>
      <c r="AQ16">
        <v>44.891640866873061</v>
      </c>
    </row>
    <row r="17" spans="1:45" x14ac:dyDescent="0.35">
      <c r="A17" s="9">
        <v>44651</v>
      </c>
      <c r="B17" s="13">
        <f>A17-Polls!$B$2</f>
        <v>14</v>
      </c>
      <c r="C17">
        <v>43.269230769230774</v>
      </c>
      <c r="D17">
        <f>($C$3/AVERAGE($C$3,$H$5,$M$7,$R$15,$W$16,$AB$17)*0.5)^(B17/30)</f>
        <v>0.66064960867812372</v>
      </c>
      <c r="E17">
        <f>D17/SUM(D17,I17,N17,S17,X17,AC17)</f>
        <v>0.12915000157945664</v>
      </c>
      <c r="F17" s="9">
        <v>44651</v>
      </c>
      <c r="G17" s="13">
        <f>F17-Polls!$B$3</f>
        <v>12</v>
      </c>
      <c r="H17">
        <v>54.325955734406442</v>
      </c>
      <c r="I17">
        <f>($H$5/AVERAGE($H$5,$C$5,$M$7,$R$15,$W$16,$AB$17)*0.5)^(G17/30)</f>
        <v>0.76775183835635419</v>
      </c>
      <c r="J17">
        <f>I17/SUM(D17,I17,N17,S17,X17,AC17)</f>
        <v>0.15008735316554686</v>
      </c>
      <c r="K17" s="9">
        <v>44651</v>
      </c>
      <c r="L17" s="13">
        <f>K17-Polls!$B$4</f>
        <v>10</v>
      </c>
      <c r="M17">
        <v>44.891640866873061</v>
      </c>
      <c r="N17">
        <f>($M$7/AVERAGE($M$7,$H$5,$C$5,$R$15,$W$16,$AB$17)*0.5)^(L17/30)</f>
        <v>0.75289906130888862</v>
      </c>
      <c r="O17">
        <f>N17/SUM(D17,I17,N17,S17,X17,AC17)</f>
        <v>0.14718379255801445</v>
      </c>
      <c r="P17" s="9">
        <v>44651</v>
      </c>
      <c r="Q17" s="13">
        <f>P17-Polls!$B$5</f>
        <v>2</v>
      </c>
      <c r="R17">
        <v>44.891640866873061</v>
      </c>
      <c r="S17">
        <f>($R$15/AVERAGE($M$7,$H$5,$C$5,$R$15,$W$16,$AB$17)*0.5)^(Q17/30)</f>
        <v>0.94481624344371229</v>
      </c>
      <c r="T17">
        <f>S17/SUM(D17,I17,N17,S17,X17,AC17)</f>
        <v>0.18470156907714566</v>
      </c>
      <c r="U17" s="9">
        <v>44651</v>
      </c>
      <c r="V17" s="13">
        <f>U17-Polls!$B$6</f>
        <v>1</v>
      </c>
      <c r="W17">
        <v>76.056338028169009</v>
      </c>
      <c r="X17">
        <f>($W$16/AVERAGE($M$7,$H$5,$C$5,$R$15,$W$16,$AB$17)*0.5)^(V17/30)</f>
        <v>0.9892498808000213</v>
      </c>
      <c r="Y17">
        <f>X17/SUM(D17,I17,N17,S17,X17,AC17)</f>
        <v>0.1933878745851903</v>
      </c>
      <c r="Z17" s="9">
        <v>44651</v>
      </c>
      <c r="AA17" s="13">
        <f>Z17-Polls!$B$7</f>
        <v>0</v>
      </c>
      <c r="AB17">
        <v>52.121212121212118</v>
      </c>
      <c r="AC17" s="14">
        <f>($AB$17/AVERAGE($M$7,$H$5,$C$5,$R$15,$W$16,$AB$17)*0.5)^(AA17/30)</f>
        <v>1</v>
      </c>
      <c r="AD17" s="14">
        <f>AC17/SUM(D17,I17,N17,S17,X17,AC17)</f>
        <v>0.19548940903464615</v>
      </c>
      <c r="AE17" s="9">
        <v>44651</v>
      </c>
      <c r="AF17" s="13">
        <f>AE17-Polls!$B$8</f>
        <v>-5</v>
      </c>
      <c r="AG17">
        <v>44.891640866873061</v>
      </c>
      <c r="AJ17" s="9">
        <v>44651</v>
      </c>
      <c r="AK17" s="13">
        <f>AJ17-Polls!$B$9</f>
        <v>-6</v>
      </c>
      <c r="AL17">
        <v>51.856594110115239</v>
      </c>
      <c r="AO17" s="9">
        <v>44651</v>
      </c>
      <c r="AP17" s="13">
        <f>AO17-Polls!$B$10</f>
        <v>-11</v>
      </c>
      <c r="AQ17">
        <v>44.891640866873061</v>
      </c>
    </row>
    <row r="18" spans="1:45" x14ac:dyDescent="0.35">
      <c r="A18" s="9">
        <v>44652</v>
      </c>
      <c r="B18" s="13">
        <f>A18-Polls!$B$2</f>
        <v>15</v>
      </c>
      <c r="C18">
        <v>43.269230769230774</v>
      </c>
      <c r="D18">
        <f t="shared" ref="D18:D21" si="7">($C$3/AVERAGE($C$3,$H$5,$M$7,$R$15,$W$16,$AB$17)*0.5)^(B18/30)</f>
        <v>0.6413749307919816</v>
      </c>
      <c r="E18">
        <f t="shared" ref="E18:E21" si="8">D18/SUM(D18,I18,N18,S18,X18,AC18)</f>
        <v>0.12832395276982575</v>
      </c>
      <c r="F18" s="9">
        <v>44652</v>
      </c>
      <c r="G18" s="13">
        <f>F18-Polls!$B$3</f>
        <v>13</v>
      </c>
      <c r="H18">
        <v>54.325955734406442</v>
      </c>
      <c r="I18">
        <f t="shared" ref="I18:I21" si="9">($H$5/AVERAGE($H$5,$C$5,$M$7,$R$15,$W$16,$AB$17)*0.5)^(G18/30)</f>
        <v>0.75102766854671466</v>
      </c>
      <c r="J18">
        <f t="shared" ref="J18:J21" si="10">I18/SUM(D18,I18,N18,S18,X18,AC18)</f>
        <v>0.15026287190304669</v>
      </c>
      <c r="K18" s="9">
        <v>44652</v>
      </c>
      <c r="L18" s="13">
        <f>K18-Polls!$B$4</f>
        <v>11</v>
      </c>
      <c r="M18">
        <v>44.891640866873061</v>
      </c>
      <c r="N18">
        <f t="shared" ref="N18:N21" si="11">($M$7/AVERAGE($M$7,$H$5,$C$5,$R$15,$W$16,$AB$17)*0.5)^(L18/30)</f>
        <v>0.73183037517011296</v>
      </c>
      <c r="O18">
        <f t="shared" ref="O18:O21" si="12">N18/SUM(D18,I18,N18,S18,X18,AC18)</f>
        <v>0.14642194758515109</v>
      </c>
      <c r="P18" s="9">
        <v>44652</v>
      </c>
      <c r="Q18" s="13">
        <f>P18-Polls!$B$5</f>
        <v>3</v>
      </c>
      <c r="R18">
        <v>44.891640866873061</v>
      </c>
      <c r="S18">
        <f t="shared" ref="S18:S21" si="13">($R$15/AVERAGE($M$7,$H$5,$C$5,$R$15,$W$16,$AB$17)*0.5)^(Q18/30)</f>
        <v>0.91837705934202585</v>
      </c>
      <c r="T18">
        <f t="shared" ref="T18:T21" si="14">S18/SUM(D18,I18,N18,S18,X18,AC18)</f>
        <v>0.18374552657113447</v>
      </c>
      <c r="U18" s="9">
        <v>44652</v>
      </c>
      <c r="V18" s="13">
        <f>U18-Polls!$B$6</f>
        <v>2</v>
      </c>
      <c r="W18">
        <v>76.056338028169009</v>
      </c>
      <c r="X18">
        <f t="shared" ref="X18:X21" si="15">($W$16/AVERAGE($M$7,$H$5,$C$5,$R$15,$W$16,$AB$17)*0.5)^(V18/30)</f>
        <v>0.97861532666285622</v>
      </c>
      <c r="Y18">
        <f t="shared" ref="Y18:Y21" si="16">X18/SUM(D18,I18,N18,S18,X18,AC18)</f>
        <v>0.19579777900493198</v>
      </c>
      <c r="Z18" s="9">
        <v>44652</v>
      </c>
      <c r="AA18" s="13">
        <f>Z18-Polls!$B$7</f>
        <v>1</v>
      </c>
      <c r="AB18">
        <v>52.121212121212118</v>
      </c>
      <c r="AC18" s="14">
        <f t="shared" ref="AC18:AC21" si="17">($AB$17/AVERAGE($M$7,$H$5,$C$5,$R$15,$W$16,$AB$17)*0.5)^(AA18/30)</f>
        <v>0.97686670996993652</v>
      </c>
      <c r="AD18" s="14">
        <f t="shared" ref="AD18:AD21" si="18">AC18/SUM(D18,I18,N18,S18,X18,AC18)</f>
        <v>0.19544792216591012</v>
      </c>
      <c r="AE18" s="9">
        <v>44652</v>
      </c>
      <c r="AF18" s="13">
        <f>AE18-Polls!$B$8</f>
        <v>-4</v>
      </c>
      <c r="AG18">
        <v>44.891640866873061</v>
      </c>
      <c r="AJ18" s="9">
        <v>44652</v>
      </c>
      <c r="AK18" s="13">
        <f>AJ18-Polls!$B$9</f>
        <v>-5</v>
      </c>
      <c r="AL18">
        <v>51.856594110115239</v>
      </c>
      <c r="AO18" s="9">
        <v>44652</v>
      </c>
      <c r="AP18" s="13">
        <f>AO18-Polls!$B$10</f>
        <v>-10</v>
      </c>
      <c r="AQ18">
        <v>44.891640866873061</v>
      </c>
    </row>
    <row r="19" spans="1:45" x14ac:dyDescent="0.35">
      <c r="A19" s="9">
        <v>44653</v>
      </c>
      <c r="B19" s="13">
        <f>A19-Polls!$B$2</f>
        <v>16</v>
      </c>
      <c r="C19">
        <v>43.269230769230774</v>
      </c>
      <c r="D19">
        <f t="shared" si="7"/>
        <v>0.62266259821375225</v>
      </c>
      <c r="E19">
        <f t="shared" si="8"/>
        <v>0.12749752388813332</v>
      </c>
      <c r="F19" s="9">
        <v>44653</v>
      </c>
      <c r="G19" s="13">
        <f>F19-Polls!$B$3</f>
        <v>14</v>
      </c>
      <c r="H19">
        <v>54.325955734406442</v>
      </c>
      <c r="I19">
        <f t="shared" si="9"/>
        <v>0.73466780637119344</v>
      </c>
      <c r="J19">
        <f t="shared" si="10"/>
        <v>0.15043191362603503</v>
      </c>
      <c r="K19" s="9">
        <v>44653</v>
      </c>
      <c r="L19" s="13">
        <f>K19-Polls!$B$4</f>
        <v>12</v>
      </c>
      <c r="M19">
        <v>44.891640866873061</v>
      </c>
      <c r="N19">
        <f t="shared" si="11"/>
        <v>0.71135126279816141</v>
      </c>
      <c r="O19">
        <f t="shared" si="12"/>
        <v>0.14565757583905456</v>
      </c>
      <c r="P19" s="9">
        <v>44653</v>
      </c>
      <c r="Q19" s="13">
        <f>P19-Polls!$B$5</f>
        <v>4</v>
      </c>
      <c r="R19">
        <v>44.891640866873061</v>
      </c>
      <c r="S19">
        <f t="shared" si="13"/>
        <v>0.89267773387508831</v>
      </c>
      <c r="T19">
        <f t="shared" si="14"/>
        <v>0.18278631320661531</v>
      </c>
      <c r="U19" s="9">
        <v>44653</v>
      </c>
      <c r="V19" s="13">
        <f>U19-Polls!$B$6</f>
        <v>3</v>
      </c>
      <c r="W19">
        <v>76.056338028169009</v>
      </c>
      <c r="X19">
        <f t="shared" si="15"/>
        <v>0.96809509525030446</v>
      </c>
      <c r="Y19">
        <f t="shared" si="16"/>
        <v>0.19822890902191065</v>
      </c>
      <c r="Z19" s="9">
        <v>44653</v>
      </c>
      <c r="AA19" s="13">
        <f>Z19-Polls!$B$7</f>
        <v>2</v>
      </c>
      <c r="AB19">
        <v>52.121212121212118</v>
      </c>
      <c r="AC19" s="14">
        <f t="shared" si="17"/>
        <v>0.95426856904748802</v>
      </c>
      <c r="AD19" s="14">
        <f t="shared" si="18"/>
        <v>0.1953977644182511</v>
      </c>
      <c r="AE19" s="9">
        <v>44653</v>
      </c>
      <c r="AF19" s="13">
        <f>AE19-Polls!$B$8</f>
        <v>-3</v>
      </c>
      <c r="AG19">
        <v>44.891640866873061</v>
      </c>
      <c r="AJ19" s="9">
        <v>44653</v>
      </c>
      <c r="AK19" s="13">
        <f>AJ19-Polls!$B$9</f>
        <v>-4</v>
      </c>
      <c r="AL19">
        <v>51.856594110115239</v>
      </c>
      <c r="AO19" s="9">
        <v>44653</v>
      </c>
      <c r="AP19" s="13">
        <f>AO19-Polls!$B$10</f>
        <v>-9</v>
      </c>
      <c r="AQ19">
        <v>44.891640866873061</v>
      </c>
    </row>
    <row r="20" spans="1:45" x14ac:dyDescent="0.35">
      <c r="A20" s="9">
        <v>44654</v>
      </c>
      <c r="B20" s="13">
        <f>A20-Polls!$B$2</f>
        <v>17</v>
      </c>
      <c r="C20">
        <v>43.269230769230774</v>
      </c>
      <c r="D20">
        <f t="shared" si="7"/>
        <v>0.60449620432708651</v>
      </c>
      <c r="E20">
        <f t="shared" si="8"/>
        <v>0.12667075399445624</v>
      </c>
      <c r="F20" s="9">
        <v>44654</v>
      </c>
      <c r="G20" s="13">
        <f>F20-Polls!$B$3</f>
        <v>15</v>
      </c>
      <c r="H20">
        <v>54.325955734406442</v>
      </c>
      <c r="I20">
        <f t="shared" si="9"/>
        <v>0.71866431600674019</v>
      </c>
      <c r="J20">
        <f t="shared" si="10"/>
        <v>0.15059441254692568</v>
      </c>
      <c r="K20" s="9">
        <v>44654</v>
      </c>
      <c r="L20" s="13">
        <f>K20-Polls!$B$4</f>
        <v>13</v>
      </c>
      <c r="M20">
        <v>44.891640866873061</v>
      </c>
      <c r="N20">
        <f t="shared" si="11"/>
        <v>0.69144522590622881</v>
      </c>
      <c r="O20">
        <f t="shared" si="12"/>
        <v>0.14489071640889464</v>
      </c>
      <c r="P20" s="9">
        <v>44654</v>
      </c>
      <c r="Q20" s="13">
        <f>P20-Polls!$B$5</f>
        <v>5</v>
      </c>
      <c r="R20">
        <v>44.891640866873061</v>
      </c>
      <c r="S20">
        <f t="shared" si="13"/>
        <v>0.86769756327241609</v>
      </c>
      <c r="T20">
        <f t="shared" si="14"/>
        <v>0.18182397803675401</v>
      </c>
      <c r="U20" s="9">
        <v>44654</v>
      </c>
      <c r="V20" s="13">
        <f>U20-Polls!$B$6</f>
        <v>4</v>
      </c>
      <c r="W20">
        <v>76.056338028169009</v>
      </c>
      <c r="X20">
        <f t="shared" si="15"/>
        <v>0.95768795757944891</v>
      </c>
      <c r="Y20">
        <f t="shared" si="16"/>
        <v>0.20068125293365693</v>
      </c>
      <c r="Z20" s="9">
        <v>44654</v>
      </c>
      <c r="AA20" s="13">
        <f>Z20-Polls!$B$7</f>
        <v>3</v>
      </c>
      <c r="AB20">
        <v>52.121212121212118</v>
      </c>
      <c r="AC20" s="14">
        <f t="shared" si="17"/>
        <v>0.93219319747313878</v>
      </c>
      <c r="AD20" s="14">
        <f t="shared" si="18"/>
        <v>0.19533888607931243</v>
      </c>
      <c r="AE20" s="9">
        <v>44654</v>
      </c>
      <c r="AF20" s="13">
        <f>AE20-Polls!$B$8</f>
        <v>-2</v>
      </c>
      <c r="AG20">
        <v>44.891640866873061</v>
      </c>
      <c r="AJ20" s="9">
        <v>44654</v>
      </c>
      <c r="AK20" s="13">
        <f>AJ20-Polls!$B$9</f>
        <v>-3</v>
      </c>
      <c r="AL20">
        <v>51.856594110115239</v>
      </c>
      <c r="AO20" s="9">
        <v>44654</v>
      </c>
      <c r="AP20" s="13">
        <f>AO20-Polls!$B$10</f>
        <v>-8</v>
      </c>
      <c r="AQ20">
        <v>44.891640866873061</v>
      </c>
    </row>
    <row r="21" spans="1:45" x14ac:dyDescent="0.35">
      <c r="A21" s="9">
        <v>44655</v>
      </c>
      <c r="B21" s="13">
        <f>A21-Polls!$B$2</f>
        <v>18</v>
      </c>
      <c r="C21">
        <v>43.269230769230774</v>
      </c>
      <c r="D21">
        <f t="shared" si="7"/>
        <v>0.5868598211842686</v>
      </c>
      <c r="E21">
        <f t="shared" si="8"/>
        <v>0.12584368277602392</v>
      </c>
      <c r="F21" s="9">
        <v>44655</v>
      </c>
      <c r="G21" s="13">
        <f>F21-Polls!$B$3</f>
        <v>16</v>
      </c>
      <c r="H21">
        <v>54.325955734406442</v>
      </c>
      <c r="I21">
        <f t="shared" si="9"/>
        <v>0.70300943449873066</v>
      </c>
      <c r="J21">
        <f t="shared" si="10"/>
        <v>0.15075030368424505</v>
      </c>
      <c r="K21" s="9">
        <v>44655</v>
      </c>
      <c r="L21" s="13">
        <f>K21-Polls!$B$4</f>
        <v>14</v>
      </c>
      <c r="M21">
        <v>44.891640866873061</v>
      </c>
      <c r="N21">
        <f t="shared" si="11"/>
        <v>0.67209622788589984</v>
      </c>
      <c r="O21">
        <f t="shared" si="12"/>
        <v>0.1441214093109271</v>
      </c>
      <c r="P21" s="9">
        <v>44655</v>
      </c>
      <c r="Q21" s="13">
        <f>P21-Polls!$B$5</f>
        <v>6</v>
      </c>
      <c r="R21">
        <v>44.891640866873061</v>
      </c>
      <c r="S21">
        <f t="shared" si="13"/>
        <v>0.84341642312570686</v>
      </c>
      <c r="T21">
        <f t="shared" si="14"/>
        <v>0.18085857127812072</v>
      </c>
      <c r="U21" s="9">
        <v>44655</v>
      </c>
      <c r="V21" s="13">
        <f>U21-Polls!$B$6</f>
        <v>5</v>
      </c>
      <c r="W21">
        <v>76.056338028169009</v>
      </c>
      <c r="X21">
        <f t="shared" si="15"/>
        <v>0.94739269787908564</v>
      </c>
      <c r="Y21">
        <f t="shared" si="16"/>
        <v>0.20315479409653106</v>
      </c>
      <c r="Z21" s="9">
        <v>44655</v>
      </c>
      <c r="AA21" s="13">
        <f>Z21-Polls!$B$7</f>
        <v>4</v>
      </c>
      <c r="AB21">
        <v>52.121212121212118</v>
      </c>
      <c r="AC21" s="14">
        <f t="shared" si="17"/>
        <v>0.91062850187194044</v>
      </c>
      <c r="AD21" s="14">
        <f t="shared" si="18"/>
        <v>0.19527123885415223</v>
      </c>
      <c r="AE21" s="9">
        <v>44655</v>
      </c>
      <c r="AF21" s="13">
        <f>AE21-Polls!$B$8</f>
        <v>-1</v>
      </c>
      <c r="AG21">
        <v>44.891640866873061</v>
      </c>
      <c r="AJ21" s="9">
        <v>44655</v>
      </c>
      <c r="AK21" s="13">
        <f>AJ21-Polls!$B$9</f>
        <v>-2</v>
      </c>
      <c r="AL21">
        <v>51.856594110115239</v>
      </c>
      <c r="AO21" s="9">
        <v>44655</v>
      </c>
      <c r="AP21" s="13">
        <f>AO21-Polls!$B$10</f>
        <v>-7</v>
      </c>
      <c r="AQ21">
        <v>44.891640866873061</v>
      </c>
    </row>
    <row r="22" spans="1:45" x14ac:dyDescent="0.35">
      <c r="A22" s="9">
        <v>44656</v>
      </c>
      <c r="B22" s="13">
        <f>A22-Polls!$B$2</f>
        <v>19</v>
      </c>
      <c r="C22">
        <v>43.269230769230774</v>
      </c>
      <c r="D22">
        <f>($C$3/AVERAGE($C$3,$H$5,$M$7,$R$15,$W$16,$AB$17,$AG$22)*0.5)^(B22/30)</f>
        <v>0.57741736323979898</v>
      </c>
      <c r="E22">
        <f>D22/SUM(D22,I22,N22,S22,X22,AC22,AH22)</f>
        <v>0.10326917824714749</v>
      </c>
      <c r="F22" s="9">
        <v>44656</v>
      </c>
      <c r="G22" s="13">
        <f>F22-Polls!$B$3</f>
        <v>17</v>
      </c>
      <c r="H22">
        <v>54.325955734406442</v>
      </c>
      <c r="I22">
        <f>($H$5/AVERAGE($H$5,$C$5,$M$7,$R$15,$W$16,$AB$17,$AG$22)*0.5)^(G22/30)</f>
        <v>0.69598330033288947</v>
      </c>
      <c r="J22">
        <f>I22/SUM(D22,I22,N22,S22,X22,AC22,AH22)</f>
        <v>0.12447430242804516</v>
      </c>
      <c r="K22" s="9">
        <v>44656</v>
      </c>
      <c r="L22" s="13">
        <f>K22-Polls!$B$4</f>
        <v>15</v>
      </c>
      <c r="M22">
        <v>44.891640866873061</v>
      </c>
      <c r="N22">
        <f>($M$7/AVERAGE($M$7,$H$5,$C$5,$R$15,$W$16,$AB$17,$AG$22)*0.5)^(L22/30)</f>
        <v>0.66023061284145246</v>
      </c>
      <c r="O22">
        <f>N22/SUM(D22,I22,N22,S22,X22,AC22,AH22)</f>
        <v>0.11808005297795643</v>
      </c>
      <c r="P22" s="9">
        <v>44656</v>
      </c>
      <c r="Q22" s="13">
        <f>P22-Polls!$B$5</f>
        <v>7</v>
      </c>
      <c r="R22">
        <v>44.891640866873061</v>
      </c>
      <c r="S22">
        <f>($R$15/AVERAGE($M$7,$H$5,$C$5,$R$15,$W$16,$AB$17,$AG$22)*0.5)^(Q22/30)</f>
        <v>0.8238686426186641</v>
      </c>
      <c r="T22">
        <f>S22/SUM(D22,I22,N22,S22,X22,AC22,AH22)</f>
        <v>0.14734617128492691</v>
      </c>
      <c r="U22" s="9">
        <v>44656</v>
      </c>
      <c r="V22" s="13">
        <f>U22-Polls!$B$6</f>
        <v>6</v>
      </c>
      <c r="W22">
        <v>76.056338028169009</v>
      </c>
      <c r="X22">
        <f>($W$16/AVERAGE($M$7,$H$5,$C$5,$R$15,$W$16,$AB$17,$AG$22)*0.5)^(V22/30)</f>
        <v>0.94117904493808546</v>
      </c>
      <c r="Y22">
        <f>X22/SUM(D22,I22,N22,S22,X22,AC22,AH22)</f>
        <v>0.16832674724023947</v>
      </c>
      <c r="Z22" s="9">
        <v>44656</v>
      </c>
      <c r="AA22" s="13">
        <f>Z22-Polls!$B$7</f>
        <v>5</v>
      </c>
      <c r="AB22">
        <v>52.121212121212118</v>
      </c>
      <c r="AC22" s="14">
        <f>($AB$17/AVERAGE($M$7,$H$5,$C$5,$R$15,$W$16,$AB$17,$AG$22)*0.5)^(AA22/30)</f>
        <v>0.89270244373144569</v>
      </c>
      <c r="AD22" s="14">
        <f>AC22/SUM(D22,I22,N22,S22,X22,AC22,AH22)</f>
        <v>0.15965686806872356</v>
      </c>
      <c r="AE22" s="9">
        <v>44656</v>
      </c>
      <c r="AF22" s="13">
        <f>AE22-Polls!$B$8</f>
        <v>0</v>
      </c>
      <c r="AG22">
        <v>44.891640866873061</v>
      </c>
      <c r="AH22" s="15">
        <f>($AB$17/AVERAGE($M$7,$H$5,$C$5,$R$15,$W$16,$AB$17,$AG$22)*0.5)^(AF22/30)</f>
        <v>1</v>
      </c>
      <c r="AI22" s="15">
        <f>AH22/SUM(D22,I22,N22,S22,X22,AC22,AH22)</f>
        <v>0.17884667975296101</v>
      </c>
      <c r="AJ22" s="9">
        <v>44656</v>
      </c>
      <c r="AK22" s="13">
        <f>AJ22-Polls!$B$9</f>
        <v>-1</v>
      </c>
      <c r="AL22">
        <v>51.856594110115239</v>
      </c>
      <c r="AO22" s="9">
        <v>44656</v>
      </c>
      <c r="AP22" s="13">
        <f>AO22-Polls!$B$10</f>
        <v>-6</v>
      </c>
      <c r="AQ22">
        <v>44.891640866873061</v>
      </c>
    </row>
    <row r="23" spans="1:45" x14ac:dyDescent="0.35">
      <c r="A23" s="9">
        <v>44657</v>
      </c>
      <c r="B23" s="13">
        <f>A23-Polls!$B$2</f>
        <v>20</v>
      </c>
      <c r="C23">
        <v>43.269230769230774</v>
      </c>
      <c r="D23">
        <f>($C$3/AVERAGE($C$3,$H$5,$M$7,$R$15,$W$16,$AB$17,$AG$22,$AL$23)*0.5)^(B23/30)</f>
        <v>0.56063589534603686</v>
      </c>
      <c r="E23">
        <f>D23/SUM(D23,I23,N23,S23,X23,AC23,AH23,AM23)</f>
        <v>8.670204742346764E-2</v>
      </c>
      <c r="F23" s="9">
        <v>44657</v>
      </c>
      <c r="G23" s="13">
        <f>F23-Polls!$B$3</f>
        <v>18</v>
      </c>
      <c r="H23">
        <v>54.325955734406442</v>
      </c>
      <c r="I23">
        <f>($H$5/AVERAGE($H$5,$C$5,$M$7,$R$15,$W$16,$AB$17,$AG$22,$AL$23)*0.5)^(G23/30)</f>
        <v>0.68094138703472351</v>
      </c>
      <c r="J23">
        <f>I23/SUM(D23,I23,N23,S23,X23,AC23,AH23,AM23)</f>
        <v>0.10530722866905667</v>
      </c>
      <c r="K23" s="9">
        <v>44657</v>
      </c>
      <c r="L23" s="13">
        <f>K23-Polls!$B$4</f>
        <v>16</v>
      </c>
      <c r="M23">
        <v>44.891640866873061</v>
      </c>
      <c r="N23">
        <f>($M$7/AVERAGE($M$7,$H$5,$C$5,$R$15,$W$16,$AB$17,$AG$22,$AL$23)*0.5)^(L23/30)</f>
        <v>0.64190498731033663</v>
      </c>
      <c r="O23">
        <f>N23/SUM(D23,I23,N23,S23,X23,AC23,AH23,AM23)</f>
        <v>9.9270269908047951E-2</v>
      </c>
      <c r="P23" s="9">
        <v>44657</v>
      </c>
      <c r="Q23" s="13">
        <f>P23-Polls!$B$5</f>
        <v>8</v>
      </c>
      <c r="R23">
        <v>44.891640866873061</v>
      </c>
      <c r="S23">
        <f>($R$15/AVERAGE($M$7,$H$5,$C$5,$R$15,$W$16,$AB$17,$AG$22,$AL$23)*0.5)^(Q23/30)</f>
        <v>0.80118973240446401</v>
      </c>
      <c r="T23">
        <f>S23/SUM(D23,I23,N23,S23,X23,AC23,AH23,AM23)</f>
        <v>0.12390357226636727</v>
      </c>
      <c r="U23" s="9">
        <v>44657</v>
      </c>
      <c r="V23" s="13">
        <f>U23-Polls!$B$6</f>
        <v>7</v>
      </c>
      <c r="W23">
        <v>76.056338028169009</v>
      </c>
      <c r="X23">
        <f>($W$16/AVERAGE($M$7,$H$5,$C$5,$R$15,$W$16,$AB$17,$AG$22,$AL$23)*0.5)^(V23/30)</f>
        <v>0.93152554809496013</v>
      </c>
      <c r="Y23">
        <f>X23/SUM(D23,I23,N23,S23,X23,AC23,AH23,AM23)</f>
        <v>0.14405993786261381</v>
      </c>
      <c r="Z23" s="9">
        <v>44657</v>
      </c>
      <c r="AA23" s="13">
        <f>Z23-Polls!$B$7</f>
        <v>6</v>
      </c>
      <c r="AB23">
        <v>52.121212121212118</v>
      </c>
      <c r="AC23" s="14">
        <f>($AB$17/AVERAGE($M$7,$H$5,$C$5,$R$15,$W$16,$AB$17,$AG$22,$AL$23)*0.5)^(AA23/30)</f>
        <v>0.87251185528639086</v>
      </c>
      <c r="AD23" s="14">
        <f>AC23/SUM(D23,I23,N23,S23,X23,AC23,AH23,AM23)</f>
        <v>0.13493350119490019</v>
      </c>
      <c r="AE23" s="9">
        <v>44657</v>
      </c>
      <c r="AF23" s="13">
        <f>AE23-Polls!$B$8</f>
        <v>1</v>
      </c>
      <c r="AG23">
        <v>44.891640866873061</v>
      </c>
      <c r="AH23" s="15">
        <f>($AB$17/AVERAGE($M$7,$H$5,$C$5,$R$15,$W$16,$AB$17,$AG$22,$AL$23)*0.5)^(AF23/30)</f>
        <v>0.97752653711617477</v>
      </c>
      <c r="AI23" s="15">
        <f>AH23/SUM(D23,I23,N23,S23,X23,AC23,AH23,AM23)</f>
        <v>0.15117396670870123</v>
      </c>
      <c r="AJ23" s="9">
        <v>44657</v>
      </c>
      <c r="AK23" s="13">
        <f>AJ23-Polls!$B$9</f>
        <v>0</v>
      </c>
      <c r="AL23">
        <v>51.856594110115239</v>
      </c>
      <c r="AM23" s="16">
        <f>($AL$23/AVERAGE($M$7,$H$5,$C$5,$R$15,$W$16,$AB$17,$AL$23)*0.5)^(AK23/30)</f>
        <v>1</v>
      </c>
      <c r="AN23" s="16">
        <f>AM23/SUM(D23,I23,N23,S23,X23,AC23,AH23,AM23)</f>
        <v>0.15464947596684517</v>
      </c>
      <c r="AO23" s="9">
        <v>44657</v>
      </c>
      <c r="AP23" s="13">
        <f>AO23-Polls!$B$10</f>
        <v>-5</v>
      </c>
      <c r="AQ23">
        <v>44.891640866873061</v>
      </c>
    </row>
    <row r="24" spans="1:45" x14ac:dyDescent="0.35">
      <c r="A24" s="9">
        <v>44658</v>
      </c>
      <c r="B24" s="13">
        <f>A24-Polls!$B$2</f>
        <v>21</v>
      </c>
      <c r="C24">
        <v>43.269230769230774</v>
      </c>
      <c r="D24">
        <f t="shared" ref="D24:D27" si="19">($C$3/AVERAGE($C$3,$H$5,$M$7,$R$15,$W$16,$AB$17,$AG$22,$AL$23)*0.5)^(B24/30)</f>
        <v>0.54464678645309594</v>
      </c>
      <c r="E24">
        <f t="shared" ref="E24:E27" si="20">D24/SUM(D24,I24,N24,S24,X24,AC24,AH24,AM24)</f>
        <v>8.6147944211606875E-2</v>
      </c>
      <c r="F24" s="9">
        <v>44658</v>
      </c>
      <c r="G24" s="13">
        <f>F24-Polls!$B$3</f>
        <v>19</v>
      </c>
      <c r="H24">
        <v>54.325955734406442</v>
      </c>
      <c r="I24">
        <f t="shared" ref="I24:I27" si="21">($H$5/AVERAGE($H$5,$C$5,$M$7,$R$15,$W$16,$AB$17,$AG$22,$AL$23)*0.5)^(G24/30)</f>
        <v>0.66655815999457257</v>
      </c>
      <c r="J24">
        <f t="shared" ref="J24:J27" si="22">I24/SUM(D24,I24,N24,S24,X24,AC24,AH24,AM24)</f>
        <v>0.10543092626132461</v>
      </c>
      <c r="K24" s="9">
        <v>44658</v>
      </c>
      <c r="L24" s="13">
        <f>K24-Polls!$B$4</f>
        <v>17</v>
      </c>
      <c r="M24">
        <v>44.891640866873061</v>
      </c>
      <c r="N24">
        <f t="shared" ref="N24:N27" si="23">($M$7/AVERAGE($M$7,$H$5,$C$5,$R$15,$W$16,$AB$17,$AG$22,$AL$23)*0.5)^(L24/30)</f>
        <v>0.62436373773340337</v>
      </c>
      <c r="O24">
        <f t="shared" ref="O24:O27" si="24">N24/SUM(D24,I24,N24,S24,X24,AC24,AH24,AM24)</f>
        <v>9.8756944470909283E-2</v>
      </c>
      <c r="P24" s="9">
        <v>44658</v>
      </c>
      <c r="Q24" s="13">
        <f>P24-Polls!$B$5</f>
        <v>9</v>
      </c>
      <c r="R24">
        <v>44.891640866873061</v>
      </c>
      <c r="S24">
        <f t="shared" ref="S24:S27" si="25">($R$15/AVERAGE($M$7,$H$5,$C$5,$R$15,$W$16,$AB$17,$AG$22,$AL$23)*0.5)^(Q24/30)</f>
        <v>0.77929573043780132</v>
      </c>
      <c r="T24">
        <f t="shared" ref="T24:T27" si="26">S24/SUM(D24,I24,N24,S24,X24,AC24,AH24,AM24)</f>
        <v>0.12326286830277786</v>
      </c>
      <c r="U24" s="9">
        <v>44658</v>
      </c>
      <c r="V24" s="13">
        <f>U24-Polls!$B$6</f>
        <v>8</v>
      </c>
      <c r="W24">
        <v>76.056338028169009</v>
      </c>
      <c r="X24">
        <f t="shared" ref="X24:X27" si="27">($W$16/AVERAGE($M$7,$H$5,$C$5,$R$15,$W$16,$AB$17,$AG$22,$AL$23)*0.5)^(V24/30)</f>
        <v>0.92213397476685544</v>
      </c>
      <c r="Y24">
        <f t="shared" ref="Y24:Y27" si="28">X24/SUM(D24,I24,N24,S24,X24,AC24,AH24,AM24)</f>
        <v>0.14585589815223043</v>
      </c>
      <c r="Z24" s="9">
        <v>44658</v>
      </c>
      <c r="AA24" s="13">
        <f>Z24-Polls!$B$7</f>
        <v>7</v>
      </c>
      <c r="AB24">
        <v>52.121212121212118</v>
      </c>
      <c r="AC24" s="14">
        <f t="shared" ref="AC24:AC27" si="29">($AB$17/AVERAGE($M$7,$H$5,$C$5,$R$15,$W$16,$AB$17,$AG$22,$AL$23)*0.5)^(AA24/30)</f>
        <v>0.85290349249091457</v>
      </c>
      <c r="AD24" s="14">
        <f t="shared" ref="AD24:AD27" si="30">AC24/SUM(D24,I24,N24,S24,X24,AC24,AH24,AM24)</f>
        <v>0.13490556506812254</v>
      </c>
      <c r="AE24" s="9">
        <v>44658</v>
      </c>
      <c r="AF24" s="13">
        <f>AE24-Polls!$B$8</f>
        <v>2</v>
      </c>
      <c r="AG24">
        <v>44.891640866873061</v>
      </c>
      <c r="AH24" s="15">
        <f t="shared" ref="AH24:AH27" si="31">($AB$17/AVERAGE($M$7,$H$5,$C$5,$R$15,$W$16,$AB$17,$AG$22,$AL$23)*0.5)^(AF24/30)</f>
        <v>0.95555813076634011</v>
      </c>
      <c r="AI24" s="15">
        <f t="shared" ref="AI24:AI27" si="32">AH24/SUM(D24,I24,N24,S24,X24,AC24,AH24,AM24)</f>
        <v>0.1511426682167622</v>
      </c>
      <c r="AJ24" s="9">
        <v>44658</v>
      </c>
      <c r="AK24" s="13">
        <f>AJ24-Polls!$B$9</f>
        <v>1</v>
      </c>
      <c r="AL24">
        <v>51.856594110115239</v>
      </c>
      <c r="AM24" s="16">
        <f t="shared" ref="AM24:AM27" si="33">($AL$23/AVERAGE($M$7,$H$5,$C$5,$R$15,$W$16,$AB$17,$AL$23)*0.5)^(AK24/30)</f>
        <v>0.97676614652419846</v>
      </c>
      <c r="AN24" s="16">
        <f t="shared" ref="AN24:AN27" si="34">AM24/SUM(D24,I24,N24,S24,X24,AC24,AH24,AM24)</f>
        <v>0.1544971853162663</v>
      </c>
      <c r="AO24" s="9">
        <v>44658</v>
      </c>
      <c r="AP24" s="13">
        <f>AO24-Polls!$B$10</f>
        <v>-4</v>
      </c>
      <c r="AQ24">
        <v>44.891640866873061</v>
      </c>
    </row>
    <row r="25" spans="1:45" x14ac:dyDescent="0.35">
      <c r="A25" s="9">
        <v>44659</v>
      </c>
      <c r="B25" s="13">
        <f>A25-Polls!$B$2</f>
        <v>22</v>
      </c>
      <c r="C25">
        <v>43.269230769230774</v>
      </c>
      <c r="D25">
        <f t="shared" si="19"/>
        <v>0.52911368047633023</v>
      </c>
      <c r="E25">
        <f t="shared" si="20"/>
        <v>8.5594625550176107E-2</v>
      </c>
      <c r="F25" s="9">
        <v>44659</v>
      </c>
      <c r="G25" s="13">
        <f>F25-Polls!$B$3</f>
        <v>20</v>
      </c>
      <c r="H25">
        <v>54.325955734406442</v>
      </c>
      <c r="I25">
        <f t="shared" si="21"/>
        <v>0.65247874356724034</v>
      </c>
      <c r="J25">
        <f t="shared" si="22"/>
        <v>0.10555136976388516</v>
      </c>
      <c r="K25" s="9">
        <v>44659</v>
      </c>
      <c r="L25" s="13">
        <f>K25-Polls!$B$4</f>
        <v>18</v>
      </c>
      <c r="M25">
        <v>44.891640866873061</v>
      </c>
      <c r="N25">
        <f t="shared" si="23"/>
        <v>0.60730183547858629</v>
      </c>
      <c r="O25">
        <f t="shared" si="24"/>
        <v>9.8243109414460961E-2</v>
      </c>
      <c r="P25" s="9">
        <v>44659</v>
      </c>
      <c r="Q25" s="13">
        <f>P25-Polls!$B$5</f>
        <v>10</v>
      </c>
      <c r="R25">
        <v>44.891640866873061</v>
      </c>
      <c r="S25">
        <f t="shared" si="25"/>
        <v>0.7580000228610051</v>
      </c>
      <c r="T25">
        <f t="shared" si="26"/>
        <v>0.12262152826100493</v>
      </c>
      <c r="U25" s="9">
        <v>44659</v>
      </c>
      <c r="V25" s="13">
        <f>U25-Polls!$B$6</f>
        <v>9</v>
      </c>
      <c r="W25">
        <v>76.056338028169009</v>
      </c>
      <c r="X25">
        <f t="shared" si="27"/>
        <v>0.91283708660305729</v>
      </c>
      <c r="Y25">
        <f t="shared" si="28"/>
        <v>0.1476694923967245</v>
      </c>
      <c r="Z25" s="9">
        <v>44659</v>
      </c>
      <c r="AA25" s="13">
        <f>Z25-Polls!$B$7</f>
        <v>8</v>
      </c>
      <c r="AB25">
        <v>52.121212121212118</v>
      </c>
      <c r="AC25" s="14">
        <f t="shared" si="29"/>
        <v>0.83373579750893512</v>
      </c>
      <c r="AD25" s="14">
        <f t="shared" si="30"/>
        <v>0.13487329099355458</v>
      </c>
      <c r="AE25" s="9">
        <v>44659</v>
      </c>
      <c r="AF25" s="13">
        <f>AE25-Polls!$B$8</f>
        <v>3</v>
      </c>
      <c r="AG25">
        <v>44.891640866873061</v>
      </c>
      <c r="AH25" s="15">
        <f t="shared" si="31"/>
        <v>0.93408343058122534</v>
      </c>
      <c r="AI25" s="15">
        <f t="shared" si="32"/>
        <v>0.15110650966583836</v>
      </c>
      <c r="AJ25" s="9">
        <v>44659</v>
      </c>
      <c r="AK25" s="13">
        <f>AJ25-Polls!$B$9</f>
        <v>2</v>
      </c>
      <c r="AL25">
        <v>51.856594110115239</v>
      </c>
      <c r="AM25" s="16">
        <f t="shared" si="33"/>
        <v>0.95407210499573203</v>
      </c>
      <c r="AN25" s="16">
        <f t="shared" si="34"/>
        <v>0.15434007395435542</v>
      </c>
      <c r="AO25" s="9">
        <v>44659</v>
      </c>
      <c r="AP25" s="13">
        <f>AO25-Polls!$B$10</f>
        <v>-3</v>
      </c>
      <c r="AQ25">
        <v>44.891640866873061</v>
      </c>
    </row>
    <row r="26" spans="1:45" x14ac:dyDescent="0.35">
      <c r="A26" s="9">
        <v>44660</v>
      </c>
      <c r="B26" s="13">
        <f>A26-Polls!$B$2</f>
        <v>23</v>
      </c>
      <c r="C26">
        <v>43.269230769230774</v>
      </c>
      <c r="D26">
        <f t="shared" si="19"/>
        <v>0.51402357239707663</v>
      </c>
      <c r="E26">
        <f t="shared" si="20"/>
        <v>8.5042103000777095E-2</v>
      </c>
      <c r="F26" s="9">
        <v>44660</v>
      </c>
      <c r="G26" s="13">
        <f>F26-Polls!$B$3</f>
        <v>21</v>
      </c>
      <c r="H26">
        <v>54.325955734406442</v>
      </c>
      <c r="I26">
        <f t="shared" si="21"/>
        <v>0.63869672049405413</v>
      </c>
      <c r="J26">
        <f t="shared" si="22"/>
        <v>0.10566852418308043</v>
      </c>
      <c r="K26" s="9">
        <v>44660</v>
      </c>
      <c r="L26" s="13">
        <f>K26-Polls!$B$4</f>
        <v>19</v>
      </c>
      <c r="M26">
        <v>44.891640866873061</v>
      </c>
      <c r="N26">
        <f t="shared" si="23"/>
        <v>0.590706181487337</v>
      </c>
      <c r="O26">
        <f t="shared" si="24"/>
        <v>9.7728778653045939E-2</v>
      </c>
      <c r="P26" s="9">
        <v>44660</v>
      </c>
      <c r="Q26" s="13">
        <f>P26-Polls!$B$5</f>
        <v>11</v>
      </c>
      <c r="R26">
        <v>44.891640866873061</v>
      </c>
      <c r="S26">
        <f t="shared" si="25"/>
        <v>0.73728626016531529</v>
      </c>
      <c r="T26">
        <f t="shared" si="26"/>
        <v>0.12197956950814941</v>
      </c>
      <c r="U26" s="9">
        <v>44660</v>
      </c>
      <c r="V26" s="13">
        <f>U26-Polls!$B$6</f>
        <v>10</v>
      </c>
      <c r="W26">
        <v>76.056338028169009</v>
      </c>
      <c r="X26">
        <f t="shared" si="27"/>
        <v>0.90363392899457462</v>
      </c>
      <c r="Y26">
        <f t="shared" si="28"/>
        <v>0.14950078905173289</v>
      </c>
      <c r="Z26" s="9">
        <v>44660</v>
      </c>
      <c r="AA26" s="13">
        <f>Z26-Polls!$B$7</f>
        <v>9</v>
      </c>
      <c r="AB26">
        <v>52.121212121212118</v>
      </c>
      <c r="AC26" s="14">
        <f t="shared" si="29"/>
        <v>0.81499886700870161</v>
      </c>
      <c r="AD26" s="14">
        <f t="shared" si="30"/>
        <v>0.13483665208281567</v>
      </c>
      <c r="AE26" s="9">
        <v>44660</v>
      </c>
      <c r="AF26" s="13">
        <f>AE26-Polls!$B$8</f>
        <v>4</v>
      </c>
      <c r="AG26">
        <v>44.891640866873061</v>
      </c>
      <c r="AH26" s="15">
        <f t="shared" si="31"/>
        <v>0.91309134127366198</v>
      </c>
      <c r="AI26" s="15">
        <f t="shared" si="32"/>
        <v>0.15106546093128956</v>
      </c>
      <c r="AJ26" s="9">
        <v>44660</v>
      </c>
      <c r="AK26" s="13">
        <f>AJ26-Polls!$B$9</f>
        <v>3</v>
      </c>
      <c r="AL26">
        <v>51.856594110115239</v>
      </c>
      <c r="AM26" s="16">
        <f t="shared" si="33"/>
        <v>0.93190533350291171</v>
      </c>
      <c r="AN26" s="16">
        <f t="shared" si="34"/>
        <v>0.15417812258910885</v>
      </c>
      <c r="AO26" s="9">
        <v>44660</v>
      </c>
      <c r="AP26" s="13">
        <f>AO26-Polls!$B$10</f>
        <v>-2</v>
      </c>
      <c r="AQ26">
        <v>44.891640866873061</v>
      </c>
    </row>
    <row r="27" spans="1:45" x14ac:dyDescent="0.35">
      <c r="A27" s="9">
        <v>44661</v>
      </c>
      <c r="B27" s="13">
        <f>A27-Polls!$B$2</f>
        <v>24</v>
      </c>
      <c r="C27">
        <v>43.269230769230774</v>
      </c>
      <c r="D27">
        <f t="shared" si="19"/>
        <v>0.49936382809454216</v>
      </c>
      <c r="E27">
        <f t="shared" si="20"/>
        <v>8.449038829179864E-2</v>
      </c>
      <c r="F27" s="9">
        <v>44661</v>
      </c>
      <c r="G27" s="13">
        <f>F27-Polls!$B$3</f>
        <v>22</v>
      </c>
      <c r="H27">
        <v>54.325955734406442</v>
      </c>
      <c r="I27">
        <f t="shared" si="21"/>
        <v>0.62520580906528922</v>
      </c>
      <c r="J27">
        <f t="shared" si="22"/>
        <v>0.10578235466469052</v>
      </c>
      <c r="K27" s="9">
        <v>44661</v>
      </c>
      <c r="L27" s="13">
        <f>K27-Polls!$B$4</f>
        <v>20</v>
      </c>
      <c r="M27">
        <v>44.891640866873061</v>
      </c>
      <c r="N27">
        <f t="shared" si="23"/>
        <v>0.57456403465728423</v>
      </c>
      <c r="O27">
        <f t="shared" si="24"/>
        <v>9.7213966361827817E-2</v>
      </c>
      <c r="P27" s="9">
        <v>44661</v>
      </c>
      <c r="Q27" s="13">
        <f>P27-Polls!$B$5</f>
        <v>12</v>
      </c>
      <c r="R27">
        <v>44.891640866873061</v>
      </c>
      <c r="S27">
        <f t="shared" si="25"/>
        <v>0.7171385396227562</v>
      </c>
      <c r="T27">
        <f t="shared" si="26"/>
        <v>0.12133700973685389</v>
      </c>
      <c r="U27" s="9">
        <v>44661</v>
      </c>
      <c r="V27" s="13">
        <f>U27-Polls!$B$6</f>
        <v>11</v>
      </c>
      <c r="W27">
        <v>76.056338028169009</v>
      </c>
      <c r="X27">
        <f t="shared" si="27"/>
        <v>0.89452355695671537</v>
      </c>
      <c r="Y27">
        <f t="shared" si="28"/>
        <v>0.1513498543773675</v>
      </c>
      <c r="Z27" s="9">
        <v>44661</v>
      </c>
      <c r="AA27" s="13">
        <f>Z27-Polls!$B$7</f>
        <v>10</v>
      </c>
      <c r="AB27">
        <v>52.121212121212118</v>
      </c>
      <c r="AC27" s="14">
        <f t="shared" si="29"/>
        <v>0.79668302022062187</v>
      </c>
      <c r="AD27" s="14">
        <f t="shared" si="30"/>
        <v>0.13479562182301144</v>
      </c>
      <c r="AE27" s="9">
        <v>44661</v>
      </c>
      <c r="AF27" s="13">
        <f>AE27-Polls!$B$8</f>
        <v>5</v>
      </c>
      <c r="AG27">
        <v>44.891640866873061</v>
      </c>
      <c r="AH27" s="15">
        <f t="shared" si="31"/>
        <v>0.89257101690600615</v>
      </c>
      <c r="AI27" s="15">
        <f t="shared" si="32"/>
        <v>0.15101949230915523</v>
      </c>
      <c r="AJ27" s="9">
        <v>44661</v>
      </c>
      <c r="AK27" s="13">
        <f>AJ27-Polls!$B$9</f>
        <v>4</v>
      </c>
      <c r="AL27">
        <v>51.856594110115239</v>
      </c>
      <c r="AM27" s="16">
        <f t="shared" si="33"/>
        <v>0.91025358153098712</v>
      </c>
      <c r="AN27" s="16">
        <f t="shared" si="34"/>
        <v>0.15401131243529503</v>
      </c>
      <c r="AO27" s="9">
        <v>44661</v>
      </c>
      <c r="AP27" s="13">
        <f>AO27-Polls!$B$10</f>
        <v>-1</v>
      </c>
      <c r="AQ27">
        <v>44.891640866873061</v>
      </c>
    </row>
    <row r="28" spans="1:45" x14ac:dyDescent="0.35">
      <c r="A28" s="9">
        <v>44662</v>
      </c>
      <c r="B28" s="13">
        <f>A28-Polls!$B$2</f>
        <v>25</v>
      </c>
      <c r="C28">
        <v>43.269230769230774</v>
      </c>
      <c r="D28">
        <f>($C$3/AVERAGE($C$3,$H$5,$M$7,$R$15,$W$16,$AB$17,$AG$22,$AL$23,$AQ$28)*0.5)^(B28/30)</f>
        <v>0.49099206353445302</v>
      </c>
      <c r="E28">
        <f>D28/SUM(D28,I28,N28,S28,X28,AC28,AH28,AM28,AR28)</f>
        <v>7.2028376060282576E-2</v>
      </c>
      <c r="F28" s="9">
        <v>44662</v>
      </c>
      <c r="G28" s="13">
        <f>F28-Polls!$B$3</f>
        <v>23</v>
      </c>
      <c r="H28">
        <v>54.325955734406442</v>
      </c>
      <c r="I28">
        <f>($H$5/AVERAGE($H$5,$C$5,$M$7,$R$15,$W$16,$AB$17,$AG$22,$AL$23,$AQ$28)*0.5)^(G28/30)</f>
        <v>0.61880925693096545</v>
      </c>
      <c r="J28">
        <f>I28/SUM(D28,I28,N28,S28,X28,AC28,AH28,AM28,AR28)</f>
        <v>9.0779116768106349E-2</v>
      </c>
      <c r="K28" s="9">
        <v>44662</v>
      </c>
      <c r="L28" s="13">
        <f>K28-Polls!$B$4</f>
        <v>21</v>
      </c>
      <c r="M28">
        <v>44.891640866873061</v>
      </c>
      <c r="N28">
        <f>($M$7/AVERAGE($M$7,$H$5,$C$5,$R$15,$W$16,$AB$17,$AG$22,$AL$23,$AQ$28)*0.5)^(L28/30)</f>
        <v>0.56453772714754158</v>
      </c>
      <c r="O28">
        <f>N28/SUM(D28,I28,N28,S28,X28,AC28,AH28,AM28,AR28)</f>
        <v>8.2817500996830287E-2</v>
      </c>
      <c r="P28" s="9">
        <v>44662</v>
      </c>
      <c r="Q28" s="13">
        <f>P28-Polls!$B$5</f>
        <v>13</v>
      </c>
      <c r="R28">
        <v>44.891640866873061</v>
      </c>
      <c r="S28">
        <f>($R$15/AVERAGE($M$7,$H$5,$C$5,$R$15,$W$16,$AB$17,$AG$22,$AL$23,$AQ$28)*0.5)^(Q28/30)</f>
        <v>0.7019175877675301</v>
      </c>
      <c r="T28">
        <f>S28/SUM(D28,I28,N28,S28,X28,AC28,AH28,AM28,AR28)</f>
        <v>0.10297108187676113</v>
      </c>
      <c r="U28" s="9">
        <v>44662</v>
      </c>
      <c r="V28" s="13">
        <f>U28-Polls!$B$6</f>
        <v>12</v>
      </c>
      <c r="W28">
        <v>76.056338028169009</v>
      </c>
      <c r="X28">
        <f>($W$16/AVERAGE($M$7,$H$5,$C$5,$R$15,$W$16,$AB$17,$AG$22,$AL$23,$AQ$28)*0.5)^(V28/30)</f>
        <v>0.89063188971204188</v>
      </c>
      <c r="Y28">
        <f>X28/SUM(D28,I28,N28,S28,X28,AC28,AH28,AM28,AR28)</f>
        <v>0.13065540860612629</v>
      </c>
      <c r="Z28" s="9">
        <v>44662</v>
      </c>
      <c r="AA28" s="13">
        <f>Z28-Polls!$B$7</f>
        <v>11</v>
      </c>
      <c r="AB28">
        <v>52.121212121212118</v>
      </c>
      <c r="AC28" s="14">
        <f>($AB$17/AVERAGE($M$7,$H$5,$C$5,$R$15,$W$16,$AB$17,$AG$22,$AL$23,$AQ$28)*0.5)^(AA28/30)</f>
        <v>0.78291099043731949</v>
      </c>
      <c r="AD28" s="14">
        <f>AC28/SUM(D28,I28,N28,S28,X28,AC28,AH28,AM28,AR28)</f>
        <v>0.11485278771107982</v>
      </c>
      <c r="AE28" s="9">
        <v>44662</v>
      </c>
      <c r="AF28" s="13">
        <f>AE28-Polls!$B$8</f>
        <v>6</v>
      </c>
      <c r="AG28">
        <v>44.891640866873061</v>
      </c>
      <c r="AH28" s="15">
        <f>($AB$17/AVERAGE($M$7,$H$5,$C$5,$R$15,$W$16,$AB$17,$AG$22,$AL$23,$AQ$28)*0.5)^(AF28/30)</f>
        <v>0.87503402356779125</v>
      </c>
      <c r="AI28" s="15">
        <f>AH28/SUM(D28,I28,N28,S28,X28,AC28,AH28,AM28,AR28)</f>
        <v>0.12836720671486049</v>
      </c>
      <c r="AJ28" s="9">
        <v>44662</v>
      </c>
      <c r="AK28" s="13">
        <f>AJ28-Polls!$B$9</f>
        <v>5</v>
      </c>
      <c r="AL28">
        <v>51.856594110115239</v>
      </c>
      <c r="AM28" s="16">
        <f>($AL$23/AVERAGE($M$7,$H$5,$C$5,$R$15,$W$16,$AB$17,$AL$23,$AQ$28)*0.5)^(AK28/30)</f>
        <v>0.89181415435483569</v>
      </c>
      <c r="AN28" s="16">
        <f>AM28/SUM(D28,I28,N28,S28,X28,AC28,AH28,AM28,AR28)</f>
        <v>0.13082884644477671</v>
      </c>
      <c r="AO28" s="9">
        <v>44662</v>
      </c>
      <c r="AP28" s="13">
        <f>AO28-Polls!$B$10</f>
        <v>0</v>
      </c>
      <c r="AQ28">
        <v>44.891640866873061</v>
      </c>
      <c r="AR28" s="14">
        <f>($AQ$28/AVERAGE($M$7,$H$5,$C$5,$R$15,$W$16,$AB$17,$AL$23,$AQ$28)*0.5)^(AP28/30)</f>
        <v>1</v>
      </c>
      <c r="AS28" s="14">
        <f>AR28/SUM(D28,I28,N28,S28,X28,AC28,AH28,AM28,AR28)</f>
        <v>0.14669967482117627</v>
      </c>
    </row>
    <row r="29" spans="1:45" x14ac:dyDescent="0.35">
      <c r="A29" s="9">
        <v>44663</v>
      </c>
      <c r="B29" s="13">
        <f>A29-Polls!$B$2</f>
        <v>26</v>
      </c>
      <c r="C29">
        <v>43.269230769230774</v>
      </c>
      <c r="D29">
        <f t="shared" ref="D29:D35" si="35">($C$3/AVERAGE($C$3,$H$5,$M$7,$R$15,$W$16,$AB$17,$AG$22,$AL$23,$AQ$28)*0.5)^(B29/30)</f>
        <v>0.47721869751620505</v>
      </c>
      <c r="E29">
        <f t="shared" ref="E29:E35" si="36">D29/SUM(D29,I29,N29,S29,X29,AC29,AH29,AM29,AR29)</f>
        <v>7.1616525296005304E-2</v>
      </c>
      <c r="F29" s="9">
        <v>44663</v>
      </c>
      <c r="G29" s="13">
        <f>F29-Polls!$B$3</f>
        <v>24</v>
      </c>
      <c r="H29">
        <v>54.325955734406442</v>
      </c>
      <c r="I29">
        <f t="shared" ref="I29:I35" si="37">($H$5/AVERAGE($H$5,$C$5,$M$7,$R$15,$W$16,$AB$17,$AG$22,$AL$23,$AQ$28)*0.5)^(G29/30)</f>
        <v>0.60602990328650408</v>
      </c>
      <c r="J29">
        <f t="shared" ref="J29:J35" si="38">I29/SUM(D29,I29,N29,S29,X29,AC29,AH29,AM29,AR29)</f>
        <v>9.09473080680787E-2</v>
      </c>
      <c r="K29" s="9">
        <v>44663</v>
      </c>
      <c r="L29" s="13">
        <f>K29-Polls!$B$4</f>
        <v>22</v>
      </c>
      <c r="M29">
        <v>44.891640866873061</v>
      </c>
      <c r="N29">
        <f t="shared" ref="N29:N35" si="39">($M$7/AVERAGE($M$7,$H$5,$C$5,$R$15,$W$16,$AB$17,$AG$22,$AL$23,$AQ$28)*0.5)^(L29/30)</f>
        <v>0.54937491619356849</v>
      </c>
      <c r="O29">
        <f t="shared" ref="O29:O35" si="40">N29/SUM(D29,I29,N29,S29,X29,AC29,AH29,AM29,AR29)</f>
        <v>8.2445056715807874E-2</v>
      </c>
      <c r="P29" s="9">
        <v>44663</v>
      </c>
      <c r="Q29" s="13">
        <f>P29-Polls!$B$5</f>
        <v>14</v>
      </c>
      <c r="R29">
        <v>44.891640866873061</v>
      </c>
      <c r="S29">
        <f t="shared" ref="S29:S35" si="41">($R$15/AVERAGE($M$7,$H$5,$C$5,$R$15,$W$16,$AB$17,$AG$22,$AL$23,$AQ$28)*0.5)^(Q29/30)</f>
        <v>0.68306491738469421</v>
      </c>
      <c r="T29">
        <f t="shared" ref="T29:T35" si="42">S29/SUM(D29,I29,N29,S29,X29,AC29,AH29,AM29,AR29)</f>
        <v>0.10250800354073214</v>
      </c>
      <c r="U29" s="9">
        <v>44663</v>
      </c>
      <c r="V29" s="13">
        <f>U29-Polls!$B$6</f>
        <v>13</v>
      </c>
      <c r="W29">
        <v>76.056338028169009</v>
      </c>
      <c r="X29">
        <f t="shared" ref="X29:X35" si="43">($W$16/AVERAGE($M$7,$H$5,$C$5,$R$15,$W$16,$AB$17,$AG$22,$AL$23,$AQ$28)*0.5)^(V29/30)</f>
        <v>0.88207685782309886</v>
      </c>
      <c r="Y29">
        <f t="shared" ref="Y29:Y35" si="44">X29/SUM(D29,I29,N29,S29,X29,AC29,AH29,AM29,AR29)</f>
        <v>0.1323738569550991</v>
      </c>
      <c r="Z29" s="9">
        <v>44663</v>
      </c>
      <c r="AA29" s="13">
        <f>Z29-Polls!$B$7</f>
        <v>12</v>
      </c>
      <c r="AB29">
        <v>52.121212121212118</v>
      </c>
      <c r="AC29" s="14">
        <f t="shared" ref="AC29:AC35" si="45">($AB$17/AVERAGE($M$7,$H$5,$C$5,$R$15,$W$16,$AB$17,$AG$22,$AL$23,$AQ$28)*0.5)^(AA29/30)</f>
        <v>0.76568454240123773</v>
      </c>
      <c r="AD29" s="14">
        <f t="shared" ref="AD29:AD35" si="46">AC29/SUM(D29,I29,N29,S29,X29,AC29,AH29,AM29,AR29)</f>
        <v>0.1149067852643733</v>
      </c>
      <c r="AE29" s="9">
        <v>44663</v>
      </c>
      <c r="AF29" s="13">
        <f>AE29-Polls!$B$8</f>
        <v>7</v>
      </c>
      <c r="AG29">
        <v>44.891640866873061</v>
      </c>
      <c r="AH29" s="15">
        <f t="shared" ref="AH29:AH35" si="47">($AB$17/AVERAGE($M$7,$H$5,$C$5,$R$15,$W$16,$AB$17,$AG$22,$AL$23,$AQ$28)*0.5)^(AF29/30)</f>
        <v>0.85578058566628201</v>
      </c>
      <c r="AI29" s="15">
        <f t="shared" ref="AI29:AI35" si="48">AH29/SUM(D29,I29,N29,S29,X29,AC29,AH29,AM29,AR29)</f>
        <v>0.12842755801519773</v>
      </c>
      <c r="AJ29" s="9">
        <v>44663</v>
      </c>
      <c r="AK29" s="13">
        <f>AJ29-Polls!$B$9</f>
        <v>6</v>
      </c>
      <c r="AL29">
        <v>51.856594110115239</v>
      </c>
      <c r="AM29" s="16">
        <f t="shared" ref="AM29:AM35" si="49">($AL$23/AVERAGE($M$7,$H$5,$C$5,$R$15,$W$16,$AB$17,$AL$23,$AQ$28)*0.5)^(AK29/30)</f>
        <v>0.87162410671267587</v>
      </c>
      <c r="AN29" s="16">
        <f t="shared" ref="AN29:AN35" si="50">AM29/SUM(D29,I29,N29,S29,X29,AC29,AH29,AM29,AR29)</f>
        <v>0.13080520568848136</v>
      </c>
      <c r="AO29" s="9">
        <v>44663</v>
      </c>
      <c r="AP29" s="13">
        <f>AO29-Polls!$B$10</f>
        <v>1</v>
      </c>
      <c r="AQ29">
        <v>44.891640866873061</v>
      </c>
      <c r="AR29" s="14">
        <f t="shared" ref="AR29:AR35" si="51">($AQ$28/AVERAGE($M$7,$H$5,$C$5,$R$15,$W$16,$AB$17,$AL$23,$AQ$28)*0.5)^(AP29/30)</f>
        <v>0.97267313710953796</v>
      </c>
      <c r="AS29" s="14">
        <f t="shared" ref="AS29:AS35" si="52">AR29/SUM(D29,I29,N29,S29,X29,AC29,AH29,AM29,AR29)</f>
        <v>0.14596970045622451</v>
      </c>
    </row>
    <row r="30" spans="1:45" x14ac:dyDescent="0.35">
      <c r="A30" s="9">
        <v>44664</v>
      </c>
      <c r="B30" s="13">
        <f>A30-Polls!$B$2</f>
        <v>27</v>
      </c>
      <c r="C30">
        <v>43.269230769230774</v>
      </c>
      <c r="D30">
        <f t="shared" si="35"/>
        <v>0.46383170355070891</v>
      </c>
      <c r="E30">
        <f t="shared" si="36"/>
        <v>7.1204699895502224E-2</v>
      </c>
      <c r="F30" s="9">
        <v>44664</v>
      </c>
      <c r="G30" s="13">
        <f>F30-Polls!$B$3</f>
        <v>25</v>
      </c>
      <c r="H30">
        <v>54.325955734406442</v>
      </c>
      <c r="I30">
        <f t="shared" si="37"/>
        <v>0.59351446275863085</v>
      </c>
      <c r="J30">
        <f t="shared" si="38"/>
        <v>9.1112830108104739E-2</v>
      </c>
      <c r="K30" s="9">
        <v>44664</v>
      </c>
      <c r="L30" s="13">
        <f>K30-Polls!$B$4</f>
        <v>23</v>
      </c>
      <c r="M30">
        <v>44.891640866873061</v>
      </c>
      <c r="N30">
        <f t="shared" si="39"/>
        <v>0.53461936028203083</v>
      </c>
      <c r="O30">
        <f t="shared" si="40"/>
        <v>8.2071602298409138E-2</v>
      </c>
      <c r="P30" s="9">
        <v>44664</v>
      </c>
      <c r="Q30" s="13">
        <f>P30-Polls!$B$5</f>
        <v>15</v>
      </c>
      <c r="R30">
        <v>44.891640866873061</v>
      </c>
      <c r="S30">
        <f t="shared" si="41"/>
        <v>0.66471860727371634</v>
      </c>
      <c r="T30">
        <f t="shared" si="42"/>
        <v>0.10204366925234694</v>
      </c>
      <c r="U30" s="9">
        <v>44664</v>
      </c>
      <c r="V30" s="13">
        <f>U30-Polls!$B$6</f>
        <v>14</v>
      </c>
      <c r="W30">
        <v>76.056338028169009</v>
      </c>
      <c r="X30">
        <f t="shared" si="43"/>
        <v>0.87360400193915433</v>
      </c>
      <c r="Y30">
        <f t="shared" si="44"/>
        <v>0.13411051963330625</v>
      </c>
      <c r="Z30" s="9">
        <v>44664</v>
      </c>
      <c r="AA30" s="13">
        <f>Z30-Polls!$B$7</f>
        <v>13</v>
      </c>
      <c r="AB30">
        <v>52.121212121212118</v>
      </c>
      <c r="AC30" s="14">
        <f t="shared" si="45"/>
        <v>0.74883712916676759</v>
      </c>
      <c r="AD30" s="14">
        <f t="shared" si="46"/>
        <v>0.1149570472323261</v>
      </c>
      <c r="AE30" s="9">
        <v>44664</v>
      </c>
      <c r="AF30" s="13">
        <f>AE30-Polls!$B$8</f>
        <v>8</v>
      </c>
      <c r="AG30">
        <v>44.891640866873061</v>
      </c>
      <c r="AH30" s="15">
        <f t="shared" si="47"/>
        <v>0.83695078257329802</v>
      </c>
      <c r="AI30" s="15">
        <f t="shared" si="48"/>
        <v>0.12848373417390205</v>
      </c>
      <c r="AJ30" s="9">
        <v>44664</v>
      </c>
      <c r="AK30" s="13">
        <f>AJ30-Polls!$B$9</f>
        <v>7</v>
      </c>
      <c r="AL30">
        <v>51.856594110115239</v>
      </c>
      <c r="AM30" s="16">
        <f t="shared" si="49"/>
        <v>0.85189114760381879</v>
      </c>
      <c r="AN30" s="16">
        <f t="shared" si="50"/>
        <v>0.13077729065178773</v>
      </c>
      <c r="AO30" s="9">
        <v>44664</v>
      </c>
      <c r="AP30" s="13">
        <f>AO30-Polls!$B$10</f>
        <v>2</v>
      </c>
      <c r="AQ30">
        <v>44.891640866873061</v>
      </c>
      <c r="AR30" s="14">
        <f t="shared" si="51"/>
        <v>0.94609303165451009</v>
      </c>
      <c r="AS30" s="14">
        <f t="shared" si="52"/>
        <v>0.14523860675431469</v>
      </c>
    </row>
    <row r="31" spans="1:45" x14ac:dyDescent="0.35">
      <c r="A31" s="9">
        <v>44665</v>
      </c>
      <c r="B31" s="13">
        <f>A31-Polls!$B$2</f>
        <v>28</v>
      </c>
      <c r="C31">
        <v>43.269230769230774</v>
      </c>
      <c r="D31">
        <f t="shared" si="35"/>
        <v>0.45082024308456004</v>
      </c>
      <c r="E31">
        <f t="shared" si="36"/>
        <v>7.0792909152079891E-2</v>
      </c>
      <c r="F31" s="9">
        <v>44665</v>
      </c>
      <c r="G31" s="13">
        <f>F31-Polls!$B$3</f>
        <v>26</v>
      </c>
      <c r="H31">
        <v>54.325955734406442</v>
      </c>
      <c r="I31">
        <f t="shared" si="37"/>
        <v>0.58125748513953035</v>
      </c>
      <c r="J31">
        <f t="shared" si="38"/>
        <v>9.1275644717956739E-2</v>
      </c>
      <c r="K31" s="9">
        <v>44665</v>
      </c>
      <c r="L31" s="13">
        <f>K31-Polls!$B$4</f>
        <v>24</v>
      </c>
      <c r="M31">
        <v>44.891640866873061</v>
      </c>
      <c r="N31">
        <f t="shared" si="39"/>
        <v>0.52026012102755326</v>
      </c>
      <c r="O31">
        <f t="shared" si="40"/>
        <v>8.1697146586306571E-2</v>
      </c>
      <c r="P31" s="9">
        <v>44665</v>
      </c>
      <c r="Q31" s="13">
        <f>P31-Polls!$B$5</f>
        <v>16</v>
      </c>
      <c r="R31">
        <v>44.891640866873061</v>
      </c>
      <c r="S31">
        <f t="shared" si="41"/>
        <v>0.64686505720079879</v>
      </c>
      <c r="T31">
        <f t="shared" si="42"/>
        <v>0.10157809000489285</v>
      </c>
      <c r="U31" s="9">
        <v>44665</v>
      </c>
      <c r="V31" s="13">
        <f>U31-Polls!$B$6</f>
        <v>15</v>
      </c>
      <c r="W31">
        <v>76.056338028169009</v>
      </c>
      <c r="X31">
        <f t="shared" si="43"/>
        <v>0.8652125327123853</v>
      </c>
      <c r="Y31">
        <f t="shared" si="44"/>
        <v>0.13586548777504662</v>
      </c>
      <c r="Z31" s="9">
        <v>44665</v>
      </c>
      <c r="AA31" s="13">
        <f>Z31-Polls!$B$7</f>
        <v>14</v>
      </c>
      <c r="AB31">
        <v>52.121212121212118</v>
      </c>
      <c r="AC31" s="14">
        <f t="shared" si="45"/>
        <v>0.73236041080332459</v>
      </c>
      <c r="AD31" s="14">
        <f t="shared" si="46"/>
        <v>0.1150035403775224</v>
      </c>
      <c r="AE31" s="9">
        <v>44665</v>
      </c>
      <c r="AF31" s="13">
        <f>AE31-Polls!$B$8</f>
        <v>9</v>
      </c>
      <c r="AG31">
        <v>44.891640866873061</v>
      </c>
      <c r="AH31" s="15">
        <f t="shared" si="47"/>
        <v>0.81853529302102679</v>
      </c>
      <c r="AI31" s="15">
        <f t="shared" si="48"/>
        <v>0.12853569804260023</v>
      </c>
      <c r="AJ31" s="9">
        <v>44665</v>
      </c>
      <c r="AK31" s="13">
        <f>AJ31-Polls!$B$9</f>
        <v>8</v>
      </c>
      <c r="AL31">
        <v>51.856594110115239</v>
      </c>
      <c r="AM31" s="16">
        <f t="shared" si="49"/>
        <v>0.83260492886411053</v>
      </c>
      <c r="AN31" s="16">
        <f t="shared" si="50"/>
        <v>0.13074507188355139</v>
      </c>
      <c r="AO31" s="9">
        <v>44665</v>
      </c>
      <c r="AP31" s="13">
        <f>AO31-Polls!$B$10</f>
        <v>3</v>
      </c>
      <c r="AQ31">
        <v>44.891640866873061</v>
      </c>
      <c r="AR31" s="14">
        <f t="shared" si="51"/>
        <v>0.9202392770968657</v>
      </c>
      <c r="AS31" s="14">
        <f t="shared" si="52"/>
        <v>0.14450641146004312</v>
      </c>
    </row>
    <row r="32" spans="1:45" x14ac:dyDescent="0.35">
      <c r="A32" s="9">
        <v>44666</v>
      </c>
      <c r="B32" s="13">
        <f>A32-Polls!$B$2</f>
        <v>29</v>
      </c>
      <c r="C32">
        <v>43.269230769230774</v>
      </c>
      <c r="D32">
        <f t="shared" si="35"/>
        <v>0.43817378160870474</v>
      </c>
      <c r="E32">
        <f t="shared" si="36"/>
        <v>7.0381162545836595E-2</v>
      </c>
      <c r="F32" s="9">
        <v>44666</v>
      </c>
      <c r="G32" s="13">
        <f>F32-Polls!$B$3</f>
        <v>27</v>
      </c>
      <c r="H32">
        <v>54.325955734406442</v>
      </c>
      <c r="I32">
        <f t="shared" si="37"/>
        <v>0.56925363277647978</v>
      </c>
      <c r="J32">
        <f t="shared" si="38"/>
        <v>9.1435713727910262E-2</v>
      </c>
      <c r="K32" s="9">
        <v>44666</v>
      </c>
      <c r="L32" s="13">
        <f>K32-Polls!$B$4</f>
        <v>25</v>
      </c>
      <c r="M32">
        <v>44.891640866873061</v>
      </c>
      <c r="N32">
        <f t="shared" si="39"/>
        <v>0.50628655383676335</v>
      </c>
      <c r="O32">
        <f t="shared" si="40"/>
        <v>8.1321698686612626E-2</v>
      </c>
      <c r="P32" s="9">
        <v>44666</v>
      </c>
      <c r="Q32" s="13">
        <f>P32-Polls!$B$5</f>
        <v>17</v>
      </c>
      <c r="R32">
        <v>44.891640866873061</v>
      </c>
      <c r="S32">
        <f t="shared" si="41"/>
        <v>0.62949103221822511</v>
      </c>
      <c r="T32">
        <f t="shared" si="42"/>
        <v>0.10111127712169168</v>
      </c>
      <c r="U32" s="9">
        <v>44666</v>
      </c>
      <c r="V32" s="13">
        <f>U32-Polls!$B$6</f>
        <v>16</v>
      </c>
      <c r="W32">
        <v>76.056338028169009</v>
      </c>
      <c r="X32">
        <f t="shared" si="43"/>
        <v>0.8569016683771089</v>
      </c>
      <c r="Y32">
        <f t="shared" si="44"/>
        <v>0.13763885047258553</v>
      </c>
      <c r="Z32" s="9">
        <v>44666</v>
      </c>
      <c r="AA32" s="13">
        <f>Z32-Polls!$B$7</f>
        <v>15</v>
      </c>
      <c r="AB32">
        <v>52.121212121212118</v>
      </c>
      <c r="AC32" s="14">
        <f t="shared" si="45"/>
        <v>0.71624623088443007</v>
      </c>
      <c r="AD32" s="14">
        <f t="shared" si="46"/>
        <v>0.11504623168835994</v>
      </c>
      <c r="AE32" s="9">
        <v>44666</v>
      </c>
      <c r="AF32" s="13">
        <f>AE32-Polls!$B$8</f>
        <v>10</v>
      </c>
      <c r="AG32">
        <v>44.891640866873061</v>
      </c>
      <c r="AH32" s="15">
        <f t="shared" si="47"/>
        <v>0.80052500083819589</v>
      </c>
      <c r="AI32" s="15">
        <f t="shared" si="48"/>
        <v>0.12858341272530341</v>
      </c>
      <c r="AJ32" s="9">
        <v>44666</v>
      </c>
      <c r="AK32" s="13">
        <f>AJ32-Polls!$B$9</f>
        <v>9</v>
      </c>
      <c r="AL32">
        <v>51.856594110115239</v>
      </c>
      <c r="AM32" s="16">
        <f t="shared" si="49"/>
        <v>0.81375533660458355</v>
      </c>
      <c r="AN32" s="16">
        <f t="shared" si="50"/>
        <v>0.13070852027667595</v>
      </c>
      <c r="AO32" s="9">
        <v>44666</v>
      </c>
      <c r="AP32" s="13">
        <f>AO32-Polls!$B$10</f>
        <v>4</v>
      </c>
      <c r="AQ32">
        <v>44.891640866873061</v>
      </c>
      <c r="AR32" s="14">
        <f t="shared" si="51"/>
        <v>0.89509202454522185</v>
      </c>
      <c r="AS32" s="14">
        <f t="shared" si="52"/>
        <v>0.14377313275502404</v>
      </c>
    </row>
    <row r="33" spans="1:45" x14ac:dyDescent="0.35">
      <c r="A33" s="9">
        <v>44667</v>
      </c>
      <c r="B33" s="13">
        <f>A33-Polls!$B$2</f>
        <v>30</v>
      </c>
      <c r="C33">
        <v>43.269230769230774</v>
      </c>
      <c r="D33">
        <f t="shared" si="35"/>
        <v>0.42588208012935275</v>
      </c>
      <c r="E33">
        <f t="shared" si="36"/>
        <v>6.9969469744963153E-2</v>
      </c>
      <c r="F33" s="9">
        <v>44667</v>
      </c>
      <c r="G33" s="13">
        <f>F33-Polls!$B$3</f>
        <v>28</v>
      </c>
      <c r="H33">
        <v>54.325955734406442</v>
      </c>
      <c r="I33">
        <f t="shared" si="37"/>
        <v>0.5574976782474147</v>
      </c>
      <c r="J33">
        <f t="shared" si="38"/>
        <v>9.1592998980309009E-2</v>
      </c>
      <c r="K33" s="9">
        <v>44667</v>
      </c>
      <c r="L33" s="13">
        <f>K33-Polls!$B$4</f>
        <v>26</v>
      </c>
      <c r="M33">
        <v>44.891640866873061</v>
      </c>
      <c r="N33">
        <f t="shared" si="39"/>
        <v>0.49268830001738828</v>
      </c>
      <c r="O33">
        <f t="shared" si="40"/>
        <v>8.0945267974866397E-2</v>
      </c>
      <c r="P33" s="9">
        <v>44667</v>
      </c>
      <c r="Q33" s="13">
        <f>P33-Polls!$B$5</f>
        <v>18</v>
      </c>
      <c r="R33">
        <v>44.891640866873061</v>
      </c>
      <c r="S33">
        <f t="shared" si="41"/>
        <v>0.61258365285321081</v>
      </c>
      <c r="T33">
        <f t="shared" si="42"/>
        <v>0.10064324225981348</v>
      </c>
      <c r="U33" s="9">
        <v>44667</v>
      </c>
      <c r="V33" s="13">
        <f>U33-Polls!$B$6</f>
        <v>17</v>
      </c>
      <c r="W33">
        <v>76.056338028169009</v>
      </c>
      <c r="X33">
        <f t="shared" si="43"/>
        <v>0.84867063467695159</v>
      </c>
      <c r="Y33">
        <f t="shared" si="44"/>
        <v>0.13943069470880742</v>
      </c>
      <c r="Z33" s="9">
        <v>44667</v>
      </c>
      <c r="AA33" s="13">
        <f>Z33-Polls!$B$7</f>
        <v>16</v>
      </c>
      <c r="AB33">
        <v>52.121212121212118</v>
      </c>
      <c r="AC33" s="14">
        <f t="shared" si="45"/>
        <v>0.70048661245005606</v>
      </c>
      <c r="AD33" s="14">
        <f t="shared" si="46"/>
        <v>0.11508508839275265</v>
      </c>
      <c r="AE33" s="9">
        <v>44667</v>
      </c>
      <c r="AF33" s="13">
        <f>AE33-Polls!$B$8</f>
        <v>11</v>
      </c>
      <c r="AG33">
        <v>44.891640866873061</v>
      </c>
      <c r="AH33" s="15">
        <f t="shared" si="47"/>
        <v>0.78291099043731949</v>
      </c>
      <c r="AI33" s="15">
        <f t="shared" si="48"/>
        <v>0.1286268415937222</v>
      </c>
      <c r="AJ33" s="9">
        <v>44667</v>
      </c>
      <c r="AK33" s="13">
        <f>AJ33-Polls!$B$9</f>
        <v>10</v>
      </c>
      <c r="AL33">
        <v>51.856594110115239</v>
      </c>
      <c r="AM33" s="16">
        <f t="shared" si="49"/>
        <v>0.79533248590763073</v>
      </c>
      <c r="AN33" s="16">
        <f t="shared" si="50"/>
        <v>0.13066760708268846</v>
      </c>
      <c r="AO33" s="9">
        <v>44667</v>
      </c>
      <c r="AP33" s="13">
        <f>AO33-Polls!$B$10</f>
        <v>5</v>
      </c>
      <c r="AQ33">
        <v>44.891640866873061</v>
      </c>
      <c r="AR33" s="14">
        <f t="shared" si="51"/>
        <v>0.87063196751612848</v>
      </c>
      <c r="AS33" s="14">
        <f t="shared" si="52"/>
        <v>0.14303878926207705</v>
      </c>
    </row>
    <row r="34" spans="1:45" x14ac:dyDescent="0.35">
      <c r="A34" s="9">
        <v>44668</v>
      </c>
      <c r="B34" s="13">
        <f>A34-Polls!$B$2</f>
        <v>31</v>
      </c>
      <c r="C34">
        <v>43.269230769230774</v>
      </c>
      <c r="D34">
        <f t="shared" si="35"/>
        <v>0.41393518687814895</v>
      </c>
      <c r="E34">
        <f t="shared" si="36"/>
        <v>6.9557840606976881E-2</v>
      </c>
      <c r="F34" s="9">
        <v>44668</v>
      </c>
      <c r="G34" s="13">
        <f>F34-Polls!$B$3</f>
        <v>29</v>
      </c>
      <c r="H34">
        <v>54.325955734406442</v>
      </c>
      <c r="I34">
        <f t="shared" si="37"/>
        <v>0.545984502084498</v>
      </c>
      <c r="J34">
        <f t="shared" si="38"/>
        <v>9.1747462341375374E-2</v>
      </c>
      <c r="K34" s="9">
        <v>44668</v>
      </c>
      <c r="L34" s="13">
        <f>K34-Polls!$B$4</f>
        <v>27</v>
      </c>
      <c r="M34">
        <v>44.891640866873061</v>
      </c>
      <c r="N34">
        <f t="shared" si="39"/>
        <v>0.4794552790992917</v>
      </c>
      <c r="O34">
        <f t="shared" si="40"/>
        <v>8.0567864097959435E-2</v>
      </c>
      <c r="P34" s="9">
        <v>44668</v>
      </c>
      <c r="Q34" s="13">
        <f>P34-Polls!$B$5</f>
        <v>19</v>
      </c>
      <c r="R34">
        <v>44.891640866873061</v>
      </c>
      <c r="S34">
        <f t="shared" si="41"/>
        <v>0.59613038556027043</v>
      </c>
      <c r="T34">
        <f t="shared" si="42"/>
        <v>0.10017399741371412</v>
      </c>
      <c r="U34" s="9">
        <v>44668</v>
      </c>
      <c r="V34" s="13">
        <f>U34-Polls!$B$6</f>
        <v>18</v>
      </c>
      <c r="W34">
        <v>76.056338028169009</v>
      </c>
      <c r="X34">
        <f t="shared" si="43"/>
        <v>0.84051866479271764</v>
      </c>
      <c r="Y34">
        <f t="shared" si="44"/>
        <v>0.14124110528939224</v>
      </c>
      <c r="Z34" s="9">
        <v>44668</v>
      </c>
      <c r="AA34" s="13">
        <f>Z34-Polls!$B$7</f>
        <v>17</v>
      </c>
      <c r="AB34">
        <v>52.121212121212118</v>
      </c>
      <c r="AC34" s="14">
        <f t="shared" si="45"/>
        <v>0.68507375405781223</v>
      </c>
      <c r="AD34" s="14">
        <f t="shared" si="46"/>
        <v>0.11512007797202341</v>
      </c>
      <c r="AE34" s="9">
        <v>44668</v>
      </c>
      <c r="AF34" s="13">
        <f>AE34-Polls!$B$8</f>
        <v>12</v>
      </c>
      <c r="AG34">
        <v>44.891640866873061</v>
      </c>
      <c r="AH34" s="15">
        <f t="shared" si="47"/>
        <v>0.76568454240123773</v>
      </c>
      <c r="AI34" s="15">
        <f t="shared" si="48"/>
        <v>0.1286659483027941</v>
      </c>
      <c r="AJ34" s="9">
        <v>44668</v>
      </c>
      <c r="AK34" s="13">
        <f>AJ34-Polls!$B$9</f>
        <v>11</v>
      </c>
      <c r="AL34">
        <v>51.856594110115239</v>
      </c>
      <c r="AM34" s="16">
        <f t="shared" si="49"/>
        <v>0.77732671564325417</v>
      </c>
      <c r="AN34" s="16">
        <f t="shared" si="50"/>
        <v>0.13062230392647142</v>
      </c>
      <c r="AO34" s="9">
        <v>44668</v>
      </c>
      <c r="AP34" s="13">
        <f>AO34-Polls!$B$10</f>
        <v>6</v>
      </c>
      <c r="AQ34">
        <v>44.891640866873061</v>
      </c>
      <c r="AR34" s="14">
        <f t="shared" si="51"/>
        <v>0.84684032711176205</v>
      </c>
      <c r="AS34" s="14">
        <f t="shared" si="52"/>
        <v>0.14230340004929304</v>
      </c>
    </row>
    <row r="35" spans="1:45" x14ac:dyDescent="0.35">
      <c r="A35" s="9">
        <v>44669</v>
      </c>
      <c r="B35" s="13">
        <f>A35-Polls!$B$2</f>
        <v>32</v>
      </c>
      <c r="C35">
        <v>43.269230769230774</v>
      </c>
      <c r="D35">
        <f t="shared" si="35"/>
        <v>0.40232342925489251</v>
      </c>
      <c r="E35">
        <f t="shared" si="36"/>
        <v>6.9621830844388846E-2</v>
      </c>
      <c r="F35" s="9">
        <v>44669</v>
      </c>
      <c r="G35" s="13">
        <f>F35-Polls!$B$3</f>
        <v>30</v>
      </c>
      <c r="H35">
        <v>54.325955734406442</v>
      </c>
      <c r="I35">
        <f t="shared" si="37"/>
        <v>0.53470909054470039</v>
      </c>
      <c r="J35">
        <f t="shared" si="38"/>
        <v>9.2531091022478459E-2</v>
      </c>
      <c r="K35" s="9">
        <v>44669</v>
      </c>
      <c r="L35" s="13">
        <f>K35-Polls!$B$4</f>
        <v>28</v>
      </c>
      <c r="M35">
        <v>44.891640866873061</v>
      </c>
      <c r="N35">
        <f t="shared" si="39"/>
        <v>0.46657768136175909</v>
      </c>
      <c r="O35">
        <f t="shared" si="40"/>
        <v>8.0740991067053361E-2</v>
      </c>
      <c r="P35" s="9">
        <v>44669</v>
      </c>
      <c r="Q35" s="13">
        <f>P35-Polls!$B$5</f>
        <v>20</v>
      </c>
      <c r="R35">
        <v>44.891640866873061</v>
      </c>
      <c r="S35">
        <f t="shared" si="41"/>
        <v>0.5801190334300218</v>
      </c>
      <c r="T35">
        <f t="shared" si="42"/>
        <v>0.10038925470951598</v>
      </c>
      <c r="U35" s="9">
        <v>44669</v>
      </c>
      <c r="V35" s="13">
        <f>U35-Polls!$B$6</f>
        <v>19</v>
      </c>
      <c r="W35">
        <v>76.056338028169009</v>
      </c>
      <c r="X35">
        <f t="shared" si="43"/>
        <v>0.8324449992709515</v>
      </c>
      <c r="Y35">
        <f t="shared" si="44"/>
        <v>0.14405411346248312</v>
      </c>
      <c r="Z35" s="9">
        <v>44669</v>
      </c>
      <c r="AA35" s="13">
        <f>Z35-Polls!$B$7</f>
        <v>18</v>
      </c>
      <c r="AB35">
        <v>52.121212121212118</v>
      </c>
      <c r="AC35" s="14">
        <f t="shared" si="45"/>
        <v>0.67000002592101815</v>
      </c>
      <c r="AD35" s="14">
        <f t="shared" si="46"/>
        <v>0.11594310715833614</v>
      </c>
      <c r="AE35" s="9">
        <v>44669</v>
      </c>
      <c r="AF35" s="13">
        <f>AE35-Polls!$B$8</f>
        <v>13</v>
      </c>
      <c r="AG35">
        <v>44.891640866873061</v>
      </c>
      <c r="AH35" s="15">
        <f>($AG$22/AVERAGE($M$7,$H$5,$C$5,$R$15,$W$16,$AB$17,$AG$22,$AL$23,$AQ$28)*0.5)^(AF35/30)</f>
        <v>0.7019175877675301</v>
      </c>
      <c r="AI35" s="15">
        <f t="shared" si="48"/>
        <v>0.12146642230793764</v>
      </c>
      <c r="AJ35" s="9">
        <v>44669</v>
      </c>
      <c r="AK35" s="13">
        <f>AJ35-Polls!$B$9</f>
        <v>12</v>
      </c>
      <c r="AL35">
        <v>51.856594110115239</v>
      </c>
      <c r="AM35" s="16">
        <f>($AL$23/AVERAGE($M$7,$H$5,$C$5,$R$15,$W$16,$AB$17,$AL$23,$AG$22,$AQ$28)*0.5)^(AK35/30)</f>
        <v>0.76412722360147745</v>
      </c>
      <c r="AN35" s="16">
        <f t="shared" si="50"/>
        <v>0.13223176289708366</v>
      </c>
      <c r="AO35" s="9">
        <v>44669</v>
      </c>
      <c r="AP35" s="13">
        <f>AO35-Polls!$B$10</f>
        <v>7</v>
      </c>
      <c r="AQ35">
        <v>44.891640866873061</v>
      </c>
      <c r="AR35" s="14">
        <f>($AQ$28/AVERAGE($M$7,$H$5,$C$5,$R$15,$W$16,$AB$17,$AL$23,$AG$22,$AQ$28)*0.5)^(AP35/30)</f>
        <v>0.82647741492716797</v>
      </c>
      <c r="AS35" s="14">
        <f t="shared" si="52"/>
        <v>0.14302142653072281</v>
      </c>
    </row>
  </sheetData>
  <mergeCells count="9">
    <mergeCell ref="A1:E1"/>
    <mergeCell ref="F1:J1"/>
    <mergeCell ref="K1:O1"/>
    <mergeCell ref="P1:T1"/>
    <mergeCell ref="U1:Y1"/>
    <mergeCell ref="Z1:AD1"/>
    <mergeCell ref="AE1:AI1"/>
    <mergeCell ref="AJ1:AN1"/>
    <mergeCell ref="AO1:A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2F54-1838-484D-AEC5-61A8CB9E7C85}">
  <dimension ref="A1:R34"/>
  <sheetViews>
    <sheetView topLeftCell="A25" workbookViewId="0">
      <selection activeCell="C46" sqref="C46"/>
    </sheetView>
  </sheetViews>
  <sheetFormatPr defaultRowHeight="14.5" x14ac:dyDescent="0.35"/>
  <cols>
    <col min="1" max="1" width="10.08984375" bestFit="1" customWidth="1"/>
    <col min="2" max="2" width="3.81640625" bestFit="1" customWidth="1"/>
    <col min="3" max="3" width="13.1796875" bestFit="1" customWidth="1"/>
    <col min="4" max="4" width="12.90625" bestFit="1" customWidth="1"/>
    <col min="5" max="5" width="13.26953125" bestFit="1" customWidth="1"/>
    <col min="6" max="6" width="17.6328125" bestFit="1" customWidth="1"/>
    <col min="7" max="7" width="15.90625" bestFit="1" customWidth="1"/>
    <col min="8" max="8" width="14.08984375" bestFit="1" customWidth="1"/>
    <col min="9" max="9" width="14.1796875" bestFit="1" customWidth="1"/>
    <col min="10" max="10" width="9.54296875" bestFit="1" customWidth="1"/>
    <col min="11" max="11" width="6.36328125" bestFit="1" customWidth="1"/>
    <col min="12" max="12" width="5.26953125" bestFit="1" customWidth="1"/>
    <col min="13" max="13" width="8.90625" bestFit="1" customWidth="1"/>
    <col min="14" max="14" width="5" bestFit="1" customWidth="1"/>
  </cols>
  <sheetData>
    <row r="1" spans="1:18" x14ac:dyDescent="0.35">
      <c r="A1" t="s">
        <v>1</v>
      </c>
      <c r="B1" t="s">
        <v>52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49</v>
      </c>
      <c r="J1" s="8" t="s">
        <v>48</v>
      </c>
      <c r="K1" s="8" t="s">
        <v>4</v>
      </c>
      <c r="L1" s="8" t="s">
        <v>5</v>
      </c>
      <c r="M1" s="8" t="s">
        <v>6</v>
      </c>
    </row>
    <row r="2" spans="1:18" x14ac:dyDescent="0.35">
      <c r="A2" s="9">
        <v>44637</v>
      </c>
      <c r="B2">
        <v>1</v>
      </c>
      <c r="C2">
        <f>SUMPRODUCT(Polls!G$2,TSPollsWeight!$E3)</f>
        <v>0.37</v>
      </c>
      <c r="D2">
        <f>SUMPRODUCT(Polls!H$2,TSPollsWeight!$E3)</f>
        <v>0.19</v>
      </c>
      <c r="E2">
        <f>SUMPRODUCT(Polls!I$2,TSPollsWeight!$E3)</f>
        <v>0.1</v>
      </c>
      <c r="F2">
        <f>SUMPRODUCT(Polls!J$2,TSPollsWeight!$E3)</f>
        <v>0.11</v>
      </c>
      <c r="G2">
        <f>SUMPRODUCT(Polls!K$2,TSPollsWeight!$E3)</f>
        <v>0.02</v>
      </c>
      <c r="H2">
        <f>SUMPRODUCT(Polls!L$2,TSPollsWeight!$E3)</f>
        <v>0</v>
      </c>
      <c r="I2">
        <f>SUMPRODUCT(Polls!M$2,TSPollsWeight!$E3)</f>
        <v>3.0000000000000001E-3</v>
      </c>
      <c r="J2">
        <f>SUMPRODUCT(Polls!N$2,TSPollsWeight!$E3)</f>
        <v>2E-3</v>
      </c>
      <c r="K2">
        <f>SUMPRODUCT(Polls!O$2,TSPollsWeight!$E3)</f>
        <v>0.16</v>
      </c>
      <c r="L2">
        <f>SUMPRODUCT(Polls!P$2,TSPollsWeight!$E3)</f>
        <v>0</v>
      </c>
      <c r="M2">
        <f>SUMPRODUCT(Polls!Q$2,TSPollsWeight!$E3)</f>
        <v>0.05</v>
      </c>
      <c r="Q2" s="6"/>
      <c r="R2" s="6"/>
    </row>
    <row r="3" spans="1:18" x14ac:dyDescent="0.35">
      <c r="A3" s="9">
        <v>44638</v>
      </c>
      <c r="B3">
        <v>0</v>
      </c>
      <c r="C3">
        <f>SUMPRODUCT(Polls!G$2,TSPollsWeight!$E4)</f>
        <v>0.37</v>
      </c>
      <c r="D3">
        <f>SUMPRODUCT(Polls!H$2,TSPollsWeight!$E4)</f>
        <v>0.19</v>
      </c>
      <c r="E3">
        <f>SUMPRODUCT(Polls!I$2,TSPollsWeight!$E4)</f>
        <v>0.1</v>
      </c>
      <c r="F3">
        <f>SUMPRODUCT(Polls!J$2,TSPollsWeight!$E4)</f>
        <v>0.11</v>
      </c>
      <c r="G3">
        <f>SUMPRODUCT(Polls!K$2,TSPollsWeight!$E4)</f>
        <v>0.02</v>
      </c>
      <c r="H3">
        <f>SUMPRODUCT(Polls!L$2,TSPollsWeight!$E4)</f>
        <v>0</v>
      </c>
      <c r="I3">
        <f>SUMPRODUCT(Polls!M$2,TSPollsWeight!$E4)</f>
        <v>3.0000000000000001E-3</v>
      </c>
      <c r="J3">
        <f>SUMPRODUCT(Polls!N$2,TSPollsWeight!$E4)</f>
        <v>2E-3</v>
      </c>
      <c r="K3">
        <f>SUMPRODUCT(Polls!O$2,TSPollsWeight!$E4)</f>
        <v>0.16</v>
      </c>
      <c r="L3">
        <f>SUMPRODUCT(Polls!P$2,TSPollsWeight!$E4)</f>
        <v>0</v>
      </c>
      <c r="M3">
        <f>SUMPRODUCT(Polls!Q$2,TSPollsWeight!$E4)</f>
        <v>0.05</v>
      </c>
      <c r="Q3" s="6"/>
      <c r="R3" s="6"/>
    </row>
    <row r="4" spans="1:18" x14ac:dyDescent="0.35">
      <c r="A4" s="9">
        <v>44639</v>
      </c>
      <c r="B4">
        <v>1</v>
      </c>
      <c r="C4">
        <f>Polls!G$2*TSPollsWeight!$E5+Polls!G$3*TSPollsWeight!$J5</f>
        <v>0.34432234404454592</v>
      </c>
      <c r="D4">
        <f>Polls!H$2*TSPollsWeight!$E5+Polls!H$3*TSPollsWeight!$J5</f>
        <v>0.21054212476436326</v>
      </c>
      <c r="E4">
        <f>Polls!I$2*TSPollsWeight!$E5+Polls!I$3*TSPollsWeight!$J5</f>
        <v>0.1</v>
      </c>
      <c r="F4">
        <f>Polls!J$2*TSPollsWeight!$E5+Polls!J$3*TSPollsWeight!$J5</f>
        <v>0.10486446880890918</v>
      </c>
      <c r="G4">
        <f>Polls!K$2*TSPollsWeight!$E5+Polls!K$3*TSPollsWeight!$J5</f>
        <v>2.5135531191090812E-2</v>
      </c>
      <c r="H4">
        <f>Polls!L$2*TSPollsWeight!$E5+Polls!L$3*TSPollsWeight!$J5</f>
        <v>5.1355311910908146E-3</v>
      </c>
      <c r="I4">
        <f>Polls!M$2*TSPollsWeight!$E5+Polls!M$3*TSPollsWeight!$J5</f>
        <v>6.5948718337635708E-3</v>
      </c>
      <c r="J4">
        <f>Polls!N$2*TSPollsWeight!$E5+Polls!N$3*TSPollsWeight!$J5</f>
        <v>9.7289376178183711E-4</v>
      </c>
      <c r="K4">
        <f>Polls!O$2*TSPollsWeight!$E5+Polls!O$3*TSPollsWeight!$J5</f>
        <v>0.10350915689800104</v>
      </c>
      <c r="L4">
        <f>Polls!P$2*TSPollsWeight!$E5+Polls!P$3*TSPollsWeight!$J5</f>
        <v>1.0271062382181629E-2</v>
      </c>
      <c r="M4">
        <f>Polls!Q$2*TSPollsWeight!$E5+Polls!Q$3*TSPollsWeight!$J5</f>
        <v>9.1084249528726513E-2</v>
      </c>
      <c r="O4" s="8"/>
      <c r="P4" s="6"/>
      <c r="Q4" s="6"/>
      <c r="R4" s="6"/>
    </row>
    <row r="5" spans="1:18" x14ac:dyDescent="0.35">
      <c r="A5" s="9">
        <v>44640</v>
      </c>
      <c r="B5">
        <v>0</v>
      </c>
      <c r="C5">
        <f>Polls!G$2*TSPollsWeight!$E6+Polls!G$3*TSPollsWeight!$J6</f>
        <v>0.34422760709542366</v>
      </c>
      <c r="D5">
        <f>Polls!H$2*TSPollsWeight!$E6+Polls!H$3*TSPollsWeight!$J6</f>
        <v>0.21061791432366106</v>
      </c>
      <c r="E5">
        <f>Polls!I$2*TSPollsWeight!$E6+Polls!I$3*TSPollsWeight!$J6</f>
        <v>0.1</v>
      </c>
      <c r="F5">
        <f>Polls!J$2*TSPollsWeight!$E6+Polls!J$3*TSPollsWeight!$J6</f>
        <v>0.10484552141908474</v>
      </c>
      <c r="G5">
        <f>Polls!K$2*TSPollsWeight!$E6+Polls!K$3*TSPollsWeight!$J6</f>
        <v>2.5154478580915261E-2</v>
      </c>
      <c r="H5">
        <f>Polls!L$2*TSPollsWeight!$E6+Polls!L$3*TSPollsWeight!$J6</f>
        <v>5.1544785809152626E-3</v>
      </c>
      <c r="I5">
        <f>Polls!M$2*TSPollsWeight!$E6+Polls!M$3*TSPollsWeight!$J6</f>
        <v>6.6081350066406839E-3</v>
      </c>
      <c r="J5">
        <f>Polls!N$2*TSPollsWeight!$E6+Polls!N$3*TSPollsWeight!$J6</f>
        <v>9.6910428381694741E-4</v>
      </c>
      <c r="K5">
        <f>Polls!O$2*TSPollsWeight!$E6+Polls!O$3*TSPollsWeight!$J6</f>
        <v>0.10330073560993211</v>
      </c>
      <c r="L5">
        <f>Polls!P$2*TSPollsWeight!$E6+Polls!P$3*TSPollsWeight!$J6</f>
        <v>1.0308957161830525E-2</v>
      </c>
      <c r="M5">
        <f>Polls!Q$2*TSPollsWeight!$E6+Polls!Q$3*TSPollsWeight!$J6</f>
        <v>9.1235828647322104E-2</v>
      </c>
      <c r="O5" s="8"/>
      <c r="P5" s="6"/>
      <c r="Q5" s="6"/>
      <c r="R5" s="6"/>
    </row>
    <row r="6" spans="1:18" x14ac:dyDescent="0.35">
      <c r="A6" s="9">
        <v>44641</v>
      </c>
      <c r="B6">
        <v>1</v>
      </c>
      <c r="C6">
        <f>Polls!G$2*TSPollsWeight!$E7+Polls!G$3*TSPollsWeight!$J7+Polls!G$4*TSPollsWeight!$O7</f>
        <v>0.34095856828567678</v>
      </c>
      <c r="D6">
        <f>Polls!H$2*TSPollsWeight!$E7+Polls!H$3*TSPollsWeight!$J7+Polls!H$4*TSPollsWeight!$O7</f>
        <v>0.2142806692120986</v>
      </c>
      <c r="E6">
        <f>Polls!I$2*TSPollsWeight!$E7+Polls!I$3*TSPollsWeight!$J7+Polls!I$4*TSPollsWeight!$O7</f>
        <v>0.1</v>
      </c>
      <c r="F6">
        <f>Polls!J$2*TSPollsWeight!$E7+Polls!J$3*TSPollsWeight!$J7+Polls!J$4*TSPollsWeight!$O7</f>
        <v>9.9303269067482089E-2</v>
      </c>
      <c r="G6">
        <f>Polls!K$2*TSPollsWeight!$E7+Polls!K$3*TSPollsWeight!$J7+Polls!K$4*TSPollsWeight!$O7</f>
        <v>2.4760762502224663E-2</v>
      </c>
      <c r="H6">
        <f>Polls!L$2*TSPollsWeight!$E7+Polls!L$3*TSPollsWeight!$J7+Polls!L$4*TSPollsWeight!$O7</f>
        <v>6.8558101835046337E-3</v>
      </c>
      <c r="I6">
        <f>Polls!M$2*TSPollsWeight!$E7+Polls!M$3*TSPollsWeight!$J7+Polls!M$4*TSPollsWeight!$O7</f>
        <v>4.3073209929866277E-3</v>
      </c>
      <c r="J6">
        <f>Polls!N$2*TSPollsWeight!$E7+Polls!N$3*TSPollsWeight!$J7+Polls!N$4*TSPollsWeight!$O7</f>
        <v>6.2883796329907336E-4</v>
      </c>
      <c r="K6">
        <f>Polls!O$2*TSPollsWeight!$E7+Polls!O$3*TSPollsWeight!$J7+Polls!O$4*TSPollsWeight!$O7</f>
        <v>0.14394577228438149</v>
      </c>
      <c r="L6">
        <f>Polls!P$2*TSPollsWeight!$E7+Polls!P$3*TSPollsWeight!$J7+Polls!P$4*TSPollsWeight!$O7</f>
        <v>6.7281280960760359E-3</v>
      </c>
      <c r="M6">
        <f>Polls!Q$2*TSPollsWeight!$E7+Polls!Q$3*TSPollsWeight!$J7+Polls!Q$4*TSPollsWeight!$O7</f>
        <v>5.9453781706971069E-2</v>
      </c>
      <c r="O6" s="8"/>
      <c r="P6" s="6"/>
      <c r="Q6" s="6"/>
      <c r="R6" s="6"/>
    </row>
    <row r="7" spans="1:18" x14ac:dyDescent="0.35">
      <c r="A7" s="9">
        <v>44642</v>
      </c>
      <c r="B7">
        <v>0</v>
      </c>
      <c r="C7">
        <f>Polls!G$2*TSPollsWeight!$E8+Polls!G$3*TSPollsWeight!$J8+Polls!G$4*TSPollsWeight!$O8</f>
        <v>0.34090249696388886</v>
      </c>
      <c r="D7">
        <f>Polls!H$2*TSPollsWeight!$E8+Polls!H$3*TSPollsWeight!$J8+Polls!H$4*TSPollsWeight!$O8</f>
        <v>0.21432368560491583</v>
      </c>
      <c r="E7">
        <f>Polls!I$2*TSPollsWeight!$E8+Polls!I$3*TSPollsWeight!$J8+Polls!I$4*TSPollsWeight!$O8</f>
        <v>0.1</v>
      </c>
      <c r="F7">
        <f>Polls!J$2*TSPollsWeight!$E8+Polls!J$3*TSPollsWeight!$J8+Polls!J$4*TSPollsWeight!$O8</f>
        <v>9.9300644571319083E-2</v>
      </c>
      <c r="G7">
        <f>Polls!K$2*TSPollsWeight!$E8+Polls!K$3*TSPollsWeight!$J8+Polls!K$4*TSPollsWeight!$O8</f>
        <v>2.4773817431195375E-2</v>
      </c>
      <c r="H7">
        <f>Polls!L$2*TSPollsWeight!$E8+Polls!L$3*TSPollsWeight!$J8+Polls!L$4*TSPollsWeight!$O8</f>
        <v>6.8651837832490971E-3</v>
      </c>
      <c r="I7">
        <f>Polls!M$2*TSPollsWeight!$E8+Polls!M$3*TSPollsWeight!$J8+Polls!M$4*TSPollsWeight!$O8</f>
        <v>4.3200180615181613E-3</v>
      </c>
      <c r="J7">
        <f>Polls!N$2*TSPollsWeight!$E8+Polls!N$3*TSPollsWeight!$J8+Polls!N$4*TSPollsWeight!$O8</f>
        <v>6.2696324335018074E-4</v>
      </c>
      <c r="K7">
        <f>Polls!O$2*TSPollsWeight!$E8+Polls!O$3*TSPollsWeight!$J8+Polls!O$4*TSPollsWeight!$O8</f>
        <v>0.14373835835911547</v>
      </c>
      <c r="L7">
        <f>Polls!P$2*TSPollsWeight!$E8+Polls!P$3*TSPollsWeight!$J8+Polls!P$4*TSPollsWeight!$O8</f>
        <v>6.7591463929857799E-3</v>
      </c>
      <c r="M7">
        <f>Polls!Q$2*TSPollsWeight!$E8+Polls!Q$3*TSPollsWeight!$J8+Polls!Q$4*TSPollsWeight!$O8</f>
        <v>5.9608532638162084E-2</v>
      </c>
      <c r="O7" s="8"/>
      <c r="P7" s="6"/>
      <c r="Q7" s="6"/>
      <c r="R7" s="6"/>
    </row>
    <row r="8" spans="1:18" x14ac:dyDescent="0.35">
      <c r="A8" s="9">
        <v>44643</v>
      </c>
      <c r="B8">
        <v>0</v>
      </c>
      <c r="C8">
        <f>Polls!G$2*TSPollsWeight!$E9+Polls!G$3*TSPollsWeight!$J9+Polls!G$4*TSPollsWeight!$O9</f>
        <v>0.34084635175559358</v>
      </c>
      <c r="D8">
        <f>Polls!H$2*TSPollsWeight!$E9+Polls!H$3*TSPollsWeight!$J9+Polls!H$4*TSPollsWeight!$O9</f>
        <v>0.21436675283540041</v>
      </c>
      <c r="E8">
        <f>Polls!I$2*TSPollsWeight!$E9+Polls!I$3*TSPollsWeight!$J9+Polls!I$4*TSPollsWeight!$O9</f>
        <v>0.1</v>
      </c>
      <c r="F8">
        <f>Polls!J$2*TSPollsWeight!$E9+Polls!J$3*TSPollsWeight!$J9+Polls!J$4*TSPollsWeight!$O9</f>
        <v>9.9298043898367411E-2</v>
      </c>
      <c r="G8">
        <f>Polls!K$2*TSPollsWeight!$E9+Polls!K$3*TSPollsWeight!$J9+Polls!K$4*TSPollsWeight!$O9</f>
        <v>2.4786895409006006E-2</v>
      </c>
      <c r="H8">
        <f>Polls!L$2*TSPollsWeight!$E9+Polls!L$3*TSPollsWeight!$J9+Polls!L$4*TSPollsWeight!$O9</f>
        <v>6.8745638887565633E-3</v>
      </c>
      <c r="I8">
        <f>Polls!M$2*TSPollsWeight!$E9+Polls!M$3*TSPollsWeight!$J9+Polls!M$4*TSPollsWeight!$O9</f>
        <v>4.3327472558786651E-3</v>
      </c>
      <c r="J8">
        <f>Polls!N$2*TSPollsWeight!$E9+Polls!N$3*TSPollsWeight!$J9+Polls!N$4*TSPollsWeight!$O9</f>
        <v>6.2508722224868731E-4</v>
      </c>
      <c r="K8">
        <f>Polls!O$2*TSPollsWeight!$E9+Polls!O$3*TSPollsWeight!$J9+Polls!O$4*TSPollsWeight!$O9</f>
        <v>0.14353040414994361</v>
      </c>
      <c r="L8">
        <f>Polls!P$2*TSPollsWeight!$E9+Polls!P$3*TSPollsWeight!$J9+Polls!P$4*TSPollsWeight!$O9</f>
        <v>6.7902328450112686E-3</v>
      </c>
      <c r="M8">
        <f>Polls!Q$2*TSPollsWeight!$E9+Polls!Q$3*TSPollsWeight!$J9+Polls!Q$4*TSPollsWeight!$O9</f>
        <v>5.9763694048790422E-2</v>
      </c>
      <c r="O8" s="8"/>
      <c r="P8" s="6"/>
      <c r="Q8" s="6"/>
      <c r="R8" s="6"/>
    </row>
    <row r="9" spans="1:18" x14ac:dyDescent="0.35">
      <c r="A9" s="9">
        <v>44644</v>
      </c>
      <c r="B9">
        <v>0</v>
      </c>
      <c r="C9">
        <f>Polls!G$2*TSPollsWeight!$E10+Polls!G$3*TSPollsWeight!$J10+Polls!G$4*TSPollsWeight!$O10</f>
        <v>0.34079013360211952</v>
      </c>
      <c r="D9">
        <f>Polls!H$2*TSPollsWeight!$E10+Polls!H$3*TSPollsWeight!$J10+Polls!H$4*TSPollsWeight!$O10</f>
        <v>0.21440987018252708</v>
      </c>
      <c r="E9">
        <f>Polls!I$2*TSPollsWeight!$E10+Polls!I$3*TSPollsWeight!$J10+Polls!I$4*TSPollsWeight!$O10</f>
        <v>0.1</v>
      </c>
      <c r="F9">
        <f>Polls!J$2*TSPollsWeight!$E10+Polls!J$3*TSPollsWeight!$J10+Polls!J$4*TSPollsWeight!$O10</f>
        <v>9.9295467087384848E-2</v>
      </c>
      <c r="G9">
        <f>Polls!K$2*TSPollsWeight!$E10+Polls!K$3*TSPollsWeight!$J10+Polls!K$4*TSPollsWeight!$O10</f>
        <v>2.4799996215353448E-2</v>
      </c>
      <c r="H9">
        <f>Polls!L$2*TSPollsWeight!$E10+Polls!L$3*TSPollsWeight!$J10+Polls!L$4*TSPollsWeight!$O10</f>
        <v>6.8839503437987566E-3</v>
      </c>
      <c r="I9">
        <f>Polls!M$2*TSPollsWeight!$E10+Polls!M$3*TSPollsWeight!$J10+Polls!M$4*TSPollsWeight!$O10</f>
        <v>4.3455083599169466E-3</v>
      </c>
      <c r="J9">
        <f>Polls!N$2*TSPollsWeight!$E10+Polls!N$3*TSPollsWeight!$J10+Polls!N$4*TSPollsWeight!$O10</f>
        <v>6.2320993124024876E-4</v>
      </c>
      <c r="K9">
        <f>Polls!O$2*TSPollsWeight!$E10+Polls!O$3*TSPollsWeight!$J10+Polls!O$4*TSPollsWeight!$O10</f>
        <v>0.14332191319083082</v>
      </c>
      <c r="L9">
        <f>Polls!P$2*TSPollsWeight!$E10+Polls!P$3*TSPollsWeight!$J10+Polls!P$4*TSPollsWeight!$O10</f>
        <v>6.8213869261131467E-3</v>
      </c>
      <c r="M9">
        <f>Polls!Q$2*TSPollsWeight!$E10+Polls!Q$3*TSPollsWeight!$J10+Polls!Q$4*TSPollsWeight!$O10</f>
        <v>5.9919263300741668E-2</v>
      </c>
      <c r="O9" s="8"/>
      <c r="P9" s="6"/>
      <c r="Q9" s="6"/>
      <c r="R9" s="6"/>
    </row>
    <row r="10" spans="1:18" x14ac:dyDescent="0.35">
      <c r="A10" s="9">
        <v>44645</v>
      </c>
      <c r="B10">
        <v>0</v>
      </c>
      <c r="C10">
        <f>Polls!G$2*TSPollsWeight!$E11+Polls!G$3*TSPollsWeight!$J11+Polls!G$4*TSPollsWeight!$O11</f>
        <v>0.34073384345223323</v>
      </c>
      <c r="D10">
        <f>Polls!H$2*TSPollsWeight!$E11+Polls!H$3*TSPollsWeight!$J11+Polls!H$4*TSPollsWeight!$O11</f>
        <v>0.2144530369198549</v>
      </c>
      <c r="E10">
        <f>Polls!I$2*TSPollsWeight!$E11+Polls!I$3*TSPollsWeight!$J11+Polls!I$4*TSPollsWeight!$O11</f>
        <v>0.1</v>
      </c>
      <c r="F10">
        <f>Polls!J$2*TSPollsWeight!$E11+Polls!J$3*TSPollsWeight!$J11+Polls!J$4*TSPollsWeight!$O11</f>
        <v>9.9292914176119781E-2</v>
      </c>
      <c r="G10">
        <f>Polls!K$2*TSPollsWeight!$E11+Polls!K$3*TSPollsWeight!$J11+Polls!K$4*TSPollsWeight!$O11</f>
        <v>2.4813119627911884E-2</v>
      </c>
      <c r="H10">
        <f>Polls!L$2*TSPollsWeight!$E11+Polls!L$3*TSPollsWeight!$J11+Polls!L$4*TSPollsWeight!$O11</f>
        <v>6.893342991194827E-3</v>
      </c>
      <c r="I10">
        <f>Polls!M$2*TSPollsWeight!$E11+Polls!M$3*TSPollsWeight!$J11+Polls!M$4*TSPollsWeight!$O11</f>
        <v>4.3583011550314688E-3</v>
      </c>
      <c r="J10">
        <f>Polls!N$2*TSPollsWeight!$E11+Polls!N$3*TSPollsWeight!$J11+Polls!N$4*TSPollsWeight!$O11</f>
        <v>6.2133140176103463E-4</v>
      </c>
      <c r="K10">
        <f>Polls!O$2*TSPollsWeight!$E11+Polls!O$3*TSPollsWeight!$J11+Polls!O$4*TSPollsWeight!$O11</f>
        <v>0.14311288905654038</v>
      </c>
      <c r="L10">
        <f>Polls!P$2*TSPollsWeight!$E11+Polls!P$3*TSPollsWeight!$J11+Polls!P$4*TSPollsWeight!$O11</f>
        <v>6.8526081047798337E-3</v>
      </c>
      <c r="M10">
        <f>Polls!Q$2*TSPollsWeight!$E11+Polls!Q$3*TSPollsWeight!$J11+Polls!Q$4*TSPollsWeight!$O11</f>
        <v>6.0075237725094786E-2</v>
      </c>
    </row>
    <row r="11" spans="1:18" x14ac:dyDescent="0.35">
      <c r="A11" s="9">
        <v>44646</v>
      </c>
      <c r="B11">
        <v>0</v>
      </c>
      <c r="C11">
        <f>Polls!G$2*TSPollsWeight!$E12+Polls!G$3*TSPollsWeight!$J12+Polls!G$4*TSPollsWeight!$O12</f>
        <v>0.3406774822620845</v>
      </c>
      <c r="D11">
        <f>Polls!H$2*TSPollsWeight!$E12+Polls!H$3*TSPollsWeight!$J12+Polls!H$4*TSPollsWeight!$O12</f>
        <v>0.2144962523155709</v>
      </c>
      <c r="E11">
        <f>Polls!I$2*TSPollsWeight!$E12+Polls!I$3*TSPollsWeight!$J12+Polls!I$4*TSPollsWeight!$O12</f>
        <v>0.1</v>
      </c>
      <c r="F11">
        <f>Polls!J$2*TSPollsWeight!$E12+Polls!J$3*TSPollsWeight!$J12+Polls!J$4*TSPollsWeight!$O12</f>
        <v>9.9290385201303857E-2</v>
      </c>
      <c r="G11">
        <f>Polls!K$2*TSPollsWeight!$E12+Polls!K$3*TSPollsWeight!$J12+Polls!K$4*TSPollsWeight!$O12</f>
        <v>2.4826265422344587E-2</v>
      </c>
      <c r="H11">
        <f>Polls!L$2*TSPollsWeight!$E12+Polls!L$3*TSPollsWeight!$J12+Polls!L$4*TSPollsWeight!$O12</f>
        <v>6.9027416728216062E-3</v>
      </c>
      <c r="I11">
        <f>Polls!M$2*TSPollsWeight!$E12+Polls!M$3*TSPollsWeight!$J12+Polls!M$4*TSPollsWeight!$O12</f>
        <v>4.3711254201800895E-3</v>
      </c>
      <c r="J11">
        <f>Polls!N$2*TSPollsWeight!$E12+Polls!N$3*TSPollsWeight!$J12+Polls!N$4*TSPollsWeight!$O12</f>
        <v>6.1945166543567892E-4</v>
      </c>
      <c r="K11">
        <f>Polls!O$2*TSPollsWeight!$E12+Polls!O$3*TSPollsWeight!$J12+Polls!O$4*TSPollsWeight!$O12</f>
        <v>0.14290333536247793</v>
      </c>
      <c r="L11">
        <f>Polls!P$2*TSPollsWeight!$E12+Polls!P$3*TSPollsWeight!$J12+Polls!P$4*TSPollsWeight!$O12</f>
        <v>6.8838958440531426E-3</v>
      </c>
      <c r="M11">
        <f>Polls!Q$2*TSPollsWeight!$E12+Polls!Q$3*TSPollsWeight!$J12+Polls!Q$4*TSPollsWeight!$O12</f>
        <v>6.0231614622237403E-2</v>
      </c>
    </row>
    <row r="12" spans="1:18" x14ac:dyDescent="0.35">
      <c r="A12" s="9">
        <v>44647</v>
      </c>
      <c r="B12">
        <v>0</v>
      </c>
      <c r="C12">
        <f>Polls!G$2*TSPollsWeight!$E13+Polls!G$3*TSPollsWeight!$J13+Polls!G$4*TSPollsWeight!$O13</f>
        <v>0.34062105099514983</v>
      </c>
      <c r="D12">
        <f>Polls!H$2*TSPollsWeight!$E13+Polls!H$3*TSPollsWeight!$J13+Polls!H$4*TSPollsWeight!$O13</f>
        <v>0.21453951563253421</v>
      </c>
      <c r="E12">
        <f>Polls!I$2*TSPollsWeight!$E13+Polls!I$3*TSPollsWeight!$J13+Polls!I$4*TSPollsWeight!$O13</f>
        <v>0.1</v>
      </c>
      <c r="F12">
        <f>Polls!J$2*TSPollsWeight!$E13+Polls!J$3*TSPollsWeight!$J13+Polls!J$4*TSPollsWeight!$O13</f>
        <v>9.9287880198644637E-2</v>
      </c>
      <c r="G12">
        <f>Polls!K$2*TSPollsWeight!$E13+Polls!K$3*TSPollsWeight!$J13+Polls!K$4*TSPollsWeight!$O13</f>
        <v>2.4839433372316051E-2</v>
      </c>
      <c r="H12">
        <f>Polls!L$2*TSPollsWeight!$E13+Polls!L$3*TSPollsWeight!$J13+Polls!L$4*TSPollsWeight!$O13</f>
        <v>6.9121462296240464E-3</v>
      </c>
      <c r="I12">
        <f>Polls!M$2*TSPollsWeight!$E13+Polls!M$3*TSPollsWeight!$J13+Polls!M$4*TSPollsWeight!$O13</f>
        <v>4.3839809318901727E-3</v>
      </c>
      <c r="J12">
        <f>Polls!N$2*TSPollsWeight!$E13+Polls!N$3*TSPollsWeight!$J13+Polls!N$4*TSPollsWeight!$O13</f>
        <v>6.1757075407519086E-4</v>
      </c>
      <c r="K12">
        <f>Polls!O$2*TSPollsWeight!$E13+Polls!O$3*TSPollsWeight!$J13+Polls!O$4*TSPollsWeight!$O13</f>
        <v>0.14269325576452874</v>
      </c>
      <c r="L12">
        <f>Polls!P$2*TSPollsWeight!$E13+Polls!P$3*TSPollsWeight!$J13+Polls!P$4*TSPollsWeight!$O13</f>
        <v>6.9152496015547731E-3</v>
      </c>
      <c r="M12">
        <f>Polls!Q$2*TSPollsWeight!$E13+Polls!Q$3*TSPollsWeight!$J13+Polls!Q$4*TSPollsWeight!$O13</f>
        <v>6.0388391261985794E-2</v>
      </c>
    </row>
    <row r="13" spans="1:18" x14ac:dyDescent="0.35">
      <c r="A13" s="9">
        <v>44648</v>
      </c>
      <c r="B13">
        <v>0</v>
      </c>
      <c r="C13">
        <f>Polls!G$2*TSPollsWeight!$E14+Polls!G$3*TSPollsWeight!$J14+Polls!G$4*TSPollsWeight!$O14</f>
        <v>0.34056455062217428</v>
      </c>
      <c r="D13">
        <f>Polls!H$2*TSPollsWeight!$E14+Polls!H$3*TSPollsWeight!$J14+Polls!H$4*TSPollsWeight!$O14</f>
        <v>0.2145828261283213</v>
      </c>
      <c r="E13">
        <f>Polls!I$2*TSPollsWeight!$E14+Polls!I$3*TSPollsWeight!$J14+Polls!I$4*TSPollsWeight!$O14</f>
        <v>9.9999999999999992E-2</v>
      </c>
      <c r="F13">
        <f>Polls!J$2*TSPollsWeight!$E14+Polls!J$3*TSPollsWeight!$J14+Polls!J$4*TSPollsWeight!$O14</f>
        <v>9.9285399202818245E-2</v>
      </c>
      <c r="G13">
        <f>Polls!K$2*TSPollsWeight!$E14+Polls!K$3*TSPollsWeight!$J14+Polls!K$4*TSPollsWeight!$O14</f>
        <v>2.4852623249504449E-2</v>
      </c>
      <c r="H13">
        <f>Polls!L$2*TSPollsWeight!$E14+Polls!L$3*TSPollsWeight!$J14+Polls!L$4*TSPollsWeight!$O14</f>
        <v>6.9215565016258447E-3</v>
      </c>
      <c r="I13">
        <f>Polls!M$2*TSPollsWeight!$E14+Polls!M$3*TSPollsWeight!$J14+Polls!M$4*TSPollsWeight!$O14</f>
        <v>4.3968674642690976E-3</v>
      </c>
      <c r="J13">
        <f>Polls!N$2*TSPollsWeight!$E14+Polls!N$3*TSPollsWeight!$J14+Polls!N$4*TSPollsWeight!$O14</f>
        <v>6.1568869967483096E-4</v>
      </c>
      <c r="K13">
        <f>Polls!O$2*TSPollsWeight!$E14+Polls!O$3*TSPollsWeight!$J14+Polls!O$4*TSPollsWeight!$O14</f>
        <v>0.14248265395888859</v>
      </c>
      <c r="L13">
        <f>Polls!P$2*TSPollsWeight!$E14+Polls!P$3*TSPollsWeight!$J14+Polls!P$4*TSPollsWeight!$O14</f>
        <v>6.946668829513703E-3</v>
      </c>
      <c r="M13">
        <f>Polls!Q$2*TSPollsWeight!$E14+Polls!Q$3*TSPollsWeight!$J14+Polls!Q$4*TSPollsWeight!$O14</f>
        <v>6.0545564883709838E-2</v>
      </c>
    </row>
    <row r="14" spans="1:18" x14ac:dyDescent="0.35">
      <c r="A14" s="9">
        <v>44649</v>
      </c>
      <c r="B14">
        <v>1</v>
      </c>
      <c r="C14">
        <f>Polls!G$2*TSPollsWeight!$E15+Polls!G$3*TSPollsWeight!$J15+Polls!G$4*TSPollsWeight!$O15+Polls!G$5*TSPollsWeight!$T15</f>
        <v>0.335645337558728</v>
      </c>
      <c r="D14">
        <f>Polls!H$2*TSPollsWeight!$E15+Polls!H$3*TSPollsWeight!$J15+Polls!H$4*TSPollsWeight!$O15+Polls!H$5*TSPollsWeight!$T15</f>
        <v>0.23272473423397666</v>
      </c>
      <c r="E14">
        <f>Polls!I$2*TSPollsWeight!$E15+Polls!I$3*TSPollsWeight!$J15+Polls!I$4*TSPollsWeight!$O15+Polls!I$5*TSPollsWeight!$T15</f>
        <v>0.10678485103764812</v>
      </c>
      <c r="F14">
        <f>Polls!J$2*TSPollsWeight!$E15+Polls!J$3*TSPollsWeight!$J15+Polls!J$4*TSPollsWeight!$O15+Polls!J$5*TSPollsWeight!$T15</f>
        <v>9.8023931398820402E-2</v>
      </c>
      <c r="G14">
        <f>Polls!K$2*TSPollsWeight!$E15+Polls!K$3*TSPollsWeight!$J15+Polls!K$4*TSPollsWeight!$O15+Polls!K$5*TSPollsWeight!$T15</f>
        <v>2.519963028259169E-2</v>
      </c>
      <c r="H14">
        <f>Polls!L$2*TSPollsWeight!$E15+Polls!L$3*TSPollsWeight!$J15+Polls!L$4*TSPollsWeight!$O15+Polls!L$5*TSPollsWeight!$T15</f>
        <v>8.4242372845667358E-3</v>
      </c>
      <c r="I14">
        <f>Polls!M$2*TSPollsWeight!$E15+Polls!M$3*TSPollsWeight!$J15+Polls!M$4*TSPollsWeight!$O15+Polls!M$5*TSPollsWeight!$T15</f>
        <v>3.1096301631785639E-3</v>
      </c>
      <c r="J14">
        <f>Polls!N$2*TSPollsWeight!$E15+Polls!N$3*TSPollsWeight!$J15+Polls!N$4*TSPollsWeight!$O15+Polls!N$5*TSPollsWeight!$T15</f>
        <v>4.3314995243705535E-4</v>
      </c>
      <c r="K14">
        <f>Polls!O$2*TSPollsWeight!$E15+Polls!O$3*TSPollsWeight!$J15+Polls!O$4*TSPollsWeight!$O15+Polls!O$5*TSPollsWeight!$T15</f>
        <v>0.14276760466342131</v>
      </c>
      <c r="L14">
        <f>Polls!P$2*TSPollsWeight!$E15+Polls!P$3*TSPollsWeight!$J15+Polls!P$4*TSPollsWeight!$O15+Polls!P$5*TSPollsWeight!$T15</f>
        <v>4.9198104690459619E-3</v>
      </c>
      <c r="M14">
        <f>Polls!Q$2*TSPollsWeight!$E15+Polls!Q$3*TSPollsWeight!$J15+Polls!Q$4*TSPollsWeight!$O15+Polls!Q$5*TSPollsWeight!$T15</f>
        <v>4.2807516859725142E-2</v>
      </c>
    </row>
    <row r="15" spans="1:18" x14ac:dyDescent="0.35">
      <c r="A15" s="9">
        <v>44650</v>
      </c>
      <c r="B15">
        <v>1</v>
      </c>
      <c r="C15">
        <f>Polls!G$2*TSPollsWeight!$E16+Polls!G$3*TSPollsWeight!$J16+Polls!G$4*TSPollsWeight!$O16+Polls!G$5*TSPollsWeight!$T16+Polls!G$6*TSPollsWeight!$Y16</f>
        <v>0.342444046594514</v>
      </c>
      <c r="D15">
        <f>Polls!H$2*TSPollsWeight!$E16+Polls!H$3*TSPollsWeight!$J16+Polls!H$4*TSPollsWeight!$O16+Polls!H$5*TSPollsWeight!$T16+Polls!H$6*TSPollsWeight!$Y16</f>
        <v>0.23606676209786906</v>
      </c>
      <c r="E15">
        <f>Polls!I$2*TSPollsWeight!$E16+Polls!I$3*TSPollsWeight!$J16+Polls!I$4*TSPollsWeight!$O16+Polls!I$5*TSPollsWeight!$T16+Polls!I$6*TSPollsWeight!$Y16</f>
        <v>0.10150935977196776</v>
      </c>
      <c r="F15">
        <f>Polls!J$2*TSPollsWeight!$E16+Polls!J$3*TSPollsWeight!$J16+Polls!J$4*TSPollsWeight!$O16+Polls!J$5*TSPollsWeight!$T16+Polls!J$6*TSPollsWeight!$Y16</f>
        <v>9.8438215422910008E-2</v>
      </c>
      <c r="G15">
        <f>Polls!K$2*TSPollsWeight!$E16+Polls!K$3*TSPollsWeight!$J16+Polls!K$4*TSPollsWeight!$O16+Polls!K$5*TSPollsWeight!$T16+Polls!K$6*TSPollsWeight!$Y16</f>
        <v>2.2795849377793449E-2</v>
      </c>
      <c r="H15">
        <f>Polls!L$2*TSPollsWeight!$E16+Polls!L$3*TSPollsWeight!$J16+Polls!L$4*TSPollsWeight!$O16+Polls!L$5*TSPollsWeight!$T16+Polls!L$6*TSPollsWeight!$Y16</f>
        <v>8.6092050982702565E-3</v>
      </c>
      <c r="I15">
        <f>Polls!M$2*TSPollsWeight!$E16+Polls!M$3*TSPollsWeight!$J16+Polls!M$4*TSPollsWeight!$O16+Polls!M$5*TSPollsWeight!$T16+Polls!M$6*TSPollsWeight!$Y16</f>
        <v>3.5348584647937717E-3</v>
      </c>
      <c r="J15">
        <f>Polls!N$2*TSPollsWeight!$E16+Polls!N$3*TSPollsWeight!$J16+Polls!N$4*TSPollsWeight!$O16+Polls!N$5*TSPollsWeight!$T16+Polls!N$6*TSPollsWeight!$Y16</f>
        <v>1.0355132031773817E-3</v>
      </c>
      <c r="K15">
        <f>Polls!O$2*TSPollsWeight!$E16+Polls!O$3*TSPollsWeight!$J16+Polls!O$4*TSPollsWeight!$O16+Polls!O$5*TSPollsWeight!$T16+Polls!O$6*TSPollsWeight!$Y16</f>
        <v>0.12808434351048786</v>
      </c>
      <c r="L15">
        <f>Polls!P$2*TSPollsWeight!$E16+Polls!P$3*TSPollsWeight!$J16+Polls!P$4*TSPollsWeight!$O16+Polls!P$5*TSPollsWeight!$T16+Polls!P$6*TSPollsWeight!$Y16</f>
        <v>1.0375831088997037E-2</v>
      </c>
      <c r="M15">
        <f>Polls!Q$2*TSPollsWeight!$E16+Polls!Q$3*TSPollsWeight!$J16+Polls!Q$4*TSPollsWeight!$O16+Polls!Q$5*TSPollsWeight!$T16+Polls!Q$6*TSPollsWeight!$Y16</f>
        <v>4.701712160444789E-2</v>
      </c>
    </row>
    <row r="16" spans="1:18" x14ac:dyDescent="0.35">
      <c r="A16" s="9">
        <v>44651</v>
      </c>
      <c r="B16">
        <v>1</v>
      </c>
      <c r="C16">
        <f>Polls!G$2*TSPollsWeight!$E17+Polls!G$3*TSPollsWeight!$J17+Polls!G$4*TSPollsWeight!$O17+Polls!G$5*TSPollsWeight!$T17+Polls!G$6*TSPollsWeight!$Y17+Polls!G$7*TSPollsWeight!$AD17</f>
        <v>0.34201630578067815</v>
      </c>
      <c r="D16">
        <f>Polls!H$2*TSPollsWeight!$E17+Polls!H$3*TSPollsWeight!$J17+Polls!H$4*TSPollsWeight!$O17+Polls!H$5*TSPollsWeight!$T17+Polls!H$6*TSPollsWeight!$Y17+Polls!H$7*TSPollsWeight!$AD17</f>
        <v>0.23881622428081911</v>
      </c>
      <c r="E16">
        <f>Polls!I$2*TSPollsWeight!$E17+Polls!I$3*TSPollsWeight!$J17+Polls!I$4*TSPollsWeight!$O17+Polls!I$5*TSPollsWeight!$T17+Polls!I$6*TSPollsWeight!$Y17+Polls!I$7*TSPollsWeight!$AD17</f>
        <v>0.1001764830502381</v>
      </c>
      <c r="F16">
        <f>Polls!J$2*TSPollsWeight!$E17+Polls!J$3*TSPollsWeight!$J17+Polls!J$4*TSPollsWeight!$O17+Polls!J$5*TSPollsWeight!$T17+Polls!J$6*TSPollsWeight!$Y17+Polls!J$7*TSPollsWeight!$AD17</f>
        <v>9.7380544589028145E-2</v>
      </c>
      <c r="G16">
        <f>Polls!K$2*TSPollsWeight!$E17+Polls!K$3*TSPollsWeight!$J17+Polls!K$4*TSPollsWeight!$O17+Polls!K$5*TSPollsWeight!$T17+Polls!K$6*TSPollsWeight!$Y17+Polls!K$7*TSPollsWeight!$AD17</f>
        <v>2.3403815197632325E-2</v>
      </c>
      <c r="H16">
        <f>Polls!L$2*TSPollsWeight!$E17+Polls!L$3*TSPollsWeight!$J17+Polls!L$4*TSPollsWeight!$O17+Polls!L$5*TSPollsWeight!$T17+Polls!L$6*TSPollsWeight!$Y17+Polls!L$7*TSPollsWeight!$AD17</f>
        <v>6.9296211574280736E-3</v>
      </c>
      <c r="I16">
        <f>Polls!M$2*TSPollsWeight!$E17+Polls!M$3*TSPollsWeight!$J17+Polls!M$4*TSPollsWeight!$O17+Polls!M$5*TSPollsWeight!$T17+Polls!M$6*TSPollsWeight!$Y17+Polls!M$7*TSPollsWeight!$AD17</f>
        <v>5.9830934538741285E-3</v>
      </c>
      <c r="J16">
        <f>Polls!N$2*TSPollsWeight!$E17+Polls!N$3*TSPollsWeight!$J17+Polls!N$4*TSPollsWeight!$O17+Polls!N$5*TSPollsWeight!$T17+Polls!N$6*TSPollsWeight!$Y17+Polls!N$7*TSPollsWeight!$AD17</f>
        <v>1.4249318540184228E-3</v>
      </c>
      <c r="K16">
        <f>Polls!O$2*TSPollsWeight!$E17+Polls!O$3*TSPollsWeight!$J17+Polls!O$4*TSPollsWeight!$O17+Polls!O$5*TSPollsWeight!$T17+Polls!O$6*TSPollsWeight!$Y17+Polls!O$7*TSPollsWeight!$AD17</f>
        <v>0.12294565519283152</v>
      </c>
      <c r="L16">
        <f>Polls!P$2*TSPollsWeight!$E17+Polls!P$3*TSPollsWeight!$J17+Polls!P$4*TSPollsWeight!$O17+Polls!P$5*TSPollsWeight!$T17+Polls!P$6*TSPollsWeight!$Y17+Polls!P$7*TSPollsWeight!$AD17</f>
        <v>8.4166075516962646E-3</v>
      </c>
      <c r="M16">
        <f>Polls!Q$2*TSPollsWeight!$E17+Polls!Q$3*TSPollsWeight!$J17+Polls!Q$4*TSPollsWeight!$O17+Polls!Q$5*TSPollsWeight!$T17+Polls!Q$6*TSPollsWeight!$Y17+Polls!Q$7*TSPollsWeight!$AD17</f>
        <v>5.2425120483339541E-2</v>
      </c>
    </row>
    <row r="17" spans="1:13" x14ac:dyDescent="0.35">
      <c r="A17" s="9">
        <v>44652</v>
      </c>
      <c r="B17">
        <v>0</v>
      </c>
      <c r="C17">
        <f>Polls!G$2*TSPollsWeight!$E18+Polls!G$3*TSPollsWeight!$J18+Polls!G$4*TSPollsWeight!$O18+Polls!G$5*TSPollsWeight!$T18+Polls!G$6*TSPollsWeight!$Y18+Polls!G$7*TSPollsWeight!$AD18</f>
        <v>0.34206736745709321</v>
      </c>
      <c r="D17">
        <f>Polls!H$2*TSPollsWeight!$E18+Polls!H$3*TSPollsWeight!$J18+Polls!H$4*TSPollsWeight!$O18+Polls!H$5*TSPollsWeight!$T18+Polls!H$6*TSPollsWeight!$Y18+Polls!H$7*TSPollsWeight!$AD18</f>
        <v>0.23884746371160501</v>
      </c>
      <c r="E17">
        <f>Polls!I$2*TSPollsWeight!$E18+Polls!I$3*TSPollsWeight!$J18+Polls!I$4*TSPollsWeight!$O18+Polls!I$5*TSPollsWeight!$T18+Polls!I$6*TSPollsWeight!$Y18+Polls!I$7*TSPollsWeight!$AD18</f>
        <v>0.10011614303622765</v>
      </c>
      <c r="F17">
        <f>Polls!J$2*TSPollsWeight!$E18+Polls!J$3*TSPollsWeight!$J18+Polls!J$4*TSPollsWeight!$O18+Polls!J$5*TSPollsWeight!$T18+Polls!J$6*TSPollsWeight!$Y18+Polls!J$7*TSPollsWeight!$AD18</f>
        <v>9.7385735016244562E-2</v>
      </c>
      <c r="G17">
        <f>Polls!K$2*TSPollsWeight!$E18+Polls!K$3*TSPollsWeight!$J18+Polls!K$4*TSPollsWeight!$O18+Polls!K$5*TSPollsWeight!$T18+Polls!K$6*TSPollsWeight!$Y18+Polls!K$7*TSPollsWeight!$AD18</f>
        <v>2.3384488306768682E-2</v>
      </c>
      <c r="H17">
        <f>Polls!L$2*TSPollsWeight!$E18+Polls!L$3*TSPollsWeight!$J18+Polls!L$4*TSPollsWeight!$O18+Polls!L$5*TSPollsWeight!$T18+Polls!L$6*TSPollsWeight!$Y18+Polls!L$7*TSPollsWeight!$AD18</f>
        <v>6.9339745247799798E-3</v>
      </c>
      <c r="I17">
        <f>Polls!M$2*TSPollsWeight!$E18+Polls!M$3*TSPollsWeight!$J18+Polls!M$4*TSPollsWeight!$O18+Polls!M$5*TSPollsWeight!$T18+Polls!M$6*TSPollsWeight!$Y18+Polls!M$7*TSPollsWeight!$AD18</f>
        <v>5.9937562270191659E-3</v>
      </c>
      <c r="J17">
        <f>Polls!N$2*TSPollsWeight!$E18+Polls!N$3*TSPollsWeight!$J18+Polls!N$4*TSPollsWeight!$O18+Polls!N$5*TSPollsWeight!$T18+Polls!N$6*TSPollsWeight!$Y18+Polls!N$7*TSPollsWeight!$AD18</f>
        <v>1.4303850090521778E-3</v>
      </c>
      <c r="K17">
        <f>Polls!O$2*TSPollsWeight!$E18+Polls!O$3*TSPollsWeight!$J18+Polls!O$4*TSPollsWeight!$O18+Polls!O$5*TSPollsWeight!$T18+Polls!O$6*TSPollsWeight!$Y18+Polls!O$7*TSPollsWeight!$AD18</f>
        <v>0.12270791641578929</v>
      </c>
      <c r="L17">
        <f>Polls!P$2*TSPollsWeight!$E18+Polls!P$3*TSPollsWeight!$J18+Polls!P$4*TSPollsWeight!$O18+Polls!P$5*TSPollsWeight!$T18+Polls!P$6*TSPollsWeight!$Y18+Polls!P$7*TSPollsWeight!$AD18</f>
        <v>8.4875952501990287E-3</v>
      </c>
      <c r="M17">
        <f>Polls!Q$2*TSPollsWeight!$E18+Polls!Q$3*TSPollsWeight!$J18+Polls!Q$4*TSPollsWeight!$O18+Polls!Q$5*TSPollsWeight!$T18+Polls!Q$6*TSPollsWeight!$Y18+Polls!Q$7*TSPollsWeight!$AD18</f>
        <v>5.2552979524470494E-2</v>
      </c>
    </row>
    <row r="18" spans="1:13" x14ac:dyDescent="0.35">
      <c r="A18" s="9">
        <v>44653</v>
      </c>
      <c r="B18">
        <v>0</v>
      </c>
      <c r="C18">
        <f>Polls!G$2*TSPollsWeight!$E19+Polls!G$3*TSPollsWeight!$J19+Polls!G$4*TSPollsWeight!$O19+Polls!G$5*TSPollsWeight!$T19+Polls!G$6*TSPollsWeight!$Y19+Polls!G$7*TSPollsWeight!$AD19</f>
        <v>0.34211914127916987</v>
      </c>
      <c r="D18">
        <f>Polls!H$2*TSPollsWeight!$E19+Polls!H$3*TSPollsWeight!$J19+Polls!H$4*TSPollsWeight!$O19+Polls!H$5*TSPollsWeight!$T19+Polls!H$6*TSPollsWeight!$Y19+Polls!H$7*TSPollsWeight!$AD19</f>
        <v>0.23887874019312114</v>
      </c>
      <c r="E18">
        <f>Polls!I$2*TSPollsWeight!$E19+Polls!I$3*TSPollsWeight!$J19+Polls!I$4*TSPollsWeight!$O19+Polls!I$5*TSPollsWeight!$T19+Polls!I$6*TSPollsWeight!$Y19+Polls!I$7*TSPollsWeight!$AD19</f>
        <v>0.10005543383731033</v>
      </c>
      <c r="F18">
        <f>Polls!J$2*TSPollsWeight!$E19+Polls!J$3*TSPollsWeight!$J19+Polls!J$4*TSPollsWeight!$O19+Polls!J$5*TSPollsWeight!$T19+Polls!J$6*TSPollsWeight!$Y19+Polls!J$7*TSPollsWeight!$AD19</f>
        <v>9.7391025987690907E-2</v>
      </c>
      <c r="G18">
        <f>Polls!K$2*TSPollsWeight!$E19+Polls!K$3*TSPollsWeight!$J19+Polls!K$4*TSPollsWeight!$O19+Polls!K$5*TSPollsWeight!$T19+Polls!K$6*TSPollsWeight!$Y19+Polls!K$7*TSPollsWeight!$AD19</f>
        <v>2.3364909360256213E-2</v>
      </c>
      <c r="H18">
        <f>Polls!L$2*TSPollsWeight!$E19+Polls!L$3*TSPollsWeight!$J19+Polls!L$4*TSPollsWeight!$O19+Polls!L$5*TSPollsWeight!$T19+Polls!L$6*TSPollsWeight!$Y19+Polls!L$7*TSPollsWeight!$AD19</f>
        <v>6.9383908343274752E-3</v>
      </c>
      <c r="I18">
        <f>Polls!M$2*TSPollsWeight!$E19+Polls!M$3*TSPollsWeight!$J19+Polls!M$4*TSPollsWeight!$O19+Polls!M$5*TSPollsWeight!$T19+Polls!M$6*TSPollsWeight!$Y19+Polls!M$7*TSPollsWeight!$AD19</f>
        <v>6.0043204837263216E-3</v>
      </c>
      <c r="J18">
        <f>Polls!N$2*TSPollsWeight!$E19+Polls!N$3*TSPollsWeight!$J19+Polls!N$4*TSPollsWeight!$O19+Polls!N$5*TSPollsWeight!$T19+Polls!N$6*TSPollsWeight!$Y19+Polls!N$7*TSPollsWeight!$AD19</f>
        <v>1.4358750680967518E-3</v>
      </c>
      <c r="K18">
        <f>Polls!O$2*TSPollsWeight!$E19+Polls!O$3*TSPollsWeight!$J19+Polls!O$4*TSPollsWeight!$O19+Polls!O$5*TSPollsWeight!$T19+Polls!O$6*TSPollsWeight!$Y19+Polls!O$7*TSPollsWeight!$AD19</f>
        <v>0.12246960665560232</v>
      </c>
      <c r="L18">
        <f>Polls!P$2*TSPollsWeight!$E19+Polls!P$3*TSPollsWeight!$J19+Polls!P$4*TSPollsWeight!$O19+Polls!P$5*TSPollsWeight!$T19+Polls!P$6*TSPollsWeight!$Y19+Polls!P$7*TSPollsWeight!$AD19</f>
        <v>8.5590477251341994E-3</v>
      </c>
      <c r="M18">
        <f>Polls!Q$2*TSPollsWeight!$E19+Polls!Q$3*TSPollsWeight!$J19+Polls!Q$4*TSPollsWeight!$O19+Polls!Q$5*TSPollsWeight!$T19+Polls!Q$6*TSPollsWeight!$Y19+Polls!Q$7*TSPollsWeight!$AD19</f>
        <v>5.2680651892100264E-2</v>
      </c>
    </row>
    <row r="19" spans="1:13" x14ac:dyDescent="0.35">
      <c r="A19" s="9">
        <v>44654</v>
      </c>
      <c r="B19">
        <v>0</v>
      </c>
      <c r="C19">
        <f>Polls!G$2*TSPollsWeight!$E20+Polls!G$3*TSPollsWeight!$J20+Polls!G$4*TSPollsWeight!$O20+Polls!G$5*TSPollsWeight!$T20+Polls!G$6*TSPollsWeight!$Y20+Polls!G$7*TSPollsWeight!$AD20</f>
        <v>0.34217162846160409</v>
      </c>
      <c r="D19">
        <f>Polls!H$2*TSPollsWeight!$E20+Polls!H$3*TSPollsWeight!$J20+Polls!H$4*TSPollsWeight!$O20+Polls!H$5*TSPollsWeight!$T20+Polls!H$6*TSPollsWeight!$Y20+Polls!H$7*TSPollsWeight!$AD20</f>
        <v>0.23891005289782352</v>
      </c>
      <c r="E19">
        <f>Polls!I$2*TSPollsWeight!$E20+Polls!I$3*TSPollsWeight!$J20+Polls!I$4*TSPollsWeight!$O20+Polls!I$5*TSPollsWeight!$T20+Polls!I$6*TSPollsWeight!$Y20+Polls!I$7*TSPollsWeight!$AD20</f>
        <v>9.9994357017510277E-2</v>
      </c>
      <c r="F19">
        <f>Polls!J$2*TSPollsWeight!$E20+Polls!J$3*TSPollsWeight!$J20+Polls!J$4*TSPollsWeight!$O20+Polls!J$5*TSPollsWeight!$T20+Polls!J$6*TSPollsWeight!$Y20+Polls!J$7*TSPollsWeight!$AD20</f>
        <v>9.7396417566707763E-2</v>
      </c>
      <c r="G19">
        <f>Polls!K$2*TSPollsWeight!$E20+Polls!K$3*TSPollsWeight!$J20+Polls!K$4*TSPollsWeight!$O20+Polls!K$5*TSPollsWeight!$T20+Polls!K$6*TSPollsWeight!$Y20+Polls!K$7*TSPollsWeight!$AD20</f>
        <v>2.3345077911132946E-2</v>
      </c>
      <c r="H19">
        <f>Polls!L$2*TSPollsWeight!$E20+Polls!L$3*TSPollsWeight!$J20+Polls!L$4*TSPollsWeight!$O20+Polls!L$5*TSPollsWeight!$T20+Polls!L$6*TSPollsWeight!$Y20+Polls!L$7*TSPollsWeight!$AD20</f>
        <v>6.9428703024021644E-3</v>
      </c>
      <c r="I19">
        <f>Polls!M$2*TSPollsWeight!$E20+Polls!M$3*TSPollsWeight!$J20+Polls!M$4*TSPollsWeight!$O20+Polls!M$5*TSPollsWeight!$T20+Polls!M$6*TSPollsWeight!$Y20+Polls!M$7*TSPollsWeight!$AD20</f>
        <v>6.0147848293899096E-3</v>
      </c>
      <c r="J19">
        <f>Polls!N$2*TSPollsWeight!$E20+Polls!N$3*TSPollsWeight!$J20+Polls!N$4*TSPollsWeight!$O20+Polls!N$5*TSPollsWeight!$T20+Polls!N$6*TSPollsWeight!$Y20+Polls!N$7*TSPollsWeight!$AD20</f>
        <v>1.4414019250278205E-3</v>
      </c>
      <c r="K19">
        <f>Polls!O$2*TSPollsWeight!$E20+Polls!O$3*TSPollsWeight!$J20+Polls!O$4*TSPollsWeight!$O20+Polls!O$5*TSPollsWeight!$T20+Polls!O$6*TSPollsWeight!$Y20+Polls!O$7*TSPollsWeight!$AD20</f>
        <v>0.12223073846750407</v>
      </c>
      <c r="L19">
        <f>Polls!P$2*TSPollsWeight!$E20+Polls!P$3*TSPollsWeight!$J20+Polls!P$4*TSPollsWeight!$O20+Polls!P$5*TSPollsWeight!$T20+Polls!P$6*TSPollsWeight!$Y20+Polls!P$7*TSPollsWeight!$AD20</f>
        <v>8.6309633330809085E-3</v>
      </c>
      <c r="M19">
        <f>Polls!Q$2*TSPollsWeight!$E20+Polls!Q$3*TSPollsWeight!$J20+Polls!Q$4*TSPollsWeight!$O20+Polls!Q$5*TSPollsWeight!$T20+Polls!Q$6*TSPollsWeight!$Y20+Polls!Q$7*TSPollsWeight!$AD20</f>
        <v>5.2808126582578996E-2</v>
      </c>
    </row>
    <row r="20" spans="1:13" x14ac:dyDescent="0.35">
      <c r="A20" s="9">
        <v>44655</v>
      </c>
      <c r="B20">
        <v>0</v>
      </c>
      <c r="C20">
        <f>Polls!G$2*TSPollsWeight!$E21+Polls!G$3*TSPollsWeight!$J21+Polls!G$4*TSPollsWeight!$O21+Polls!G$5*TSPollsWeight!$T21+Polls!G$6*TSPollsWeight!$Y21+Polls!G$7*TSPollsWeight!$AD21</f>
        <v>0.34222483007500459</v>
      </c>
      <c r="D20">
        <f>Polls!H$2*TSPollsWeight!$E21+Polls!H$3*TSPollsWeight!$J21+Polls!H$4*TSPollsWeight!$O21+Polls!H$5*TSPollsWeight!$T21+Polls!H$6*TSPollsWeight!$Y21+Polls!H$7*TSPollsWeight!$AD21</f>
        <v>0.23894140097248528</v>
      </c>
      <c r="E20">
        <f>Polls!I$2*TSPollsWeight!$E21+Polls!I$3*TSPollsWeight!$J21+Polls!I$4*TSPollsWeight!$O21+Polls!I$5*TSPollsWeight!$T21+Polls!I$6*TSPollsWeight!$Y21+Polls!I$7*TSPollsWeight!$AD21</f>
        <v>9.9932914239581533E-2</v>
      </c>
      <c r="F20">
        <f>Polls!J$2*TSPollsWeight!$E21+Polls!J$3*TSPollsWeight!$J21+Polls!J$4*TSPollsWeight!$O21+Polls!J$5*TSPollsWeight!$T21+Polls!J$6*TSPollsWeight!$Y21+Polls!J$7*TSPollsWeight!$AD21</f>
        <v>9.7401909796970387E-2</v>
      </c>
      <c r="G20">
        <f>Polls!K$2*TSPollsWeight!$E21+Polls!K$3*TSPollsWeight!$J21+Polls!K$4*TSPollsWeight!$O21+Polls!K$5*TSPollsWeight!$T21+Polls!K$6*TSPollsWeight!$Y21+Polls!K$7*TSPollsWeight!$AD21</f>
        <v>2.3324993564397142E-2</v>
      </c>
      <c r="H20">
        <f>Polls!L$2*TSPollsWeight!$E21+Polls!L$3*TSPollsWeight!$J21+Polls!L$4*TSPollsWeight!$O21+Polls!L$5*TSPollsWeight!$T21+Polls!L$6*TSPollsWeight!$Y21+Polls!L$7*TSPollsWeight!$AD21</f>
        <v>6.9474131321579499E-3</v>
      </c>
      <c r="I20">
        <f>Polls!M$2*TSPollsWeight!$E21+Polls!M$3*TSPollsWeight!$J21+Polls!M$4*TSPollsWeight!$O21+Polls!M$5*TSPollsWeight!$T21+Polls!M$6*TSPollsWeight!$Y21+Polls!M$7*TSPollsWeight!$AD21</f>
        <v>6.0251478773196135E-3</v>
      </c>
      <c r="J20">
        <f>Polls!N$2*TSPollsWeight!$E21+Polls!N$3*TSPollsWeight!$J21+Polls!N$4*TSPollsWeight!$O21+Polls!N$5*TSPollsWeight!$T21+Polls!N$6*TSPollsWeight!$Y21+Polls!N$7*TSPollsWeight!$AD21</f>
        <v>1.4469654644040978E-3</v>
      </c>
      <c r="K20">
        <f>Polls!O$2*TSPollsWeight!$E21+Polls!O$3*TSPollsWeight!$J21+Polls!O$4*TSPollsWeight!$O21+Polls!O$5*TSPollsWeight!$T21+Polls!O$6*TSPollsWeight!$Y21+Polls!O$7*TSPollsWeight!$AD21</f>
        <v>0.12199132466462612</v>
      </c>
      <c r="L20">
        <f>Polls!P$2*TSPollsWeight!$E21+Polls!P$3*TSPollsWeight!$J21+Polls!P$4*TSPollsWeight!$O21+Polls!P$5*TSPollsWeight!$T21+Polls!P$6*TSPollsWeight!$Y21+Polls!P$7*TSPollsWeight!$AD21</f>
        <v>8.7033403083877706E-3</v>
      </c>
      <c r="M20">
        <f>Polls!Q$2*TSPollsWeight!$E21+Polls!Q$3*TSPollsWeight!$J21+Polls!Q$4*TSPollsWeight!$O21+Polls!Q$5*TSPollsWeight!$T21+Polls!Q$6*TSPollsWeight!$Y21+Polls!Q$7*TSPollsWeight!$AD21</f>
        <v>5.2935392526945242E-2</v>
      </c>
    </row>
    <row r="21" spans="1:13" x14ac:dyDescent="0.35">
      <c r="A21" s="9">
        <v>44656</v>
      </c>
      <c r="B21">
        <v>1</v>
      </c>
      <c r="C21">
        <f>Polls!G$2*TSPollsWeight!$E22+Polls!G$3*TSPollsWeight!$J22+Polls!G$4*TSPollsWeight!$O22+Polls!G$5*TSPollsWeight!$T22+Polls!G$6*TSPollsWeight!$Y22+Polls!G$7*TSPollsWeight!$AD22+Polls!G$8*TSPollsWeight!$AI22</f>
        <v>0.34258420569342274</v>
      </c>
      <c r="D21">
        <f>Polls!H$2*TSPollsWeight!$E22+Polls!H$3*TSPollsWeight!$J22+Polls!H$4*TSPollsWeight!$O22+Polls!H$5*TSPollsWeight!$T22+Polls!H$6*TSPollsWeight!$Y22+Polls!H$7*TSPollsWeight!$AD22+Polls!H$8*TSPollsWeight!$AI22</f>
        <v>0.24749673558831597</v>
      </c>
      <c r="E21">
        <f>Polls!I$2*TSPollsWeight!$E22+Polls!I$3*TSPollsWeight!$J22+Polls!I$4*TSPollsWeight!$O22+Polls!I$5*TSPollsWeight!$T22+Polls!I$6*TSPollsWeight!$Y22+Polls!I$7*TSPollsWeight!$AD22+Polls!I$8*TSPollsWeight!$AI22</f>
        <v>0.10132822308138957</v>
      </c>
      <c r="F21">
        <f>Polls!J$2*TSPollsWeight!$E22+Polls!J$3*TSPollsWeight!$J22+Polls!J$4*TSPollsWeight!$O22+Polls!J$5*TSPollsWeight!$T22+Polls!J$6*TSPollsWeight!$Y22+Polls!J$7*TSPollsWeight!$AD22+Polls!J$8*TSPollsWeight!$AI22</f>
        <v>9.913140902507897E-2</v>
      </c>
      <c r="G21">
        <f>Polls!K$2*TSPollsWeight!$E22+Polls!K$3*TSPollsWeight!$J22+Polls!K$4*TSPollsWeight!$O22+Polls!K$5*TSPollsWeight!$T22+Polls!K$6*TSPollsWeight!$Y22+Polls!K$7*TSPollsWeight!$AD22+Polls!K$8*TSPollsWeight!$AI22</f>
        <v>2.3253987775371868E-2</v>
      </c>
      <c r="H21">
        <f>Polls!L$2*TSPollsWeight!$E22+Polls!L$3*TSPollsWeight!$J22+Polls!L$4*TSPollsWeight!$O22+Polls!L$5*TSPollsWeight!$T22+Polls!L$6*TSPollsWeight!$Y22+Polls!L$7*TSPollsWeight!$AD22+Polls!L$8*TSPollsWeight!$AI22</f>
        <v>7.497105132170904E-3</v>
      </c>
      <c r="I21">
        <f>Polls!M$2*TSPollsWeight!$E22+Polls!M$3*TSPollsWeight!$J22+Polls!M$4*TSPollsWeight!$O22+Polls!M$5*TSPollsWeight!$T22+Polls!M$6*TSPollsWeight!$Y22+Polls!M$7*TSPollsWeight!$AD22+Polls!M$8*TSPollsWeight!$AI22</f>
        <v>4.9506941843226685E-3</v>
      </c>
      <c r="J21">
        <f>Polls!N$2*TSPollsWeight!$E22+Polls!N$3*TSPollsWeight!$J22+Polls!N$4*TSPollsWeight!$O22+Polls!N$5*TSPollsWeight!$T22+Polls!N$6*TSPollsWeight!$Y22+Polls!N$7*TSPollsWeight!$AD22+Polls!N$8*TSPollsWeight!$AI22</f>
        <v>1.1904892024211841E-3</v>
      </c>
      <c r="K21">
        <f>Polls!O$2*TSPollsWeight!$E22+Polls!O$3*TSPollsWeight!$J22+Polls!O$4*TSPollsWeight!$O22+Polls!O$5*TSPollsWeight!$T22+Polls!O$6*TSPollsWeight!$Y22+Polls!O$7*TSPollsWeight!$AD22+Polls!O$8*TSPollsWeight!$AI22</f>
        <v>0.12166181614877195</v>
      </c>
      <c r="L21">
        <f>Polls!P$2*TSPollsWeight!$E22+Polls!P$3*TSPollsWeight!$J22+Polls!P$4*TSPollsWeight!$O22+Polls!P$5*TSPollsWeight!$T22+Polls!P$6*TSPollsWeight!$Y22+Polls!P$7*TSPollsWeight!$AD22+Polls!P$8*TSPollsWeight!$AI22</f>
        <v>7.2026349712876088E-3</v>
      </c>
      <c r="M21">
        <f>Polls!Q$2*TSPollsWeight!$E22+Polls!Q$3*TSPollsWeight!$J22+Polls!Q$4*TSPollsWeight!$O22+Polls!Q$5*TSPollsWeight!$T22+Polls!Q$6*TSPollsWeight!$Y22+Polls!Q$7*TSPollsWeight!$AD22+Polls!Q$8*TSPollsWeight!$AI22</f>
        <v>4.3595984793983633E-2</v>
      </c>
    </row>
    <row r="22" spans="1:13" x14ac:dyDescent="0.35">
      <c r="A22" s="9">
        <v>44657</v>
      </c>
      <c r="B22">
        <v>1</v>
      </c>
      <c r="C22">
        <f>Polls!G$2*TSPollsWeight!$E23+Polls!G$3*TSPollsWeight!$J23+Polls!G$4*TSPollsWeight!$O23+Polls!G$5*TSPollsWeight!$T23+Polls!G$6*TSPollsWeight!$Y23+Polls!G$7*TSPollsWeight!$AD23+Polls!G$8*TSPollsWeight!$AI23+Polls!G$9*TSPollsWeight!$AN23</f>
        <v>0.34222230265692088</v>
      </c>
      <c r="D22">
        <f>Polls!H$2*TSPollsWeight!$E23+Polls!H$3*TSPollsWeight!$J23+Polls!H$4*TSPollsWeight!$O23+Polls!H$5*TSPollsWeight!$T23+Polls!H$6*TSPollsWeight!$Y23+Polls!H$7*TSPollsWeight!$AD23+Polls!H$8*TSPollsWeight!$AI23+Polls!H$9*TSPollsWeight!$AN23</f>
        <v>0.24481453519237489</v>
      </c>
      <c r="E22">
        <f>Polls!I$2*TSPollsWeight!$E23+Polls!I$3*TSPollsWeight!$J23+Polls!I$4*TSPollsWeight!$O23+Polls!I$5*TSPollsWeight!$T23+Polls!I$6*TSPollsWeight!$Y23+Polls!I$7*TSPollsWeight!$AD23+Polls!I$8*TSPollsWeight!$AI23+Polls!I$9*TSPollsWeight!$AN23</f>
        <v>9.9533052624351276E-2</v>
      </c>
      <c r="F22">
        <f>Polls!J$2*TSPollsWeight!$E23+Polls!J$3*TSPollsWeight!$J23+Polls!J$4*TSPollsWeight!$O23+Polls!J$5*TSPollsWeight!$T23+Polls!J$6*TSPollsWeight!$Y23+Polls!J$7*TSPollsWeight!$AD23+Polls!J$8*TSPollsWeight!$AI23+Polls!J$9*TSPollsWeight!$AN23</f>
        <v>0.10236220242184779</v>
      </c>
      <c r="G22">
        <f>Polls!K$2*TSPollsWeight!$E23+Polls!K$3*TSPollsWeight!$J23+Polls!K$4*TSPollsWeight!$O23+Polls!K$5*TSPollsWeight!$T23+Polls!K$6*TSPollsWeight!$Y23+Polls!K$7*TSPollsWeight!$AD23+Polls!K$8*TSPollsWeight!$AI23+Polls!K$9*TSPollsWeight!$AN23</f>
        <v>2.2736398017903399E-2</v>
      </c>
      <c r="H22">
        <f>Polls!L$2*TSPollsWeight!$E23+Polls!L$3*TSPollsWeight!$J23+Polls!L$4*TSPollsWeight!$O23+Polls!L$5*TSPollsWeight!$T23+Polls!L$6*TSPollsWeight!$Y23+Polls!L$7*TSPollsWeight!$AD23+Polls!L$8*TSPollsWeight!$AI23+Polls!L$9*TSPollsWeight!$AN23</f>
        <v>7.8873917204864419E-3</v>
      </c>
      <c r="I22">
        <f>Polls!M$2*TSPollsWeight!$E23+Polls!M$3*TSPollsWeight!$J23+Polls!M$4*TSPollsWeight!$O23+Polls!M$5*TSPollsWeight!$T23+Polls!M$6*TSPollsWeight!$Y23+Polls!M$7*TSPollsWeight!$AD23+Polls!M$8*TSPollsWeight!$AI23+Polls!M$9*TSPollsWeight!$AN23</f>
        <v>4.1924141373924423E-3</v>
      </c>
      <c r="J22">
        <f>Polls!N$2*TSPollsWeight!$E23+Polls!N$3*TSPollsWeight!$J23+Polls!N$4*TSPollsWeight!$O23+Polls!N$5*TSPollsWeight!$T23+Polls!N$6*TSPollsWeight!$Y23+Polls!N$7*TSPollsWeight!$AD23+Polls!N$8*TSPollsWeight!$AI23+Polls!N$9*TSPollsWeight!$AN23</f>
        <v>1.0103844120194774E-3</v>
      </c>
      <c r="K22">
        <f>Polls!O$2*TSPollsWeight!$E23+Polls!O$3*TSPollsWeight!$J23+Polls!O$4*TSPollsWeight!$O23+Polls!O$5*TSPollsWeight!$T23+Polls!O$6*TSPollsWeight!$Y23+Polls!O$7*TSPollsWeight!$AD23+Polls!O$8*TSPollsWeight!$AI23+Polls!O$9*TSPollsWeight!$AN23</f>
        <v>0.10886429740770819</v>
      </c>
      <c r="L22">
        <f>Polls!P$2*TSPollsWeight!$E23+Polls!P$3*TSPollsWeight!$J23+Polls!P$4*TSPollsWeight!$O23+Polls!P$5*TSPollsWeight!$T23+Polls!P$6*TSPollsWeight!$Y23+Polls!P$7*TSPollsWeight!$AD23+Polls!P$8*TSPollsWeight!$AI23+Polls!P$9*TSPollsWeight!$AN23</f>
        <v>9.2328123528712253E-3</v>
      </c>
      <c r="M22">
        <f>Polls!Q$2*TSPollsWeight!$E23+Polls!Q$3*TSPollsWeight!$J23+Polls!Q$4*TSPollsWeight!$O23+Polls!Q$5*TSPollsWeight!$T23+Polls!Q$6*TSPollsWeight!$Y23+Polls!Q$7*TSPollsWeight!$AD23+Polls!Q$8*TSPollsWeight!$AI23+Polls!Q$9*TSPollsWeight!$AN23</f>
        <v>5.5499774450076839E-2</v>
      </c>
    </row>
    <row r="23" spans="1:13" x14ac:dyDescent="0.35">
      <c r="A23" s="9">
        <v>44658</v>
      </c>
      <c r="B23">
        <v>0</v>
      </c>
      <c r="C23">
        <f>Polls!G$2*TSPollsWeight!$E24+Polls!G$3*TSPollsWeight!$J24+Polls!G$4*TSPollsWeight!$O24+Polls!G$5*TSPollsWeight!$T24+Polls!G$6*TSPollsWeight!$Y24+Polls!G$7*TSPollsWeight!$AD24+Polls!G$8*TSPollsWeight!$AI24+Polls!G$9*TSPollsWeight!$AN24</f>
        <v>0.34226079731259557</v>
      </c>
      <c r="D23">
        <f>Polls!H$2*TSPollsWeight!$E24+Polls!H$3*TSPollsWeight!$J24+Polls!H$4*TSPollsWeight!$O24+Polls!H$5*TSPollsWeight!$T24+Polls!H$6*TSPollsWeight!$Y24+Polls!H$7*TSPollsWeight!$AD24+Polls!H$8*TSPollsWeight!$AI24+Polls!H$9*TSPollsWeight!$AN24</f>
        <v>0.24483644353522671</v>
      </c>
      <c r="E23">
        <f>Polls!I$2*TSPollsWeight!$E24+Polls!I$3*TSPollsWeight!$J24+Polls!I$4*TSPollsWeight!$O24+Polls!I$5*TSPollsWeight!$T24+Polls!I$6*TSPollsWeight!$Y24+Polls!I$7*TSPollsWeight!$AD24+Polls!I$8*TSPollsWeight!$AI24+Polls!I$9*TSPollsWeight!$AN24</f>
        <v>9.9490993267759037E-2</v>
      </c>
      <c r="F23">
        <f>Polls!J$2*TSPollsWeight!$E24+Polls!J$3*TSPollsWeight!$J24+Polls!J$4*TSPollsWeight!$O24+Polls!J$5*TSPollsWeight!$T24+Polls!J$6*TSPollsWeight!$Y24+Polls!J$7*TSPollsWeight!$AD24+Polls!J$8*TSPollsWeight!$AI24+Polls!J$9*TSPollsWeight!$AN24</f>
        <v>0.10236244213978798</v>
      </c>
      <c r="G23">
        <f>Polls!K$2*TSPollsWeight!$E24+Polls!K$3*TSPollsWeight!$J24+Polls!K$4*TSPollsWeight!$O24+Polls!K$5*TSPollsWeight!$T24+Polls!K$6*TSPollsWeight!$Y24+Polls!K$7*TSPollsWeight!$AD24+Polls!K$8*TSPollsWeight!$AI24+Polls!K$9*TSPollsWeight!$AN24</f>
        <v>2.2722496154611423E-2</v>
      </c>
      <c r="H23">
        <f>Polls!L$2*TSPollsWeight!$E24+Polls!L$3*TSPollsWeight!$J24+Polls!L$4*TSPollsWeight!$O24+Polls!L$5*TSPollsWeight!$T24+Polls!L$6*TSPollsWeight!$Y24+Polls!L$7*TSPollsWeight!$AD24+Polls!L$8*TSPollsWeight!$AI24+Polls!L$9*TSPollsWeight!$AN24</f>
        <v>7.8901347456560317E-3</v>
      </c>
      <c r="I23">
        <f>Polls!M$2*TSPollsWeight!$E24+Polls!M$3*TSPollsWeight!$J24+Polls!M$4*TSPollsWeight!$O24+Polls!M$5*TSPollsWeight!$T24+Polls!M$6*TSPollsWeight!$Y24+Polls!M$7*TSPollsWeight!$AD24+Polls!M$8*TSPollsWeight!$AI24+Polls!M$9*TSPollsWeight!$AN24</f>
        <v>4.2005216270991795E-3</v>
      </c>
      <c r="J23">
        <f>Polls!N$2*TSPollsWeight!$E24+Polls!N$3*TSPollsWeight!$J24+Polls!N$4*TSPollsWeight!$O24+Polls!N$5*TSPollsWeight!$T24+Polls!N$6*TSPollsWeight!$Y24+Polls!N$7*TSPollsWeight!$AD24+Polls!N$8*TSPollsWeight!$AI24+Polls!N$9*TSPollsWeight!$AN24</f>
        <v>1.0145802780842726E-3</v>
      </c>
      <c r="K23">
        <f>Polls!O$2*TSPollsWeight!$E24+Polls!O$3*TSPollsWeight!$J24+Polls!O$4*TSPollsWeight!$O24+Polls!O$5*TSPollsWeight!$T24+Polls!O$6*TSPollsWeight!$Y24+Polls!O$7*TSPollsWeight!$AD24+Polls!O$8*TSPollsWeight!$AI24+Polls!O$9*TSPollsWeight!$AN24</f>
        <v>0.10870934942534957</v>
      </c>
      <c r="L23">
        <f>Polls!P$2*TSPollsWeight!$E24+Polls!P$3*TSPollsWeight!$J24+Polls!P$4*TSPollsWeight!$O24+Polls!P$5*TSPollsWeight!$T24+Polls!P$6*TSPollsWeight!$Y24+Polls!P$7*TSPollsWeight!$AD24+Polls!P$8*TSPollsWeight!$AI24+Polls!P$9*TSPollsWeight!$AN24</f>
        <v>9.2825273798142691E-3</v>
      </c>
      <c r="M23">
        <f>Polls!Q$2*TSPollsWeight!$E24+Polls!Q$3*TSPollsWeight!$J24+Polls!Q$4*TSPollsWeight!$O24+Polls!Q$5*TSPollsWeight!$T24+Polls!Q$6*TSPollsWeight!$Y24+Polls!Q$7*TSPollsWeight!$AD24+Polls!Q$8*TSPollsWeight!$AI24+Polls!Q$9*TSPollsWeight!$AN24</f>
        <v>5.5579157362983855E-2</v>
      </c>
    </row>
    <row r="24" spans="1:13" x14ac:dyDescent="0.35">
      <c r="A24" s="9">
        <v>44659</v>
      </c>
      <c r="B24">
        <v>0</v>
      </c>
      <c r="C24">
        <f>Polls!G$2*TSPollsWeight!$E25+Polls!G$3*TSPollsWeight!$J25+Polls!G$4*TSPollsWeight!$O25+Polls!G$5*TSPollsWeight!$T25+Polls!G$6*TSPollsWeight!$Y25+Polls!G$7*TSPollsWeight!$AD25+Polls!G$8*TSPollsWeight!$AI25+Polls!G$9*TSPollsWeight!$AN25</f>
        <v>0.34229981472056065</v>
      </c>
      <c r="D24">
        <f>Polls!H$2*TSPollsWeight!$E25+Polls!H$3*TSPollsWeight!$J25+Polls!H$4*TSPollsWeight!$O25+Polls!H$5*TSPollsWeight!$T25+Polls!H$6*TSPollsWeight!$Y25+Polls!H$7*TSPollsWeight!$AD25+Polls!H$8*TSPollsWeight!$AI25+Polls!H$9*TSPollsWeight!$AN25</f>
        <v>0.24485819655004379</v>
      </c>
      <c r="E24">
        <f>Polls!I$2*TSPollsWeight!$E25+Polls!I$3*TSPollsWeight!$J25+Polls!I$4*TSPollsWeight!$O25+Polls!I$5*TSPollsWeight!$T25+Polls!I$6*TSPollsWeight!$Y25+Polls!I$7*TSPollsWeight!$AD25+Polls!I$8*TSPollsWeight!$AI25+Polls!I$9*TSPollsWeight!$AN25</f>
        <v>9.9448668154470898E-2</v>
      </c>
      <c r="F24">
        <f>Polls!J$2*TSPollsWeight!$E25+Polls!J$3*TSPollsWeight!$J25+Polls!J$4*TSPollsWeight!$O25+Polls!J$5*TSPollsWeight!$T25+Polls!J$6*TSPollsWeight!$Y25+Polls!J$7*TSPollsWeight!$AD25+Polls!J$8*TSPollsWeight!$AI25+Polls!J$9*TSPollsWeight!$AN25</f>
        <v>0.10236259842043076</v>
      </c>
      <c r="G24">
        <f>Polls!K$2*TSPollsWeight!$E25+Polls!K$3*TSPollsWeight!$J25+Polls!K$4*TSPollsWeight!$O25+Polls!K$5*TSPollsWeight!$T25+Polls!K$6*TSPollsWeight!$Y25+Polls!K$7*TSPollsWeight!$AD25+Polls!K$8*TSPollsWeight!$AI25+Polls!K$9*TSPollsWeight!$AN25</f>
        <v>2.2708427117837944E-2</v>
      </c>
      <c r="H24">
        <f>Polls!L$2*TSPollsWeight!$E25+Polls!L$3*TSPollsWeight!$J25+Polls!L$4*TSPollsWeight!$O25+Polls!L$5*TSPollsWeight!$T25+Polls!L$6*TSPollsWeight!$Y25+Polls!L$7*TSPollsWeight!$AD25+Polls!L$8*TSPollsWeight!$AI25+Polls!L$9*TSPollsWeight!$AN25</f>
        <v>7.8928943986879795E-3</v>
      </c>
      <c r="I24">
        <f>Polls!M$2*TSPollsWeight!$E25+Polls!M$3*TSPollsWeight!$J25+Polls!M$4*TSPollsWeight!$O25+Polls!M$5*TSPollsWeight!$T25+Polls!M$6*TSPollsWeight!$Y25+Polls!M$7*TSPollsWeight!$AD25+Polls!M$8*TSPollsWeight!$AI25+Polls!M$9*TSPollsWeight!$AN25</f>
        <v>4.2086176921698765E-3</v>
      </c>
      <c r="J24">
        <f>Polls!N$2*TSPollsWeight!$E25+Polls!N$3*TSPollsWeight!$J25+Polls!N$4*TSPollsWeight!$O25+Polls!N$5*TSPollsWeight!$T25+Polls!N$6*TSPollsWeight!$Y25+Polls!N$7*TSPollsWeight!$AD25+Polls!N$8*TSPollsWeight!$AI25+Polls!N$9*TSPollsWeight!$AN25</f>
        <v>1.0188176012711895E-3</v>
      </c>
      <c r="K24">
        <f>Polls!O$2*TSPollsWeight!$E25+Polls!O$3*TSPollsWeight!$J25+Polls!O$4*TSPollsWeight!$O25+Polls!O$5*TSPollsWeight!$T25+Polls!O$6*TSPollsWeight!$Y25+Polls!O$7*TSPollsWeight!$AD25+Polls!O$8*TSPollsWeight!$AI25+Polls!O$9*TSPollsWeight!$AN25</f>
        <v>0.10855436120120002</v>
      </c>
      <c r="L24">
        <f>Polls!P$2*TSPollsWeight!$E25+Polls!P$3*TSPollsWeight!$J25+Polls!P$4*TSPollsWeight!$O25+Polls!P$5*TSPollsWeight!$T25+Polls!P$6*TSPollsWeight!$Y25+Polls!P$7*TSPollsWeight!$AD25+Polls!P$8*TSPollsWeight!$AI25+Polls!P$9*TSPollsWeight!$AN25</f>
        <v>9.3325746614730982E-3</v>
      </c>
      <c r="M24">
        <f>Polls!Q$2*TSPollsWeight!$E25+Polls!Q$3*TSPollsWeight!$J25+Polls!Q$4*TSPollsWeight!$O25+Polls!Q$5*TSPollsWeight!$T25+Polls!Q$6*TSPollsWeight!$Y25+Polls!Q$7*TSPollsWeight!$AD25+Polls!Q$8*TSPollsWeight!$AI25+Polls!Q$9*TSPollsWeight!$AN25</f>
        <v>5.5658350283456483E-2</v>
      </c>
    </row>
    <row r="25" spans="1:13" x14ac:dyDescent="0.35">
      <c r="A25" s="9">
        <v>44660</v>
      </c>
      <c r="B25">
        <v>0</v>
      </c>
      <c r="C25">
        <f>Polls!G$2*TSPollsWeight!$E26+Polls!G$3*TSPollsWeight!$J26+Polls!G$4*TSPollsWeight!$O26+Polls!G$5*TSPollsWeight!$T26+Polls!G$6*TSPollsWeight!$Y26+Polls!G$7*TSPollsWeight!$AD26+Polls!G$8*TSPollsWeight!$AI26+Polls!G$9*TSPollsWeight!$AN26</f>
        <v>0.34233935717098457</v>
      </c>
      <c r="D25">
        <f>Polls!H$2*TSPollsWeight!$E26+Polls!H$3*TSPollsWeight!$J26+Polls!H$4*TSPollsWeight!$O26+Polls!H$5*TSPollsWeight!$T26+Polls!H$6*TSPollsWeight!$Y26+Polls!H$7*TSPollsWeight!$AD26+Polls!H$8*TSPollsWeight!$AI26+Polls!H$9*TSPollsWeight!$AN26</f>
        <v>0.24487979321998218</v>
      </c>
      <c r="E25">
        <f>Polls!I$2*TSPollsWeight!$E26+Polls!I$3*TSPollsWeight!$J26+Polls!I$4*TSPollsWeight!$O26+Polls!I$5*TSPollsWeight!$T26+Polls!I$6*TSPollsWeight!$Y26+Polls!I$7*TSPollsWeight!$AD26+Polls!I$8*TSPollsWeight!$AI26+Polls!I$9*TSPollsWeight!$AN26</f>
        <v>9.940607667500484E-2</v>
      </c>
      <c r="F25">
        <f>Polls!J$2*TSPollsWeight!$E26+Polls!J$3*TSPollsWeight!$J26+Polls!J$4*TSPollsWeight!$O26+Polls!J$5*TSPollsWeight!$T26+Polls!J$6*TSPollsWeight!$Y26+Polls!J$7*TSPollsWeight!$AD26+Polls!J$8*TSPollsWeight!$AI26+Polls!J$9*TSPollsWeight!$AN26</f>
        <v>0.102362670731005</v>
      </c>
      <c r="G25">
        <f>Polls!K$2*TSPollsWeight!$E26+Polls!K$3*TSPollsWeight!$J26+Polls!K$4*TSPollsWeight!$O26+Polls!K$5*TSPollsWeight!$T26+Polls!K$6*TSPollsWeight!$Y26+Polls!K$7*TSPollsWeight!$AD26+Polls!K$8*TSPollsWeight!$AI26+Polls!K$9*TSPollsWeight!$AN26</f>
        <v>2.2694190123523979E-2</v>
      </c>
      <c r="H25">
        <f>Polls!L$2*TSPollsWeight!$E26+Polls!L$3*TSPollsWeight!$J26+Polls!L$4*TSPollsWeight!$O26+Polls!L$5*TSPollsWeight!$T26+Polls!L$6*TSPollsWeight!$Y26+Polls!L$7*TSPollsWeight!$AD26+Polls!L$8*TSPollsWeight!$AI26+Polls!L$9*TSPollsWeight!$AN26</f>
        <v>7.8956707991286353E-3</v>
      </c>
      <c r="I25">
        <f>Polls!M$2*TSPollsWeight!$E26+Polls!M$3*TSPollsWeight!$J26+Polls!M$4*TSPollsWeight!$O26+Polls!M$5*TSPollsWeight!$T26+Polls!M$6*TSPollsWeight!$Y26+Polls!M$7*TSPollsWeight!$AD26+Polls!M$8*TSPollsWeight!$AI26+Polls!M$9*TSPollsWeight!$AN26</f>
        <v>4.2167019294168506E-3</v>
      </c>
      <c r="J25">
        <f>Polls!N$2*TSPollsWeight!$E26+Polls!N$3*TSPollsWeight!$J26+Polls!N$4*TSPollsWeight!$O26+Polls!N$5*TSPollsWeight!$T26+Polls!N$6*TSPollsWeight!$Y26+Polls!N$7*TSPollsWeight!$AD26+Polls!N$8*TSPollsWeight!$AI26+Polls!N$9*TSPollsWeight!$AN26</f>
        <v>1.0230965294052E-3</v>
      </c>
      <c r="K25">
        <f>Polls!O$2*TSPollsWeight!$E26+Polls!O$3*TSPollsWeight!$J26+Polls!O$4*TSPollsWeight!$O26+Polls!O$5*TSPollsWeight!$T26+Polls!O$6*TSPollsWeight!$Y26+Polls!O$7*TSPollsWeight!$AD26+Polls!O$8*TSPollsWeight!$AI26+Polls!O$9*TSPollsWeight!$AN26</f>
        <v>0.10839933675609276</v>
      </c>
      <c r="L25">
        <f>Polls!P$2*TSPollsWeight!$E26+Polls!P$3*TSPollsWeight!$J26+Polls!P$4*TSPollsWeight!$O26+Polls!P$5*TSPollsWeight!$T26+Polls!P$6*TSPollsWeight!$Y26+Polls!P$7*TSPollsWeight!$AD26+Polls!P$8*TSPollsWeight!$AI26+Polls!P$9*TSPollsWeight!$AN26</f>
        <v>9.3829550288923071E-3</v>
      </c>
      <c r="M25">
        <f>Polls!Q$2*TSPollsWeight!$E26+Polls!Q$3*TSPollsWeight!$J26+Polls!Q$4*TSPollsWeight!$O26+Polls!Q$5*TSPollsWeight!$T26+Polls!Q$6*TSPollsWeight!$Y26+Polls!Q$7*TSPollsWeight!$AD26+Polls!Q$8*TSPollsWeight!$AI26+Polls!Q$9*TSPollsWeight!$AN26</f>
        <v>5.5737349179868168E-2</v>
      </c>
    </row>
    <row r="26" spans="1:13" x14ac:dyDescent="0.35">
      <c r="A26" s="9">
        <v>44661</v>
      </c>
      <c r="B26">
        <v>0</v>
      </c>
      <c r="C26">
        <f>Polls!G$2*TSPollsWeight!$E27+Polls!G$3*TSPollsWeight!$J27+Polls!G$4*TSPollsWeight!$O27+Polls!G$5*TSPollsWeight!$T27+Polls!G$6*TSPollsWeight!$Y27+Polls!G$7*TSPollsWeight!$AD27+Polls!G$8*TSPollsWeight!$AI27+Polls!G$9*TSPollsWeight!$AN27</f>
        <v>0.34237942689653217</v>
      </c>
      <c r="D26">
        <f>Polls!H$2*TSPollsWeight!$E27+Polls!H$3*TSPollsWeight!$J27+Polls!H$4*TSPollsWeight!$O27+Polls!H$5*TSPollsWeight!$T27+Polls!H$6*TSPollsWeight!$Y27+Polls!H$7*TSPollsWeight!$AD27+Polls!H$8*TSPollsWeight!$AI27+Polls!H$9*TSPollsWeight!$AN27</f>
        <v>0.24490123253270951</v>
      </c>
      <c r="E26">
        <f>Polls!I$2*TSPollsWeight!$E27+Polls!I$3*TSPollsWeight!$J27+Polls!I$4*TSPollsWeight!$O27+Polls!I$5*TSPollsWeight!$T27+Polls!I$6*TSPollsWeight!$Y27+Polls!I$7*TSPollsWeight!$AD27+Polls!I$8*TSPollsWeight!$AI27+Polls!I$9*TSPollsWeight!$AN27</f>
        <v>9.9363218258915004E-2</v>
      </c>
      <c r="F26">
        <f>Polls!J$2*TSPollsWeight!$E27+Polls!J$3*TSPollsWeight!$J27+Polls!J$4*TSPollsWeight!$O27+Polls!J$5*TSPollsWeight!$T27+Polls!J$6*TSPollsWeight!$Y27+Polls!J$7*TSPollsWeight!$AD27+Polls!J$8*TSPollsWeight!$AI27+Polls!J$9*TSPollsWeight!$AN27</f>
        <v>0.10236265854636251</v>
      </c>
      <c r="G26">
        <f>Polls!K$2*TSPollsWeight!$E27+Polls!K$3*TSPollsWeight!$J27+Polls!K$4*TSPollsWeight!$O27+Polls!K$5*TSPollsWeight!$T27+Polls!K$6*TSPollsWeight!$Y27+Polls!K$7*TSPollsWeight!$AD27+Polls!K$8*TSPollsWeight!$AI27+Polls!K$9*TSPollsWeight!$AN27</f>
        <v>2.2679784406494038E-2</v>
      </c>
      <c r="H26">
        <f>Polls!L$2*TSPollsWeight!$E27+Polls!L$3*TSPollsWeight!$J27+Polls!L$4*TSPollsWeight!$O27+Polls!L$5*TSPollsWeight!$T27+Polls!L$6*TSPollsWeight!$Y27+Polls!L$7*TSPollsWeight!$AD27+Polls!L$8*TSPollsWeight!$AI27+Polls!L$9*TSPollsWeight!$AN27</f>
        <v>7.8984640639482399E-3</v>
      </c>
      <c r="I26">
        <f>Polls!M$2*TSPollsWeight!$E27+Polls!M$3*TSPollsWeight!$J27+Polls!M$4*TSPollsWeight!$O27+Polls!M$5*TSPollsWeight!$T27+Polls!M$6*TSPollsWeight!$Y27+Polls!M$7*TSPollsWeight!$AD27+Polls!M$8*TSPollsWeight!$AI27+Polls!M$9*TSPollsWeight!$AN27</f>
        <v>4.224773932577322E-3</v>
      </c>
      <c r="J26">
        <f>Polls!N$2*TSPollsWeight!$E27+Polls!N$3*TSPollsWeight!$J27+Polls!N$4*TSPollsWeight!$O27+Polls!N$5*TSPollsWeight!$T27+Polls!N$6*TSPollsWeight!$Y27+Polls!N$7*TSPollsWeight!$AD27+Polls!N$8*TSPollsWeight!$AI27+Polls!N$9*TSPollsWeight!$AN27</f>
        <v>1.0274172051847341E-3</v>
      </c>
      <c r="K26">
        <f>Polls!O$2*TSPollsWeight!$E27+Polls!O$3*TSPollsWeight!$J27+Polls!O$4*TSPollsWeight!$O27+Polls!O$5*TSPollsWeight!$T27+Polls!O$6*TSPollsWeight!$Y27+Polls!O$7*TSPollsWeight!$AD27+Polls!O$8*TSPollsWeight!$AI27+Polls!O$9*TSPollsWeight!$AN27</f>
        <v>0.10824428018078792</v>
      </c>
      <c r="L26">
        <f>Polls!P$2*TSPollsWeight!$E27+Polls!P$3*TSPollsWeight!$J27+Polls!P$4*TSPollsWeight!$O27+Polls!P$5*TSPollsWeight!$T27+Polls!P$6*TSPollsWeight!$Y27+Polls!P$7*TSPollsWeight!$AD27+Polls!P$8*TSPollsWeight!$AI27+Polls!P$9*TSPollsWeight!$AN27</f>
        <v>9.4336692645659997E-3</v>
      </c>
      <c r="M26">
        <f>Polls!Q$2*TSPollsWeight!$E27+Polls!Q$3*TSPollsWeight!$J27+Polls!Q$4*TSPollsWeight!$O27+Polls!Q$5*TSPollsWeight!$T27+Polls!Q$6*TSPollsWeight!$Y27+Polls!Q$7*TSPollsWeight!$AD27+Polls!Q$8*TSPollsWeight!$AI27+Polls!Q$9*TSPollsWeight!$AN27</f>
        <v>5.5816149999534735E-2</v>
      </c>
    </row>
    <row r="27" spans="1:13" x14ac:dyDescent="0.35">
      <c r="A27" s="9">
        <v>44662</v>
      </c>
      <c r="B27">
        <v>1</v>
      </c>
      <c r="C27">
        <f>Polls!G$2*TSPollsWeight!$E28+Polls!G$3*TSPollsWeight!$J28+Polls!G$4*TSPollsWeight!$O28+Polls!G$5*TSPollsWeight!$T28+Polls!G$6*TSPollsWeight!$Y28+Polls!G$7*TSPollsWeight!$AD28+Polls!G$8*TSPollsWeight!$AI28+Polls!G$9*TSPollsWeight!$AN28+Polls!G$10*TSPollsWeight!$AS28</f>
        <v>0.34044980175041362</v>
      </c>
      <c r="D27">
        <f>Polls!H$2*TSPollsWeight!$E28+Polls!H$3*TSPollsWeight!$J28+Polls!H$4*TSPollsWeight!$O28+Polls!H$5*TSPollsWeight!$T28+Polls!H$6*TSPollsWeight!$Y28+Polls!H$7*TSPollsWeight!$AD28+Polls!H$8*TSPollsWeight!$AI28+Polls!H$9*TSPollsWeight!$AN28+Polls!H$10*TSPollsWeight!$AS28</f>
        <v>0.24884538122349817</v>
      </c>
      <c r="E27">
        <f>Polls!I$2*TSPollsWeight!$E28+Polls!I$3*TSPollsWeight!$J28+Polls!I$4*TSPollsWeight!$O28+Polls!I$5*TSPollsWeight!$T28+Polls!I$6*TSPollsWeight!$Y28+Polls!I$7*TSPollsWeight!$AD28+Polls!I$8*TSPollsWeight!$AI28+Polls!I$9*TSPollsWeight!$AN28+Polls!I$10*TSPollsWeight!$AS28</f>
        <v>9.9422233596183199E-2</v>
      </c>
      <c r="F27">
        <f>Polls!J$2*TSPollsWeight!$E28+Polls!J$3*TSPollsWeight!$J28+Polls!J$4*TSPollsWeight!$O28+Polls!J$5*TSPollsWeight!$T28+Polls!J$6*TSPollsWeight!$Y28+Polls!J$7*TSPollsWeight!$AD28+Polls!J$8*TSPollsWeight!$AI28+Polls!J$9*TSPollsWeight!$AN28+Polls!J$10*TSPollsWeight!$AS28</f>
        <v>0.10097871597842764</v>
      </c>
      <c r="G27">
        <f>Polls!K$2*TSPollsWeight!$E28+Polls!K$3*TSPollsWeight!$J28+Polls!K$4*TSPollsWeight!$O28+Polls!K$5*TSPollsWeight!$T28+Polls!K$6*TSPollsWeight!$Y28+Polls!K$7*TSPollsWeight!$AD28+Polls!K$8*TSPollsWeight!$AI28+Polls!K$9*TSPollsWeight!$AN28+Polls!K$10*TSPollsWeight!$AS28</f>
        <v>2.1984429616667026E-2</v>
      </c>
      <c r="H27">
        <f>Polls!L$2*TSPollsWeight!$E28+Polls!L$3*TSPollsWeight!$J28+Polls!L$4*TSPollsWeight!$O28+Polls!L$5*TSPollsWeight!$T28+Polls!L$6*TSPollsWeight!$Y28+Polls!L$7*TSPollsWeight!$AD28+Polls!L$8*TSPollsWeight!$AI28+Polls!L$9*TSPollsWeight!$AN28+Polls!L$10*TSPollsWeight!$AS28</f>
        <v>7.9130757677914193E-3</v>
      </c>
      <c r="I27">
        <f>Polls!M$2*TSPollsWeight!$E28+Polls!M$3*TSPollsWeight!$J28+Polls!M$4*TSPollsWeight!$O28+Polls!M$5*TSPollsWeight!$T28+Polls!M$6*TSPollsWeight!$Y28+Polls!M$7*TSPollsWeight!$AD28+Polls!M$8*TSPollsWeight!$AI28+Polls!M$9*TSPollsWeight!$AN28+Polls!M$10*TSPollsWeight!$AS28</f>
        <v>3.6147979422698198E-3</v>
      </c>
      <c r="J27">
        <f>Polls!N$2*TSPollsWeight!$E28+Polls!N$3*TSPollsWeight!$J28+Polls!N$4*TSPollsWeight!$O28+Polls!N$5*TSPollsWeight!$T28+Polls!N$6*TSPollsWeight!$Y28+Polls!N$7*TSPollsWeight!$AD28+Polls!N$8*TSPollsWeight!$AI28+Polls!N$9*TSPollsWeight!$AN28+Polls!N$10*TSPollsWeight!$AS28</f>
        <v>8.8058134107218337E-4</v>
      </c>
      <c r="K27">
        <f>Polls!O$2*TSPollsWeight!$E28+Polls!O$3*TSPollsWeight!$J28+Polls!O$4*TSPollsWeight!$O28+Polls!O$5*TSPollsWeight!$T28+Polls!O$6*TSPollsWeight!$Y28+Polls!O$7*TSPollsWeight!$AD28+Polls!O$8*TSPollsWeight!$AI28+Polls!O$9*TSPollsWeight!$AN28+Polls!O$10*TSPollsWeight!$AS28</f>
        <v>0.11869563458704514</v>
      </c>
      <c r="L27">
        <f>Polls!P$2*TSPollsWeight!$E28+Polls!P$3*TSPollsWeight!$J28+Polls!P$4*TSPollsWeight!$O28+Polls!P$5*TSPollsWeight!$T28+Polls!P$6*TSPollsWeight!$Y28+Polls!P$7*TSPollsWeight!$AD28+Polls!P$8*TSPollsWeight!$AI28+Polls!P$9*TSPollsWeight!$AN28+Polls!P$10*TSPollsWeight!$AS28</f>
        <v>8.0905107052291966E-3</v>
      </c>
      <c r="M27">
        <f>Polls!Q$2*TSPollsWeight!$E28+Polls!Q$3*TSPollsWeight!$J28+Polls!Q$4*TSPollsWeight!$O28+Polls!Q$5*TSPollsWeight!$T28+Polls!Q$6*TSPollsWeight!$Y28+Polls!Q$7*TSPollsWeight!$AD28+Polls!Q$8*TSPollsWeight!$AI28+Polls!Q$9*TSPollsWeight!$AN28+Polls!Q$10*TSPollsWeight!$AS28</f>
        <v>4.77019071804409E-2</v>
      </c>
    </row>
    <row r="28" spans="1:13" x14ac:dyDescent="0.35">
      <c r="A28" s="9">
        <v>44663</v>
      </c>
      <c r="B28">
        <v>0</v>
      </c>
      <c r="C28">
        <f>Polls!G$2*TSPollsWeight!$E29+Polls!G$3*TSPollsWeight!$J29+Polls!G$4*TSPollsWeight!$O29+Polls!G$5*TSPollsWeight!$T29+Polls!G$6*TSPollsWeight!$Y29+Polls!G$7*TSPollsWeight!$AD29+Polls!G$8*TSPollsWeight!$AI29+Polls!G$9*TSPollsWeight!$AN29+Polls!G$10*TSPollsWeight!$AS29</f>
        <v>0.34049458620820766</v>
      </c>
      <c r="D28">
        <f>Polls!H$2*TSPollsWeight!$E29+Polls!H$3*TSPollsWeight!$J29+Polls!H$4*TSPollsWeight!$O29+Polls!H$5*TSPollsWeight!$T29+Polls!H$6*TSPollsWeight!$Y29+Polls!H$7*TSPollsWeight!$AD29+Polls!H$8*TSPollsWeight!$AI29+Polls!H$9*TSPollsWeight!$AN29+Polls!H$10*TSPollsWeight!$AS29</f>
        <v>0.24884354342623283</v>
      </c>
      <c r="E28">
        <f>Polls!I$2*TSPollsWeight!$E29+Polls!I$3*TSPollsWeight!$J29+Polls!I$4*TSPollsWeight!$O29+Polls!I$5*TSPollsWeight!$T29+Polls!I$6*TSPollsWeight!$Y29+Polls!I$7*TSPollsWeight!$AD29+Polls!I$8*TSPollsWeight!$AI29+Polls!I$9*TSPollsWeight!$AN29+Polls!I$10*TSPollsWeight!$AS29</f>
        <v>9.9384536851070168E-2</v>
      </c>
      <c r="F28">
        <f>Polls!J$2*TSPollsWeight!$E29+Polls!J$3*TSPollsWeight!$J29+Polls!J$4*TSPollsWeight!$O29+Polls!J$5*TSPollsWeight!$T29+Polls!J$6*TSPollsWeight!$Y29+Polls!J$7*TSPollsWeight!$AD29+Polls!J$8*TSPollsWeight!$AI29+Polls!J$9*TSPollsWeight!$AN29+Polls!J$10*TSPollsWeight!$AS29</f>
        <v>0.10098569123121433</v>
      </c>
      <c r="G28">
        <f>Polls!K$2*TSPollsWeight!$E29+Polls!K$3*TSPollsWeight!$J29+Polls!K$4*TSPollsWeight!$O29+Polls!K$5*TSPollsWeight!$T29+Polls!K$6*TSPollsWeight!$Y29+Polls!K$7*TSPollsWeight!$AD29+Polls!K$8*TSPollsWeight!$AI29+Polls!K$9*TSPollsWeight!$AN29+Polls!K$10*TSPollsWeight!$AS29</f>
        <v>2.19752160287323E-2</v>
      </c>
      <c r="H28">
        <f>Polls!L$2*TSPollsWeight!$E29+Polls!L$3*TSPollsWeight!$J29+Polls!L$4*TSPollsWeight!$O29+Polls!L$5*TSPollsWeight!$T29+Polls!L$6*TSPollsWeight!$Y29+Polls!L$7*TSPollsWeight!$AD29+Polls!L$8*TSPollsWeight!$AI29+Polls!L$9*TSPollsWeight!$AN29+Polls!L$10*TSPollsWeight!$AS29</f>
        <v>7.9154696436101301E-3</v>
      </c>
      <c r="I28">
        <f>Polls!M$2*TSPollsWeight!$E29+Polls!M$3*TSPollsWeight!$J29+Polls!M$4*TSPollsWeight!$O29+Polls!M$5*TSPollsWeight!$T29+Polls!M$6*TSPollsWeight!$Y29+Polls!M$7*TSPollsWeight!$AD29+Polls!M$8*TSPollsWeight!$AI29+Polls!M$9*TSPollsWeight!$AN29+Polls!M$10*TSPollsWeight!$AS29</f>
        <v>3.6247005055742715E-3</v>
      </c>
      <c r="J28">
        <f>Polls!N$2*TSPollsWeight!$E29+Polls!N$3*TSPollsWeight!$J29+Polls!N$4*TSPollsWeight!$O29+Polls!N$5*TSPollsWeight!$T29+Polls!N$6*TSPollsWeight!$Y29+Polls!N$7*TSPollsWeight!$AD29+Polls!N$8*TSPollsWeight!$AI29+Polls!N$9*TSPollsWeight!$AN29+Polls!N$10*TSPollsWeight!$AS29</f>
        <v>8.8507497725042795E-4</v>
      </c>
      <c r="K28">
        <f>Polls!O$2*TSPollsWeight!$E29+Polls!O$3*TSPollsWeight!$J29+Polls!O$4*TSPollsWeight!$O29+Polls!O$5*TSPollsWeight!$T29+Polls!O$6*TSPollsWeight!$Y29+Polls!O$7*TSPollsWeight!$AD29+Polls!O$8*TSPollsWeight!$AI29+Polls!O$9*TSPollsWeight!$AN29+Polls!O$10*TSPollsWeight!$AS29</f>
        <v>0.1185092445632</v>
      </c>
      <c r="L28">
        <f>Polls!P$2*TSPollsWeight!$E29+Polls!P$3*TSPollsWeight!$J29+Polls!P$4*TSPollsWeight!$O29+Polls!P$5*TSPollsWeight!$T29+Polls!P$6*TSPollsWeight!$Y29+Polls!P$7*TSPollsWeight!$AD29+Polls!P$8*TSPollsWeight!$AI29+Polls!P$9*TSPollsWeight!$AN29+Polls!P$10*TSPollsWeight!$AS29</f>
        <v>8.141518269873976E-3</v>
      </c>
      <c r="M28">
        <f>Polls!Q$2*TSPollsWeight!$E29+Polls!Q$3*TSPollsWeight!$J29+Polls!Q$4*TSPollsWeight!$O29+Polls!Q$5*TSPollsWeight!$T29+Polls!Q$6*TSPollsWeight!$Y29+Polls!Q$7*TSPollsWeight!$AD29+Polls!Q$8*TSPollsWeight!$AI29+Polls!Q$9*TSPollsWeight!$AN29+Polls!Q$10*TSPollsWeight!$AS29</f>
        <v>4.7810882237048033E-2</v>
      </c>
    </row>
    <row r="29" spans="1:13" x14ac:dyDescent="0.35">
      <c r="A29" s="9">
        <v>44664</v>
      </c>
      <c r="B29">
        <v>0</v>
      </c>
      <c r="C29">
        <f>Polls!G$2*TSPollsWeight!$E30+Polls!G$3*TSPollsWeight!$J30+Polls!G$4*TSPollsWeight!$O30+Polls!G$5*TSPollsWeight!$T30+Polls!G$6*TSPollsWeight!$Y30+Polls!G$7*TSPollsWeight!$AD30+Polls!G$8*TSPollsWeight!$AI30+Polls!G$9*TSPollsWeight!$AN30+Polls!G$10*TSPollsWeight!$AS30</f>
        <v>0.34053990092840419</v>
      </c>
      <c r="D29">
        <f>Polls!H$2*TSPollsWeight!$E30+Polls!H$3*TSPollsWeight!$J30+Polls!H$4*TSPollsWeight!$O30+Polls!H$5*TSPollsWeight!$T30+Polls!H$6*TSPollsWeight!$Y30+Polls!H$7*TSPollsWeight!$AD30+Polls!H$8*TSPollsWeight!$AI30+Polls!H$9*TSPollsWeight!$AN30+Polls!H$10*TSPollsWeight!$AS30</f>
        <v>0.24884156943984193</v>
      </c>
      <c r="E29">
        <f>Polls!I$2*TSPollsWeight!$E30+Polls!I$3*TSPollsWeight!$J30+Polls!I$4*TSPollsWeight!$O30+Polls!I$5*TSPollsWeight!$T30+Polls!I$6*TSPollsWeight!$Y30+Polls!I$7*TSPollsWeight!$AD30+Polls!I$8*TSPollsWeight!$AI30+Polls!I$9*TSPollsWeight!$AN30+Polls!I$10*TSPollsWeight!$AS30</f>
        <v>9.9346547809382776E-2</v>
      </c>
      <c r="F29">
        <f>Polls!J$2*TSPollsWeight!$E30+Polls!J$3*TSPollsWeight!$J30+Polls!J$4*TSPollsWeight!$O30+Polls!J$5*TSPollsWeight!$T30+Polls!J$6*TSPollsWeight!$Y30+Polls!J$7*TSPollsWeight!$AD30+Polls!J$8*TSPollsWeight!$AI30+Polls!J$9*TSPollsWeight!$AN30+Polls!J$10*TSPollsWeight!$AS30</f>
        <v>0.10099260340175735</v>
      </c>
      <c r="G29">
        <f>Polls!K$2*TSPollsWeight!$E30+Polls!K$3*TSPollsWeight!$J30+Polls!K$4*TSPollsWeight!$O30+Polls!K$5*TSPollsWeight!$T30+Polls!K$6*TSPollsWeight!$Y30+Polls!K$7*TSPollsWeight!$AD30+Polls!K$8*TSPollsWeight!$AI30+Polls!K$9*TSPollsWeight!$AN30+Polls!K$10*TSPollsWeight!$AS30</f>
        <v>2.1965840400029264E-2</v>
      </c>
      <c r="H29">
        <f>Polls!L$2*TSPollsWeight!$E30+Polls!L$3*TSPollsWeight!$J30+Polls!L$4*TSPollsWeight!$O30+Polls!L$5*TSPollsWeight!$T30+Polls!L$6*TSPollsWeight!$Y30+Polls!L$7*TSPollsWeight!$AD30+Polls!L$8*TSPollsWeight!$AI30+Polls!L$9*TSPollsWeight!$AN30+Polls!L$10*TSPollsWeight!$AS30</f>
        <v>7.9178821340844738E-3</v>
      </c>
      <c r="I29">
        <f>Polls!M$2*TSPollsWeight!$E30+Polls!M$3*TSPollsWeight!$J30+Polls!M$4*TSPollsWeight!$O30+Polls!M$5*TSPollsWeight!$T30+Polls!M$6*TSPollsWeight!$Y30+Polls!M$7*TSPollsWeight!$AD30+Polls!M$8*TSPollsWeight!$AI30+Polls!M$9*TSPollsWeight!$AN30+Polls!M$10*TSPollsWeight!$AS30</f>
        <v>3.634607754651303E-3</v>
      </c>
      <c r="J29">
        <f>Polls!N$2*TSPollsWeight!$E30+Polls!N$3*TSPollsWeight!$J30+Polls!N$4*TSPollsWeight!$O30+Polls!N$5*TSPollsWeight!$T30+Polls!N$6*TSPollsWeight!$Y30+Polls!N$7*TSPollsWeight!$AD30+Polls!N$8*TSPollsWeight!$AI30+Polls!N$9*TSPollsWeight!$AN30+Polls!N$10*TSPollsWeight!$AS30</f>
        <v>8.8961210038790146E-4</v>
      </c>
      <c r="K29">
        <f>Polls!O$2*TSPollsWeight!$E30+Polls!O$3*TSPollsWeight!$J30+Polls!O$4*TSPollsWeight!$O30+Polls!O$5*TSPollsWeight!$T30+Polls!O$6*TSPollsWeight!$Y30+Polls!O$7*TSPollsWeight!$AD30+Polls!O$8*TSPollsWeight!$AI30+Polls!O$9*TSPollsWeight!$AN30+Polls!O$10*TSPollsWeight!$AS30</f>
        <v>0.11832253499879125</v>
      </c>
      <c r="L29">
        <f>Polls!P$2*TSPollsWeight!$E30+Polls!P$3*TSPollsWeight!$J30+Polls!P$4*TSPollsWeight!$O30+Polls!P$5*TSPollsWeight!$T30+Polls!P$6*TSPollsWeight!$Y30+Polls!P$7*TSPollsWeight!$AD30+Polls!P$8*TSPollsWeight!$AI30+Polls!P$9*TSPollsWeight!$AN30+Polls!P$10*TSPollsWeight!$AS30</f>
        <v>8.1928969649304254E-3</v>
      </c>
      <c r="M29">
        <f>Polls!Q$2*TSPollsWeight!$E30+Polls!Q$3*TSPollsWeight!$J30+Polls!Q$4*TSPollsWeight!$O30+Polls!Q$5*TSPollsWeight!$T30+Polls!Q$6*TSPollsWeight!$Y30+Polls!Q$7*TSPollsWeight!$AD30+Polls!Q$8*TSPollsWeight!$AI30+Polls!Q$9*TSPollsWeight!$AN30+Polls!Q$10*TSPollsWeight!$AS30</f>
        <v>4.7919851499500371E-2</v>
      </c>
    </row>
    <row r="30" spans="1:13" x14ac:dyDescent="0.35">
      <c r="A30" s="9">
        <v>44665</v>
      </c>
      <c r="B30">
        <v>0</v>
      </c>
      <c r="C30">
        <f>Polls!G$2*TSPollsWeight!$E31+Polls!G$3*TSPollsWeight!$J31+Polls!G$4*TSPollsWeight!$O31+Polls!G$5*TSPollsWeight!$T31+Polls!G$6*TSPollsWeight!$Y31+Polls!G$7*TSPollsWeight!$AD31+Polls!G$8*TSPollsWeight!$AI31+Polls!G$9*TSPollsWeight!$AN31+Polls!G$10*TSPollsWeight!$AS31</f>
        <v>0.34058574866767949</v>
      </c>
      <c r="D30">
        <f>Polls!H$2*TSPollsWeight!$E31+Polls!H$3*TSPollsWeight!$J31+Polls!H$4*TSPollsWeight!$O31+Polls!H$5*TSPollsWeight!$T31+Polls!H$6*TSPollsWeight!$Y31+Polls!H$7*TSPollsWeight!$AD31+Polls!H$8*TSPollsWeight!$AI31+Polls!H$9*TSPollsWeight!$AN31+Polls!H$10*TSPollsWeight!$AS31</f>
        <v>0.24883945864879123</v>
      </c>
      <c r="E30">
        <f>Polls!I$2*TSPollsWeight!$E31+Polls!I$3*TSPollsWeight!$J31+Polls!I$4*TSPollsWeight!$O31+Polls!I$5*TSPollsWeight!$T31+Polls!I$6*TSPollsWeight!$Y31+Polls!I$7*TSPollsWeight!$AD31+Polls!I$8*TSPollsWeight!$AI31+Polls!I$9*TSPollsWeight!$AN31+Polls!I$10*TSPollsWeight!$AS31</f>
        <v>9.9308265429329468E-2</v>
      </c>
      <c r="F30">
        <f>Polls!J$2*TSPollsWeight!$E31+Polls!J$3*TSPollsWeight!$J31+Polls!J$4*TSPollsWeight!$O31+Polls!J$5*TSPollsWeight!$T31+Polls!J$6*TSPollsWeight!$Y31+Polls!J$7*TSPollsWeight!$AD31+Polls!J$8*TSPollsWeight!$AI31+Polls!J$9*TSPollsWeight!$AN31+Polls!J$10*TSPollsWeight!$AS31</f>
        <v>0.1009994516901532</v>
      </c>
      <c r="G30">
        <f>Polls!K$2*TSPollsWeight!$E31+Polls!K$3*TSPollsWeight!$J31+Polls!K$4*TSPollsWeight!$O31+Polls!K$5*TSPollsWeight!$T31+Polls!K$6*TSPollsWeight!$Y31+Polls!K$7*TSPollsWeight!$AD31+Polls!K$8*TSPollsWeight!$AI31+Polls!K$9*TSPollsWeight!$AN31+Polls!K$10*TSPollsWeight!$AS31</f>
        <v>2.1956301648151759E-2</v>
      </c>
      <c r="H30">
        <f>Polls!L$2*TSPollsWeight!$E31+Polls!L$3*TSPollsWeight!$J31+Polls!L$4*TSPollsWeight!$O31+Polls!L$5*TSPollsWeight!$T31+Polls!L$6*TSPollsWeight!$Y31+Polls!L$7*TSPollsWeight!$AD31+Polls!L$8*TSPollsWeight!$AI31+Polls!L$9*TSPollsWeight!$AN31+Polls!L$10*TSPollsWeight!$AS31</f>
        <v>7.9203133740186286E-3</v>
      </c>
      <c r="I30">
        <f>Polls!M$2*TSPollsWeight!$E31+Polls!M$3*TSPollsWeight!$J31+Polls!M$4*TSPollsWeight!$O31+Polls!M$5*TSPollsWeight!$T31+Polls!M$6*TSPollsWeight!$Y31+Polls!M$7*TSPollsWeight!$AD31+Polls!M$8*TSPollsWeight!$AI31+Polls!M$9*TSPollsWeight!$AN31+Polls!M$10*TSPollsWeight!$AS31</f>
        <v>3.6445192595513987E-3</v>
      </c>
      <c r="J30">
        <f>Polls!N$2*TSPollsWeight!$E31+Polls!N$3*TSPollsWeight!$J31+Polls!N$4*TSPollsWeight!$O31+Polls!N$5*TSPollsWeight!$T31+Polls!N$6*TSPollsWeight!$Y31+Polls!N$7*TSPollsWeight!$AD31+Polls!N$8*TSPollsWeight!$AI31+Polls!N$9*TSPollsWeight!$AN31+Polls!N$10*TSPollsWeight!$AS31</f>
        <v>8.9419290276186681E-4</v>
      </c>
      <c r="K30">
        <f>Polls!O$2*TSPollsWeight!$E31+Polls!O$3*TSPollsWeight!$J31+Polls!O$4*TSPollsWeight!$O31+Polls!O$5*TSPollsWeight!$T31+Polls!O$6*TSPollsWeight!$Y31+Polls!O$7*TSPollsWeight!$AD31+Polls!O$8*TSPollsWeight!$AI31+Polls!O$9*TSPollsWeight!$AN31+Polls!O$10*TSPollsWeight!$AS31</f>
        <v>0.11813551047989068</v>
      </c>
      <c r="L30">
        <f>Polls!P$2*TSPollsWeight!$E31+Polls!P$3*TSPollsWeight!$J31+Polls!P$4*TSPollsWeight!$O31+Polls!P$5*TSPollsWeight!$T31+Polls!P$6*TSPollsWeight!$Y31+Polls!P$7*TSPollsWeight!$AD31+Polls!P$8*TSPollsWeight!$AI31+Polls!P$9*TSPollsWeight!$AN31+Polls!P$10*TSPollsWeight!$AS31</f>
        <v>8.2446479897314677E-3</v>
      </c>
      <c r="M30">
        <f>Polls!Q$2*TSPollsWeight!$E31+Polls!Q$3*TSPollsWeight!$J31+Polls!Q$4*TSPollsWeight!$O31+Polls!Q$5*TSPollsWeight!$T31+Polls!Q$6*TSPollsWeight!$Y31+Polls!Q$7*TSPollsWeight!$AD31+Polls!Q$8*TSPollsWeight!$AI31+Polls!Q$9*TSPollsWeight!$AN31+Polls!Q$10*TSPollsWeight!$AS31</f>
        <v>4.8028810126954077E-2</v>
      </c>
    </row>
    <row r="31" spans="1:13" x14ac:dyDescent="0.35">
      <c r="A31" s="9">
        <v>44666</v>
      </c>
      <c r="B31">
        <v>0</v>
      </c>
      <c r="C31">
        <f>Polls!G$2*TSPollsWeight!$E32+Polls!G$3*TSPollsWeight!$J32+Polls!G$4*TSPollsWeight!$O32+Polls!G$5*TSPollsWeight!$T32+Polls!G$6*TSPollsWeight!$Y32+Polls!G$7*TSPollsWeight!$AD32+Polls!G$8*TSPollsWeight!$AI32+Polls!G$9*TSPollsWeight!$AN32+Polls!G$10*TSPollsWeight!$AS32</f>
        <v>0.34063213212684734</v>
      </c>
      <c r="D31">
        <f>Polls!H$2*TSPollsWeight!$E32+Polls!H$3*TSPollsWeight!$J32+Polls!H$4*TSPollsWeight!$O32+Polls!H$5*TSPollsWeight!$T32+Polls!H$6*TSPollsWeight!$Y32+Polls!H$7*TSPollsWeight!$AD32+Polls!H$8*TSPollsWeight!$AI32+Polls!H$9*TSPollsWeight!$AN32+Polls!H$10*TSPollsWeight!$AS32</f>
        <v>0.24883721044949414</v>
      </c>
      <c r="E31">
        <f>Polls!I$2*TSPollsWeight!$E32+Polls!I$3*TSPollsWeight!$J32+Polls!I$4*TSPollsWeight!$O32+Polls!I$5*TSPollsWeight!$T32+Polls!I$6*TSPollsWeight!$Y32+Polls!I$7*TSPollsWeight!$AD32+Polls!I$8*TSPollsWeight!$AI32+Polls!I$9*TSPollsWeight!$AN32+Polls!I$10*TSPollsWeight!$AS32</f>
        <v>9.9269688706831408E-2</v>
      </c>
      <c r="F31">
        <f>Polls!J$2*TSPollsWeight!$E32+Polls!J$3*TSPollsWeight!$J32+Polls!J$4*TSPollsWeight!$O32+Polls!J$5*TSPollsWeight!$T32+Polls!J$6*TSPollsWeight!$Y32+Polls!J$7*TSPollsWeight!$AD32+Polls!J$8*TSPollsWeight!$AI32+Polls!J$9*TSPollsWeight!$AN32+Polls!J$10*TSPollsWeight!$AS32</f>
        <v>0.10100623529780414</v>
      </c>
      <c r="G31">
        <f>Polls!K$2*TSPollsWeight!$E32+Polls!K$3*TSPollsWeight!$J32+Polls!K$4*TSPollsWeight!$O32+Polls!K$5*TSPollsWeight!$T32+Polls!K$6*TSPollsWeight!$Y32+Polls!K$7*TSPollsWeight!$AD32+Polls!K$8*TSPollsWeight!$AI32+Polls!K$9*TSPollsWeight!$AN32+Polls!K$10*TSPollsWeight!$AS32</f>
        <v>2.1946598705188797E-2</v>
      </c>
      <c r="H31">
        <f>Polls!L$2*TSPollsWeight!$E32+Polls!L$3*TSPollsWeight!$J32+Polls!L$4*TSPollsWeight!$O32+Polls!L$5*TSPollsWeight!$T32+Polls!L$6*TSPollsWeight!$Y32+Polls!L$7*TSPollsWeight!$AD32+Polls!L$8*TSPollsWeight!$AI32+Polls!L$9*TSPollsWeight!$AN32+Polls!L$10*TSPollsWeight!$AS32</f>
        <v>7.9227634959187845E-3</v>
      </c>
      <c r="I31">
        <f>Polls!M$2*TSPollsWeight!$E32+Polls!M$3*TSPollsWeight!$J32+Polls!M$4*TSPollsWeight!$O32+Polls!M$5*TSPollsWeight!$T32+Polls!M$6*TSPollsWeight!$Y32+Polls!M$7*TSPollsWeight!$AD32+Polls!M$8*TSPollsWeight!$AI32+Polls!M$9*TSPollsWeight!$AN32+Polls!M$10*TSPollsWeight!$AS32</f>
        <v>3.6544345842932993E-3</v>
      </c>
      <c r="J31">
        <f>Polls!N$2*TSPollsWeight!$E32+Polls!N$3*TSPollsWeight!$J32+Polls!N$4*TSPollsWeight!$O32+Polls!N$5*TSPollsWeight!$T32+Polls!N$6*TSPollsWeight!$Y32+Polls!N$7*TSPollsWeight!$AD32+Polls!N$8*TSPollsWeight!$AI32+Polls!N$9*TSPollsWeight!$AN32+Polls!N$10*TSPollsWeight!$AS32</f>
        <v>8.9881757157450962E-4</v>
      </c>
      <c r="K31">
        <f>Polls!O$2*TSPollsWeight!$E32+Polls!O$3*TSPollsWeight!$J32+Polls!O$4*TSPollsWeight!$O32+Polls!O$5*TSPollsWeight!$T32+Polls!O$6*TSPollsWeight!$Y32+Polls!O$7*TSPollsWeight!$AD32+Polls!O$8*TSPollsWeight!$AI32+Polls!O$9*TSPollsWeight!$AN32+Polls!O$10*TSPollsWeight!$AS32</f>
        <v>0.11794817570922134</v>
      </c>
      <c r="L31">
        <f>Polls!P$2*TSPollsWeight!$E32+Polls!P$3*TSPollsWeight!$J32+Polls!P$4*TSPollsWeight!$O32+Polls!P$5*TSPollsWeight!$T32+Polls!P$6*TSPollsWeight!$Y32+Polls!P$7*TSPollsWeight!$AD32+Polls!P$8*TSPollsWeight!$AI32+Polls!P$9*TSPollsWeight!$AN32+Polls!P$10*TSPollsWeight!$AS32</f>
        <v>8.2967724933241185E-3</v>
      </c>
      <c r="M31">
        <f>Polls!Q$2*TSPollsWeight!$E32+Polls!Q$3*TSPollsWeight!$J32+Polls!Q$4*TSPollsWeight!$O32+Polls!Q$5*TSPollsWeight!$T32+Polls!Q$6*TSPollsWeight!$Y32+Polls!Q$7*TSPollsWeight!$AD32+Polls!Q$8*TSPollsWeight!$AI32+Polls!Q$9*TSPollsWeight!$AN32+Polls!Q$10*TSPollsWeight!$AS32</f>
        <v>4.8137753219360209E-2</v>
      </c>
    </row>
    <row r="32" spans="1:13" x14ac:dyDescent="0.35">
      <c r="A32" s="9">
        <v>44667</v>
      </c>
      <c r="B32">
        <v>0</v>
      </c>
      <c r="C32">
        <f>Polls!G$2*TSPollsWeight!$E33+Polls!G$3*TSPollsWeight!$J33+Polls!G$4*TSPollsWeight!$O33+Polls!G$5*TSPollsWeight!$T33+Polls!G$6*TSPollsWeight!$Y33+Polls!G$7*TSPollsWeight!$AD33+Polls!G$8*TSPollsWeight!$AI33+Polls!G$9*TSPollsWeight!$AN33+Polls!G$10*TSPollsWeight!$AS33</f>
        <v>0.34067905394892356</v>
      </c>
      <c r="D32">
        <f>Polls!H$2*TSPollsWeight!$E33+Polls!H$3*TSPollsWeight!$J33+Polls!H$4*TSPollsWeight!$O33+Polls!H$5*TSPollsWeight!$T33+Polls!H$6*TSPollsWeight!$Y33+Polls!H$7*TSPollsWeight!$AD33+Polls!H$8*TSPollsWeight!$AI33+Polls!H$9*TSPollsWeight!$AN33+Polls!H$10*TSPollsWeight!$AS33</f>
        <v>0.24883482425071562</v>
      </c>
      <c r="E32">
        <f>Polls!I$2*TSPollsWeight!$E33+Polls!I$3*TSPollsWeight!$J33+Polls!I$4*TSPollsWeight!$O33+Polls!I$5*TSPollsWeight!$T33+Polls!I$6*TSPollsWeight!$Y33+Polls!I$7*TSPollsWeight!$AD33+Polls!I$8*TSPollsWeight!$AI33+Polls!I$9*TSPollsWeight!$AN33+Polls!I$10*TSPollsWeight!$AS33</f>
        <v>9.9230816676593919E-2</v>
      </c>
      <c r="F32">
        <f>Polls!J$2*TSPollsWeight!$E33+Polls!J$3*TSPollsWeight!$J33+Polls!J$4*TSPollsWeight!$O33+Polls!J$5*TSPollsWeight!$T33+Polls!J$6*TSPollsWeight!$Y33+Polls!J$7*TSPollsWeight!$AD33+Polls!J$8*TSPollsWeight!$AI33+Polls!J$9*TSPollsWeight!$AN33+Polls!J$10*TSPollsWeight!$AS33</f>
        <v>0.10101295342765303</v>
      </c>
      <c r="G32">
        <f>Polls!K$2*TSPollsWeight!$E33+Polls!K$3*TSPollsWeight!$J33+Polls!K$4*TSPollsWeight!$O33+Polls!K$5*TSPollsWeight!$T33+Polls!K$6*TSPollsWeight!$Y33+Polls!K$7*TSPollsWeight!$AD33+Polls!K$8*TSPollsWeight!$AI33+Polls!K$9*TSPollsWeight!$AN33+Polls!K$10*TSPollsWeight!$AS33</f>
        <v>2.1936730518330925E-2</v>
      </c>
      <c r="H32">
        <f>Polls!L$2*TSPollsWeight!$E33+Polls!L$3*TSPollsWeight!$J33+Polls!L$4*TSPollsWeight!$O33+Polls!L$5*TSPollsWeight!$T33+Polls!L$6*TSPollsWeight!$Y33+Polls!L$7*TSPollsWeight!$AD33+Polls!L$8*TSPollsWeight!$AI33+Polls!L$9*TSPollsWeight!$AN33+Polls!L$10*TSPollsWeight!$AS33</f>
        <v>7.9252326299095056E-3</v>
      </c>
      <c r="I32">
        <f>Polls!M$2*TSPollsWeight!$E33+Polls!M$3*TSPollsWeight!$J33+Polls!M$4*TSPollsWeight!$O33+Polls!M$5*TSPollsWeight!$T33+Polls!M$6*TSPollsWeight!$Y33+Polls!M$7*TSPollsWeight!$AD33+Polls!M$8*TSPollsWeight!$AI33+Polls!M$9*TSPollsWeight!$AN33+Polls!M$10*TSPollsWeight!$AS33</f>
        <v>3.6643532868660591E-3</v>
      </c>
      <c r="J32">
        <f>Polls!N$2*TSPollsWeight!$E33+Polls!N$3*TSPollsWeight!$J33+Polls!N$4*TSPollsWeight!$O33+Polls!N$5*TSPollsWeight!$T33+Polls!N$6*TSPollsWeight!$Y33+Polls!N$7*TSPollsWeight!$AD33+Polls!N$8*TSPollsWeight!$AI33+Polls!N$9*TSPollsWeight!$AN33+Polls!N$10*TSPollsWeight!$AS33</f>
        <v>9.034862887946065E-4</v>
      </c>
      <c r="K32">
        <f>Polls!O$2*TSPollsWeight!$E33+Polls!O$3*TSPollsWeight!$J33+Polls!O$4*TSPollsWeight!$O33+Polls!O$5*TSPollsWeight!$T33+Polls!O$6*TSPollsWeight!$Y33+Polls!O$7*TSPollsWeight!$AD33+Polls!O$8*TSPollsWeight!$AI33+Polls!O$9*TSPollsWeight!$AN33+Polls!O$10*TSPollsWeight!$AS33</f>
        <v>0.11776053550728202</v>
      </c>
      <c r="L32">
        <f>Polls!P$2*TSPollsWeight!$E33+Polls!P$3*TSPollsWeight!$J33+Polls!P$4*TSPollsWeight!$O33+Polls!P$5*TSPollsWeight!$T33+Polls!P$6*TSPollsWeight!$Y33+Polls!P$7*TSPollsWeight!$AD33+Polls!P$8*TSPollsWeight!$AI33+Polls!P$9*TSPollsWeight!$AN33+Polls!P$10*TSPollsWeight!$AS33</f>
        <v>8.3492715731065571E-3</v>
      </c>
      <c r="M32">
        <f>Polls!Q$2*TSPollsWeight!$E33+Polls!Q$3*TSPollsWeight!$J33+Polls!Q$4*TSPollsWeight!$O33+Polls!Q$5*TSPollsWeight!$T33+Polls!Q$6*TSPollsWeight!$Y33+Polls!Q$7*TSPollsWeight!$AD33+Polls!Q$8*TSPollsWeight!$AI33+Polls!Q$9*TSPollsWeight!$AN33+Polls!Q$10*TSPollsWeight!$AS33</f>
        <v>4.8246675817620696E-2</v>
      </c>
    </row>
    <row r="33" spans="1:13" x14ac:dyDescent="0.35">
      <c r="A33" s="9">
        <v>44668</v>
      </c>
      <c r="B33">
        <v>0</v>
      </c>
      <c r="C33">
        <f>Polls!G$2*TSPollsWeight!$E34+Polls!G$3*TSPollsWeight!$J34+Polls!G$4*TSPollsWeight!$O34+Polls!G$5*TSPollsWeight!$T34+Polls!G$6*TSPollsWeight!$Y34+Polls!G$7*TSPollsWeight!$AD34+Polls!G$8*TSPollsWeight!$AI34+Polls!G$9*TSPollsWeight!$AN34+Polls!G$10*TSPollsWeight!$AS34</f>
        <v>0.34072651671717635</v>
      </c>
      <c r="D33">
        <f>Polls!H$2*TSPollsWeight!$E34+Polls!H$3*TSPollsWeight!$J34+Polls!H$4*TSPollsWeight!$O34+Polls!H$5*TSPollsWeight!$T34+Polls!H$6*TSPollsWeight!$Y34+Polls!H$7*TSPollsWeight!$AD34+Polls!H$8*TSPollsWeight!$AI34+Polls!H$9*TSPollsWeight!$AN34+Polls!H$10*TSPollsWeight!$AS34</f>
        <v>0.24883229947398106</v>
      </c>
      <c r="E33">
        <f>Polls!I$2*TSPollsWeight!$E34+Polls!I$3*TSPollsWeight!$J34+Polls!I$4*TSPollsWeight!$O34+Polls!I$5*TSPollsWeight!$T34+Polls!I$6*TSPollsWeight!$Y34+Polls!I$7*TSPollsWeight!$AD34+Polls!I$8*TSPollsWeight!$AI34+Polls!I$9*TSPollsWeight!$AN34+Polls!I$10*TSPollsWeight!$AS34</f>
        <v>9.9191648413182676E-2</v>
      </c>
      <c r="F33">
        <f>Polls!J$2*TSPollsWeight!$E34+Polls!J$3*TSPollsWeight!$J34+Polls!J$4*TSPollsWeight!$O34+Polls!J$5*TSPollsWeight!$T34+Polls!J$6*TSPollsWeight!$Y34+Polls!J$7*TSPollsWeight!$AD34+Polls!J$8*TSPollsWeight!$AI34+Polls!J$9*TSPollsWeight!$AN34+Polls!J$10*TSPollsWeight!$AS34</f>
        <v>0.10101960528442341</v>
      </c>
      <c r="G33">
        <f>Polls!K$2*TSPollsWeight!$E34+Polls!K$3*TSPollsWeight!$J34+Polls!K$4*TSPollsWeight!$O34+Polls!K$5*TSPollsWeight!$T34+Polls!K$6*TSPollsWeight!$Y34+Polls!K$7*TSPollsWeight!$AD34+Polls!K$8*TSPollsWeight!$AI34+Polls!K$9*TSPollsWeight!$AN34+Polls!K$10*TSPollsWeight!$AS34</f>
        <v>2.192669605048285E-2</v>
      </c>
      <c r="H33">
        <f>Polls!L$2*TSPollsWeight!$E34+Polls!L$3*TSPollsWeight!$J34+Polls!L$4*TSPollsWeight!$O34+Polls!L$5*TSPollsWeight!$T34+Polls!L$6*TSPollsWeight!$Y34+Polls!L$7*TSPollsWeight!$AD34+Polls!L$8*TSPollsWeight!$AI34+Polls!L$9*TSPollsWeight!$AN34+Polls!L$10*TSPollsWeight!$AS34</f>
        <v>7.9277209036494461E-3</v>
      </c>
      <c r="I33">
        <f>Polls!M$2*TSPollsWeight!$E34+Polls!M$3*TSPollsWeight!$J34+Polls!M$4*TSPollsWeight!$O34+Polls!M$5*TSPollsWeight!$T34+Polls!M$6*TSPollsWeight!$Y34+Polls!M$7*TSPollsWeight!$AD34+Polls!M$8*TSPollsWeight!$AI34+Polls!M$9*TSPollsWeight!$AN34+Polls!M$10*TSPollsWeight!$AS34</f>
        <v>3.67427491923402E-3</v>
      </c>
      <c r="J33">
        <f>Polls!N$2*TSPollsWeight!$E34+Polls!N$3*TSPollsWeight!$J34+Polls!N$4*TSPollsWeight!$O34+Polls!N$5*TSPollsWeight!$T34+Polls!N$6*TSPollsWeight!$Y34+Polls!N$7*TSPollsWeight!$AD34+Polls!N$8*TSPollsWeight!$AI34+Polls!N$9*TSPollsWeight!$AN34+Polls!N$10*TSPollsWeight!$AS34</f>
        <v>9.0819923099820076E-4</v>
      </c>
      <c r="K33">
        <f>Polls!O$2*TSPollsWeight!$E34+Polls!O$3*TSPollsWeight!$J34+Polls!O$4*TSPollsWeight!$O34+Polls!O$5*TSPollsWeight!$T34+Polls!O$6*TSPollsWeight!$Y34+Polls!O$7*TSPollsWeight!$AD34+Polls!O$8*TSPollsWeight!$AI34+Polls!O$9*TSPollsWeight!$AN34+Polls!O$10*TSPollsWeight!$AS34</f>
        <v>0.11757259481343985</v>
      </c>
      <c r="L33">
        <f>Polls!P$2*TSPollsWeight!$E34+Polls!P$3*TSPollsWeight!$J34+Polls!P$4*TSPollsWeight!$O34+Polls!P$5*TSPollsWeight!$T34+Polls!P$6*TSPollsWeight!$Y34+Polls!P$7*TSPollsWeight!$AD34+Polls!P$8*TSPollsWeight!$AI34+Polls!P$9*TSPollsWeight!$AN34+Polls!P$10*TSPollsWeight!$AS34</f>
        <v>8.4021462734599189E-3</v>
      </c>
      <c r="M33">
        <f>Polls!Q$2*TSPollsWeight!$E34+Polls!Q$3*TSPollsWeight!$J34+Polls!Q$4*TSPollsWeight!$O34+Polls!Q$5*TSPollsWeight!$T34+Polls!Q$6*TSPollsWeight!$Y34+Polls!Q$7*TSPollsWeight!$AD34+Polls!Q$8*TSPollsWeight!$AI34+Polls!Q$9*TSPollsWeight!$AN34+Polls!Q$10*TSPollsWeight!$AS34</f>
        <v>4.8355572903776262E-2</v>
      </c>
    </row>
    <row r="34" spans="1:13" x14ac:dyDescent="0.35">
      <c r="A34" s="9">
        <v>44669</v>
      </c>
      <c r="B34">
        <v>0</v>
      </c>
      <c r="C34">
        <f>Polls!G$2*TSPollsWeight!$E35+Polls!G$3*TSPollsWeight!$J35+Polls!G$4*TSPollsWeight!$O35+Polls!G$5*TSPollsWeight!$T35+Polls!G$6*TSPollsWeight!$Y35+Polls!G$7*TSPollsWeight!$AD35+Polls!G$8*TSPollsWeight!$AI35+Polls!G$9*TSPollsWeight!$AN35+Polls!G$10*TSPollsWeight!$AS35</f>
        <v>0.34074208290815045</v>
      </c>
      <c r="D34">
        <f>Polls!H$2*TSPollsWeight!$E35+Polls!H$3*TSPollsWeight!$J35+Polls!H$4*TSPollsWeight!$O35+Polls!H$5*TSPollsWeight!$T35+Polls!H$6*TSPollsWeight!$Y35+Polls!H$7*TSPollsWeight!$AD35+Polls!H$8*TSPollsWeight!$AI35+Polls!H$9*TSPollsWeight!$AN35+Polls!H$10*TSPollsWeight!$AS35</f>
        <v>0.24851652339420549</v>
      </c>
      <c r="E34">
        <f>Polls!I$2*TSPollsWeight!$E35+Polls!I$3*TSPollsWeight!$J35+Polls!I$4*TSPollsWeight!$O35+Polls!I$5*TSPollsWeight!$T35+Polls!I$6*TSPollsWeight!$Y35+Polls!I$7*TSPollsWeight!$AD35+Polls!I$8*TSPollsWeight!$AI35+Polls!I$9*TSPollsWeight!$AN35+Polls!I$10*TSPollsWeight!$AS35</f>
        <v>9.9073785256620139E-2</v>
      </c>
      <c r="F34">
        <f>Polls!J$2*TSPollsWeight!$E35+Polls!J$3*TSPollsWeight!$J35+Polls!J$4*TSPollsWeight!$O35+Polls!J$5*TSPollsWeight!$T35+Polls!J$6*TSPollsWeight!$Y35+Polls!J$7*TSPollsWeight!$AD35+Polls!J$8*TSPollsWeight!$AI35+Polls!J$9*TSPollsWeight!$AN35+Polls!J$10*TSPollsWeight!$AS35</f>
        <v>0.10098826961143255</v>
      </c>
      <c r="G34">
        <f>Polls!K$2*TSPollsWeight!$E35+Polls!K$3*TSPollsWeight!$J35+Polls!K$4*TSPollsWeight!$O35+Polls!K$5*TSPollsWeight!$T35+Polls!K$6*TSPollsWeight!$Y35+Polls!K$7*TSPollsWeight!$AD35+Polls!K$8*TSPollsWeight!$AI35+Polls!K$9*TSPollsWeight!$AN35+Polls!K$10*TSPollsWeight!$AS35</f>
        <v>2.1904354892250059E-2</v>
      </c>
      <c r="H34">
        <f>Polls!L$2*TSPollsWeight!$E35+Polls!L$3*TSPollsWeight!$J35+Polls!L$4*TSPollsWeight!$O35+Polls!L$5*TSPollsWeight!$T35+Polls!L$6*TSPollsWeight!$Y35+Polls!L$7*TSPollsWeight!$AD35+Polls!L$8*TSPollsWeight!$AI35+Polls!L$9*TSPollsWeight!$AN35+Polls!L$10*TSPollsWeight!$AS35</f>
        <v>7.9150321628678535E-3</v>
      </c>
      <c r="I34">
        <f>Polls!M$2*TSPollsWeight!$E35+Polls!M$3*TSPollsWeight!$J35+Polls!M$4*TSPollsWeight!$O35+Polls!M$5*TSPollsWeight!$T35+Polls!M$6*TSPollsWeight!$Y35+Polls!M$7*TSPollsWeight!$AD35+Polls!M$8*TSPollsWeight!$AI35+Polls!M$9*TSPollsWeight!$AN35+Polls!M$10*TSPollsWeight!$AS35</f>
        <v>3.709536684603745E-3</v>
      </c>
      <c r="J34">
        <f>Polls!N$2*TSPollsWeight!$E35+Polls!N$3*TSPollsWeight!$J35+Polls!N$4*TSPollsWeight!$O35+Polls!N$5*TSPollsWeight!$T35+Polls!N$6*TSPollsWeight!$Y35+Polls!N$7*TSPollsWeight!$AD35+Polls!N$8*TSPollsWeight!$AI35+Polls!N$9*TSPollsWeight!$AN35+Polls!N$10*TSPollsWeight!$AS35</f>
        <v>9.1923532355123552E-4</v>
      </c>
      <c r="K34">
        <f>Polls!O$2*TSPollsWeight!$E35+Polls!O$3*TSPollsWeight!$J35+Polls!O$4*TSPollsWeight!$O35+Polls!O$5*TSPollsWeight!$T35+Polls!O$6*TSPollsWeight!$Y35+Polls!O$7*TSPollsWeight!$AD35+Polls!O$8*TSPollsWeight!$AI35+Polls!O$9*TSPollsWeight!$AN35+Polls!O$10*TSPollsWeight!$AS35</f>
        <v>0.11732620581759184</v>
      </c>
      <c r="L34">
        <f>Polls!P$2*TSPollsWeight!$E35+Polls!P$3*TSPollsWeight!$J35+Polls!P$4*TSPollsWeight!$O35+Polls!P$5*TSPollsWeight!$T35+Polls!P$6*TSPollsWeight!$Y35+Polls!P$7*TSPollsWeight!$AD35+Polls!P$8*TSPollsWeight!$AI35+Polls!P$9*TSPollsWeight!$AN35+Polls!P$10*TSPollsWeight!$AS35</f>
        <v>8.5287722553407698E-3</v>
      </c>
      <c r="M34">
        <f>Polls!Q$2*TSPollsWeight!$E35+Polls!Q$3*TSPollsWeight!$J35+Polls!Q$4*TSPollsWeight!$O35+Polls!Q$5*TSPollsWeight!$T35+Polls!Q$6*TSPollsWeight!$Y35+Polls!Q$7*TSPollsWeight!$AD35+Polls!Q$8*TSPollsWeight!$AI35+Polls!Q$9*TSPollsWeight!$AN35+Polls!Q$10*TSPollsWeight!$AS35</f>
        <v>4.8889089887182512E-2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42E6-6A02-4D98-A6B9-60172E7B732A}">
  <dimension ref="A1:K8"/>
  <sheetViews>
    <sheetView workbookViewId="0">
      <selection activeCell="J10" sqref="J10"/>
    </sheetView>
  </sheetViews>
  <sheetFormatPr defaultRowHeight="14.5" x14ac:dyDescent="0.35"/>
  <sheetData>
    <row r="1" spans="1:11" x14ac:dyDescent="0.35">
      <c r="B1" s="17">
        <v>2002</v>
      </c>
      <c r="C1" s="17"/>
      <c r="D1" s="17">
        <v>2006</v>
      </c>
      <c r="E1" s="17"/>
      <c r="F1" s="17">
        <v>2010</v>
      </c>
      <c r="G1" s="17"/>
      <c r="H1" s="17">
        <v>2014</v>
      </c>
      <c r="I1" s="17"/>
      <c r="J1" s="17">
        <v>2018</v>
      </c>
      <c r="K1" s="17"/>
    </row>
    <row r="2" spans="1:11" x14ac:dyDescent="0.35">
      <c r="A2" t="s">
        <v>7</v>
      </c>
      <c r="B2">
        <v>11249734</v>
      </c>
      <c r="D2">
        <v>12041737</v>
      </c>
      <c r="F2">
        <v>14781020</v>
      </c>
      <c r="H2">
        <v>13222354</v>
      </c>
      <c r="J2">
        <v>19643676</v>
      </c>
    </row>
    <row r="3" spans="1:11" x14ac:dyDescent="0.35">
      <c r="A3" t="s">
        <v>33</v>
      </c>
      <c r="B3">
        <v>149123</v>
      </c>
      <c r="D3">
        <v>132332</v>
      </c>
      <c r="F3">
        <v>170874</v>
      </c>
      <c r="H3">
        <v>310687</v>
      </c>
      <c r="J3">
        <v>242002</v>
      </c>
    </row>
    <row r="4" spans="1:11" x14ac:dyDescent="0.35">
      <c r="A4" t="s">
        <v>34</v>
      </c>
      <c r="B4">
        <v>48966</v>
      </c>
      <c r="D4">
        <v>44995</v>
      </c>
      <c r="F4">
        <v>37553</v>
      </c>
      <c r="H4">
        <v>40069</v>
      </c>
      <c r="J4">
        <v>47657</v>
      </c>
    </row>
    <row r="5" spans="1:11" x14ac:dyDescent="0.35">
      <c r="A5" t="s">
        <v>35</v>
      </c>
      <c r="B5">
        <f>SUM(B3:B4)</f>
        <v>198089</v>
      </c>
      <c r="C5" s="4">
        <f>B5/B2</f>
        <v>1.7608327450231269E-2</v>
      </c>
      <c r="D5">
        <f>SUM(D3:D4)</f>
        <v>177327</v>
      </c>
      <c r="E5" s="4">
        <f>D5/D2</f>
        <v>1.4726031634804846E-2</v>
      </c>
      <c r="F5">
        <f>SUM(F3:F4)</f>
        <v>208427</v>
      </c>
      <c r="G5" s="4">
        <f>F5/F2</f>
        <v>1.4100988970991176E-2</v>
      </c>
      <c r="H5">
        <f>SUM(H3:H4)</f>
        <v>350756</v>
      </c>
      <c r="I5" s="4">
        <f>H5/H2</f>
        <v>2.6527500322559811E-2</v>
      </c>
      <c r="J5">
        <f>SUM(J3:J4)</f>
        <v>289659</v>
      </c>
      <c r="K5" s="4">
        <f>J5/J2</f>
        <v>1.4745661657217315E-2</v>
      </c>
    </row>
    <row r="6" spans="1:11" x14ac:dyDescent="0.35">
      <c r="A6" t="s">
        <v>4</v>
      </c>
      <c r="B6">
        <v>122240</v>
      </c>
      <c r="C6" s="4">
        <f>B6/(B2-B5)</f>
        <v>1.1060796831602897E-2</v>
      </c>
      <c r="D6">
        <v>226297</v>
      </c>
      <c r="E6" s="4">
        <f>D6/(D2-D5)</f>
        <v>1.9073599108594529E-2</v>
      </c>
      <c r="F6">
        <v>223977</v>
      </c>
      <c r="G6" s="4">
        <f>F6/(F2-F5)</f>
        <v>1.5369742364999833E-2</v>
      </c>
      <c r="H6">
        <v>770543</v>
      </c>
      <c r="I6" s="4">
        <f>H6/(H2-H5)</f>
        <v>5.9863817996801953E-2</v>
      </c>
      <c r="J6">
        <v>338581</v>
      </c>
      <c r="K6" s="4">
        <f>J6/(J2-J5)</f>
        <v>1.7494094378443504E-2</v>
      </c>
    </row>
    <row r="7" spans="1:11" x14ac:dyDescent="0.35">
      <c r="J7" s="5">
        <f>AVERAGE(C6,E6,G6,I6,K6)</f>
        <v>2.4572410136088543E-2</v>
      </c>
    </row>
    <row r="8" spans="1:11" x14ac:dyDescent="0.35">
      <c r="J8" s="5">
        <f>AVERAGE(C5,E5,G5,I5,K5)</f>
        <v>1.7541702007160882E-2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CF3A-C24E-41DB-B7DA-E8398F6B1C97}">
  <dimension ref="A1:C15"/>
  <sheetViews>
    <sheetView workbookViewId="0">
      <selection activeCell="C12" sqref="C12"/>
    </sheetView>
  </sheetViews>
  <sheetFormatPr defaultRowHeight="14.5" x14ac:dyDescent="0.35"/>
  <cols>
    <col min="1" max="1" width="12.26953125" bestFit="1" customWidth="1"/>
    <col min="2" max="2" width="10.7265625" customWidth="1"/>
  </cols>
  <sheetData>
    <row r="1" spans="1:3" x14ac:dyDescent="0.35">
      <c r="A1" t="s">
        <v>0</v>
      </c>
      <c r="B1" t="s">
        <v>29</v>
      </c>
      <c r="C1" t="s">
        <v>36</v>
      </c>
    </row>
    <row r="2" spans="1:3" x14ac:dyDescent="0.35">
      <c r="A2" t="s">
        <v>24</v>
      </c>
      <c r="B2">
        <v>3.1</v>
      </c>
      <c r="C2">
        <f>1-1/B2</f>
        <v>0.67741935483870974</v>
      </c>
    </row>
    <row r="3" spans="1:3" x14ac:dyDescent="0.35">
      <c r="A3" t="s">
        <v>25</v>
      </c>
      <c r="B3">
        <v>2.8</v>
      </c>
      <c r="C3">
        <f t="shared" ref="C3:C12" si="0">1-1/B3</f>
        <v>0.64285714285714279</v>
      </c>
    </row>
    <row r="4" spans="1:3" x14ac:dyDescent="0.35">
      <c r="A4" t="s">
        <v>11</v>
      </c>
      <c r="B4">
        <v>2.9</v>
      </c>
      <c r="C4">
        <f t="shared" si="0"/>
        <v>0.65517241379310343</v>
      </c>
    </row>
    <row r="5" spans="1:3" x14ac:dyDescent="0.35">
      <c r="A5" t="s">
        <v>26</v>
      </c>
      <c r="B5">
        <v>1.7</v>
      </c>
      <c r="C5">
        <f t="shared" si="0"/>
        <v>0.41176470588235292</v>
      </c>
    </row>
    <row r="6" spans="1:3" x14ac:dyDescent="0.35">
      <c r="A6" t="s">
        <v>12</v>
      </c>
      <c r="B6">
        <v>4.3</v>
      </c>
      <c r="C6">
        <f t="shared" si="0"/>
        <v>0.76744186046511631</v>
      </c>
    </row>
    <row r="7" spans="1:3" x14ac:dyDescent="0.35">
      <c r="A7" t="s">
        <v>27</v>
      </c>
      <c r="B7">
        <v>3.3</v>
      </c>
      <c r="C7">
        <f t="shared" si="0"/>
        <v>0.69696969696969702</v>
      </c>
    </row>
    <row r="8" spans="1:3" x14ac:dyDescent="0.35">
      <c r="A8" t="s">
        <v>10</v>
      </c>
      <c r="B8">
        <v>3.6</v>
      </c>
      <c r="C8">
        <f t="shared" si="0"/>
        <v>0.72222222222222221</v>
      </c>
    </row>
    <row r="9" spans="1:3" x14ac:dyDescent="0.35">
      <c r="A9" t="s">
        <v>8</v>
      </c>
      <c r="B9">
        <v>8.1</v>
      </c>
      <c r="C9">
        <f t="shared" si="0"/>
        <v>0.87654320987654322</v>
      </c>
    </row>
    <row r="10" spans="1:3" x14ac:dyDescent="0.35">
      <c r="A10" t="s">
        <v>28</v>
      </c>
      <c r="B10">
        <v>10</v>
      </c>
      <c r="C10">
        <f t="shared" si="0"/>
        <v>0.9</v>
      </c>
    </row>
    <row r="11" spans="1:3" x14ac:dyDescent="0.35">
      <c r="A11" t="s">
        <v>50</v>
      </c>
      <c r="B11">
        <v>4.4000000000000004</v>
      </c>
      <c r="C11">
        <f t="shared" si="0"/>
        <v>0.77272727272727271</v>
      </c>
    </row>
    <row r="12" spans="1:3" x14ac:dyDescent="0.35">
      <c r="A12" t="s">
        <v>51</v>
      </c>
      <c r="C12" t="e">
        <f t="shared" si="0"/>
        <v>#DIV/0!</v>
      </c>
    </row>
    <row r="13" spans="1:3" x14ac:dyDescent="0.35">
      <c r="A13" t="s">
        <v>13</v>
      </c>
      <c r="B13" t="s">
        <v>30</v>
      </c>
    </row>
    <row r="14" spans="1:3" x14ac:dyDescent="0.35">
      <c r="A14" t="s">
        <v>17</v>
      </c>
      <c r="B14" t="s">
        <v>31</v>
      </c>
    </row>
    <row r="15" spans="1:3" x14ac:dyDescent="0.35">
      <c r="A15" s="1" t="s">
        <v>40</v>
      </c>
      <c r="B15" s="7">
        <f ca="1">TODAY()</f>
        <v>44669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Polls</vt:lpstr>
      <vt:lpstr>TSPollsWeight</vt:lpstr>
      <vt:lpstr>TimeSeries</vt:lpstr>
      <vt:lpstr>NullBlanco</vt:lpstr>
      <vt:lpstr>PollRating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Calvo</dc:creator>
  <cp:lastModifiedBy>Sergio Calvo</cp:lastModifiedBy>
  <dcterms:created xsi:type="dcterms:W3CDTF">2022-04-07T15:47:56Z</dcterms:created>
  <dcterms:modified xsi:type="dcterms:W3CDTF">2022-04-18T22:33:00Z</dcterms:modified>
</cp:coreProperties>
</file>