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inan\Desktop\"/>
    </mc:Choice>
  </mc:AlternateContent>
  <xr:revisionPtr revIDLastSave="0" documentId="13_ncr:1_{FD94B1E9-6A23-4F96-B3B8-F91254EC99C3}" xr6:coauthVersionLast="47" xr6:coauthVersionMax="47" xr10:uidLastSave="{00000000-0000-0000-0000-000000000000}"/>
  <bookViews>
    <workbookView xWindow="-110" yWindow="-110" windowWidth="18180" windowHeight="11020" activeTab="3" xr2:uid="{3A73FAFB-91CF-4F44-B839-EB853668BE6D}"/>
  </bookViews>
  <sheets>
    <sheet name="numbers" sheetId="1" r:id="rId1"/>
    <sheet name="Scenario 1" sheetId="2" r:id="rId2"/>
    <sheet name="Scenario 2" sheetId="3" r:id="rId3"/>
    <sheet name="Scenario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5" l="1"/>
  <c r="Q15" i="5"/>
  <c r="Q16" i="5"/>
  <c r="Q17" i="5"/>
  <c r="Q18" i="5"/>
  <c r="Q19" i="5"/>
  <c r="Q20" i="5"/>
  <c r="Q21" i="5"/>
  <c r="Q22" i="5"/>
  <c r="Q13" i="5"/>
  <c r="Q13" i="3"/>
  <c r="Q14" i="3"/>
  <c r="Q15" i="3"/>
  <c r="Q16" i="3"/>
  <c r="Q17" i="3"/>
  <c r="Q18" i="3"/>
  <c r="Q19" i="3"/>
  <c r="Q20" i="3"/>
  <c r="Q21" i="3"/>
  <c r="Q22" i="3"/>
  <c r="Q12" i="3"/>
  <c r="Q14" i="2"/>
  <c r="Q15" i="2"/>
  <c r="Q16" i="2"/>
  <c r="Q17" i="2"/>
  <c r="Q18" i="2"/>
  <c r="Q19" i="2"/>
  <c r="Q20" i="2"/>
  <c r="Q21" i="2"/>
  <c r="Q22" i="2"/>
  <c r="Q13" i="2"/>
  <c r="B4" i="2" a="1"/>
  <c r="B4" i="2" s="1"/>
  <c r="D19" i="3" a="1"/>
  <c r="D19" i="3" s="1"/>
  <c r="K18" i="5"/>
  <c r="K17" i="5"/>
  <c r="B17" i="5" a="1"/>
  <c r="B17" i="5" s="1"/>
  <c r="C17" i="5" s="1"/>
  <c r="D17" i="5" s="1" a="1"/>
  <c r="D17" i="5" s="1"/>
  <c r="D19" i="5" a="1"/>
  <c r="D19" i="5" s="1"/>
  <c r="K16" i="5"/>
  <c r="G16" i="5" a="1"/>
  <c r="G16" i="5" s="1"/>
  <c r="H16" i="5" s="1"/>
  <c r="I16" i="5" s="1" a="1"/>
  <c r="I16" i="5" s="1"/>
  <c r="B16" i="5" a="1"/>
  <c r="B16" i="5" s="1"/>
  <c r="C16" i="5" s="1"/>
  <c r="D16" i="5" s="1" a="1"/>
  <c r="D16" i="5" s="1"/>
  <c r="L15" i="5"/>
  <c r="D20" i="5" s="1" a="1"/>
  <c r="D20" i="5" s="1"/>
  <c r="K15" i="5"/>
  <c r="G15" i="5" a="1"/>
  <c r="G15" i="5" s="1"/>
  <c r="H15" i="5" s="1"/>
  <c r="I15" i="5" s="1" a="1"/>
  <c r="I15" i="5" s="1"/>
  <c r="B15" i="5" a="1"/>
  <c r="B15" i="5" s="1"/>
  <c r="C15" i="5" s="1"/>
  <c r="D15" i="5" s="1" a="1"/>
  <c r="D15" i="5" s="1"/>
  <c r="G14" i="5" a="1"/>
  <c r="G14" i="5" s="1"/>
  <c r="H14" i="5" s="1"/>
  <c r="I14" i="5" s="1" a="1"/>
  <c r="I14" i="5" s="1"/>
  <c r="B14" i="5" a="1"/>
  <c r="B14" i="5" s="1"/>
  <c r="C14" i="5" s="1"/>
  <c r="D14" i="5" s="1" a="1"/>
  <c r="D14" i="5" s="1"/>
  <c r="D10" i="5"/>
  <c r="D10" i="5" a="1"/>
  <c r="D9" i="5" a="1"/>
  <c r="D9" i="5" s="1"/>
  <c r="D8" i="5" a="1"/>
  <c r="D8" i="5" s="1"/>
  <c r="L7" i="5"/>
  <c r="L17" i="5" s="1"/>
  <c r="I17" i="5" s="1" a="1"/>
  <c r="I17" i="5" s="1"/>
  <c r="I7" i="5" a="1"/>
  <c r="I7" i="5" s="1"/>
  <c r="B7" i="5" a="1"/>
  <c r="B7" i="5" s="1"/>
  <c r="C7" i="5" s="1"/>
  <c r="D7" i="5" s="1" a="1"/>
  <c r="D7" i="5" s="1"/>
  <c r="H6" i="5"/>
  <c r="I6" i="5" s="1" a="1"/>
  <c r="I6" i="5" s="1"/>
  <c r="G6" i="5"/>
  <c r="G6" i="5" a="1"/>
  <c r="B6" i="5" a="1"/>
  <c r="B6" i="5" s="1"/>
  <c r="C6" i="5" s="1"/>
  <c r="D6" i="5" s="1" a="1"/>
  <c r="D6" i="5" s="1"/>
  <c r="G5" i="5"/>
  <c r="H5" i="5" s="1"/>
  <c r="I5" i="5" s="1" a="1"/>
  <c r="I5" i="5" s="1"/>
  <c r="G5" i="5" a="1"/>
  <c r="B5" i="5"/>
  <c r="C5" i="5" s="1"/>
  <c r="D5" i="5" s="1" a="1"/>
  <c r="D5" i="5" s="1"/>
  <c r="B5" i="5" a="1"/>
  <c r="G4" i="5"/>
  <c r="H4" i="5" s="1"/>
  <c r="I4" i="5" s="1" a="1"/>
  <c r="I4" i="5" s="1"/>
  <c r="G4" i="5" a="1"/>
  <c r="B4" i="5" a="1"/>
  <c r="B4" i="5" s="1"/>
  <c r="C4" i="5" s="1"/>
  <c r="D4" i="5" s="1" a="1"/>
  <c r="D4" i="5" s="1"/>
  <c r="K18" i="3"/>
  <c r="K17" i="3"/>
  <c r="B17" i="3" a="1"/>
  <c r="B17" i="3" s="1"/>
  <c r="C17" i="3" s="1"/>
  <c r="D17" i="3" s="1" a="1"/>
  <c r="D17" i="3" s="1"/>
  <c r="K16" i="3"/>
  <c r="G16" i="3" a="1"/>
  <c r="G16" i="3" s="1"/>
  <c r="H16" i="3" s="1"/>
  <c r="I16" i="3" s="1" a="1"/>
  <c r="I16" i="3" s="1"/>
  <c r="B16" i="3" a="1"/>
  <c r="B16" i="3" s="1"/>
  <c r="C16" i="3" s="1"/>
  <c r="D16" i="3" s="1" a="1"/>
  <c r="D16" i="3" s="1"/>
  <c r="L15" i="3"/>
  <c r="D20" i="3" s="1" a="1"/>
  <c r="D20" i="3" s="1"/>
  <c r="K15" i="3"/>
  <c r="G15" i="3" a="1"/>
  <c r="G15" i="3" s="1"/>
  <c r="H15" i="3" s="1"/>
  <c r="I15" i="3" s="1" a="1"/>
  <c r="I15" i="3" s="1"/>
  <c r="B15" i="3" a="1"/>
  <c r="B15" i="3" s="1"/>
  <c r="C15" i="3" s="1"/>
  <c r="D15" i="3" s="1" a="1"/>
  <c r="D15" i="3" s="1"/>
  <c r="G14" i="3" a="1"/>
  <c r="G14" i="3" s="1"/>
  <c r="H14" i="3" s="1"/>
  <c r="I14" i="3" s="1" a="1"/>
  <c r="I14" i="3" s="1"/>
  <c r="B14" i="3" a="1"/>
  <c r="B14" i="3" s="1"/>
  <c r="C14" i="3" s="1"/>
  <c r="D14" i="3" s="1" a="1"/>
  <c r="D14" i="3" s="1"/>
  <c r="D10" i="3" a="1"/>
  <c r="D10" i="3" s="1"/>
  <c r="D9" i="3" a="1"/>
  <c r="D9" i="3" s="1"/>
  <c r="L8" i="3"/>
  <c r="L18" i="3" s="1"/>
  <c r="I18" i="3" s="1" a="1"/>
  <c r="I18" i="3" s="1"/>
  <c r="D8" i="3" a="1"/>
  <c r="D8" i="3" s="1"/>
  <c r="L7" i="3"/>
  <c r="L17" i="3" s="1"/>
  <c r="I17" i="3" s="1" a="1"/>
  <c r="I17" i="3" s="1"/>
  <c r="I7" i="3" a="1"/>
  <c r="I7" i="3" s="1"/>
  <c r="B7" i="3" a="1"/>
  <c r="B7" i="3" s="1"/>
  <c r="C7" i="3" s="1"/>
  <c r="D7" i="3" s="1" a="1"/>
  <c r="D7" i="3" s="1"/>
  <c r="G6" i="3" a="1"/>
  <c r="G6" i="3" s="1"/>
  <c r="H6" i="3" s="1"/>
  <c r="I6" i="3" s="1" a="1"/>
  <c r="I6" i="3" s="1"/>
  <c r="B6" i="3" a="1"/>
  <c r="B6" i="3" s="1"/>
  <c r="C6" i="3" s="1"/>
  <c r="D6" i="3" s="1" a="1"/>
  <c r="D6" i="3" s="1"/>
  <c r="G5" i="3" a="1"/>
  <c r="G5" i="3" s="1"/>
  <c r="H5" i="3" s="1"/>
  <c r="I5" i="3" s="1" a="1"/>
  <c r="I5" i="3" s="1"/>
  <c r="B5" i="3" a="1"/>
  <c r="B5" i="3" s="1"/>
  <c r="C5" i="3" s="1"/>
  <c r="D5" i="3" s="1" a="1"/>
  <c r="D5" i="3" s="1"/>
  <c r="G4" i="3"/>
  <c r="H4" i="3" s="1"/>
  <c r="I4" i="3" s="1" a="1"/>
  <c r="I4" i="3" s="1"/>
  <c r="G4" i="3" a="1"/>
  <c r="B4" i="3" a="1"/>
  <c r="B4" i="3" s="1"/>
  <c r="C4" i="3" s="1"/>
  <c r="D4" i="3" s="1" a="1"/>
  <c r="D4" i="3" s="1"/>
  <c r="I18" i="2" a="1"/>
  <c r="I18" i="2" s="1"/>
  <c r="I17" i="2" a="1"/>
  <c r="I17" i="2" s="1"/>
  <c r="D20" i="2" a="1"/>
  <c r="D20" i="2" s="1"/>
  <c r="D19" i="2" a="1"/>
  <c r="D19" i="2" s="1"/>
  <c r="D18" i="2" a="1"/>
  <c r="D18" i="2" s="1"/>
  <c r="K15" i="2"/>
  <c r="L15" i="2"/>
  <c r="K16" i="2"/>
  <c r="L16" i="2"/>
  <c r="K17" i="2"/>
  <c r="L17" i="2"/>
  <c r="K18" i="2"/>
  <c r="L18" i="2"/>
  <c r="I8" i="2" a="1"/>
  <c r="I8" i="2" s="1"/>
  <c r="I7" i="2" a="1"/>
  <c r="I7" i="2" s="1"/>
  <c r="L7" i="2"/>
  <c r="L8" i="2" s="1"/>
  <c r="D10" i="2" a="1"/>
  <c r="D10" i="2" s="1"/>
  <c r="D9" i="2" a="1"/>
  <c r="D9" i="2" s="1"/>
  <c r="D8" i="2" a="1"/>
  <c r="D8" i="2" s="1"/>
  <c r="C5" i="2"/>
  <c r="D5" i="2" s="1" a="1"/>
  <c r="D5" i="2" s="1"/>
  <c r="C6" i="2"/>
  <c r="D6" i="2" s="1" a="1"/>
  <c r="D6" i="2" s="1"/>
  <c r="C7" i="2"/>
  <c r="D7" i="2" s="1" a="1"/>
  <c r="D7" i="2" s="1"/>
  <c r="G16" i="2" a="1"/>
  <c r="G16" i="2" s="1"/>
  <c r="H16" i="2" s="1"/>
  <c r="I16" i="2" s="1" a="1"/>
  <c r="I16" i="2" s="1"/>
  <c r="G15" i="2" a="1"/>
  <c r="G15" i="2" s="1"/>
  <c r="H15" i="2" s="1"/>
  <c r="I15" i="2" s="1" a="1"/>
  <c r="I15" i="2" s="1"/>
  <c r="G14" i="2" a="1"/>
  <c r="G14" i="2" s="1"/>
  <c r="H14" i="2" s="1"/>
  <c r="I14" i="2" s="1" a="1"/>
  <c r="I14" i="2" s="1"/>
  <c r="B15" i="2" a="1"/>
  <c r="B15" i="2" s="1"/>
  <c r="C15" i="2" s="1"/>
  <c r="D15" i="2" s="1" a="1"/>
  <c r="D15" i="2" s="1"/>
  <c r="B16" i="2" a="1"/>
  <c r="B16" i="2" s="1"/>
  <c r="C16" i="2" s="1"/>
  <c r="D16" i="2" s="1" a="1"/>
  <c r="D16" i="2" s="1"/>
  <c r="B17" i="2" a="1"/>
  <c r="B17" i="2" s="1"/>
  <c r="C17" i="2" s="1"/>
  <c r="D17" i="2" s="1" a="1"/>
  <c r="D17" i="2" s="1"/>
  <c r="B14" i="2" a="1"/>
  <c r="B14" i="2" s="1"/>
  <c r="C14" i="2" s="1"/>
  <c r="D14" i="2" s="1" a="1"/>
  <c r="D14" i="2" s="1"/>
  <c r="G5" i="2" a="1"/>
  <c r="G5" i="2" s="1"/>
  <c r="H5" i="2" s="1"/>
  <c r="I5" i="2" s="1" a="1"/>
  <c r="I5" i="2" s="1"/>
  <c r="G6" i="2" a="1"/>
  <c r="G6" i="2" s="1"/>
  <c r="H6" i="2" s="1"/>
  <c r="I6" i="2" s="1" a="1"/>
  <c r="I6" i="2" s="1"/>
  <c r="G4" i="2" a="1"/>
  <c r="G4" i="2" s="1"/>
  <c r="H4" i="2" s="1"/>
  <c r="I4" i="2" s="1" a="1"/>
  <c r="I4" i="2" s="1"/>
  <c r="B6" i="2" a="1"/>
  <c r="B6" i="2" s="1"/>
  <c r="B7" i="2" a="1"/>
  <c r="B7" i="2" s="1"/>
  <c r="B5" i="2" a="1"/>
  <c r="B5" i="2" s="1"/>
  <c r="C4" i="2" l="1"/>
  <c r="D4" i="2" s="1" a="1"/>
  <c r="D4" i="2" s="1"/>
  <c r="D11" i="2" s="1"/>
  <c r="K11" i="1"/>
  <c r="K12" i="1" s="1"/>
  <c r="K13" i="1" s="1"/>
  <c r="I8" i="3" a="1"/>
  <c r="I8" i="3" s="1"/>
  <c r="D11" i="5"/>
  <c r="L8" i="5"/>
  <c r="D18" i="5" a="1"/>
  <c r="D18" i="5" s="1"/>
  <c r="D21" i="5" s="1"/>
  <c r="I21" i="3"/>
  <c r="D11" i="3"/>
  <c r="I11" i="3"/>
  <c r="D18" i="3" a="1"/>
  <c r="D18" i="3" s="1"/>
  <c r="D21" i="3" s="1"/>
  <c r="D21" i="2"/>
  <c r="I11" i="2"/>
  <c r="I21" i="2"/>
  <c r="L11" i="1"/>
  <c r="I8" i="5" l="1" a="1"/>
  <c r="I8" i="5" s="1"/>
  <c r="I11" i="5" s="1"/>
  <c r="L18" i="5"/>
  <c r="I18" i="5" s="1" a="1"/>
  <c r="I18" i="5" s="1"/>
  <c r="I2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<sst xmlns="http://schemas.openxmlformats.org/spreadsheetml/2006/main" count="166" uniqueCount="55">
  <si>
    <t>to get pressure drop, we need f, L, D, rho and V</t>
  </si>
  <si>
    <t>constants:</t>
  </si>
  <si>
    <t>pipe secion</t>
  </si>
  <si>
    <t>L</t>
  </si>
  <si>
    <t>D</t>
  </si>
  <si>
    <t>Assumptions:</t>
  </si>
  <si>
    <t>pipes are smooth</t>
  </si>
  <si>
    <t xml:space="preserve">Tee fitting are not in calculation </t>
  </si>
  <si>
    <t>pipes are new stainless, turblent regimes</t>
  </si>
  <si>
    <t>to get f, we need Re, for turblent region, we need Re, D and epslone</t>
  </si>
  <si>
    <t>coolent density (kg/m^3)</t>
  </si>
  <si>
    <t>ε stainless, new, per mm</t>
  </si>
  <si>
    <t>pipe section 2,12,3,13,4,16,8</t>
  </si>
  <si>
    <t>delta P of:</t>
  </si>
  <si>
    <t>V changes from 1 to 10</t>
  </si>
  <si>
    <t>delta P of</t>
  </si>
  <si>
    <t>total P drop at top path</t>
  </si>
  <si>
    <t>total P drop at bottom path</t>
  </si>
  <si>
    <t>Re&lt;2000</t>
  </si>
  <si>
    <t>Re&gt;3000</t>
  </si>
  <si>
    <t>0.06Re*d</t>
  </si>
  <si>
    <t>4.4Re^1/6</t>
  </si>
  <si>
    <t>thus, the required primary parameters are: rho(density), V(flow speed), mu(viscosicity of fluid), L(length of pipe), D(diameter of pipe)</t>
  </si>
  <si>
    <t>to get Re, we need rho, V, mu and D</t>
  </si>
  <si>
    <t>Re  number</t>
  </si>
  <si>
    <t>Re</t>
  </si>
  <si>
    <t>f</t>
  </si>
  <si>
    <t>delta P</t>
  </si>
  <si>
    <t>-</t>
  </si>
  <si>
    <t>liter per min</t>
  </si>
  <si>
    <t xml:space="preserve">Pa.s </t>
  </si>
  <si>
    <t>entry length</t>
  </si>
  <si>
    <t>= -1.8 *log((6.9/Re)+(0.002*D/3.7)^1.1)</t>
  </si>
  <si>
    <t>1/sqrt(f)</t>
  </si>
  <si>
    <t>sqrt(f)</t>
  </si>
  <si>
    <t>=1/H12</t>
  </si>
  <si>
    <t>H13^2</t>
  </si>
  <si>
    <t>13  (valve)</t>
  </si>
  <si>
    <t>12 (elbow)</t>
  </si>
  <si>
    <t>16 (elbow)</t>
  </si>
  <si>
    <t>14 (expension)</t>
  </si>
  <si>
    <t>15(contraction)</t>
  </si>
  <si>
    <t>Kelbow</t>
  </si>
  <si>
    <t>Kvalve</t>
  </si>
  <si>
    <t>elbow resistance coeff</t>
  </si>
  <si>
    <t xml:space="preserve">elbow diameter 0.02m, or 0.78 in, assume screwed on. </t>
  </si>
  <si>
    <t>Kexpansion</t>
  </si>
  <si>
    <t>Kcontraction</t>
  </si>
  <si>
    <t xml:space="preserve">upper </t>
  </si>
  <si>
    <t>lower</t>
  </si>
  <si>
    <t>K changes from 0 to 10</t>
  </si>
  <si>
    <t xml:space="preserve">lower </t>
  </si>
  <si>
    <t>ratio</t>
  </si>
  <si>
    <t>upper</t>
  </si>
  <si>
    <t xml:space="preserve">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</si>
</sst>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0625">
        <fgColor auto="1"/>
        <bgColor auto="1"/>
      </patternFill>
    </fill>
    <fill>
      <patternFill patternType="gray0625"/>
    </fill>
  </fills>
  <borders count="24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00B050"/>
      </left>
      <right/>
      <top style="double">
        <color rgb="FF00B050"/>
      </top>
      <bottom/>
      <diagonal/>
    </border>
    <border>
      <left/>
      <right/>
      <top style="double">
        <color rgb="FF00B050"/>
      </top>
      <bottom/>
      <diagonal/>
    </border>
    <border>
      <left style="double">
        <color rgb="FF00B050"/>
      </left>
      <right/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/>
      <top/>
      <bottom style="double">
        <color rgb="FF00B050"/>
      </bottom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uble">
        <color rgb="FF00B05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Down="1">
      <left/>
      <right/>
      <top/>
      <bottom style="double">
        <color rgb="FFFF0000"/>
      </bottom>
      <diagonal style="double">
        <color rgb="FFFF0000"/>
      </diagonal>
    </border>
    <border diagonalDown="1">
      <left/>
      <right/>
      <top/>
      <bottom style="double">
        <color rgb="FF00B050"/>
      </bottom>
      <diagonal style="double">
        <color rgb="FFFF0000"/>
      </diagonal>
    </border>
    <border diagonalDown="1">
      <left/>
      <right/>
      <top/>
      <bottom/>
      <diagonal style="double">
        <color rgb="FFFF0000"/>
      </diagonal>
    </border>
    <border diagonalDown="1">
      <left/>
      <right style="double">
        <color rgb="FFFF0000"/>
      </right>
      <top/>
      <bottom/>
      <diagonal style="double">
        <color rgb="FFFF0000"/>
      </diagonal>
    </border>
    <border>
      <left/>
      <right/>
      <top style="double">
        <color rgb="FFFF0000"/>
      </top>
      <bottom style="double">
        <color rgb="FFFF0000"/>
      </bottom>
      <diagonal/>
    </border>
    <border diagonalDown="1">
      <left/>
      <right style="double">
        <color rgb="FFFF0000"/>
      </right>
      <top style="double">
        <color rgb="FFFF0000"/>
      </top>
      <bottom/>
      <diagonal style="double">
        <color rgb="FFFF0000"/>
      </diagonal>
    </border>
    <border diagonalDown="1">
      <left/>
      <right style="double">
        <color rgb="FFFF0000"/>
      </right>
      <top/>
      <bottom style="double">
        <color rgb="FFFF0000"/>
      </bottom>
      <diagonal style="double">
        <color rgb="FFFF0000"/>
      </diagonal>
    </border>
    <border>
      <left/>
      <right/>
      <top style="double">
        <color rgb="FFFF0000"/>
      </top>
      <bottom style="double">
        <color rgb="FF00B050"/>
      </bottom>
      <diagonal/>
    </border>
    <border diagonalDown="1">
      <left/>
      <right style="double">
        <color rgb="FF00B050"/>
      </right>
      <top/>
      <bottom/>
      <diagonal style="double">
        <color rgb="FFFF0000"/>
      </diagonal>
    </border>
    <border diagonalDown="1">
      <left/>
      <right style="double">
        <color rgb="FF00B050"/>
      </right>
      <top/>
      <bottom style="double">
        <color rgb="FF00B050"/>
      </bottom>
      <diagonal style="double">
        <color rgb="FFFF0000"/>
      </diagonal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quotePrefix="1"/>
    <xf numFmtId="0" fontId="0" fillId="0" borderId="3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right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3" xfId="0" applyFill="1" applyBorder="1" applyAlignment="1">
      <alignment horizontal="right"/>
    </xf>
    <xf numFmtId="0" fontId="0" fillId="3" borderId="16" xfId="0" applyFill="1" applyBorder="1"/>
    <xf numFmtId="0" fontId="0" fillId="3" borderId="4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0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4" borderId="16" xfId="0" applyFill="1" applyBorder="1"/>
    <xf numFmtId="0" fontId="0" fillId="4" borderId="5" xfId="0" applyFill="1" applyBorder="1"/>
    <xf numFmtId="0" fontId="0" fillId="4" borderId="14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5" xfId="0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pressure drop vs flow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4927273122764"/>
          <c:y val="2.7777777777777776E-2"/>
          <c:w val="0.86171084864391956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Upper Path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 1'!$N$13:$N$22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'Scenario 1'!$O$13:$O$22</c:f>
              <c:numCache>
                <c:formatCode>General</c:formatCode>
                <c:ptCount val="10"/>
                <c:pt idx="0">
                  <c:v>5347.0534736005702</c:v>
                </c:pt>
                <c:pt idx="1">
                  <c:v>20721.958024981031</c:v>
                </c:pt>
                <c:pt idx="2">
                  <c:v>45907.363787635069</c:v>
                </c:pt>
                <c:pt idx="3">
                  <c:v>80812.922656979106</c:v>
                </c:pt>
                <c:pt idx="4">
                  <c:v>125383.1096137058</c:v>
                </c:pt>
                <c:pt idx="5">
                  <c:v>179579.03091569565</c:v>
                </c:pt>
                <c:pt idx="6">
                  <c:v>243371.42201064271</c:v>
                </c:pt>
                <c:pt idx="7">
                  <c:v>316737.23236931732</c:v>
                </c:pt>
                <c:pt idx="8">
                  <c:v>399657.71604011784</c:v>
                </c:pt>
                <c:pt idx="9">
                  <c:v>492117.26255095965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5A6-4DBA-916F-322D0F1CADEF}"/>
            </c:ext>
          </c:extLst>
        </c:ser>
        <c:ser>
          <c:idx val="1"/>
          <c:order val="1"/>
          <c:tx>
            <c:v>Lower path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'Scenario 1'!$N$13:$N$22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'Scenario 1'!$P$13:$P$22</c:f>
              <c:numCache>
                <c:formatCode>General</c:formatCode>
                <c:ptCount val="10"/>
                <c:pt idx="0">
                  <c:v>4264.3616582379127</c:v>
                </c:pt>
                <c:pt idx="1">
                  <c:v>14536.269541521971</c:v>
                </c:pt>
                <c:pt idx="2">
                  <c:v>30019.417162327947</c:v>
                </c:pt>
                <c:pt idx="3">
                  <c:v>50379.658778410543</c:v>
                </c:pt>
                <c:pt idx="4">
                  <c:v>75409.009949563377</c:v>
                </c:pt>
                <c:pt idx="5">
                  <c:v>104959.77624569379</c:v>
                </c:pt>
                <c:pt idx="6">
                  <c:v>138919.24483109184</c:v>
                </c:pt>
                <c:pt idx="7">
                  <c:v>177197.3474850021</c:v>
                </c:pt>
                <c:pt idx="8">
                  <c:v>219719.76185237968</c:v>
                </c:pt>
                <c:pt idx="9">
                  <c:v>266423.6848149391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5A6-4DBA-916F-322D0F1CADEF}"/>
            </c:ext>
          </c:extLst>
        </c:ser>
        <c:ser>
          <c:idx val="2"/>
          <c:order val="2"/>
          <c:tx>
            <c:v>interaction dots upper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'Scenario 1'!$K$13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'Scenario 1'!$D$21</c:f>
              <c:numCache>
                <c:formatCode>General</c:formatCode>
                <c:ptCount val="1"/>
                <c:pt idx="0">
                  <c:v>5347.0534736005702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5A6-4DBA-916F-322D0F1CADEF}"/>
            </c:ext>
          </c:extLst>
        </c:ser>
        <c:ser>
          <c:idx val="3"/>
          <c:order val="3"/>
          <c:tx>
            <c:v>interaction dots lower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chemeClr val="accent4"/>
              </a:solidFill>
              <a:ln w="9525">
                <a:solidFill>
                  <a:schemeClr val="accent4">
                    <a:alpha val="96000"/>
                  </a:schemeClr>
                </a:solidFill>
              </a:ln>
              <a:effectLst/>
            </c:spPr>
          </c:marker>
          <c:xVal>
            <c:numRef>
              <c:f>'Scenario 1'!$K$13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'Scenario 1'!$I$21</c:f>
              <c:numCache>
                <c:formatCode>General</c:formatCode>
                <c:ptCount val="1"/>
                <c:pt idx="0">
                  <c:v>4264.3616582379127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5A6-4DBA-916F-322D0F1CADE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44419376"/>
        <c:axId val="2044429360"/>
      </c:scatterChart>
      <c:valAx>
        <c:axId val="204441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flow rate lpm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429360"/>
        <c:crosses val="autoZero"/>
        <c:crossBetween val="midCat"/>
      </c:valAx>
      <c:valAx>
        <c:axId val="2044429360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pressure drop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419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ratio change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 1'!$N$13:$N$22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'Scenario 1'!$Q$13:$Q$22</c:f>
              <c:numCache>
                <c:formatCode>General</c:formatCode>
                <c:ptCount val="10"/>
                <c:pt idx="0">
                  <c:v>1.2538930564838722</c:v>
                </c:pt>
                <c:pt idx="1">
                  <c:v>1.4255347952781157</c:v>
                </c:pt>
                <c:pt idx="2">
                  <c:v>1.529255666070868</c:v>
                </c:pt>
                <c:pt idx="3">
                  <c:v>1.6040784041913814</c:v>
                </c:pt>
                <c:pt idx="4">
                  <c:v>1.6627072772546296</c:v>
                </c:pt>
                <c:pt idx="5">
                  <c:v>1.7109319144824613</c:v>
                </c:pt>
                <c:pt idx="6">
                  <c:v>1.7518913402282847</c:v>
                </c:pt>
                <c:pt idx="7">
                  <c:v>1.7874829215269479</c:v>
                </c:pt>
                <c:pt idx="8">
                  <c:v>1.8189429693112027</c:v>
                </c:pt>
                <c:pt idx="9">
                  <c:v>1.8471227995093225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D2-44F7-9370-F8BA5E9E5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404224"/>
        <c:axId val="1899392992"/>
      </c:scatterChart>
      <c:valAx>
        <c:axId val="189940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Flow</a:t>
                </a:r>
                <a:r>
                  <a:rPr lang="en-CA" baseline="0"/>
                  <a:t> rate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92992"/>
        <c:crosses val="autoZero"/>
        <c:crossBetween val="midCat"/>
      </c:valAx>
      <c:valAx>
        <c:axId val="189939299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upper/lower</a:t>
                </a:r>
                <a:r>
                  <a:rPr lang="en-CA" baseline="0"/>
                  <a:t> ratio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40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pressure drop vs K</a:t>
            </a:r>
            <a:r>
              <a:rPr lang="en-CA" baseline="0"/>
              <a:t> factor of valve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v>upper path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'Scenario 2'!$N$12:$N$22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'Scenario 2'!$O$12:$O$22</c:f>
              <c:numCache>
                <c:formatCode>General</c:formatCode>
                <c:ptCount val="11"/>
                <c:pt idx="0">
                  <c:v>62883.109613705805</c:v>
                </c:pt>
                <c:pt idx="1">
                  <c:v>75383.109613705805</c:v>
                </c:pt>
                <c:pt idx="2">
                  <c:v>87883.109613705805</c:v>
                </c:pt>
                <c:pt idx="3">
                  <c:v>100383.1096137058</c:v>
                </c:pt>
                <c:pt idx="4">
                  <c:v>112883.1096137058</c:v>
                </c:pt>
                <c:pt idx="5">
                  <c:v>125383.1096137058</c:v>
                </c:pt>
                <c:pt idx="6">
                  <c:v>137883.1096137058</c:v>
                </c:pt>
                <c:pt idx="7">
                  <c:v>150383.1096137058</c:v>
                </c:pt>
                <c:pt idx="8">
                  <c:v>162883.1096137058</c:v>
                </c:pt>
                <c:pt idx="9">
                  <c:v>175383.1096137058</c:v>
                </c:pt>
                <c:pt idx="10">
                  <c:v>187883.1096137058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BA-4F97-BE6E-9A5089F09750}"/>
            </c:ext>
          </c:extLst>
        </c:ser>
        <c:ser>
          <c:idx val="0"/>
          <c:order val="1"/>
          <c:tx>
            <c:v>Lower Path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 2'!$N$12:$N$22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'Scenario 2'!$P$12:$P$22</c:f>
              <c:numCache>
                <c:formatCode>General</c:formatCode>
                <c:ptCount val="11"/>
                <c:pt idx="0">
                  <c:v>75409.009949563377</c:v>
                </c:pt>
                <c:pt idx="1">
                  <c:v>75409.009949563377</c:v>
                </c:pt>
                <c:pt idx="2">
                  <c:v>75409.009949563377</c:v>
                </c:pt>
                <c:pt idx="3">
                  <c:v>75409.009949563377</c:v>
                </c:pt>
                <c:pt idx="4">
                  <c:v>75409.009949563377</c:v>
                </c:pt>
                <c:pt idx="5">
                  <c:v>75409.009949563377</c:v>
                </c:pt>
                <c:pt idx="6">
                  <c:v>75409.009949563377</c:v>
                </c:pt>
                <c:pt idx="7">
                  <c:v>75409.009949563377</c:v>
                </c:pt>
                <c:pt idx="8">
                  <c:v>75409.009949563377</c:v>
                </c:pt>
                <c:pt idx="9">
                  <c:v>75409.009949563377</c:v>
                </c:pt>
                <c:pt idx="10">
                  <c:v>75409.009949563377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BA-4F97-BE6E-9A5089F09750}"/>
            </c:ext>
          </c:extLst>
        </c:ser>
        <c:ser>
          <c:idx val="1"/>
          <c:order val="2"/>
          <c:tx>
            <c:v>tracker upper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'Scenario 2'!$L$16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'Scenario 2'!$D$21</c:f>
              <c:numCache>
                <c:formatCode>General</c:formatCode>
                <c:ptCount val="1"/>
                <c:pt idx="0">
                  <c:v>62883.109613705805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BA-4F97-BE6E-9A5089F09750}"/>
            </c:ext>
          </c:extLst>
        </c:ser>
        <c:ser>
          <c:idx val="2"/>
          <c:order val="3"/>
          <c:tx>
            <c:v>tracker lower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'Scenario 2'!$L$16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'Scenario 2'!$I$21</c:f>
              <c:numCache>
                <c:formatCode>General</c:formatCode>
                <c:ptCount val="1"/>
                <c:pt idx="0">
                  <c:v>75409.009949563377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0BA-4F97-BE6E-9A5089F0975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40678160"/>
        <c:axId val="2040677328"/>
      </c:scatterChart>
      <c:valAx>
        <c:axId val="204067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Valve</a:t>
                </a:r>
                <a:r>
                  <a:rPr lang="en-CA" baseline="0"/>
                  <a:t> resistance coeff. (K)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77328"/>
        <c:crosses val="autoZero"/>
        <c:crossBetween val="midCat"/>
      </c:valAx>
      <c:valAx>
        <c:axId val="204067732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Pressure drop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7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ration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 2'!$N$12:$N$22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'Scenario 2'!$Q$12:$Q$22</c:f>
              <c:numCache>
                <c:formatCode>General</c:formatCode>
                <c:ptCount val="11"/>
                <c:pt idx="0">
                  <c:v>0.8338938497636369</c:v>
                </c:pt>
                <c:pt idx="1">
                  <c:v>0.99965653526183551</c:v>
                </c:pt>
                <c:pt idx="2">
                  <c:v>1.165419220760034</c:v>
                </c:pt>
                <c:pt idx="3">
                  <c:v>1.3311819062582326</c:v>
                </c:pt>
                <c:pt idx="4">
                  <c:v>1.4969445917564312</c:v>
                </c:pt>
                <c:pt idx="5">
                  <c:v>1.6627072772546296</c:v>
                </c:pt>
                <c:pt idx="6">
                  <c:v>1.8284699627528282</c:v>
                </c:pt>
                <c:pt idx="7">
                  <c:v>1.9942326482510269</c:v>
                </c:pt>
                <c:pt idx="8">
                  <c:v>2.1599953337492255</c:v>
                </c:pt>
                <c:pt idx="9">
                  <c:v>2.3257580192474241</c:v>
                </c:pt>
                <c:pt idx="10">
                  <c:v>2.4915207047456227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1-4D8D-B2DB-D71F6050E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05056"/>
        <c:axId val="73706720"/>
      </c:scatterChart>
      <c:valAx>
        <c:axId val="7370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Valve resistance Coeff.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06720"/>
        <c:crosses val="autoZero"/>
        <c:crossBetween val="midCat"/>
      </c:valAx>
      <c:valAx>
        <c:axId val="737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change in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0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pressure drop vs viscosicity of coolent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Upper Path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 3'!$N$13:$N$22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'Scenario 3'!$O$13:$O$22</c:f>
              <c:numCache>
                <c:formatCode>General</c:formatCode>
                <c:ptCount val="10"/>
                <c:pt idx="0">
                  <c:v>125383.1096137058</c:v>
                </c:pt>
                <c:pt idx="1">
                  <c:v>128380.71004662076</c:v>
                </c:pt>
                <c:pt idx="2">
                  <c:v>130506.58314146282</c:v>
                </c:pt>
                <c:pt idx="3">
                  <c:v>132216.99387669232</c:v>
                </c:pt>
                <c:pt idx="4">
                  <c:v>133676.33684001426</c:v>
                </c:pt>
                <c:pt idx="5">
                  <c:v>134964.72465227824</c:v>
                </c:pt>
                <c:pt idx="6">
                  <c:v>136127.89560548629</c:v>
                </c:pt>
                <c:pt idx="7">
                  <c:v>137194.69859458873</c:v>
                </c:pt>
                <c:pt idx="8">
                  <c:v>138184.62969699409</c:v>
                </c:pt>
                <c:pt idx="9">
                  <c:v>139111.55096389019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C3-4D8B-9BCD-E4C82D1F8B8D}"/>
            </c:ext>
          </c:extLst>
        </c:ser>
        <c:ser>
          <c:idx val="1"/>
          <c:order val="1"/>
          <c:tx>
            <c:v>lower path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'Scenario 3'!$N$13:$N$22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'Scenario 3'!$P$13:$P$22</c:f>
              <c:numCache>
                <c:formatCode>General</c:formatCode>
                <c:ptCount val="10"/>
                <c:pt idx="0">
                  <c:v>75409.009949563377</c:v>
                </c:pt>
                <c:pt idx="1">
                  <c:v>86606.428716858747</c:v>
                </c:pt>
                <c:pt idx="2">
                  <c:v>94594.159508757861</c:v>
                </c:pt>
                <c:pt idx="3">
                  <c:v>101060.72036202719</c:v>
                </c:pt>
                <c:pt idx="4">
                  <c:v>106609.04145594782</c:v>
                </c:pt>
                <c:pt idx="5">
                  <c:v>111532.09314895008</c:v>
                </c:pt>
                <c:pt idx="6">
                  <c:v>115996.96624378378</c:v>
                </c:pt>
                <c:pt idx="7">
                  <c:v>120109.02442148355</c:v>
                </c:pt>
                <c:pt idx="8">
                  <c:v>123939.48127587288</c:v>
                </c:pt>
                <c:pt idx="9">
                  <c:v>127538.98722434905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C3-4D8B-9BCD-E4C82D1F8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248688"/>
        <c:axId val="1921247440"/>
      </c:scatterChart>
      <c:valAx>
        <c:axId val="192124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viscosicity</a:t>
                </a:r>
                <a:r>
                  <a:rPr lang="en-CA" baseline="0"/>
                  <a:t> Pa.s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247440"/>
        <c:crosses val="autoZero"/>
        <c:crossBetween val="midCat"/>
      </c:valAx>
      <c:valAx>
        <c:axId val="1921247440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pressure drop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24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ratio</a:t>
            </a:r>
            <a:r>
              <a:rPr lang="en-CA" baseline="0"/>
              <a:t> change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 3'!$N$13:$N$22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'Scenario 3'!$Q$13:$Q$22</c:f>
              <c:numCache>
                <c:formatCode>General</c:formatCode>
                <c:ptCount val="10"/>
                <c:pt idx="0">
                  <c:v>1.6627072772546296</c:v>
                </c:pt>
                <c:pt idx="1">
                  <c:v>1.4823461947188024</c:v>
                </c:pt>
                <c:pt idx="2">
                  <c:v>1.3796473674400591</c:v>
                </c:pt>
                <c:pt idx="3">
                  <c:v>1.3082926126298606</c:v>
                </c:pt>
                <c:pt idx="4">
                  <c:v>1.2538930564838722</c:v>
                </c:pt>
                <c:pt idx="5">
                  <c:v>1.2100976574700708</c:v>
                </c:pt>
                <c:pt idx="6">
                  <c:v>1.1735470332852891</c:v>
                </c:pt>
                <c:pt idx="7">
                  <c:v>1.1422513774914078</c:v>
                </c:pt>
                <c:pt idx="8">
                  <c:v>1.1149363243615116</c:v>
                </c:pt>
                <c:pt idx="9">
                  <c:v>1.090737459904588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94-435B-990A-5859A46C9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51888"/>
        <c:axId val="179252304"/>
      </c:scatterChart>
      <c:valAx>
        <c:axId val="17925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Viscosicity of coolent Pa.s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2304"/>
        <c:crosses val="autoZero"/>
        <c:crossBetween val="midCat"/>
      </c:valAx>
      <c:valAx>
        <c:axId val="1792523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Ratio change b/w upper and lower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$K$13" horiz="1" max="10" min="1"/>
</file>

<file path=xl/ctrlProps/ctrlProp2.xml><?xml version="1.0" encoding="utf-8"?>
<formControlPr xmlns="http://schemas.microsoft.com/office/spreadsheetml/2009/9/main" objectType="Scroll" dx="31" fmlaLink="$L$16" horiz="1" max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1038412</xdr:colOff>
      <xdr:row>21</xdr:row>
      <xdr:rowOff>122518</xdr:rowOff>
    </xdr:from>
    <xdr:to>
      <xdr:col>6</xdr:col>
      <xdr:colOff>127000</xdr:colOff>
      <xdr:row>36</xdr:row>
      <xdr:rowOff>56777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06C49D-0DCE-97A4-AB9C-3A48FE367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1006661</xdr:colOff>
          <xdr:row>36</xdr:row>
          <xdr:rowOff>59764</xdr:rowOff>
        </xdr:from>
        <xdr:to>
          <xdr:col>6</xdr:col>
          <xdr:colOff>127000</xdr:colOff>
          <xdr:row>39</xdr:row>
          <xdr:rowOff>149412</xdr:rowOff>
        </xdr:to>
        <xdr:sp macro="" textlink="">
          <xdr:nvSpPr>
            <xdr:cNvPr id="2054" name="Scroll Ba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410883</xdr:colOff>
      <xdr:row>21</xdr:row>
      <xdr:rowOff>115047</xdr:rowOff>
    </xdr:from>
    <xdr:to>
      <xdr:col>13</xdr:col>
      <xdr:colOff>156883</xdr:colOff>
      <xdr:row>36</xdr:row>
      <xdr:rowOff>49306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731492-418E-1B06-AC0B-AA12C5E69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224117</xdr:colOff>
      <xdr:row>22</xdr:row>
      <xdr:rowOff>167339</xdr:rowOff>
    </xdr:from>
    <xdr:to>
      <xdr:col>5</xdr:col>
      <xdr:colOff>747058</xdr:colOff>
      <xdr:row>37</xdr:row>
      <xdr:rowOff>109069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2513B7-B03E-5A50-32CD-84F922D7C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36</xdr:row>
          <xdr:rowOff>158750</xdr:rowOff>
        </xdr:from>
        <xdr:to>
          <xdr:col>5</xdr:col>
          <xdr:colOff>755650</xdr:colOff>
          <xdr:row>39</xdr:row>
          <xdr:rowOff>165100</xdr:rowOff>
        </xdr:to>
        <xdr:sp macro="" textlink="">
          <xdr:nvSpPr>
            <xdr:cNvPr id="3076" name="Scroll Ba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903941</xdr:colOff>
      <xdr:row>23</xdr:row>
      <xdr:rowOff>10458</xdr:rowOff>
    </xdr:from>
    <xdr:to>
      <xdr:col>11</xdr:col>
      <xdr:colOff>605118</xdr:colOff>
      <xdr:row>37</xdr:row>
      <xdr:rowOff>138953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457D9F-94F7-EE2C-C3F3-03439A39E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22</xdr:row>
      <xdr:rowOff>2987</xdr:rowOff>
    </xdr:from>
    <xdr:to>
      <xdr:col>5</xdr:col>
      <xdr:colOff>657412</xdr:colOff>
      <xdr:row>36</xdr:row>
      <xdr:rowOff>131481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EEDF2-004A-CD9E-4A13-CC6F6CB92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1195293</xdr:colOff>
      <xdr:row>22</xdr:row>
      <xdr:rowOff>10459</xdr:rowOff>
    </xdr:from>
    <xdr:to>
      <xdr:col>11</xdr:col>
      <xdr:colOff>896470</xdr:colOff>
      <xdr:row>36</xdr:row>
      <xdr:rowOff>138953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326F3B-D0B8-3623-F66D-AB78BF5A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18CC-8905-40D8-AF25-2CB5CBCA071D}" name="Table1" displayName="Table1" ref="A7:C14" totalsRowShown="0">
  <autoFilter ref="A7:C14" xr:uid="{B31B18CC-8905-40D8-AF25-2CB5CBCA071D}"/>
  <tableColumns count="3">
    <tableColumn id="1" xr3:uid="{7669146F-EEEA-458A-91CA-6C5DC2B558B5}" name="pipe secion"/>
    <tableColumn id="2" xr3:uid="{F293183F-5E56-41C2-AF4B-7B9975088816}" name="L"/>
    <tableColumn id="3" xr3:uid="{D6B8872C-D7D0-4927-A5C2-0AE93C63806D}" name="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F9FA05-1C33-4C65-959F-C8880A4C1B98}" name="Table2" displayName="Table2" ref="E7:E8" totalsRowShown="0" headerRowDxfId="0">
  <autoFilter ref="E7:E8" xr:uid="{87F9FA05-1C33-4C65-959F-C8880A4C1B98}"/>
  <tableColumns count="1">
    <tableColumn id="1" xr3:uid="{46F20FC3-6141-4FE2-9C70-4545B1AC88CB}" name="ε stainless, new, per m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2F17F-1C35-4217-AD56-E9B2E1D0022D}" name="Table3" displayName="Table3" ref="E10:E11" totalsRowShown="0">
  <autoFilter ref="E10:E11" xr:uid="{5F22F17F-1C35-4217-AD56-E9B2E1D0022D}"/>
  <tableColumns count="1">
    <tableColumn id="1" xr3:uid="{A5D8D505-6630-4477-9B19-0EEB17D2BA7C}" name="coolent density (kg/m^3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79532B-640D-48A6-936A-3ABEC2C0F21F}" name="Table5" displayName="Table5" ref="G7:H9" totalsRowShown="0">
  <autoFilter ref="G7:H9" xr:uid="{C079532B-640D-48A6-936A-3ABEC2C0F21F}"/>
  <tableColumns count="2">
    <tableColumn id="1" xr3:uid="{055CFB4E-8192-4B02-897E-C2FB1BA15993}" name="Re  number"/>
    <tableColumn id="2" xr3:uid="{1C2777C4-F29D-474F-8A86-2FDBBFE430CC}" name="entry 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57CBFE-8FBB-4AE0-AC5E-1EFA00B1BF77}" name="Table6" displayName="Table6" ref="E13:E14" totalsRowShown="0">
  <autoFilter ref="E13:E14" xr:uid="{FF57CBFE-8FBB-4AE0-AC5E-1EFA00B1BF77}"/>
  <tableColumns count="1">
    <tableColumn id="1" xr3:uid="{BE5E7C3A-7EF1-48A6-BE41-8458FDEC5446}" name="elbow resistance co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F9F2-FC41-4707-95B8-7FB06FB3E6D8}">
  <dimension ref="A1:L20"/>
  <sheetViews>
    <sheetView workbookViewId="0">
      <selection activeCell="F16" sqref="F16"/>
    </sheetView>
  </sheetViews>
  <sheetFormatPr defaultRowHeight="14.5" x14ac:dyDescent="0.35"/>
  <cols>
    <col min="1" max="1" width="12.1796875" customWidth="1"/>
    <col min="5" max="5" width="23.90625" customWidth="1"/>
    <col min="7" max="7" width="13.453125" customWidth="1"/>
    <col min="8" max="8" width="17.7265625" customWidth="1"/>
  </cols>
  <sheetData>
    <row r="1" spans="1:12" x14ac:dyDescent="0.35">
      <c r="A1" t="s">
        <v>23</v>
      </c>
    </row>
    <row r="2" spans="1:12" x14ac:dyDescent="0.35">
      <c r="A2" t="s">
        <v>9</v>
      </c>
    </row>
    <row r="3" spans="1:12" x14ac:dyDescent="0.35">
      <c r="A3" t="s">
        <v>0</v>
      </c>
    </row>
    <row r="4" spans="1:12" x14ac:dyDescent="0.35">
      <c r="A4" t="s">
        <v>22</v>
      </c>
    </row>
    <row r="6" spans="1:12" x14ac:dyDescent="0.35">
      <c r="A6" t="s">
        <v>1</v>
      </c>
    </row>
    <row r="7" spans="1:12" x14ac:dyDescent="0.35">
      <c r="A7" t="s">
        <v>2</v>
      </c>
      <c r="B7" t="s">
        <v>3</v>
      </c>
      <c r="C7" t="s">
        <v>4</v>
      </c>
      <c r="E7" s="1" t="s">
        <v>11</v>
      </c>
      <c r="G7" t="s">
        <v>24</v>
      </c>
      <c r="H7" t="s">
        <v>31</v>
      </c>
      <c r="J7" t="s">
        <v>33</v>
      </c>
      <c r="K7" s="16" t="s">
        <v>32</v>
      </c>
    </row>
    <row r="8" spans="1:12" x14ac:dyDescent="0.35">
      <c r="A8">
        <v>2</v>
      </c>
      <c r="B8">
        <v>0.2</v>
      </c>
      <c r="C8">
        <v>0.02</v>
      </c>
      <c r="E8">
        <v>2E-3</v>
      </c>
      <c r="G8" t="s">
        <v>18</v>
      </c>
      <c r="H8" t="s">
        <v>20</v>
      </c>
      <c r="J8" t="s">
        <v>34</v>
      </c>
      <c r="K8" s="16" t="s">
        <v>35</v>
      </c>
    </row>
    <row r="9" spans="1:12" x14ac:dyDescent="0.35">
      <c r="A9">
        <v>3</v>
      </c>
      <c r="B9">
        <v>0.3</v>
      </c>
      <c r="C9">
        <v>0.02</v>
      </c>
      <c r="G9" t="s">
        <v>19</v>
      </c>
      <c r="H9" t="s">
        <v>21</v>
      </c>
      <c r="J9" t="s">
        <v>26</v>
      </c>
      <c r="K9" t="s">
        <v>36</v>
      </c>
    </row>
    <row r="10" spans="1:12" x14ac:dyDescent="0.35">
      <c r="A10">
        <v>4</v>
      </c>
      <c r="B10">
        <v>1</v>
      </c>
      <c r="C10">
        <v>0.02</v>
      </c>
      <c r="E10" t="s">
        <v>10</v>
      </c>
    </row>
    <row r="11" spans="1:12" x14ac:dyDescent="0.35">
      <c r="A11">
        <v>8</v>
      </c>
      <c r="B11">
        <v>0.2</v>
      </c>
      <c r="C11">
        <v>0.02</v>
      </c>
      <c r="E11">
        <v>1000</v>
      </c>
      <c r="J11" t="s">
        <v>33</v>
      </c>
      <c r="K11" s="16">
        <f xml:space="preserve"> -1.8 *LOG((6.9/'Scenario 1'!B4)+(0.002*numbers!C8/3.7)^1.1)</f>
        <v>6.2241573968897139</v>
      </c>
      <c r="L11">
        <f>(1/( -1.8 *LOG((6.9/'Scenario 1'!B4)+(0.002*numbers!C8/3.7)^1.1)))^2</f>
        <v>2.5813022908248714E-2</v>
      </c>
    </row>
    <row r="12" spans="1:12" x14ac:dyDescent="0.35">
      <c r="A12">
        <v>5</v>
      </c>
      <c r="B12">
        <v>0.2</v>
      </c>
      <c r="C12">
        <v>0.02</v>
      </c>
      <c r="J12" t="s">
        <v>34</v>
      </c>
      <c r="K12" s="16">
        <f>1/K11</f>
        <v>0.16066431747045987</v>
      </c>
    </row>
    <row r="13" spans="1:12" x14ac:dyDescent="0.35">
      <c r="A13">
        <v>6</v>
      </c>
      <c r="B13">
        <v>2</v>
      </c>
      <c r="C13">
        <v>0.01</v>
      </c>
      <c r="E13" t="s">
        <v>44</v>
      </c>
      <c r="J13" t="s">
        <v>26</v>
      </c>
      <c r="K13">
        <f>K12^2</f>
        <v>2.5813022908248714E-2</v>
      </c>
    </row>
    <row r="14" spans="1:12" x14ac:dyDescent="0.35">
      <c r="A14">
        <v>7</v>
      </c>
      <c r="B14">
        <v>1</v>
      </c>
      <c r="C14">
        <v>0.02</v>
      </c>
      <c r="E14">
        <v>1.75</v>
      </c>
    </row>
    <row r="16" spans="1:12" x14ac:dyDescent="0.35">
      <c r="A16" t="s">
        <v>5</v>
      </c>
    </row>
    <row r="17" spans="1:1" x14ac:dyDescent="0.35">
      <c r="A17" t="s">
        <v>8</v>
      </c>
    </row>
    <row r="18" spans="1:1" x14ac:dyDescent="0.35">
      <c r="A18" t="s">
        <v>6</v>
      </c>
    </row>
    <row r="19" spans="1:1" x14ac:dyDescent="0.35">
      <c r="A19" t="s">
        <v>7</v>
      </c>
    </row>
    <row r="20" spans="1:1" x14ac:dyDescent="0.35">
      <c r="A20" t="s">
        <v>45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816F-5201-4E46-B84C-A1C23D6F7FAB}">
  <dimension ref="A1:Q22"/>
  <sheetViews>
    <sheetView topLeftCell="A15" zoomScale="85" zoomScaleNormal="85" workbookViewId="0">
      <selection activeCell="L39" sqref="L39"/>
    </sheetView>
  </sheetViews>
  <sheetFormatPr defaultRowHeight="14.5" x14ac:dyDescent="0.35"/>
  <cols>
    <col min="1" max="1" width="20.54296875" customWidth="1"/>
    <col min="3" max="3" width="10.08984375" customWidth="1"/>
    <col min="4" max="4" width="9.81640625" bestFit="1" customWidth="1"/>
    <col min="6" max="6" width="23.54296875" customWidth="1"/>
    <col min="11" max="11" width="11.08984375" customWidth="1"/>
    <col min="12" max="12" width="14.08984375" customWidth="1"/>
    <col min="14" max="14" width="8.7265625" customWidth="1"/>
    <col min="15" max="15" width="9.26953125" customWidth="1"/>
  </cols>
  <sheetData>
    <row r="1" spans="1:17" x14ac:dyDescent="0.35">
      <c r="A1" t="s">
        <v>48</v>
      </c>
      <c r="D1" t="s">
        <v>14</v>
      </c>
      <c r="F1" s="49" t="s">
        <v>49</v>
      </c>
      <c r="G1" s="49"/>
      <c r="H1" s="49"/>
      <c r="I1" s="49"/>
    </row>
    <row r="2" spans="1:17" ht="15" thickBot="1" x14ac:dyDescent="0.4">
      <c r="E2" s="12"/>
      <c r="F2" s="49"/>
      <c r="G2" s="49"/>
      <c r="H2" s="49"/>
      <c r="I2" s="49"/>
    </row>
    <row r="3" spans="1:17" ht="15.5" thickTop="1" thickBot="1" x14ac:dyDescent="0.4">
      <c r="A3" s="33" t="s">
        <v>13</v>
      </c>
      <c r="B3" s="34" t="s">
        <v>25</v>
      </c>
      <c r="C3" s="34" t="s">
        <v>26</v>
      </c>
      <c r="D3" s="34" t="s">
        <v>27</v>
      </c>
      <c r="E3" s="4"/>
      <c r="F3" s="50" t="s">
        <v>15</v>
      </c>
      <c r="G3" s="50" t="s">
        <v>25</v>
      </c>
      <c r="H3" s="50" t="s">
        <v>26</v>
      </c>
      <c r="I3" s="50" t="s">
        <v>27</v>
      </c>
      <c r="J3" s="24"/>
      <c r="K3" s="30">
        <v>1</v>
      </c>
      <c r="L3" s="15" t="s">
        <v>29</v>
      </c>
    </row>
    <row r="4" spans="1:17" ht="15" thickTop="1" x14ac:dyDescent="0.35">
      <c r="A4" s="35">
        <v>2</v>
      </c>
      <c r="B4" s="36" cm="1">
        <f t="array" ref="B4">($K$3*Table3[coolent density (kg/m^3)]*numbers!C8)/$K$4</f>
        <v>20000</v>
      </c>
      <c r="C4" s="36">
        <f>(1/( -1.8 *LOG((6.9/'Scenario 1'!B4)+(0.002*numbers!C8/3.7)^1.1)))^2</f>
        <v>2.5813022908248714E-2</v>
      </c>
      <c r="D4" s="36" cm="1">
        <f t="array" ref="D4">C4*(numbers!B8/numbers!C8)*((Table3[coolent density (kg/m^3)]*('Scenario 1'!$K$3)^2)/2)</f>
        <v>129.06511454124356</v>
      </c>
      <c r="E4" s="21"/>
      <c r="F4" s="51">
        <v>5</v>
      </c>
      <c r="G4" s="51" cm="1">
        <f t="array" ref="G4">($K$3*Table3[coolent density (kg/m^3)]*numbers!C12)/$K$4</f>
        <v>20000</v>
      </c>
      <c r="H4" s="51">
        <f>(1/( -1.8 *LOG((6.9/'Scenario 1'!G4)+(0.002*numbers!C12/3.7)^1.1)))^2</f>
        <v>2.5813022908248714E-2</v>
      </c>
      <c r="I4" s="51" cm="1">
        <f t="array" ref="I4">H4*(numbers!B12/numbers!C12)*((Table3[coolent density (kg/m^3)]*('Scenario 1'!$K$3)^2)/2)</f>
        <v>129.06511454124356</v>
      </c>
      <c r="J4" s="23"/>
      <c r="K4">
        <v>1E-3</v>
      </c>
      <c r="L4" t="s">
        <v>30</v>
      </c>
    </row>
    <row r="5" spans="1:17" x14ac:dyDescent="0.35">
      <c r="A5" s="35">
        <v>3</v>
      </c>
      <c r="B5" s="36" cm="1">
        <f t="array" ref="B5">($K$3*Table3[coolent density (kg/m^3)]*numbers!C9)/$K$4</f>
        <v>20000</v>
      </c>
      <c r="C5" s="36">
        <f>(1/( -1.8 *LOG((6.9/'Scenario 1'!B5)+(0.002*numbers!C9/3.7)^1.1)))^2</f>
        <v>2.5813022908248714E-2</v>
      </c>
      <c r="D5" s="36" cm="1">
        <f t="array" ref="D5">C5*(numbers!B9/numbers!C9)*((Table3[coolent density (kg/m^3)]*('Scenario 1'!$K$3)^2)/2)</f>
        <v>193.59767181186535</v>
      </c>
      <c r="E5" s="21"/>
      <c r="F5" s="51">
        <v>6</v>
      </c>
      <c r="G5" s="51" cm="1">
        <f t="array" ref="G5">($K$3*Table3[coolent density (kg/m^3)]*numbers!C13)/$K$4</f>
        <v>10000</v>
      </c>
      <c r="H5" s="51">
        <f>(1/( -1.8 *LOG((6.9/'Scenario 1'!G5)+(0.002*numbers!C13/3.7)^1.1)))^2</f>
        <v>3.0905959709904517E-2</v>
      </c>
      <c r="I5" s="51" cm="1">
        <f t="array" ref="I5">H5*(numbers!B13/numbers!C13)*((Table3[coolent density (kg/m^3)]*('Scenario 1'!$K$3)^2)/2)</f>
        <v>3090.5959709904514</v>
      </c>
      <c r="J5" s="23"/>
      <c r="K5" t="s">
        <v>42</v>
      </c>
      <c r="L5">
        <v>1.75</v>
      </c>
    </row>
    <row r="6" spans="1:17" x14ac:dyDescent="0.35">
      <c r="A6" s="35">
        <v>4</v>
      </c>
      <c r="B6" s="36" cm="1">
        <f t="array" ref="B6">($K$3*Table3[coolent density (kg/m^3)]*numbers!C10)/$K$4</f>
        <v>20000</v>
      </c>
      <c r="C6" s="36">
        <f>(1/( -1.8 *LOG((6.9/'Scenario 1'!B6)+(0.002*numbers!C10/3.7)^1.1)))^2</f>
        <v>2.5813022908248714E-2</v>
      </c>
      <c r="D6" s="36" cm="1">
        <f t="array" ref="D6">C6*(numbers!B10/numbers!C10)*((Table3[coolent density (kg/m^3)]*('Scenario 1'!$K$3)^2)/2)</f>
        <v>645.32557270621783</v>
      </c>
      <c r="E6" s="21"/>
      <c r="F6" s="51">
        <v>7</v>
      </c>
      <c r="G6" s="51" cm="1">
        <f t="array" ref="G6">($K$3*Table3[coolent density (kg/m^3)]*numbers!C14)/$K$4</f>
        <v>20000</v>
      </c>
      <c r="H6" s="51">
        <f>(1/( -1.8 *LOG((6.9/'Scenario 1'!G6)+(0.002*numbers!C14/3.7)^1.1)))^2</f>
        <v>2.5813022908248714E-2</v>
      </c>
      <c r="I6" s="51" cm="1">
        <f t="array" ref="I6">H6*(numbers!B14/numbers!C14)*((Table3[coolent density (kg/m^3)]*('Scenario 1'!$K$3)^2)/2)</f>
        <v>645.32557270621783</v>
      </c>
      <c r="J6" s="23"/>
      <c r="K6" t="s">
        <v>43</v>
      </c>
      <c r="L6">
        <v>5</v>
      </c>
    </row>
    <row r="7" spans="1:17" x14ac:dyDescent="0.35">
      <c r="A7" s="35">
        <v>8</v>
      </c>
      <c r="B7" s="36" cm="1">
        <f t="array" ref="B7">($K$3*Table3[coolent density (kg/m^3)]*numbers!C11)/$K$4</f>
        <v>20000</v>
      </c>
      <c r="C7" s="36">
        <f>(1/( -1.8 *LOG((6.9/'Scenario 1'!B7)+(0.002*numbers!C11/3.7)^1.1)))^2</f>
        <v>2.5813022908248714E-2</v>
      </c>
      <c r="D7" s="36" cm="1">
        <f t="array" ref="D7">C7*(numbers!B11/numbers!C11)*((Table3[coolent density (kg/m^3)]*('Scenario 1'!$K$3)^2)/2)</f>
        <v>129.06511454124356</v>
      </c>
      <c r="E7" s="21"/>
      <c r="F7" s="52" t="s">
        <v>40</v>
      </c>
      <c r="G7" s="53"/>
      <c r="H7" s="53"/>
      <c r="I7" s="51" cm="1">
        <f t="array" ref="I7">(K3^2 * L7*Table3[coolent density (kg/m^3)])/2</f>
        <v>281.25</v>
      </c>
      <c r="J7" s="23"/>
      <c r="K7" t="s">
        <v>46</v>
      </c>
      <c r="L7">
        <f>(1-(numbers!C13^2/numbers!C14^2))^2</f>
        <v>0.5625</v>
      </c>
    </row>
    <row r="8" spans="1:17" x14ac:dyDescent="0.35">
      <c r="A8" s="37" t="s">
        <v>38</v>
      </c>
      <c r="B8" s="38"/>
      <c r="C8" s="38"/>
      <c r="D8" s="36" cm="1">
        <f t="array" ref="D8">(K3^2 * L5*Table3[coolent density (kg/m^3)])/2</f>
        <v>875</v>
      </c>
      <c r="E8" s="21"/>
      <c r="F8" s="52" t="s">
        <v>41</v>
      </c>
      <c r="G8" s="53"/>
      <c r="H8" s="53"/>
      <c r="I8" s="51" cm="1">
        <f t="array" ref="I8">(K3^2 * L8*Table3[coolent density (kg/m^3)])/2</f>
        <v>118.125</v>
      </c>
      <c r="J8" s="23"/>
      <c r="K8" t="s">
        <v>47</v>
      </c>
      <c r="L8">
        <f>0.42*L7</f>
        <v>0.23624999999999999</v>
      </c>
    </row>
    <row r="9" spans="1:17" x14ac:dyDescent="0.35">
      <c r="A9" s="37" t="s">
        <v>37</v>
      </c>
      <c r="B9" s="38"/>
      <c r="C9" s="38"/>
      <c r="D9" s="36" cm="1">
        <f t="array" ref="D9">(K3^2 * L6*Table3[coolent density (kg/m^3)])/2</f>
        <v>2500</v>
      </c>
      <c r="E9" s="21"/>
      <c r="F9" s="53"/>
      <c r="G9" s="53"/>
      <c r="H9" s="53"/>
      <c r="I9" s="53"/>
      <c r="J9" s="23"/>
    </row>
    <row r="10" spans="1:17" x14ac:dyDescent="0.35">
      <c r="A10" s="37" t="s">
        <v>39</v>
      </c>
      <c r="B10" s="38"/>
      <c r="C10" s="38"/>
      <c r="D10" s="36" cm="1">
        <f t="array" ref="D10">(K3^2 * L5*Table3[coolent density (kg/m^3)])/2</f>
        <v>875</v>
      </c>
      <c r="E10" s="21"/>
      <c r="F10" s="53"/>
      <c r="G10" s="53"/>
      <c r="H10" s="53"/>
      <c r="I10" s="53"/>
      <c r="J10" s="23"/>
    </row>
    <row r="11" spans="1:17" ht="15" thickBot="1" x14ac:dyDescent="0.4">
      <c r="A11" s="39" t="s">
        <v>16</v>
      </c>
      <c r="B11" s="40" t="s">
        <v>28</v>
      </c>
      <c r="C11" s="40" t="s">
        <v>28</v>
      </c>
      <c r="D11" s="41">
        <f>SUM(D4:D10)</f>
        <v>5347.0534736005702</v>
      </c>
      <c r="E11" s="18"/>
      <c r="F11" s="54" t="s">
        <v>17</v>
      </c>
      <c r="G11" s="55"/>
      <c r="H11" s="55"/>
      <c r="I11" s="54">
        <f>SUM(I4:I8)</f>
        <v>4264.3616582379127</v>
      </c>
      <c r="J11" s="25"/>
    </row>
    <row r="12" spans="1:17" ht="15.5" thickTop="1" thickBot="1" x14ac:dyDescent="0.4">
      <c r="A12" s="42"/>
      <c r="B12" s="42"/>
      <c r="C12" s="42"/>
      <c r="D12" s="42"/>
      <c r="F12" s="49"/>
      <c r="G12" s="49"/>
      <c r="H12" s="49"/>
      <c r="I12" s="49"/>
      <c r="J12" s="26"/>
      <c r="O12" t="s">
        <v>48</v>
      </c>
      <c r="P12" t="s">
        <v>51</v>
      </c>
      <c r="Q12" t="s">
        <v>52</v>
      </c>
    </row>
    <row r="13" spans="1:17" ht="15.5" thickTop="1" thickBot="1" x14ac:dyDescent="0.4">
      <c r="A13" s="43" t="s">
        <v>13</v>
      </c>
      <c r="B13" s="44" t="s">
        <v>25</v>
      </c>
      <c r="C13" s="44" t="s">
        <v>26</v>
      </c>
      <c r="D13" s="44" t="s">
        <v>27</v>
      </c>
      <c r="E13" s="4"/>
      <c r="F13" s="56" t="s">
        <v>15</v>
      </c>
      <c r="G13" s="56" t="s">
        <v>25</v>
      </c>
      <c r="H13" s="56" t="s">
        <v>26</v>
      </c>
      <c r="I13" s="56" t="s">
        <v>27</v>
      </c>
      <c r="J13" s="21"/>
      <c r="K13" s="31">
        <v>1</v>
      </c>
      <c r="L13" s="14" t="s">
        <v>29</v>
      </c>
      <c r="N13">
        <v>1</v>
      </c>
      <c r="O13">
        <v>5347.0534736005702</v>
      </c>
      <c r="P13">
        <v>4264.3616582379127</v>
      </c>
      <c r="Q13">
        <f>O13/P13</f>
        <v>1.2538930564838722</v>
      </c>
    </row>
    <row r="14" spans="1:17" ht="15" thickTop="1" x14ac:dyDescent="0.35">
      <c r="A14" s="45">
        <v>2</v>
      </c>
      <c r="B14" s="36" cm="1">
        <f t="array" ref="B14">($K$13*Table3[coolent density (kg/m^3)]*numbers!C8)/$K$14</f>
        <v>20000</v>
      </c>
      <c r="C14" s="36">
        <f>(1/( -1.8 *LOG((6.9/'Scenario 1'!B14)+(0.002*numbers!C8/3.7)^1.1)))^2</f>
        <v>2.5813022908248714E-2</v>
      </c>
      <c r="D14" s="36" cm="1">
        <f t="array" ref="D14">C14*(numbers!B8/numbers!C8)*((Table3[coolent density (kg/m^3)]*('Scenario 1'!$K$13)^2)/2)</f>
        <v>129.06511454124356</v>
      </c>
      <c r="E14" s="21"/>
      <c r="F14" s="51">
        <v>5</v>
      </c>
      <c r="G14" s="51" cm="1">
        <f t="array" ref="G14">($K$13*Table3[coolent density (kg/m^3)]*numbers!C12)/$K$14</f>
        <v>20000</v>
      </c>
      <c r="H14" s="51">
        <f>(1/( -1.8 *LOG((6.9/'Scenario 1'!G14)+(0.002*numbers!C12/3.7)^1.1)))^2</f>
        <v>2.5813022908248714E-2</v>
      </c>
      <c r="I14" s="51" cm="1">
        <f t="array" ref="I14">H14*(numbers!B12/numbers!C12)*((Table3[coolent density (kg/m^3)]*('Scenario 1'!$K$13)^2)/2)</f>
        <v>129.06511454124356</v>
      </c>
      <c r="J14" s="27"/>
      <c r="K14">
        <v>1E-3</v>
      </c>
      <c r="L14" t="s">
        <v>30</v>
      </c>
      <c r="N14">
        <v>2</v>
      </c>
      <c r="O14">
        <v>20721.958024981031</v>
      </c>
      <c r="P14">
        <v>14536.269541521971</v>
      </c>
      <c r="Q14">
        <f t="shared" ref="Q14:Q22" si="0">O14/P14</f>
        <v>1.4255347952781157</v>
      </c>
    </row>
    <row r="15" spans="1:17" x14ac:dyDescent="0.35">
      <c r="A15" s="45">
        <v>3</v>
      </c>
      <c r="B15" s="36" cm="1">
        <f t="array" ref="B15">($K$13*Table3[coolent density (kg/m^3)]*numbers!C9)/$K$14</f>
        <v>20000</v>
      </c>
      <c r="C15" s="36">
        <f>(1/( -1.8 *LOG((6.9/'Scenario 1'!B15)+(0.002*numbers!C9/3.7)^1.1)))^2</f>
        <v>2.5813022908248714E-2</v>
      </c>
      <c r="D15" s="36" cm="1">
        <f t="array" ref="D15">C15*(numbers!B9/numbers!C9)*((Table3[coolent density (kg/m^3)]*('Scenario 1'!$K$13)^2)/2)</f>
        <v>193.59767181186535</v>
      </c>
      <c r="E15" s="21"/>
      <c r="F15" s="51">
        <v>6</v>
      </c>
      <c r="G15" s="51" cm="1">
        <f t="array" ref="G15">($K$13*Table3[coolent density (kg/m^3)]*numbers!C13)/$K$14</f>
        <v>10000</v>
      </c>
      <c r="H15" s="51">
        <f>(1/( -1.8 *LOG((6.9/'Scenario 1'!G15)+(0.002*numbers!C13/3.7)^1.1)))^2</f>
        <v>3.0905959709904517E-2</v>
      </c>
      <c r="I15" s="51" cm="1">
        <f t="array" ref="I15">H15*(numbers!B13/numbers!C13)*((Table3[coolent density (kg/m^3)]*('Scenario 1'!$K$13)^2)/2)</f>
        <v>3090.5959709904514</v>
      </c>
      <c r="J15" s="27"/>
      <c r="K15" t="str">
        <f t="shared" ref="K15:L18" si="1">K5</f>
        <v>Kelbow</v>
      </c>
      <c r="L15">
        <f t="shared" si="1"/>
        <v>1.75</v>
      </c>
      <c r="N15">
        <v>3</v>
      </c>
      <c r="O15">
        <v>45907.363787635069</v>
      </c>
      <c r="P15">
        <v>30019.417162327947</v>
      </c>
      <c r="Q15">
        <f t="shared" si="0"/>
        <v>1.529255666070868</v>
      </c>
    </row>
    <row r="16" spans="1:17" x14ac:dyDescent="0.35">
      <c r="A16" s="45">
        <v>4</v>
      </c>
      <c r="B16" s="36" cm="1">
        <f t="array" ref="B16">($K$13*Table3[coolent density (kg/m^3)]*numbers!C10)/$K$14</f>
        <v>20000</v>
      </c>
      <c r="C16" s="36">
        <f>(1/( -1.8 *LOG((6.9/'Scenario 1'!B16)+(0.002*numbers!C10/3.7)^1.1)))^2</f>
        <v>2.5813022908248714E-2</v>
      </c>
      <c r="D16" s="36" cm="1">
        <f t="array" ref="D16">C16*(numbers!B10/numbers!C10)*((Table3[coolent density (kg/m^3)]*('Scenario 1'!$K$13)^2)/2)</f>
        <v>645.32557270621783</v>
      </c>
      <c r="E16" s="21"/>
      <c r="F16" s="51">
        <v>7</v>
      </c>
      <c r="G16" s="51" cm="1">
        <f t="array" ref="G16">($K$13*Table3[coolent density (kg/m^3)]*numbers!C14)/$K$14</f>
        <v>20000</v>
      </c>
      <c r="H16" s="51">
        <f>(1/( -1.8 *LOG((6.9/'Scenario 1'!G16)+(0.002*numbers!C14/3.7)^1.1)))^2</f>
        <v>2.5813022908248714E-2</v>
      </c>
      <c r="I16" s="51" cm="1">
        <f t="array" ref="I16">H16*(numbers!B14/numbers!C14)*((Table3[coolent density (kg/m^3)]*('Scenario 1'!$K$13)^2)/2)</f>
        <v>645.32557270621783</v>
      </c>
      <c r="J16" s="27"/>
      <c r="K16" t="str">
        <f t="shared" si="1"/>
        <v>Kvalve</v>
      </c>
      <c r="L16">
        <f t="shared" si="1"/>
        <v>5</v>
      </c>
      <c r="N16">
        <v>4</v>
      </c>
      <c r="O16">
        <v>80812.922656979106</v>
      </c>
      <c r="P16">
        <v>50379.658778410543</v>
      </c>
      <c r="Q16">
        <f t="shared" si="0"/>
        <v>1.6040784041913814</v>
      </c>
    </row>
    <row r="17" spans="1:17" x14ac:dyDescent="0.35">
      <c r="A17" s="45">
        <v>8</v>
      </c>
      <c r="B17" s="36" cm="1">
        <f t="array" ref="B17">($K$13*Table3[coolent density (kg/m^3)]*numbers!C11)/$K$14</f>
        <v>20000</v>
      </c>
      <c r="C17" s="36">
        <f>(1/( -1.8 *LOG((6.9/'Scenario 1'!B17)+(0.002*numbers!C11/3.7)^1.1)))^2</f>
        <v>2.5813022908248714E-2</v>
      </c>
      <c r="D17" s="36" cm="1">
        <f t="array" ref="D17">C17*(numbers!B11/numbers!C11)*((Table3[coolent density (kg/m^3)]*('Scenario 1'!$K$13)^2)/2)</f>
        <v>129.06511454124356</v>
      </c>
      <c r="E17" s="21"/>
      <c r="F17" s="52" t="s">
        <v>40</v>
      </c>
      <c r="G17" s="53"/>
      <c r="H17" s="53"/>
      <c r="I17" s="51" cm="1">
        <f t="array" ref="I17">(K13^2 * L17*Table3[coolent density (kg/m^3)])/2</f>
        <v>281.25</v>
      </c>
      <c r="J17" s="27"/>
      <c r="K17" t="str">
        <f t="shared" si="1"/>
        <v>Kexpansion</v>
      </c>
      <c r="L17">
        <f t="shared" si="1"/>
        <v>0.5625</v>
      </c>
      <c r="N17">
        <v>5</v>
      </c>
      <c r="O17">
        <v>125383.1096137058</v>
      </c>
      <c r="P17">
        <v>75409.009949563377</v>
      </c>
      <c r="Q17">
        <f t="shared" si="0"/>
        <v>1.6627072772546296</v>
      </c>
    </row>
    <row r="18" spans="1:17" x14ac:dyDescent="0.35">
      <c r="A18" s="37" t="s">
        <v>38</v>
      </c>
      <c r="B18" s="38"/>
      <c r="C18" s="38"/>
      <c r="D18" s="36" cm="1">
        <f t="array" ref="D18">(K13^2 * L15*Table3[coolent density (kg/m^3)])/2</f>
        <v>875</v>
      </c>
      <c r="E18" s="21"/>
      <c r="F18" s="52" t="s">
        <v>41</v>
      </c>
      <c r="G18" s="53"/>
      <c r="H18" s="53"/>
      <c r="I18" s="51" cm="1">
        <f t="array" ref="I18">(K13^2 * L18*Table3[coolent density (kg/m^3)])/2</f>
        <v>118.125</v>
      </c>
      <c r="J18" s="27"/>
      <c r="K18" t="str">
        <f t="shared" si="1"/>
        <v>Kcontraction</v>
      </c>
      <c r="L18">
        <f t="shared" si="1"/>
        <v>0.23624999999999999</v>
      </c>
      <c r="N18">
        <v>6</v>
      </c>
      <c r="O18">
        <v>179579.03091569565</v>
      </c>
      <c r="P18">
        <v>104959.77624569379</v>
      </c>
      <c r="Q18">
        <f t="shared" si="0"/>
        <v>1.7109319144824613</v>
      </c>
    </row>
    <row r="19" spans="1:17" x14ac:dyDescent="0.35">
      <c r="A19" s="37" t="s">
        <v>37</v>
      </c>
      <c r="B19" s="38"/>
      <c r="C19" s="38"/>
      <c r="D19" s="36" cm="1">
        <f t="array" ref="D19">(K13^2 * L16*Table3[coolent density (kg/m^3)])/2</f>
        <v>2500</v>
      </c>
      <c r="E19" s="21"/>
      <c r="F19" s="53"/>
      <c r="G19" s="53"/>
      <c r="H19" s="53"/>
      <c r="I19" s="53"/>
      <c r="J19" s="27"/>
      <c r="N19">
        <v>7</v>
      </c>
      <c r="O19">
        <v>243371.42201064271</v>
      </c>
      <c r="P19">
        <v>138919.24483109184</v>
      </c>
      <c r="Q19">
        <f t="shared" si="0"/>
        <v>1.7518913402282847</v>
      </c>
    </row>
    <row r="20" spans="1:17" x14ac:dyDescent="0.35">
      <c r="A20" s="37" t="s">
        <v>39</v>
      </c>
      <c r="B20" s="38"/>
      <c r="C20" s="38"/>
      <c r="D20" s="36" cm="1">
        <f t="array" ref="D20">(K13^2 * L15*Table3[coolent density (kg/m^3)])/2</f>
        <v>875</v>
      </c>
      <c r="E20" s="21"/>
      <c r="F20" s="53"/>
      <c r="G20" s="53"/>
      <c r="H20" s="53"/>
      <c r="I20" s="53"/>
      <c r="J20" s="27"/>
      <c r="N20">
        <v>8</v>
      </c>
      <c r="O20">
        <v>316737.23236931732</v>
      </c>
      <c r="P20">
        <v>177197.3474850021</v>
      </c>
      <c r="Q20">
        <f t="shared" si="0"/>
        <v>1.7874829215269479</v>
      </c>
    </row>
    <row r="21" spans="1:17" ht="15" thickBot="1" x14ac:dyDescent="0.4">
      <c r="A21" s="46" t="s">
        <v>16</v>
      </c>
      <c r="B21" s="47"/>
      <c r="C21" s="47"/>
      <c r="D21" s="48">
        <f>SUM(D14:D20)</f>
        <v>5347.0534736005702</v>
      </c>
      <c r="E21" s="19"/>
      <c r="F21" s="57" t="s">
        <v>17</v>
      </c>
      <c r="G21" s="58"/>
      <c r="H21" s="58"/>
      <c r="I21" s="57">
        <f>SUM(I14:I18)</f>
        <v>4264.3616582379127</v>
      </c>
      <c r="J21" s="28"/>
      <c r="N21">
        <v>9</v>
      </c>
      <c r="O21">
        <v>399657.71604011784</v>
      </c>
      <c r="P21">
        <v>219719.76185237968</v>
      </c>
      <c r="Q21">
        <f t="shared" si="0"/>
        <v>1.8189429693112027</v>
      </c>
    </row>
    <row r="22" spans="1:17" ht="15" thickTop="1" x14ac:dyDescent="0.35">
      <c r="N22">
        <v>10</v>
      </c>
      <c r="O22">
        <v>492117.26255095965</v>
      </c>
      <c r="P22">
        <v>266423.6848149391</v>
      </c>
      <c r="Q22">
        <f t="shared" si="0"/>
        <v>1.8471227995093225</v>
      </c>
    </row>
  </sheetData>
  <dataValidations count="1">
    <dataValidation type="list" allowBlank="1" showInputMessage="1" showErrorMessage="1" sqref="K13" xr:uid="{155A713C-EE1D-45B0-9EF5-27CD7D7949D0}">
      <formula1>$N$13:$N$22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3" name="Scroll Bar 6">
              <controlPr defaultSize="0" autoPict="0">
                <anchor moveWithCells="1">
                  <from>
                    <xdr:col>0</xdr:col>
                    <xdr:colOff>1009650</xdr:colOff>
                    <xdr:row>36</xdr:row>
                    <xdr:rowOff>57150</xdr:rowOff>
                  </from>
                  <to>
                    <xdr:col>6</xdr:col>
                    <xdr:colOff>127000</xdr:colOff>
                    <xdr:row>39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5EC-6518-4A2C-97E7-0119DBEB8626}">
  <dimension ref="A1:Q22"/>
  <sheetViews>
    <sheetView topLeftCell="A16" zoomScale="85" zoomScaleNormal="85" workbookViewId="0">
      <selection activeCell="I41" sqref="I41"/>
    </sheetView>
  </sheetViews>
  <sheetFormatPr defaultRowHeight="14.5" x14ac:dyDescent="0.35"/>
  <cols>
    <col min="1" max="1" width="20.54296875" customWidth="1"/>
    <col min="3" max="3" width="10.08984375" customWidth="1"/>
    <col min="4" max="4" width="9.81640625" bestFit="1" customWidth="1"/>
    <col min="6" max="6" width="23.54296875" customWidth="1"/>
    <col min="11" max="11" width="11.08984375" customWidth="1"/>
    <col min="12" max="12" width="14.08984375" customWidth="1"/>
    <col min="14" max="17" width="8.7265625" customWidth="1"/>
  </cols>
  <sheetData>
    <row r="1" spans="1:17" x14ac:dyDescent="0.35">
      <c r="D1" t="s">
        <v>50</v>
      </c>
    </row>
    <row r="2" spans="1:17" ht="15" thickBot="1" x14ac:dyDescent="0.4">
      <c r="E2" s="12"/>
    </row>
    <row r="3" spans="1:17" ht="15.5" thickTop="1" thickBot="1" x14ac:dyDescent="0.4">
      <c r="A3" s="3" t="s">
        <v>13</v>
      </c>
      <c r="B3" s="4" t="s">
        <v>25</v>
      </c>
      <c r="C3" s="4" t="s">
        <v>26</v>
      </c>
      <c r="D3" s="4" t="s">
        <v>27</v>
      </c>
      <c r="E3" s="4"/>
      <c r="F3" s="4" t="s">
        <v>15</v>
      </c>
      <c r="G3" s="4" t="s">
        <v>25</v>
      </c>
      <c r="H3" s="4" t="s">
        <v>26</v>
      </c>
      <c r="I3" s="4" t="s">
        <v>27</v>
      </c>
      <c r="J3" s="24"/>
      <c r="K3" s="22">
        <v>5</v>
      </c>
      <c r="L3" s="15" t="s">
        <v>29</v>
      </c>
    </row>
    <row r="4" spans="1:17" ht="15" thickTop="1" x14ac:dyDescent="0.35">
      <c r="A4" s="5">
        <v>2</v>
      </c>
      <c r="B4" s="2" cm="1">
        <f t="array" ref="B4">($K$3*Table3[coolent density (kg/m^3)]*numbers!C8)/$K$4</f>
        <v>100000</v>
      </c>
      <c r="C4" s="2">
        <f>(1/( -1.8 *LOG((6.9/'Scenario 2'!B4)+(0.002*numbers!C8/3.7)^1.1)))^2</f>
        <v>1.8007632577605463E-2</v>
      </c>
      <c r="D4" s="2" cm="1">
        <f t="array" ref="D4">C4*(numbers!B8/numbers!C8)*((Table3[coolent density (kg/m^3)]*('Scenario 2'!$K$3)^2)/2)</f>
        <v>2250.9540722006827</v>
      </c>
      <c r="E4" s="21"/>
      <c r="F4" s="2">
        <v>5</v>
      </c>
      <c r="G4" s="2" cm="1">
        <f t="array" ref="G4">($K$3*Table3[coolent density (kg/m^3)]*numbers!C12)/$K$4</f>
        <v>100000</v>
      </c>
      <c r="H4" s="2">
        <f>(1/( -1.8 *LOG((6.9/'Scenario 2'!G4)+(0.002*numbers!C12/3.7)^1.1)))^2</f>
        <v>1.8007632577605463E-2</v>
      </c>
      <c r="I4" s="2" cm="1">
        <f t="array" ref="I4">H4*(numbers!B12/numbers!C12)*((Table3[coolent density (kg/m^3)]*('Scenario 2'!$K$3)^2)/2)</f>
        <v>2250.9540722006827</v>
      </c>
      <c r="J4" s="23"/>
      <c r="K4">
        <v>1E-3</v>
      </c>
      <c r="L4" t="s">
        <v>30</v>
      </c>
    </row>
    <row r="5" spans="1:17" x14ac:dyDescent="0.35">
      <c r="A5" s="5">
        <v>3</v>
      </c>
      <c r="B5" s="2" cm="1">
        <f t="array" ref="B5">($K$3*Table3[coolent density (kg/m^3)]*numbers!C9)/$K$4</f>
        <v>100000</v>
      </c>
      <c r="C5" s="2">
        <f>(1/( -1.8 *LOG((6.9/'Scenario 2'!B5)+(0.002*numbers!C9/3.7)^1.1)))^2</f>
        <v>1.8007632577605463E-2</v>
      </c>
      <c r="D5" s="2" cm="1">
        <f t="array" ref="D5">C5*(numbers!B9/numbers!C9)*((Table3[coolent density (kg/m^3)]*('Scenario 2'!$K$3)^2)/2)</f>
        <v>3376.4311083010243</v>
      </c>
      <c r="E5" s="21"/>
      <c r="F5" s="2">
        <v>6</v>
      </c>
      <c r="G5" s="2" cm="1">
        <f t="array" ref="G5">($K$3*Table3[coolent density (kg/m^3)]*numbers!C13)/$K$4</f>
        <v>50000</v>
      </c>
      <c r="H5" s="2">
        <f>(1/( -1.8 *LOG((6.9/'Scenario 2'!G5)+(0.002*numbers!C13/3.7)^1.1)))^2</f>
        <v>2.0767564206543708E-2</v>
      </c>
      <c r="I5" s="2" cm="1">
        <f t="array" ref="I5">H5*(numbers!B13/numbers!C13)*((Table3[coolent density (kg/m^3)]*('Scenario 2'!$K$3)^2)/2)</f>
        <v>51918.910516359276</v>
      </c>
      <c r="J5" s="23"/>
      <c r="K5" t="s">
        <v>42</v>
      </c>
      <c r="L5">
        <v>1.75</v>
      </c>
    </row>
    <row r="6" spans="1:17" x14ac:dyDescent="0.35">
      <c r="A6" s="5">
        <v>4</v>
      </c>
      <c r="B6" s="2" cm="1">
        <f t="array" ref="B6">($K$3*Table3[coolent density (kg/m^3)]*numbers!C10)/$K$4</f>
        <v>100000</v>
      </c>
      <c r="C6" s="2">
        <f>(1/( -1.8 *LOG((6.9/'Scenario 2'!B6)+(0.002*numbers!C10/3.7)^1.1)))^2</f>
        <v>1.8007632577605463E-2</v>
      </c>
      <c r="D6" s="2" cm="1">
        <f t="array" ref="D6">C6*(numbers!B10/numbers!C10)*((Table3[coolent density (kg/m^3)]*('Scenario 2'!$K$3)^2)/2)</f>
        <v>11254.770361003415</v>
      </c>
      <c r="E6" s="21"/>
      <c r="F6" s="2">
        <v>7</v>
      </c>
      <c r="G6" s="2" cm="1">
        <f t="array" ref="G6">($K$3*Table3[coolent density (kg/m^3)]*numbers!C14)/$K$4</f>
        <v>100000</v>
      </c>
      <c r="H6" s="2">
        <f>(1/( -1.8 *LOG((6.9/'Scenario 2'!G6)+(0.002*numbers!C14/3.7)^1.1)))^2</f>
        <v>1.8007632577605463E-2</v>
      </c>
      <c r="I6" s="2" cm="1">
        <f t="array" ref="I6">H6*(numbers!B14/numbers!C14)*((Table3[coolent density (kg/m^3)]*('Scenario 2'!$K$3)^2)/2)</f>
        <v>11254.770361003415</v>
      </c>
      <c r="J6" s="23"/>
      <c r="K6" t="s">
        <v>43</v>
      </c>
      <c r="L6" s="32">
        <v>0</v>
      </c>
    </row>
    <row r="7" spans="1:17" x14ac:dyDescent="0.35">
      <c r="A7" s="5">
        <v>8</v>
      </c>
      <c r="B7" s="2" cm="1">
        <f t="array" ref="B7">($K$3*Table3[coolent density (kg/m^3)]*numbers!C11)/$K$4</f>
        <v>100000</v>
      </c>
      <c r="C7" s="2">
        <f>(1/( -1.8 *LOG((6.9/'Scenario 2'!B7)+(0.002*numbers!C11/3.7)^1.1)))^2</f>
        <v>1.8007632577605463E-2</v>
      </c>
      <c r="D7" s="2" cm="1">
        <f t="array" ref="D7">C7*(numbers!B11/numbers!C11)*((Table3[coolent density (kg/m^3)]*('Scenario 2'!$K$3)^2)/2)</f>
        <v>2250.9540722006827</v>
      </c>
      <c r="E7" s="21"/>
      <c r="F7" s="20" t="s">
        <v>40</v>
      </c>
      <c r="G7" s="21"/>
      <c r="H7" s="21"/>
      <c r="I7" s="2" cm="1">
        <f t="array" ref="I7">(K3^2 * L7*Table3[coolent density (kg/m^3)])/2</f>
        <v>7031.25</v>
      </c>
      <c r="J7" s="23"/>
      <c r="K7" t="s">
        <v>46</v>
      </c>
      <c r="L7">
        <f>(1-(numbers!C13^2/numbers!C14^2))^2</f>
        <v>0.5625</v>
      </c>
    </row>
    <row r="8" spans="1:17" x14ac:dyDescent="0.35">
      <c r="A8" s="17" t="s">
        <v>38</v>
      </c>
      <c r="B8" s="21"/>
      <c r="C8" s="21"/>
      <c r="D8" s="29" cm="1">
        <f t="array" ref="D8">(K3^2 * L5*Table3[coolent density (kg/m^3)])/2</f>
        <v>21875</v>
      </c>
      <c r="E8" s="21"/>
      <c r="F8" s="20" t="s">
        <v>41</v>
      </c>
      <c r="G8" s="21"/>
      <c r="H8" s="21"/>
      <c r="I8" s="2" cm="1">
        <f t="array" ref="I8">(K3^2 * L8*Table3[coolent density (kg/m^3)])/2</f>
        <v>2953.125</v>
      </c>
      <c r="J8" s="23"/>
      <c r="K8" t="s">
        <v>47</v>
      </c>
      <c r="L8">
        <f>0.42*L7</f>
        <v>0.23624999999999999</v>
      </c>
    </row>
    <row r="9" spans="1:17" x14ac:dyDescent="0.35">
      <c r="A9" s="17" t="s">
        <v>37</v>
      </c>
      <c r="B9" s="21"/>
      <c r="C9" s="21"/>
      <c r="D9" s="29" cm="1">
        <f t="array" ref="D9">(K3^2 * L6*Table3[coolent density (kg/m^3)])/2</f>
        <v>0</v>
      </c>
      <c r="E9" s="21"/>
      <c r="F9" s="21"/>
      <c r="G9" s="21"/>
      <c r="H9" s="21"/>
      <c r="I9" s="21"/>
      <c r="J9" s="23"/>
    </row>
    <row r="10" spans="1:17" x14ac:dyDescent="0.35">
      <c r="A10" s="17" t="s">
        <v>39</v>
      </c>
      <c r="B10" s="21"/>
      <c r="C10" s="21"/>
      <c r="D10" s="2" cm="1">
        <f t="array" ref="D10">(K3^2 * L5*Table3[coolent density (kg/m^3)])/2</f>
        <v>21875</v>
      </c>
      <c r="E10" s="21"/>
      <c r="F10" s="21"/>
      <c r="G10" s="21"/>
      <c r="H10" s="21"/>
      <c r="I10" s="21"/>
      <c r="J10" s="23"/>
    </row>
    <row r="11" spans="1:17" ht="15" thickBot="1" x14ac:dyDescent="0.4">
      <c r="A11" s="6" t="s">
        <v>16</v>
      </c>
      <c r="B11" s="18" t="s">
        <v>28</v>
      </c>
      <c r="C11" s="18" t="s">
        <v>28</v>
      </c>
      <c r="D11" s="7">
        <f>SUM(D4:D10)</f>
        <v>62883.109613705805</v>
      </c>
      <c r="E11" s="18"/>
      <c r="F11" s="7" t="s">
        <v>17</v>
      </c>
      <c r="G11" s="18"/>
      <c r="H11" s="18"/>
      <c r="I11" s="7">
        <f>SUM(I4:I8)</f>
        <v>75409.009949563377</v>
      </c>
      <c r="J11" s="25"/>
      <c r="O11" t="s">
        <v>53</v>
      </c>
      <c r="P11" t="s">
        <v>49</v>
      </c>
      <c r="Q11" t="s">
        <v>54</v>
      </c>
    </row>
    <row r="12" spans="1:17" ht="15.5" thickTop="1" thickBot="1" x14ac:dyDescent="0.4">
      <c r="J12" s="26"/>
      <c r="N12">
        <v>0</v>
      </c>
      <c r="O12" s="2">
        <v>62883.109613705805</v>
      </c>
      <c r="P12" s="2">
        <v>75409.009949563377</v>
      </c>
      <c r="Q12">
        <f>O12/P12</f>
        <v>0.8338938497636369</v>
      </c>
    </row>
    <row r="13" spans="1:17" ht="15.5" thickTop="1" thickBot="1" x14ac:dyDescent="0.4">
      <c r="A13" s="8" t="s">
        <v>13</v>
      </c>
      <c r="B13" s="9" t="s">
        <v>25</v>
      </c>
      <c r="C13" s="9" t="s">
        <v>26</v>
      </c>
      <c r="D13" s="9" t="s">
        <v>27</v>
      </c>
      <c r="E13" s="4"/>
      <c r="F13" s="9" t="s">
        <v>15</v>
      </c>
      <c r="G13" s="9" t="s">
        <v>25</v>
      </c>
      <c r="H13" s="9" t="s">
        <v>26</v>
      </c>
      <c r="I13" s="9" t="s">
        <v>27</v>
      </c>
      <c r="J13" s="21"/>
      <c r="K13" s="13">
        <v>5</v>
      </c>
      <c r="L13" s="14" t="s">
        <v>29</v>
      </c>
      <c r="N13">
        <v>1</v>
      </c>
      <c r="O13" s="2">
        <v>75383.109613705805</v>
      </c>
      <c r="P13" s="2">
        <v>75409.009949563377</v>
      </c>
      <c r="Q13">
        <f t="shared" ref="Q13:Q22" si="0">O13/P13</f>
        <v>0.99965653526183551</v>
      </c>
    </row>
    <row r="14" spans="1:17" ht="15" thickTop="1" x14ac:dyDescent="0.35">
      <c r="A14" s="10">
        <v>2</v>
      </c>
      <c r="B14" s="2" cm="1">
        <f t="array" ref="B14">($K$13*Table3[coolent density (kg/m^3)]*numbers!C8)/$K$14</f>
        <v>100000</v>
      </c>
      <c r="C14" s="2">
        <f>(1/( -1.8 *LOG((6.9/'Scenario 2'!B14)+(0.002*numbers!C8/3.7)^1.1)))^2</f>
        <v>1.8007632577605463E-2</v>
      </c>
      <c r="D14" s="2" cm="1">
        <f t="array" ref="D14">C14*(numbers!B8/numbers!C8)*((Table3[coolent density (kg/m^3)]*('Scenario 2'!$K$13)^2)/2)</f>
        <v>2250.9540722006827</v>
      </c>
      <c r="E14" s="21"/>
      <c r="F14" s="2">
        <v>5</v>
      </c>
      <c r="G14" s="2" cm="1">
        <f t="array" ref="G14">($K$13*Table3[coolent density (kg/m^3)]*numbers!C12)/$K$14</f>
        <v>100000</v>
      </c>
      <c r="H14" s="2">
        <f>(1/( -1.8 *LOG((6.9/'Scenario 2'!G14)+(0.002*numbers!C12/3.7)^1.1)))^2</f>
        <v>1.8007632577605463E-2</v>
      </c>
      <c r="I14" s="2" cm="1">
        <f t="array" ref="I14">H14*(numbers!B12/numbers!C12)*((Table3[coolent density (kg/m^3)]*('Scenario 2'!$K$13)^2)/2)</f>
        <v>2250.9540722006827</v>
      </c>
      <c r="J14" s="27"/>
      <c r="K14">
        <v>1E-3</v>
      </c>
      <c r="L14" t="s">
        <v>30</v>
      </c>
      <c r="N14">
        <v>2</v>
      </c>
      <c r="O14" s="2">
        <v>87883.109613705805</v>
      </c>
      <c r="P14" s="2">
        <v>75409.009949563377</v>
      </c>
      <c r="Q14">
        <f t="shared" si="0"/>
        <v>1.165419220760034</v>
      </c>
    </row>
    <row r="15" spans="1:17" x14ac:dyDescent="0.35">
      <c r="A15" s="10">
        <v>3</v>
      </c>
      <c r="B15" s="2" cm="1">
        <f t="array" ref="B15">($K$13*Table3[coolent density (kg/m^3)]*numbers!C9)/$K$14</f>
        <v>100000</v>
      </c>
      <c r="C15" s="2">
        <f>(1/( -1.8 *LOG((6.9/'Scenario 2'!B15)+(0.002*numbers!C9/3.7)^1.1)))^2</f>
        <v>1.8007632577605463E-2</v>
      </c>
      <c r="D15" s="2" cm="1">
        <f t="array" ref="D15">C15*(numbers!B9/numbers!C9)*((Table3[coolent density (kg/m^3)]*('Scenario 2'!$K$13)^2)/2)</f>
        <v>3376.4311083010243</v>
      </c>
      <c r="E15" s="21"/>
      <c r="F15" s="2">
        <v>6</v>
      </c>
      <c r="G15" s="2" cm="1">
        <f t="array" ref="G15">($K$13*Table3[coolent density (kg/m^3)]*numbers!C13)/$K$14</f>
        <v>50000</v>
      </c>
      <c r="H15" s="2">
        <f>(1/( -1.8 *LOG((6.9/'Scenario 2'!G15)+(0.002*numbers!C13/3.7)^1.1)))^2</f>
        <v>2.0767564206543708E-2</v>
      </c>
      <c r="I15" s="2" cm="1">
        <f t="array" ref="I15">H15*(numbers!B13/numbers!C13)*((Table3[coolent density (kg/m^3)]*('Scenario 2'!$K$13)^2)/2)</f>
        <v>51918.910516359276</v>
      </c>
      <c r="J15" s="27"/>
      <c r="K15" t="str">
        <f t="shared" ref="K15:L18" si="1">K5</f>
        <v>Kelbow</v>
      </c>
      <c r="L15">
        <f t="shared" si="1"/>
        <v>1.75</v>
      </c>
      <c r="N15">
        <v>3</v>
      </c>
      <c r="O15" s="2">
        <v>100383.1096137058</v>
      </c>
      <c r="P15" s="2">
        <v>75409.009949563377</v>
      </c>
      <c r="Q15">
        <f t="shared" si="0"/>
        <v>1.3311819062582326</v>
      </c>
    </row>
    <row r="16" spans="1:17" x14ac:dyDescent="0.35">
      <c r="A16" s="10">
        <v>4</v>
      </c>
      <c r="B16" s="2" cm="1">
        <f t="array" ref="B16">($K$13*Table3[coolent density (kg/m^3)]*numbers!C10)/$K$14</f>
        <v>100000</v>
      </c>
      <c r="C16" s="2">
        <f>(1/( -1.8 *LOG((6.9/'Scenario 2'!B16)+(0.002*numbers!C10/3.7)^1.1)))^2</f>
        <v>1.8007632577605463E-2</v>
      </c>
      <c r="D16" s="2" cm="1">
        <f t="array" ref="D16">C16*(numbers!B10/numbers!C10)*((Table3[coolent density (kg/m^3)]*('Scenario 2'!$K$13)^2)/2)</f>
        <v>11254.770361003415</v>
      </c>
      <c r="E16" s="21"/>
      <c r="F16" s="2">
        <v>7</v>
      </c>
      <c r="G16" s="2" cm="1">
        <f t="array" ref="G16">($K$13*Table3[coolent density (kg/m^3)]*numbers!C14)/$K$14</f>
        <v>100000</v>
      </c>
      <c r="H16" s="2">
        <f>(1/( -1.8 *LOG((6.9/'Scenario 2'!G16)+(0.002*numbers!C14/3.7)^1.1)))^2</f>
        <v>1.8007632577605463E-2</v>
      </c>
      <c r="I16" s="2" cm="1">
        <f t="array" ref="I16">H16*(numbers!B14/numbers!C14)*((Table3[coolent density (kg/m^3)]*('Scenario 2'!$K$13)^2)/2)</f>
        <v>11254.770361003415</v>
      </c>
      <c r="J16" s="27"/>
      <c r="K16" t="str">
        <f t="shared" si="1"/>
        <v>Kvalve</v>
      </c>
      <c r="L16" s="32">
        <v>0</v>
      </c>
      <c r="N16">
        <v>4</v>
      </c>
      <c r="O16" s="2">
        <v>112883.1096137058</v>
      </c>
      <c r="P16" s="2">
        <v>75409.009949563377</v>
      </c>
      <c r="Q16">
        <f t="shared" si="0"/>
        <v>1.4969445917564312</v>
      </c>
    </row>
    <row r="17" spans="1:17" x14ac:dyDescent="0.35">
      <c r="A17" s="10">
        <v>8</v>
      </c>
      <c r="B17" s="2" cm="1">
        <f t="array" ref="B17">($K$13*Table3[coolent density (kg/m^3)]*numbers!C11)/$K$14</f>
        <v>100000</v>
      </c>
      <c r="C17" s="2">
        <f>(1/( -1.8 *LOG((6.9/'Scenario 2'!B17)+(0.002*numbers!C11/3.7)^1.1)))^2</f>
        <v>1.8007632577605463E-2</v>
      </c>
      <c r="D17" s="2" cm="1">
        <f t="array" ref="D17">C17*(numbers!B11/numbers!C11)*((Table3[coolent density (kg/m^3)]*('Scenario 2'!$K$13)^2)/2)</f>
        <v>2250.9540722006827</v>
      </c>
      <c r="E17" s="21"/>
      <c r="F17" s="20" t="s">
        <v>40</v>
      </c>
      <c r="G17" s="21"/>
      <c r="H17" s="21"/>
      <c r="I17" s="2" cm="1">
        <f t="array" ref="I17">(K13^2 * L17*Table3[coolent density (kg/m^3)])/2</f>
        <v>7031.25</v>
      </c>
      <c r="J17" s="27"/>
      <c r="K17" t="str">
        <f t="shared" si="1"/>
        <v>Kexpansion</v>
      </c>
      <c r="L17">
        <f>L7</f>
        <v>0.5625</v>
      </c>
      <c r="N17">
        <v>5</v>
      </c>
      <c r="O17" s="2">
        <v>125383.1096137058</v>
      </c>
      <c r="P17" s="2">
        <v>75409.009949563377</v>
      </c>
      <c r="Q17">
        <f t="shared" si="0"/>
        <v>1.6627072772546296</v>
      </c>
    </row>
    <row r="18" spans="1:17" x14ac:dyDescent="0.35">
      <c r="A18" s="17" t="s">
        <v>38</v>
      </c>
      <c r="B18" s="21"/>
      <c r="C18" s="21"/>
      <c r="D18" s="29" cm="1">
        <f t="array" ref="D18">(K13^2 * L15*Table3[coolent density (kg/m^3)])/2</f>
        <v>21875</v>
      </c>
      <c r="E18" s="21"/>
      <c r="F18" s="20" t="s">
        <v>41</v>
      </c>
      <c r="G18" s="21"/>
      <c r="H18" s="21"/>
      <c r="I18" s="2" cm="1">
        <f t="array" ref="I18">(K13^2 * L18*Table3[coolent density (kg/m^3)])/2</f>
        <v>2953.125</v>
      </c>
      <c r="J18" s="27"/>
      <c r="K18" t="str">
        <f t="shared" si="1"/>
        <v>Kcontraction</v>
      </c>
      <c r="L18">
        <f t="shared" si="1"/>
        <v>0.23624999999999999</v>
      </c>
      <c r="N18">
        <v>6</v>
      </c>
      <c r="O18" s="2">
        <v>137883.1096137058</v>
      </c>
      <c r="P18" s="2">
        <v>75409.009949563377</v>
      </c>
      <c r="Q18">
        <f t="shared" si="0"/>
        <v>1.8284699627528282</v>
      </c>
    </row>
    <row r="19" spans="1:17" x14ac:dyDescent="0.35">
      <c r="A19" s="17" t="s">
        <v>37</v>
      </c>
      <c r="B19" s="21"/>
      <c r="C19" s="21"/>
      <c r="D19" s="29" cm="1">
        <f t="array" ref="D19">(K13^2 * L16*Table3[coolent density (kg/m^3)])/2</f>
        <v>0</v>
      </c>
      <c r="E19" s="21"/>
      <c r="F19" s="21"/>
      <c r="G19" s="21"/>
      <c r="H19" s="21"/>
      <c r="I19" s="21"/>
      <c r="J19" s="27"/>
      <c r="N19">
        <v>7</v>
      </c>
      <c r="O19" s="2">
        <v>150383.1096137058</v>
      </c>
      <c r="P19" s="2">
        <v>75409.009949563377</v>
      </c>
      <c r="Q19">
        <f t="shared" si="0"/>
        <v>1.9942326482510269</v>
      </c>
    </row>
    <row r="20" spans="1:17" x14ac:dyDescent="0.35">
      <c r="A20" s="17" t="s">
        <v>39</v>
      </c>
      <c r="B20" s="21"/>
      <c r="C20" s="21"/>
      <c r="D20" s="29" cm="1">
        <f t="array" ref="D20">(K13^2 * L15*Table3[coolent density (kg/m^3)])/2</f>
        <v>21875</v>
      </c>
      <c r="E20" s="21"/>
      <c r="F20" s="21"/>
      <c r="G20" s="21"/>
      <c r="H20" s="21"/>
      <c r="I20" s="21"/>
      <c r="J20" s="27"/>
      <c r="N20">
        <v>8</v>
      </c>
      <c r="O20" s="2">
        <v>162883.1096137058</v>
      </c>
      <c r="P20" s="2">
        <v>75409.009949563377</v>
      </c>
      <c r="Q20">
        <f t="shared" si="0"/>
        <v>2.1599953337492255</v>
      </c>
    </row>
    <row r="21" spans="1:17" ht="15" thickBot="1" x14ac:dyDescent="0.4">
      <c r="A21" s="11" t="s">
        <v>16</v>
      </c>
      <c r="B21" s="19"/>
      <c r="C21" s="19"/>
      <c r="D21" s="12">
        <f>SUM(D14:D20)</f>
        <v>62883.109613705805</v>
      </c>
      <c r="E21" s="19"/>
      <c r="F21" s="12" t="s">
        <v>17</v>
      </c>
      <c r="G21" s="19"/>
      <c r="H21" s="19"/>
      <c r="I21" s="12">
        <f>SUM(I14:I18)</f>
        <v>75409.009949563377</v>
      </c>
      <c r="J21" s="28"/>
      <c r="N21">
        <v>9</v>
      </c>
      <c r="O21" s="2">
        <v>175383.1096137058</v>
      </c>
      <c r="P21" s="2">
        <v>75409.009949563377</v>
      </c>
      <c r="Q21">
        <f t="shared" si="0"/>
        <v>2.3257580192474241</v>
      </c>
    </row>
    <row r="22" spans="1:17" ht="15" thickTop="1" x14ac:dyDescent="0.35">
      <c r="N22">
        <v>10</v>
      </c>
      <c r="O22" s="2">
        <v>187883.1096137058</v>
      </c>
      <c r="P22" s="2">
        <v>75409.009949563377</v>
      </c>
      <c r="Q22">
        <f t="shared" si="0"/>
        <v>2.4915207047456227</v>
      </c>
    </row>
  </sheetData>
  <dataValidations count="1">
    <dataValidation type="list" allowBlank="1" showInputMessage="1" showErrorMessage="1" sqref="L16" xr:uid="{54ECE4F4-C6E3-4B11-8E7E-3695A0FB29E4}">
      <formula1>$N$12:$N$22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3" name="Scroll Bar 4">
              <controlPr defaultSize="0" autoPict="0">
                <anchor moveWithCells="1">
                  <from>
                    <xdr:col>0</xdr:col>
                    <xdr:colOff>209550</xdr:colOff>
                    <xdr:row>36</xdr:row>
                    <xdr:rowOff>158750</xdr:rowOff>
                  </from>
                  <to>
                    <xdr:col>5</xdr:col>
                    <xdr:colOff>755650</xdr:colOff>
                    <xdr:row>39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85F8-8B19-4EAE-A42E-42FF27315B14}">
  <dimension ref="A1:Q22"/>
  <sheetViews>
    <sheetView tabSelected="1" topLeftCell="A15" zoomScale="85" zoomScaleNormal="85" workbookViewId="0">
      <selection activeCell="O29" sqref="O29"/>
    </sheetView>
  </sheetViews>
  <sheetFormatPr defaultRowHeight="14.5" x14ac:dyDescent="0.35"/>
  <cols>
    <col min="1" max="1" width="20.54296875" customWidth="1"/>
    <col min="3" max="3" width="10.08984375" customWidth="1"/>
    <col min="4" max="4" width="9.81640625" bestFit="1" customWidth="1"/>
    <col min="6" max="6" width="23.54296875" customWidth="1"/>
    <col min="11" max="11" width="11.08984375" customWidth="1"/>
    <col min="12" max="12" width="14.08984375" customWidth="1"/>
    <col min="14" max="14" width="8.7265625" customWidth="1"/>
  </cols>
  <sheetData>
    <row r="1" spans="1:17" x14ac:dyDescent="0.35">
      <c r="A1" t="s">
        <v>12</v>
      </c>
      <c r="D1" t="s">
        <v>14</v>
      </c>
    </row>
    <row r="2" spans="1:17" ht="15" thickBot="1" x14ac:dyDescent="0.4">
      <c r="E2" s="12"/>
    </row>
    <row r="3" spans="1:17" ht="15.5" thickTop="1" thickBot="1" x14ac:dyDescent="0.4">
      <c r="A3" s="3" t="s">
        <v>13</v>
      </c>
      <c r="B3" s="4" t="s">
        <v>25</v>
      </c>
      <c r="C3" s="4" t="s">
        <v>26</v>
      </c>
      <c r="D3" s="4" t="s">
        <v>27</v>
      </c>
      <c r="E3" s="4"/>
      <c r="F3" s="4" t="s">
        <v>15</v>
      </c>
      <c r="G3" s="4" t="s">
        <v>25</v>
      </c>
      <c r="H3" s="4" t="s">
        <v>26</v>
      </c>
      <c r="I3" s="4" t="s">
        <v>27</v>
      </c>
      <c r="J3" s="24"/>
      <c r="K3" s="22">
        <v>5</v>
      </c>
      <c r="L3" s="15" t="s">
        <v>29</v>
      </c>
    </row>
    <row r="4" spans="1:17" ht="15" thickTop="1" x14ac:dyDescent="0.35">
      <c r="A4" s="5">
        <v>2</v>
      </c>
      <c r="B4" s="2" cm="1">
        <f t="array" ref="B4">($K$3*Table3[coolent density (kg/m^3)]*numbers!C8)/$K$4</f>
        <v>100000</v>
      </c>
      <c r="C4" s="2">
        <f>(1/( -1.8 *LOG((6.9/'Scenario 3'!B4)+(0.002*numbers!C8/3.7)^1.1)))^2</f>
        <v>1.8007632577605463E-2</v>
      </c>
      <c r="D4" s="2" cm="1">
        <f t="array" ref="D4">C4*(numbers!B8/numbers!C8)*((Table3[coolent density (kg/m^3)]*('Scenario 3'!$K$3)^2)/2)</f>
        <v>2250.9540722006827</v>
      </c>
      <c r="E4" s="21"/>
      <c r="F4" s="2">
        <v>5</v>
      </c>
      <c r="G4" s="2" cm="1">
        <f t="array" ref="G4">($K$3*Table3[coolent density (kg/m^3)]*numbers!C12)/$K$4</f>
        <v>100000</v>
      </c>
      <c r="H4" s="2">
        <f>(1/( -1.8 *LOG((6.9/'Scenario 3'!G4)+(0.002*numbers!C12/3.7)^1.1)))^2</f>
        <v>1.8007632577605463E-2</v>
      </c>
      <c r="I4" s="2" cm="1">
        <f t="array" ref="I4">H4*(numbers!B12/numbers!C12)*((Table3[coolent density (kg/m^3)]*('Scenario 3'!$K$3)^2)/2)</f>
        <v>2250.9540722006827</v>
      </c>
      <c r="J4" s="23"/>
      <c r="K4" s="32">
        <v>1E-3</v>
      </c>
      <c r="L4" t="s">
        <v>30</v>
      </c>
    </row>
    <row r="5" spans="1:17" x14ac:dyDescent="0.35">
      <c r="A5" s="5">
        <v>3</v>
      </c>
      <c r="B5" s="2" cm="1">
        <f t="array" ref="B5">($K$3*Table3[coolent density (kg/m^3)]*numbers!C9)/$K$4</f>
        <v>100000</v>
      </c>
      <c r="C5" s="2">
        <f>(1/( -1.8 *LOG((6.9/'Scenario 3'!B5)+(0.002*numbers!C9/3.7)^1.1)))^2</f>
        <v>1.8007632577605463E-2</v>
      </c>
      <c r="D5" s="2" cm="1">
        <f t="array" ref="D5">C5*(numbers!B9/numbers!C9)*((Table3[coolent density (kg/m^3)]*('Scenario 3'!$K$3)^2)/2)</f>
        <v>3376.4311083010243</v>
      </c>
      <c r="E5" s="21"/>
      <c r="F5" s="2">
        <v>6</v>
      </c>
      <c r="G5" s="2" cm="1">
        <f t="array" ref="G5">($K$3*Table3[coolent density (kg/m^3)]*numbers!C13)/$K$4</f>
        <v>50000</v>
      </c>
      <c r="H5" s="2">
        <f>(1/( -1.8 *LOG((6.9/'Scenario 3'!G5)+(0.002*numbers!C13/3.7)^1.1)))^2</f>
        <v>2.0767564206543708E-2</v>
      </c>
      <c r="I5" s="2" cm="1">
        <f t="array" ref="I5">H5*(numbers!B13/numbers!C13)*((Table3[coolent density (kg/m^3)]*('Scenario 3'!$K$3)^2)/2)</f>
        <v>51918.910516359276</v>
      </c>
      <c r="J5" s="23"/>
      <c r="K5" t="s">
        <v>42</v>
      </c>
      <c r="L5">
        <v>1.75</v>
      </c>
    </row>
    <row r="6" spans="1:17" x14ac:dyDescent="0.35">
      <c r="A6" s="5">
        <v>4</v>
      </c>
      <c r="B6" s="2" cm="1">
        <f t="array" ref="B6">($K$3*Table3[coolent density (kg/m^3)]*numbers!C10)/$K$4</f>
        <v>100000</v>
      </c>
      <c r="C6" s="2">
        <f>(1/( -1.8 *LOG((6.9/'Scenario 3'!B6)+(0.002*numbers!C10/3.7)^1.1)))^2</f>
        <v>1.8007632577605463E-2</v>
      </c>
      <c r="D6" s="2" cm="1">
        <f t="array" ref="D6">C6*(numbers!B10/numbers!C10)*((Table3[coolent density (kg/m^3)]*('Scenario 3'!$K$3)^2)/2)</f>
        <v>11254.770361003415</v>
      </c>
      <c r="E6" s="21"/>
      <c r="F6" s="2">
        <v>7</v>
      </c>
      <c r="G6" s="2" cm="1">
        <f t="array" ref="G6">($K$3*Table3[coolent density (kg/m^3)]*numbers!C14)/$K$4</f>
        <v>100000</v>
      </c>
      <c r="H6" s="2">
        <f>(1/( -1.8 *LOG((6.9/'Scenario 3'!G6)+(0.002*numbers!C14/3.7)^1.1)))^2</f>
        <v>1.8007632577605463E-2</v>
      </c>
      <c r="I6" s="2" cm="1">
        <f t="array" ref="I6">H6*(numbers!B14/numbers!C14)*((Table3[coolent density (kg/m^3)]*('Scenario 3'!$K$3)^2)/2)</f>
        <v>11254.770361003415</v>
      </c>
      <c r="J6" s="23"/>
      <c r="K6" t="s">
        <v>43</v>
      </c>
      <c r="L6">
        <v>5</v>
      </c>
    </row>
    <row r="7" spans="1:17" x14ac:dyDescent="0.35">
      <c r="A7" s="5">
        <v>8</v>
      </c>
      <c r="B7" s="2" cm="1">
        <f t="array" ref="B7">($K$3*Table3[coolent density (kg/m^3)]*numbers!C11)/$K$4</f>
        <v>100000</v>
      </c>
      <c r="C7" s="2">
        <f>(1/( -1.8 *LOG((6.9/'Scenario 3'!B7)+(0.002*numbers!C11/3.7)^1.1)))^2</f>
        <v>1.8007632577605463E-2</v>
      </c>
      <c r="D7" s="2" cm="1">
        <f t="array" ref="D7">C7*(numbers!B11/numbers!C11)*((Table3[coolent density (kg/m^3)]*('Scenario 3'!$K$3)^2)/2)</f>
        <v>2250.9540722006827</v>
      </c>
      <c r="E7" s="21"/>
      <c r="F7" s="20" t="s">
        <v>40</v>
      </c>
      <c r="G7" s="21"/>
      <c r="H7" s="21"/>
      <c r="I7" s="2" cm="1">
        <f t="array" ref="I7">(K3^2 * L7*Table3[coolent density (kg/m^3)])/2</f>
        <v>7031.25</v>
      </c>
      <c r="J7" s="23"/>
      <c r="K7" t="s">
        <v>46</v>
      </c>
      <c r="L7">
        <f>(1-(numbers!C13^2/numbers!C14^2))^2</f>
        <v>0.5625</v>
      </c>
    </row>
    <row r="8" spans="1:17" x14ac:dyDescent="0.35">
      <c r="A8" s="17" t="s">
        <v>38</v>
      </c>
      <c r="B8" s="21"/>
      <c r="C8" s="21"/>
      <c r="D8" s="29" cm="1">
        <f t="array" ref="D8">(K3^2 * L5*Table3[coolent density (kg/m^3)])/2</f>
        <v>21875</v>
      </c>
      <c r="E8" s="21"/>
      <c r="F8" s="20" t="s">
        <v>41</v>
      </c>
      <c r="G8" s="21"/>
      <c r="H8" s="21"/>
      <c r="I8" s="2" cm="1">
        <f t="array" ref="I8">(K3^2 * L8*Table3[coolent density (kg/m^3)])/2</f>
        <v>2953.125</v>
      </c>
      <c r="J8" s="23"/>
      <c r="K8" t="s">
        <v>47</v>
      </c>
      <c r="L8">
        <f>0.42*L7</f>
        <v>0.23624999999999999</v>
      </c>
    </row>
    <row r="9" spans="1:17" x14ac:dyDescent="0.35">
      <c r="A9" s="17" t="s">
        <v>37</v>
      </c>
      <c r="B9" s="21"/>
      <c r="C9" s="21"/>
      <c r="D9" s="29" cm="1">
        <f t="array" ref="D9">(K3^2 * L6*Table3[coolent density (kg/m^3)])/2</f>
        <v>62500</v>
      </c>
      <c r="E9" s="21"/>
      <c r="F9" s="21"/>
      <c r="G9" s="21"/>
      <c r="H9" s="21"/>
      <c r="I9" s="21"/>
      <c r="J9" s="23"/>
    </row>
    <row r="10" spans="1:17" x14ac:dyDescent="0.35">
      <c r="A10" s="17" t="s">
        <v>39</v>
      </c>
      <c r="B10" s="21"/>
      <c r="C10" s="21"/>
      <c r="D10" s="2" cm="1">
        <f t="array" ref="D10">(K3^2 * L5*Table3[coolent density (kg/m^3)])/2</f>
        <v>21875</v>
      </c>
      <c r="E10" s="21"/>
      <c r="F10" s="21"/>
      <c r="G10" s="21"/>
      <c r="H10" s="21"/>
      <c r="I10" s="21"/>
      <c r="J10" s="23"/>
    </row>
    <row r="11" spans="1:17" ht="15" thickBot="1" x14ac:dyDescent="0.4">
      <c r="A11" s="6" t="s">
        <v>16</v>
      </c>
      <c r="B11" s="18" t="s">
        <v>28</v>
      </c>
      <c r="C11" s="18" t="s">
        <v>28</v>
      </c>
      <c r="D11" s="7">
        <f>SUM(D4:D10)</f>
        <v>125383.1096137058</v>
      </c>
      <c r="E11" s="18"/>
      <c r="F11" s="7" t="s">
        <v>17</v>
      </c>
      <c r="G11" s="18"/>
      <c r="H11" s="18"/>
      <c r="I11" s="7">
        <f>SUM(I4:I8)</f>
        <v>75409.009949563377</v>
      </c>
      <c r="J11" s="25"/>
    </row>
    <row r="12" spans="1:17" ht="15.5" thickTop="1" thickBot="1" x14ac:dyDescent="0.4">
      <c r="J12" s="26"/>
      <c r="O12" t="s">
        <v>53</v>
      </c>
      <c r="P12" t="s">
        <v>49</v>
      </c>
      <c r="Q12" t="s">
        <v>52</v>
      </c>
    </row>
    <row r="13" spans="1:17" ht="15.5" thickTop="1" thickBot="1" x14ac:dyDescent="0.4">
      <c r="A13" s="8" t="s">
        <v>13</v>
      </c>
      <c r="B13" s="9" t="s">
        <v>25</v>
      </c>
      <c r="C13" s="9" t="s">
        <v>26</v>
      </c>
      <c r="D13" s="9" t="s">
        <v>27</v>
      </c>
      <c r="E13" s="4"/>
      <c r="F13" s="9" t="s">
        <v>15</v>
      </c>
      <c r="G13" s="9" t="s">
        <v>25</v>
      </c>
      <c r="H13" s="9" t="s">
        <v>26</v>
      </c>
      <c r="I13" s="9" t="s">
        <v>27</v>
      </c>
      <c r="J13" s="21"/>
      <c r="K13" s="13">
        <v>5</v>
      </c>
      <c r="L13" s="14" t="s">
        <v>29</v>
      </c>
      <c r="N13">
        <v>1E-3</v>
      </c>
      <c r="O13" s="2">
        <v>125383.1096137058</v>
      </c>
      <c r="P13" s="2">
        <v>75409.009949563377</v>
      </c>
      <c r="Q13">
        <f>O13/P13</f>
        <v>1.6627072772546296</v>
      </c>
    </row>
    <row r="14" spans="1:17" ht="15" thickTop="1" x14ac:dyDescent="0.35">
      <c r="A14" s="10">
        <v>2</v>
      </c>
      <c r="B14" s="2" cm="1">
        <f t="array" ref="B14">($K$13*Table3[coolent density (kg/m^3)]*numbers!C8)/$K$14</f>
        <v>11111.111111111111</v>
      </c>
      <c r="C14" s="2">
        <f>(1/( -1.8 *LOG((6.9/'Scenario 3'!B14)+(0.002*numbers!C8/3.7)^1.1)))^2</f>
        <v>3.005612206775914E-2</v>
      </c>
      <c r="D14" s="2" cm="1">
        <f t="array" ref="D14">C14*(numbers!B8/numbers!C8)*((Table3[coolent density (kg/m^3)]*('Scenario 3'!$K$13)^2)/2)</f>
        <v>3757.0152584698922</v>
      </c>
      <c r="E14" s="21"/>
      <c r="F14" s="2">
        <v>5</v>
      </c>
      <c r="G14" s="2" cm="1">
        <f t="array" ref="G14">($K$13*Table3[coolent density (kg/m^3)]*numbers!C12)/$K$14</f>
        <v>11111.111111111111</v>
      </c>
      <c r="H14" s="2">
        <f>(1/( -1.8 *LOG((6.9/'Scenario 3'!G14)+(0.002*numbers!C12/3.7)^1.1)))^2</f>
        <v>3.005612206775914E-2</v>
      </c>
      <c r="I14" s="2" cm="1">
        <f t="array" ref="I14">H14*(numbers!B12/numbers!C12)*((Table3[coolent density (kg/m^3)]*('Scenario 3'!$K$13)^2)/2)</f>
        <v>3757.0152584698922</v>
      </c>
      <c r="J14" s="27"/>
      <c r="K14" s="32">
        <v>8.9999999999999993E-3</v>
      </c>
      <c r="L14" t="s">
        <v>30</v>
      </c>
      <c r="N14">
        <v>2E-3</v>
      </c>
      <c r="O14" s="2">
        <v>128380.71004662076</v>
      </c>
      <c r="P14" s="2">
        <v>86606.428716858747</v>
      </c>
      <c r="Q14">
        <f t="shared" ref="Q14:Q22" si="0">O14/P14</f>
        <v>1.4823461947188024</v>
      </c>
    </row>
    <row r="15" spans="1:17" x14ac:dyDescent="0.35">
      <c r="A15" s="10">
        <v>3</v>
      </c>
      <c r="B15" s="2" cm="1">
        <f t="array" ref="B15">($K$13*Table3[coolent density (kg/m^3)]*numbers!C9)/$K$14</f>
        <v>11111.111111111111</v>
      </c>
      <c r="C15" s="2">
        <f>(1/( -1.8 *LOG((6.9/'Scenario 3'!B15)+(0.002*numbers!C9/3.7)^1.1)))^2</f>
        <v>3.005612206775914E-2</v>
      </c>
      <c r="D15" s="2" cm="1">
        <f t="array" ref="D15">C15*(numbers!B9/numbers!C9)*((Table3[coolent density (kg/m^3)]*('Scenario 3'!$K$13)^2)/2)</f>
        <v>5635.5228877048385</v>
      </c>
      <c r="E15" s="21"/>
      <c r="F15" s="2">
        <v>6</v>
      </c>
      <c r="G15" s="2" cm="1">
        <f t="array" ref="G15">($K$13*Table3[coolent density (kg/m^3)]*numbers!C13)/$K$14</f>
        <v>5555.5555555555557</v>
      </c>
      <c r="H15" s="2">
        <f>(1/( -1.8 *LOG((6.9/'Scenario 3'!G15)+(0.002*numbers!C13/3.7)^1.1)))^2</f>
        <v>3.6565205890021407E-2</v>
      </c>
      <c r="I15" s="2" cm="1">
        <f t="array" ref="I15">H15*(numbers!B13/numbers!C13)*((Table3[coolent density (kg/m^3)]*('Scenario 3'!$K$13)^2)/2)</f>
        <v>91413.014725053523</v>
      </c>
      <c r="J15" s="27"/>
      <c r="K15" t="str">
        <f t="shared" ref="K15:L18" si="1">K5</f>
        <v>Kelbow</v>
      </c>
      <c r="L15">
        <f t="shared" si="1"/>
        <v>1.75</v>
      </c>
      <c r="N15">
        <v>3.0000000000000001E-3</v>
      </c>
      <c r="O15" s="2">
        <v>130506.58314146282</v>
      </c>
      <c r="P15" s="2">
        <v>94594.159508757861</v>
      </c>
      <c r="Q15">
        <f t="shared" si="0"/>
        <v>1.3796473674400591</v>
      </c>
    </row>
    <row r="16" spans="1:17" x14ac:dyDescent="0.35">
      <c r="A16" s="10">
        <v>4</v>
      </c>
      <c r="B16" s="2" cm="1">
        <f t="array" ref="B16">($K$13*Table3[coolent density (kg/m^3)]*numbers!C10)/$K$14</f>
        <v>11111.111111111111</v>
      </c>
      <c r="C16" s="2">
        <f>(1/( -1.8 *LOG((6.9/'Scenario 3'!B16)+(0.002*numbers!C10/3.7)^1.1)))^2</f>
        <v>3.005612206775914E-2</v>
      </c>
      <c r="D16" s="2" cm="1">
        <f t="array" ref="D16">C16*(numbers!B10/numbers!C10)*((Table3[coolent density (kg/m^3)]*('Scenario 3'!$K$13)^2)/2)</f>
        <v>18785.076292349462</v>
      </c>
      <c r="E16" s="21"/>
      <c r="F16" s="2">
        <v>7</v>
      </c>
      <c r="G16" s="2" cm="1">
        <f t="array" ref="G16">($K$13*Table3[coolent density (kg/m^3)]*numbers!C14)/$K$14</f>
        <v>11111.111111111111</v>
      </c>
      <c r="H16" s="2">
        <f>(1/( -1.8 *LOG((6.9/'Scenario 3'!G16)+(0.002*numbers!C14/3.7)^1.1)))^2</f>
        <v>3.005612206775914E-2</v>
      </c>
      <c r="I16" s="2" cm="1">
        <f t="array" ref="I16">H16*(numbers!B14/numbers!C14)*((Table3[coolent density (kg/m^3)]*('Scenario 3'!$K$13)^2)/2)</f>
        <v>18785.076292349462</v>
      </c>
      <c r="J16" s="27"/>
      <c r="K16" t="str">
        <f t="shared" si="1"/>
        <v>Kvalve</v>
      </c>
      <c r="L16">
        <v>5</v>
      </c>
      <c r="N16">
        <v>4.0000000000000001E-3</v>
      </c>
      <c r="O16" s="2">
        <v>132216.99387669232</v>
      </c>
      <c r="P16" s="2">
        <v>101060.72036202719</v>
      </c>
      <c r="Q16">
        <f t="shared" si="0"/>
        <v>1.3082926126298606</v>
      </c>
    </row>
    <row r="17" spans="1:17" x14ac:dyDescent="0.35">
      <c r="A17" s="10">
        <v>8</v>
      </c>
      <c r="B17" s="2" cm="1">
        <f t="array" ref="B17">($K$13*Table3[coolent density (kg/m^3)]*numbers!C11)/$K$14</f>
        <v>11111.111111111111</v>
      </c>
      <c r="C17" s="2">
        <f>(1/( -1.8 *LOG((6.9/'Scenario 3'!B17)+(0.002*numbers!C11/3.7)^1.1)))^2</f>
        <v>3.005612206775914E-2</v>
      </c>
      <c r="D17" s="2" cm="1">
        <f t="array" ref="D17">C17*(numbers!B11/numbers!C11)*((Table3[coolent density (kg/m^3)]*('Scenario 3'!$K$13)^2)/2)</f>
        <v>3757.0152584698922</v>
      </c>
      <c r="E17" s="21"/>
      <c r="F17" s="20" t="s">
        <v>40</v>
      </c>
      <c r="G17" s="21"/>
      <c r="H17" s="21"/>
      <c r="I17" s="2" cm="1">
        <f t="array" ref="I17">(K13^2 * L17*Table3[coolent density (kg/m^3)])/2</f>
        <v>7031.25</v>
      </c>
      <c r="J17" s="27"/>
      <c r="K17" t="str">
        <f t="shared" si="1"/>
        <v>Kexpansion</v>
      </c>
      <c r="L17">
        <f t="shared" si="1"/>
        <v>0.5625</v>
      </c>
      <c r="N17">
        <v>5.0000000000000001E-3</v>
      </c>
      <c r="O17" s="2">
        <v>133676.33684001426</v>
      </c>
      <c r="P17" s="2">
        <v>106609.04145594782</v>
      </c>
      <c r="Q17">
        <f t="shared" si="0"/>
        <v>1.2538930564838722</v>
      </c>
    </row>
    <row r="18" spans="1:17" x14ac:dyDescent="0.35">
      <c r="A18" s="17" t="s">
        <v>38</v>
      </c>
      <c r="B18" s="21"/>
      <c r="C18" s="21"/>
      <c r="D18" s="29" cm="1">
        <f t="array" ref="D18">(K13^2 * L15*Table3[coolent density (kg/m^3)])/2</f>
        <v>21875</v>
      </c>
      <c r="E18" s="21"/>
      <c r="F18" s="20" t="s">
        <v>41</v>
      </c>
      <c r="G18" s="21"/>
      <c r="H18" s="21"/>
      <c r="I18" s="2" cm="1">
        <f t="array" ref="I18">(K13^2 * L18*Table3[coolent density (kg/m^3)])/2</f>
        <v>2953.125</v>
      </c>
      <c r="J18" s="27"/>
      <c r="K18" t="str">
        <f t="shared" si="1"/>
        <v>Kcontraction</v>
      </c>
      <c r="L18">
        <f t="shared" si="1"/>
        <v>0.23624999999999999</v>
      </c>
      <c r="N18">
        <v>6.0000000000000001E-3</v>
      </c>
      <c r="O18" s="2">
        <v>134964.72465227824</v>
      </c>
      <c r="P18" s="2">
        <v>111532.09314895008</v>
      </c>
      <c r="Q18">
        <f t="shared" si="0"/>
        <v>1.2100976574700708</v>
      </c>
    </row>
    <row r="19" spans="1:17" x14ac:dyDescent="0.35">
      <c r="A19" s="17" t="s">
        <v>37</v>
      </c>
      <c r="B19" s="21"/>
      <c r="C19" s="21"/>
      <c r="D19" s="29" cm="1">
        <f t="array" ref="D19">(K13^2 * L16*Table3[coolent density (kg/m^3)])/2</f>
        <v>62500</v>
      </c>
      <c r="E19" s="21"/>
      <c r="F19" s="21"/>
      <c r="G19" s="21"/>
      <c r="H19" s="21"/>
      <c r="I19" s="21"/>
      <c r="J19" s="27"/>
      <c r="N19">
        <v>7.0000000000000001E-3</v>
      </c>
      <c r="O19" s="2">
        <v>136127.89560548629</v>
      </c>
      <c r="P19" s="2">
        <v>115996.96624378378</v>
      </c>
      <c r="Q19">
        <f t="shared" si="0"/>
        <v>1.1735470332852891</v>
      </c>
    </row>
    <row r="20" spans="1:17" x14ac:dyDescent="0.35">
      <c r="A20" s="17" t="s">
        <v>39</v>
      </c>
      <c r="B20" s="21"/>
      <c r="C20" s="21"/>
      <c r="D20" s="29" cm="1">
        <f t="array" ref="D20">(K13^2 * L15*Table3[coolent density (kg/m^3)])/2</f>
        <v>21875</v>
      </c>
      <c r="E20" s="21"/>
      <c r="F20" s="21"/>
      <c r="G20" s="21"/>
      <c r="H20" s="21"/>
      <c r="I20" s="21"/>
      <c r="J20" s="27"/>
      <c r="N20">
        <v>8.0000000000000002E-3</v>
      </c>
      <c r="O20" s="2">
        <v>137194.69859458873</v>
      </c>
      <c r="P20" s="2">
        <v>120109.02442148355</v>
      </c>
      <c r="Q20">
        <f t="shared" si="0"/>
        <v>1.1422513774914078</v>
      </c>
    </row>
    <row r="21" spans="1:17" ht="15" thickBot="1" x14ac:dyDescent="0.4">
      <c r="A21" s="11" t="s">
        <v>16</v>
      </c>
      <c r="B21" s="19"/>
      <c r="C21" s="19"/>
      <c r="D21" s="12">
        <f>SUM(D14:D20)</f>
        <v>138184.62969699409</v>
      </c>
      <c r="E21" s="19"/>
      <c r="F21" s="12" t="s">
        <v>17</v>
      </c>
      <c r="G21" s="19"/>
      <c r="H21" s="19"/>
      <c r="I21" s="12">
        <f>SUM(I14:I18)</f>
        <v>123939.48127587288</v>
      </c>
      <c r="J21" s="28"/>
      <c r="N21">
        <v>8.9999999999999993E-3</v>
      </c>
      <c r="O21" s="2">
        <v>138184.62969699409</v>
      </c>
      <c r="P21" s="2">
        <v>123939.48127587288</v>
      </c>
      <c r="Q21">
        <f t="shared" si="0"/>
        <v>1.1149363243615116</v>
      </c>
    </row>
    <row r="22" spans="1:17" ht="15" thickTop="1" x14ac:dyDescent="0.35">
      <c r="N22">
        <v>0.01</v>
      </c>
      <c r="O22" s="2">
        <v>139111.55096389019</v>
      </c>
      <c r="P22" s="2">
        <v>127538.98722434905</v>
      </c>
      <c r="Q22">
        <f t="shared" si="0"/>
        <v>1.090737459904588</v>
      </c>
    </row>
  </sheetData>
  <dataValidations count="1">
    <dataValidation type="list" allowBlank="1" showInputMessage="1" showErrorMessage="1" sqref="K14" xr:uid="{84D33947-515D-406D-B2E6-A8333222AC91}">
      <formula1>$N$13:$N$22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Liuyinan</dc:creator>
  <cp:lastModifiedBy>Liuyinan</cp:lastModifiedBy>
  <dcterms:created xsi:type="dcterms:W3CDTF">2022-10-06T17:24:09Z</dcterms:created>
  <dcterms:modified xsi:type="dcterms:W3CDTF">2022-10-07T00:39:33Z</dcterms:modified>
</cp:coreProperties>
</file>