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G:\Mi unidad\DATA\INE_diabetes\"/>
    </mc:Choice>
  </mc:AlternateContent>
  <xr:revisionPtr revIDLastSave="0" documentId="13_ncr:1_{8A81E3E4-1BB8-4CA0-9E96-EB9CC5AAA666}" xr6:coauthVersionLast="47" xr6:coauthVersionMax="47" xr10:uidLastSave="{00000000-0000-0000-0000-000000000000}"/>
  <bookViews>
    <workbookView xWindow="-120" yWindow="-120" windowWidth="20730" windowHeight="11160" tabRatio="513" firstSheet="3" activeTab="3" xr2:uid="{00000000-000D-0000-FFFF-FFFF00000000}"/>
  </bookViews>
  <sheets>
    <sheet name="Códigos" sheetId="3" r:id="rId1"/>
    <sheet name="TD BASE VALORIZ." sheetId="20" r:id="rId2"/>
    <sheet name="Tablas edit." sheetId="21" r:id="rId3"/>
    <sheet name="base valorizada" sheetId="19" r:id="rId4"/>
    <sheet name="Hoja1" sheetId="22" r:id="rId5"/>
    <sheet name="Tablas editadas ok" sheetId="23" r:id="rId6"/>
    <sheet name="Tablas viejas" sheetId="15" r:id="rId7"/>
    <sheet name="Hoja2" sheetId="24" r:id="rId8"/>
  </sheets>
  <definedNames>
    <definedName name="_xlnm._FilterDatabase" localSheetId="3" hidden="1">'base valorizada'!$A$1:$CH$210</definedName>
    <definedName name="_xlnm._FilterDatabase" localSheetId="4" hidden="1">Hoja1!$A$1:$I$194</definedName>
    <definedName name="_xlnm._FilterDatabase" localSheetId="7" hidden="1">Hoja2!$A$1:$P$210</definedName>
    <definedName name="_xlnm._FilterDatabase" localSheetId="2" hidden="1">'Tablas edit.'!$A$362:$D$571</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3" i="23" l="1"/>
  <c r="P32" i="23"/>
  <c r="P31" i="23"/>
  <c r="L26" i="23"/>
  <c r="L15" i="23"/>
  <c r="L16" i="23"/>
  <c r="L14" i="23"/>
  <c r="K17" i="23"/>
  <c r="L17" i="23" s="1"/>
  <c r="A12" i="21"/>
  <c r="H28" i="21"/>
  <c r="I28" i="21"/>
  <c r="G28" i="21"/>
  <c r="F13" i="23"/>
  <c r="E13" i="23"/>
  <c r="D13" i="23"/>
  <c r="C13" i="23"/>
  <c r="Z4" i="23"/>
  <c r="Z3" i="23"/>
  <c r="Z2" i="23"/>
  <c r="Z5" i="23" s="1"/>
  <c r="E4" i="22"/>
  <c r="E3" i="22"/>
  <c r="E2" i="22"/>
  <c r="G71" i="21"/>
  <c r="X76" i="21" l="1"/>
  <c r="X75" i="21"/>
  <c r="X77" i="21" s="1"/>
  <c r="U77" i="21"/>
  <c r="U78" i="21"/>
  <c r="U76" i="21"/>
  <c r="U79" i="21" s="1"/>
  <c r="T77" i="21"/>
  <c r="T78" i="21"/>
  <c r="T76" i="21"/>
  <c r="T79" i="21" s="1"/>
  <c r="S77" i="21"/>
  <c r="S79" i="21" s="1"/>
  <c r="S78" i="21"/>
  <c r="S76" i="21"/>
  <c r="T71" i="21"/>
  <c r="U71" i="21"/>
  <c r="S71" i="21"/>
  <c r="V70" i="21"/>
  <c r="W70" i="21" s="1"/>
  <c r="V69" i="21"/>
  <c r="W69" i="21" s="1"/>
  <c r="V68" i="21"/>
  <c r="W68" i="21" s="1"/>
  <c r="V67" i="21"/>
  <c r="W67" i="21" s="1"/>
  <c r="AE66" i="21"/>
  <c r="AF66" i="21"/>
  <c r="AG66" i="21"/>
  <c r="AD66" i="21"/>
  <c r="AE65" i="21"/>
  <c r="AF65" i="21"/>
  <c r="AG65" i="21"/>
  <c r="AD65" i="21"/>
  <c r="AE64" i="21"/>
  <c r="AF64" i="21"/>
  <c r="AG64" i="21"/>
  <c r="AD64" i="21"/>
  <c r="AE63" i="21"/>
  <c r="AF63" i="21"/>
  <c r="AG63" i="21"/>
  <c r="AD63" i="21"/>
  <c r="AG56" i="21"/>
  <c r="AG57" i="21"/>
  <c r="AG58" i="21"/>
  <c r="AG55" i="21"/>
  <c r="AF56" i="21"/>
  <c r="AF57" i="21"/>
  <c r="AF58" i="21"/>
  <c r="AF55" i="21"/>
  <c r="AE56" i="21"/>
  <c r="AE57" i="21"/>
  <c r="AE58" i="21"/>
  <c r="AE55" i="21"/>
  <c r="AD56" i="21"/>
  <c r="AD57" i="21"/>
  <c r="AD58" i="21"/>
  <c r="AD55" i="21"/>
  <c r="J4" i="23"/>
  <c r="J5" i="23"/>
  <c r="J6" i="23"/>
  <c r="J7" i="23"/>
  <c r="J8" i="23"/>
  <c r="J3" i="23"/>
  <c r="T20" i="21"/>
  <c r="U20" i="21"/>
  <c r="V20" i="21"/>
  <c r="S20" i="21"/>
  <c r="V71" i="21" l="1"/>
  <c r="E166" i="21"/>
  <c r="E167" i="21"/>
  <c r="E168" i="21"/>
  <c r="E165" i="21"/>
  <c r="D166" i="21"/>
  <c r="D167" i="21"/>
  <c r="D168" i="21"/>
  <c r="D165" i="21"/>
  <c r="C166" i="21"/>
  <c r="C167" i="21"/>
  <c r="C168" i="21"/>
  <c r="C165" i="21"/>
  <c r="B166" i="21"/>
  <c r="B167" i="21"/>
  <c r="B168" i="21"/>
  <c r="B165" i="21"/>
  <c r="E152" i="21"/>
  <c r="E153" i="21"/>
  <c r="E154" i="21"/>
  <c r="E151" i="21"/>
  <c r="D152" i="21"/>
  <c r="D153" i="21"/>
  <c r="D154" i="21"/>
  <c r="D151" i="21"/>
  <c r="C153" i="21"/>
  <c r="C151" i="21"/>
  <c r="B154" i="21"/>
  <c r="B153" i="21"/>
  <c r="B152" i="21"/>
  <c r="B151" i="21"/>
  <c r="I116" i="21"/>
  <c r="I121" i="21" s="1"/>
  <c r="I115" i="21"/>
  <c r="I120" i="21" s="1"/>
  <c r="H115" i="21"/>
  <c r="H120" i="21" s="1"/>
  <c r="N107" i="21"/>
  <c r="D116" i="21"/>
  <c r="J116" i="21" s="1"/>
  <c r="J121" i="21" s="1"/>
  <c r="D115" i="21"/>
  <c r="J115" i="21" s="1"/>
  <c r="C116" i="21"/>
  <c r="C115" i="21"/>
  <c r="B116" i="21"/>
  <c r="H116" i="21" s="1"/>
  <c r="B115" i="21"/>
  <c r="U104" i="21"/>
  <c r="U111" i="21" s="1"/>
  <c r="V104" i="21"/>
  <c r="V111" i="21" s="1"/>
  <c r="X104" i="21"/>
  <c r="X111" i="21" s="1"/>
  <c r="U103" i="21"/>
  <c r="U110" i="21" s="1"/>
  <c r="V103" i="21"/>
  <c r="V110" i="21" s="1"/>
  <c r="X103" i="21"/>
  <c r="X110" i="21" s="1"/>
  <c r="U102" i="21"/>
  <c r="U109" i="21" s="1"/>
  <c r="V102" i="21"/>
  <c r="V109" i="21" s="1"/>
  <c r="X102" i="21"/>
  <c r="U101" i="21"/>
  <c r="U108" i="21" s="1"/>
  <c r="V101" i="21"/>
  <c r="V108" i="21" s="1"/>
  <c r="X101" i="21"/>
  <c r="X108" i="21" s="1"/>
  <c r="T102" i="21"/>
  <c r="T109" i="21" s="1"/>
  <c r="T103" i="21"/>
  <c r="T110" i="21" s="1"/>
  <c r="T104" i="21"/>
  <c r="T111" i="21" s="1"/>
  <c r="T101" i="21"/>
  <c r="T108" i="21" s="1"/>
  <c r="M109" i="21"/>
  <c r="M108" i="21"/>
  <c r="Y96" i="21"/>
  <c r="Y95" i="21"/>
  <c r="Y94" i="21"/>
  <c r="Y102" i="21" l="1"/>
  <c r="H121" i="21"/>
  <c r="K116" i="21"/>
  <c r="J120" i="21"/>
  <c r="K115" i="21"/>
  <c r="K120" i="21" s="1"/>
  <c r="X109" i="21"/>
  <c r="Y111" i="21" s="1"/>
  <c r="Y101" i="21"/>
  <c r="P208" i="19"/>
  <c r="P206" i="19"/>
  <c r="P204" i="19"/>
  <c r="P203" i="19"/>
  <c r="P202" i="19"/>
  <c r="P200" i="19"/>
  <c r="P199" i="19"/>
  <c r="P198" i="19"/>
  <c r="P194" i="19"/>
  <c r="P193" i="19"/>
  <c r="P192" i="19"/>
  <c r="P190" i="19"/>
  <c r="P188" i="19"/>
  <c r="P187" i="19"/>
  <c r="P185" i="19"/>
  <c r="P184" i="19"/>
  <c r="P183" i="19"/>
  <c r="P180" i="19"/>
  <c r="P179" i="19"/>
  <c r="P178" i="19"/>
  <c r="P177" i="19"/>
  <c r="P176" i="19"/>
  <c r="P175" i="19"/>
  <c r="P174" i="19"/>
  <c r="P173" i="19"/>
  <c r="P172" i="19"/>
  <c r="P171" i="19"/>
  <c r="P170" i="19"/>
  <c r="P169" i="19"/>
  <c r="P168" i="19"/>
  <c r="P166" i="19"/>
  <c r="P165" i="19"/>
  <c r="P164" i="19"/>
  <c r="P163" i="19"/>
  <c r="P162" i="19"/>
  <c r="P161" i="19"/>
  <c r="P160" i="19"/>
  <c r="P159" i="19"/>
  <c r="P157" i="19"/>
  <c r="P156" i="19"/>
  <c r="P155" i="19"/>
  <c r="P154" i="19"/>
  <c r="P153" i="19"/>
  <c r="P152" i="19"/>
  <c r="P150" i="19"/>
  <c r="P146" i="19"/>
  <c r="P145" i="19"/>
  <c r="P144" i="19"/>
  <c r="P143" i="19"/>
  <c r="P142" i="19"/>
  <c r="P141" i="19"/>
  <c r="P140" i="19"/>
  <c r="P138" i="19"/>
  <c r="P137" i="19"/>
  <c r="P136" i="19"/>
  <c r="P135" i="19"/>
  <c r="P134" i="19"/>
  <c r="P133" i="19"/>
  <c r="P132" i="19"/>
  <c r="P131" i="19"/>
  <c r="P128" i="19"/>
  <c r="P127" i="19"/>
  <c r="P126" i="19"/>
  <c r="P124" i="19"/>
  <c r="P123" i="19"/>
  <c r="P122" i="19"/>
  <c r="P121" i="19"/>
  <c r="P120" i="19"/>
  <c r="P118" i="19"/>
  <c r="P117" i="19"/>
  <c r="P116" i="19"/>
  <c r="P114" i="19"/>
  <c r="P113" i="19"/>
  <c r="P112" i="19"/>
  <c r="P111" i="19"/>
  <c r="P109" i="19"/>
  <c r="P108" i="19"/>
  <c r="P107" i="19"/>
  <c r="P104" i="19"/>
  <c r="P103" i="19"/>
  <c r="P102" i="19"/>
  <c r="P101" i="19"/>
  <c r="P100" i="19"/>
  <c r="P99" i="19"/>
  <c r="P98" i="19"/>
  <c r="P96" i="19"/>
  <c r="P95" i="19"/>
  <c r="P94" i="19"/>
  <c r="P93" i="19"/>
  <c r="P92" i="19"/>
  <c r="P91" i="19"/>
  <c r="P90" i="19"/>
  <c r="P89" i="19"/>
  <c r="P87" i="19"/>
  <c r="P84" i="19"/>
  <c r="P83" i="19"/>
  <c r="P82" i="19"/>
  <c r="P80" i="19"/>
  <c r="P79" i="19"/>
  <c r="P78" i="19"/>
  <c r="P74" i="19"/>
  <c r="P71" i="19"/>
  <c r="P70" i="19"/>
  <c r="P69" i="19"/>
  <c r="P68" i="19"/>
  <c r="P67" i="19"/>
  <c r="P64" i="19"/>
  <c r="P63" i="19"/>
  <c r="P60" i="19"/>
  <c r="P59" i="19"/>
  <c r="P58" i="19"/>
  <c r="P56" i="19"/>
  <c r="P55" i="19"/>
  <c r="P54" i="19"/>
  <c r="P52" i="19"/>
  <c r="P49" i="19"/>
  <c r="P48" i="19"/>
  <c r="P46" i="19"/>
  <c r="P45" i="19"/>
  <c r="P44" i="19"/>
  <c r="P43" i="19"/>
  <c r="P42" i="19"/>
  <c r="P41" i="19"/>
  <c r="P40" i="19"/>
  <c r="P39" i="19"/>
  <c r="P37" i="19"/>
  <c r="P36" i="19"/>
  <c r="P35" i="19"/>
  <c r="P34" i="19"/>
  <c r="P33" i="19"/>
  <c r="P31" i="19"/>
  <c r="P30" i="19"/>
  <c r="P29" i="19"/>
  <c r="P28" i="19"/>
  <c r="P26" i="19"/>
  <c r="P24" i="19"/>
  <c r="P23" i="19"/>
  <c r="P21" i="19"/>
  <c r="P20" i="19"/>
  <c r="P17" i="19"/>
  <c r="P15" i="19"/>
  <c r="P14" i="19"/>
  <c r="P13" i="19"/>
  <c r="P12" i="19"/>
  <c r="P10" i="19"/>
  <c r="P9" i="19"/>
  <c r="P7" i="19"/>
  <c r="P6" i="19"/>
  <c r="P5" i="19"/>
  <c r="P4" i="19"/>
  <c r="P3" i="19"/>
  <c r="C94" i="21"/>
  <c r="C93" i="21"/>
  <c r="F89" i="21"/>
  <c r="F90" i="21"/>
  <c r="F88" i="21"/>
  <c r="N69" i="21"/>
  <c r="N70" i="21"/>
  <c r="N68" i="21"/>
  <c r="M69" i="21"/>
  <c r="M70" i="21"/>
  <c r="M68" i="21"/>
  <c r="L69" i="21"/>
  <c r="L70" i="21"/>
  <c r="L68" i="21"/>
  <c r="C71" i="21"/>
  <c r="C72" i="21" s="1"/>
  <c r="D71" i="21"/>
  <c r="D72" i="21" s="1"/>
  <c r="E71" i="21"/>
  <c r="E72" i="21" s="1"/>
  <c r="B71" i="21"/>
  <c r="B72" i="21" s="1"/>
  <c r="H51" i="21"/>
  <c r="N37" i="21"/>
  <c r="N23" i="21"/>
  <c r="O23" i="21"/>
  <c r="M71" i="21" l="1"/>
  <c r="L71" i="21"/>
  <c r="N71" i="21"/>
  <c r="K121" i="21"/>
  <c r="L121" i="21" s="1"/>
  <c r="L116" i="21"/>
  <c r="O97" i="21"/>
  <c r="P96" i="21"/>
  <c r="P95" i="21"/>
  <c r="P94" i="21"/>
  <c r="O52" i="21"/>
  <c r="O51" i="21"/>
  <c r="O50" i="21"/>
  <c r="N52" i="21"/>
  <c r="N50" i="21"/>
  <c r="M52" i="21"/>
  <c r="M51" i="21"/>
  <c r="M50" i="21"/>
  <c r="O8" i="21"/>
  <c r="O7" i="21"/>
  <c r="O6" i="21"/>
  <c r="N8" i="21"/>
  <c r="N7" i="21"/>
  <c r="N6" i="21"/>
  <c r="AG44" i="21"/>
  <c r="AE44" i="21"/>
  <c r="AF44" i="21"/>
  <c r="AD44" i="21"/>
  <c r="AC44" i="21"/>
  <c r="F70" i="21" l="1"/>
  <c r="F69" i="21"/>
  <c r="G70" i="21" s="1"/>
  <c r="F68" i="21"/>
  <c r="O22" i="21"/>
  <c r="N22" i="21"/>
  <c r="D132" i="21"/>
  <c r="C132" i="21"/>
  <c r="B132" i="21"/>
  <c r="J73" i="19"/>
  <c r="P6" i="21" l="1"/>
  <c r="P7" i="21"/>
  <c r="P8" i="21"/>
  <c r="Q88" i="21" l="1"/>
  <c r="N88" i="21"/>
  <c r="N87" i="21"/>
  <c r="N86" i="21"/>
  <c r="Q87" i="21"/>
  <c r="Q86" i="21"/>
  <c r="H109" i="21"/>
  <c r="H108" i="21"/>
  <c r="H107" i="21"/>
  <c r="P88" i="21"/>
  <c r="P87" i="21"/>
  <c r="P86" i="21"/>
  <c r="O88" i="21"/>
  <c r="O87" i="21"/>
  <c r="O86" i="21"/>
  <c r="M88" i="21"/>
  <c r="M87" i="21"/>
  <c r="M86" i="21"/>
  <c r="L88" i="21"/>
  <c r="L87" i="21"/>
  <c r="L86" i="21"/>
  <c r="M208" i="19"/>
  <c r="AG208" i="19"/>
  <c r="AH208" i="19" s="1"/>
  <c r="AN208" i="19"/>
  <c r="AO208" i="19" s="1"/>
  <c r="AT208" i="19"/>
  <c r="BB208" i="19"/>
  <c r="BI208" i="19"/>
  <c r="L180" i="19"/>
  <c r="M180" i="19" s="1"/>
  <c r="L146" i="19"/>
  <c r="L114" i="19"/>
  <c r="L90" i="19"/>
  <c r="L89" i="21" l="1"/>
  <c r="M89" i="21"/>
  <c r="N89" i="21"/>
  <c r="O89" i="21"/>
  <c r="BJ208" i="19"/>
  <c r="L38" i="19"/>
  <c r="C40" i="21" l="1"/>
  <c r="D40" i="21"/>
  <c r="F40" i="21"/>
  <c r="E40" i="21"/>
  <c r="B40" i="21"/>
  <c r="M37" i="21"/>
  <c r="L37" i="21"/>
  <c r="P36" i="21"/>
  <c r="P35" i="21"/>
  <c r="P34" i="21"/>
  <c r="R87" i="21" l="1"/>
  <c r="S87" i="21" s="1"/>
  <c r="R88" i="21"/>
  <c r="S88" i="21" s="1"/>
  <c r="R86" i="21"/>
  <c r="S86" i="21" s="1"/>
  <c r="J21" i="21"/>
  <c r="H21" i="21"/>
  <c r="C23" i="21"/>
  <c r="B23" i="21"/>
  <c r="M15" i="19" l="1"/>
  <c r="M17" i="19"/>
  <c r="M28" i="19"/>
  <c r="M29" i="19"/>
  <c r="M38" i="19"/>
  <c r="M42" i="19"/>
  <c r="M50" i="19"/>
  <c r="M85" i="19"/>
  <c r="M90" i="19"/>
  <c r="M114" i="19"/>
  <c r="M130" i="19"/>
  <c r="M151" i="19"/>
  <c r="M173" i="19"/>
  <c r="M182" i="19"/>
  <c r="M188" i="19"/>
  <c r="L209" i="19"/>
  <c r="M209" i="19" s="1"/>
  <c r="L207" i="19"/>
  <c r="M207" i="19" s="1"/>
  <c r="L206" i="19"/>
  <c r="M206" i="19" s="1"/>
  <c r="L205" i="19"/>
  <c r="M205" i="19" s="1"/>
  <c r="L204" i="19"/>
  <c r="M204" i="19" s="1"/>
  <c r="L203" i="19"/>
  <c r="M203" i="19" s="1"/>
  <c r="L202" i="19"/>
  <c r="M202" i="19" s="1"/>
  <c r="L201" i="19"/>
  <c r="M201" i="19" s="1"/>
  <c r="L200" i="19"/>
  <c r="M200" i="19" s="1"/>
  <c r="L199" i="19"/>
  <c r="M199" i="19" s="1"/>
  <c r="L198" i="19"/>
  <c r="M198" i="19" s="1"/>
  <c r="L197" i="19"/>
  <c r="M197" i="19" s="1"/>
  <c r="L196" i="19"/>
  <c r="M196" i="19" s="1"/>
  <c r="L195" i="19"/>
  <c r="M195" i="19" s="1"/>
  <c r="L194" i="19"/>
  <c r="M194" i="19" s="1"/>
  <c r="L193" i="19"/>
  <c r="M193" i="19" s="1"/>
  <c r="L192" i="19"/>
  <c r="M192" i="19" s="1"/>
  <c r="L191" i="19"/>
  <c r="M191" i="19" s="1"/>
  <c r="L190" i="19"/>
  <c r="M190" i="19" s="1"/>
  <c r="L189" i="19"/>
  <c r="M189" i="19" s="1"/>
  <c r="L187" i="19"/>
  <c r="M187" i="19" s="1"/>
  <c r="L186" i="19"/>
  <c r="M186" i="19" s="1"/>
  <c r="L185" i="19"/>
  <c r="M185" i="19" s="1"/>
  <c r="L184" i="19"/>
  <c r="M184" i="19" s="1"/>
  <c r="L183" i="19"/>
  <c r="M183" i="19" s="1"/>
  <c r="L181" i="19"/>
  <c r="M181" i="19" s="1"/>
  <c r="L179" i="19"/>
  <c r="M179" i="19" s="1"/>
  <c r="L178" i="19"/>
  <c r="M178" i="19" s="1"/>
  <c r="L177" i="19"/>
  <c r="M177" i="19" s="1"/>
  <c r="L176" i="19"/>
  <c r="M176" i="19" s="1"/>
  <c r="L175" i="19"/>
  <c r="M175" i="19" s="1"/>
  <c r="L174" i="19"/>
  <c r="M174" i="19" s="1"/>
  <c r="L172" i="19"/>
  <c r="M172" i="19" s="1"/>
  <c r="L171" i="19"/>
  <c r="M171" i="19" s="1"/>
  <c r="L170" i="19"/>
  <c r="M170" i="19" s="1"/>
  <c r="L169" i="19"/>
  <c r="M169" i="19" s="1"/>
  <c r="L168" i="19"/>
  <c r="M168" i="19" s="1"/>
  <c r="L167" i="19"/>
  <c r="M167" i="19" s="1"/>
  <c r="L166" i="19"/>
  <c r="M166" i="19" s="1"/>
  <c r="L165" i="19"/>
  <c r="M165" i="19" s="1"/>
  <c r="L164" i="19"/>
  <c r="M164" i="19" s="1"/>
  <c r="L163" i="19"/>
  <c r="M163" i="19" s="1"/>
  <c r="L162" i="19"/>
  <c r="M162" i="19" s="1"/>
  <c r="L161" i="19"/>
  <c r="M161" i="19" s="1"/>
  <c r="L160" i="19"/>
  <c r="M160" i="19" s="1"/>
  <c r="L159" i="19"/>
  <c r="M159" i="19" s="1"/>
  <c r="L158" i="19"/>
  <c r="M158" i="19" s="1"/>
  <c r="L157" i="19"/>
  <c r="M157" i="19" s="1"/>
  <c r="L156" i="19"/>
  <c r="M156" i="19" s="1"/>
  <c r="L155" i="19"/>
  <c r="M155" i="19" s="1"/>
  <c r="L154" i="19"/>
  <c r="M154" i="19" s="1"/>
  <c r="L153" i="19"/>
  <c r="M153" i="19" s="1"/>
  <c r="L152" i="19"/>
  <c r="M152" i="19" s="1"/>
  <c r="L150" i="19"/>
  <c r="M150" i="19" s="1"/>
  <c r="L149" i="19"/>
  <c r="M149" i="19" s="1"/>
  <c r="L148" i="19"/>
  <c r="M148" i="19" s="1"/>
  <c r="L147" i="19"/>
  <c r="M147" i="19" s="1"/>
  <c r="M146" i="19"/>
  <c r="M145" i="19"/>
  <c r="L144" i="19"/>
  <c r="M144" i="19" s="1"/>
  <c r="L143" i="19"/>
  <c r="M143" i="19" s="1"/>
  <c r="L142" i="19"/>
  <c r="M142" i="19" s="1"/>
  <c r="L141" i="19"/>
  <c r="M141" i="19" s="1"/>
  <c r="L140" i="19"/>
  <c r="M140" i="19" s="1"/>
  <c r="L139" i="19"/>
  <c r="M139" i="19" s="1"/>
  <c r="L138" i="19"/>
  <c r="M138" i="19" s="1"/>
  <c r="L137" i="19"/>
  <c r="M137" i="19" s="1"/>
  <c r="L136" i="19"/>
  <c r="M136" i="19" s="1"/>
  <c r="L135" i="19"/>
  <c r="M135" i="19" s="1"/>
  <c r="L134" i="19"/>
  <c r="M134" i="19" s="1"/>
  <c r="L133" i="19"/>
  <c r="M133" i="19" s="1"/>
  <c r="L132" i="19"/>
  <c r="M132" i="19" s="1"/>
  <c r="L131" i="19"/>
  <c r="M131" i="19" s="1"/>
  <c r="L129" i="19"/>
  <c r="M129" i="19" s="1"/>
  <c r="L128" i="19"/>
  <c r="M128" i="19" s="1"/>
  <c r="L127" i="19"/>
  <c r="M127" i="19" s="1"/>
  <c r="L126" i="19"/>
  <c r="M126" i="19" s="1"/>
  <c r="L125" i="19"/>
  <c r="M125" i="19" s="1"/>
  <c r="L124" i="19"/>
  <c r="M124" i="19" s="1"/>
  <c r="L123" i="19"/>
  <c r="M123" i="19" s="1"/>
  <c r="L122" i="19"/>
  <c r="M122" i="19" s="1"/>
  <c r="L121" i="19"/>
  <c r="M121" i="19" s="1"/>
  <c r="L120" i="19"/>
  <c r="M120" i="19" s="1"/>
  <c r="L119" i="19"/>
  <c r="M119" i="19" s="1"/>
  <c r="L118" i="19"/>
  <c r="M118" i="19" s="1"/>
  <c r="L117" i="19"/>
  <c r="M117" i="19" s="1"/>
  <c r="L116" i="19"/>
  <c r="M116" i="19" s="1"/>
  <c r="L115" i="19"/>
  <c r="M115" i="19" s="1"/>
  <c r="L113" i="19"/>
  <c r="M113" i="19" s="1"/>
  <c r="L112" i="19"/>
  <c r="M112" i="19" s="1"/>
  <c r="L111" i="19"/>
  <c r="M111" i="19" s="1"/>
  <c r="L110" i="19"/>
  <c r="M110" i="19" s="1"/>
  <c r="L109" i="19"/>
  <c r="M109" i="19" s="1"/>
  <c r="L108" i="19"/>
  <c r="M108" i="19" s="1"/>
  <c r="L107" i="19"/>
  <c r="M107" i="19" s="1"/>
  <c r="L106" i="19"/>
  <c r="M106" i="19" s="1"/>
  <c r="L105" i="19"/>
  <c r="M105" i="19" s="1"/>
  <c r="L104" i="19"/>
  <c r="M104" i="19" s="1"/>
  <c r="L103" i="19"/>
  <c r="M103" i="19" s="1"/>
  <c r="L102" i="19"/>
  <c r="M102" i="19" s="1"/>
  <c r="L101" i="19"/>
  <c r="M101" i="19" s="1"/>
  <c r="L99" i="19"/>
  <c r="M99" i="19" s="1"/>
  <c r="L98" i="19"/>
  <c r="M98" i="19" s="1"/>
  <c r="L97" i="19"/>
  <c r="M97" i="19" s="1"/>
  <c r="L96" i="19"/>
  <c r="M96" i="19" s="1"/>
  <c r="L95" i="19"/>
  <c r="M95" i="19" s="1"/>
  <c r="L94" i="19"/>
  <c r="M94" i="19" s="1"/>
  <c r="L93" i="19"/>
  <c r="M93" i="19" s="1"/>
  <c r="L92" i="19"/>
  <c r="M92" i="19" s="1"/>
  <c r="L91" i="19"/>
  <c r="M91" i="19" s="1"/>
  <c r="L89" i="19"/>
  <c r="M89" i="19" s="1"/>
  <c r="L88" i="19"/>
  <c r="M88" i="19" s="1"/>
  <c r="L87" i="19"/>
  <c r="M87" i="19" s="1"/>
  <c r="L86" i="19"/>
  <c r="M86" i="19" s="1"/>
  <c r="L84" i="19"/>
  <c r="M84" i="19" s="1"/>
  <c r="L83" i="19"/>
  <c r="M83" i="19" s="1"/>
  <c r="L82" i="19"/>
  <c r="M82" i="19" s="1"/>
  <c r="L81" i="19"/>
  <c r="M81" i="19" s="1"/>
  <c r="L79" i="19"/>
  <c r="M79" i="19" s="1"/>
  <c r="L78" i="19"/>
  <c r="M78" i="19" s="1"/>
  <c r="L77" i="19"/>
  <c r="M77" i="19" s="1"/>
  <c r="L76" i="19"/>
  <c r="M76" i="19" s="1"/>
  <c r="L75" i="19"/>
  <c r="M75" i="19" s="1"/>
  <c r="L74" i="19"/>
  <c r="M74" i="19" s="1"/>
  <c r="L72" i="19"/>
  <c r="M72" i="19" s="1"/>
  <c r="L71" i="19"/>
  <c r="M71" i="19" s="1"/>
  <c r="L70" i="19"/>
  <c r="M70" i="19" s="1"/>
  <c r="L69" i="19"/>
  <c r="M69" i="19" s="1"/>
  <c r="L68" i="19"/>
  <c r="M68" i="19" s="1"/>
  <c r="L67" i="19"/>
  <c r="M67" i="19" s="1"/>
  <c r="L66" i="19"/>
  <c r="M66" i="19" s="1"/>
  <c r="L65" i="19"/>
  <c r="M65" i="19" s="1"/>
  <c r="L64" i="19"/>
  <c r="M64" i="19" s="1"/>
  <c r="L63" i="19"/>
  <c r="M63" i="19" s="1"/>
  <c r="L62" i="19"/>
  <c r="M62" i="19" s="1"/>
  <c r="L61" i="19"/>
  <c r="M61" i="19" s="1"/>
  <c r="L60" i="19"/>
  <c r="M60" i="19" s="1"/>
  <c r="L59" i="19"/>
  <c r="M59" i="19" s="1"/>
  <c r="L58" i="19"/>
  <c r="M58" i="19" s="1"/>
  <c r="L57" i="19"/>
  <c r="M57" i="19" s="1"/>
  <c r="L56" i="19"/>
  <c r="M56" i="19" s="1"/>
  <c r="L55" i="19"/>
  <c r="M55" i="19" s="1"/>
  <c r="L54" i="19"/>
  <c r="M54" i="19" s="1"/>
  <c r="L52" i="19"/>
  <c r="M52" i="19" s="1"/>
  <c r="L51" i="19"/>
  <c r="M51" i="19" s="1"/>
  <c r="L49" i="19"/>
  <c r="M49" i="19" s="1"/>
  <c r="L48" i="19"/>
  <c r="M48" i="19" s="1"/>
  <c r="L47" i="19"/>
  <c r="M47" i="19" s="1"/>
  <c r="L46" i="19"/>
  <c r="M46" i="19" s="1"/>
  <c r="L45" i="19"/>
  <c r="M45" i="19" s="1"/>
  <c r="L44" i="19"/>
  <c r="M44" i="19" s="1"/>
  <c r="L43" i="19"/>
  <c r="M43" i="19" s="1"/>
  <c r="L41" i="19"/>
  <c r="M41" i="19" s="1"/>
  <c r="L40" i="19"/>
  <c r="M40" i="19" s="1"/>
  <c r="L39" i="19"/>
  <c r="M39" i="19" s="1"/>
  <c r="L37" i="19"/>
  <c r="M37" i="19" s="1"/>
  <c r="L36" i="19"/>
  <c r="M36" i="19" s="1"/>
  <c r="L35" i="19"/>
  <c r="M35" i="19" s="1"/>
  <c r="L34" i="19"/>
  <c r="M34" i="19" s="1"/>
  <c r="L33" i="19"/>
  <c r="M33" i="19" s="1"/>
  <c r="L32" i="19"/>
  <c r="M32" i="19" s="1"/>
  <c r="L31" i="19"/>
  <c r="M31" i="19" s="1"/>
  <c r="L30" i="19"/>
  <c r="M30" i="19" s="1"/>
  <c r="L27" i="19"/>
  <c r="M27" i="19" s="1"/>
  <c r="L26" i="19"/>
  <c r="M26" i="19" s="1"/>
  <c r="L25" i="19"/>
  <c r="M25" i="19" s="1"/>
  <c r="L24" i="19"/>
  <c r="M24" i="19" s="1"/>
  <c r="L22" i="19"/>
  <c r="M22" i="19" s="1"/>
  <c r="L21" i="19"/>
  <c r="M21" i="19" s="1"/>
  <c r="L20" i="19"/>
  <c r="M20" i="19" s="1"/>
  <c r="L19" i="19"/>
  <c r="M19" i="19" s="1"/>
  <c r="L18" i="19"/>
  <c r="M18" i="19" s="1"/>
  <c r="L16" i="19"/>
  <c r="M16" i="19" s="1"/>
  <c r="L14" i="19"/>
  <c r="M14" i="19" s="1"/>
  <c r="L13" i="19"/>
  <c r="M13" i="19" s="1"/>
  <c r="L12" i="19"/>
  <c r="M12" i="19" s="1"/>
  <c r="L11" i="19"/>
  <c r="M11" i="19" s="1"/>
  <c r="L9" i="19"/>
  <c r="M9" i="19" s="1"/>
  <c r="L8" i="19"/>
  <c r="M8" i="19" s="1"/>
  <c r="L7" i="19"/>
  <c r="M7" i="19" s="1"/>
  <c r="L6" i="19"/>
  <c r="M6" i="19" s="1"/>
  <c r="L5" i="19"/>
  <c r="M5" i="19" s="1"/>
  <c r="L4" i="19"/>
  <c r="M4" i="19" s="1"/>
  <c r="L3" i="19"/>
  <c r="M3" i="19" s="1"/>
  <c r="L2" i="19"/>
  <c r="M2" i="19" s="1"/>
  <c r="G36" i="21" l="1"/>
  <c r="G37" i="21"/>
  <c r="I39" i="21" l="1"/>
  <c r="I36" i="21"/>
  <c r="I37" i="21"/>
  <c r="I38" i="21"/>
  <c r="I35" i="21"/>
  <c r="AG2" i="19" l="1"/>
  <c r="AH2" i="19" s="1"/>
  <c r="P2" i="19"/>
  <c r="E26" i="3"/>
  <c r="F25" i="3"/>
  <c r="E25" i="3"/>
  <c r="F24" i="3"/>
  <c r="E24" i="3"/>
  <c r="F23" i="3"/>
  <c r="E23" i="3"/>
  <c r="BI178" i="19" l="1"/>
  <c r="AG148" i="19" l="1"/>
  <c r="BI209" i="19" l="1"/>
  <c r="BI206" i="19"/>
  <c r="BI205" i="19"/>
  <c r="BI204" i="19"/>
  <c r="BI203" i="19"/>
  <c r="BI202" i="19"/>
  <c r="BI201" i="19"/>
  <c r="BI200" i="19"/>
  <c r="BI199" i="19"/>
  <c r="BI198" i="19"/>
  <c r="BI197" i="19"/>
  <c r="BI196" i="19"/>
  <c r="BI195" i="19"/>
  <c r="BI194" i="19"/>
  <c r="BI193" i="19"/>
  <c r="BI192" i="19"/>
  <c r="BI191" i="19"/>
  <c r="BI190" i="19"/>
  <c r="BI189" i="19"/>
  <c r="BI188" i="19"/>
  <c r="BI187" i="19"/>
  <c r="BI186" i="19"/>
  <c r="BI185" i="19"/>
  <c r="BI184" i="19"/>
  <c r="BI183" i="19"/>
  <c r="BI182" i="19"/>
  <c r="BI181" i="19"/>
  <c r="BI180" i="19"/>
  <c r="BI179" i="19"/>
  <c r="BI177" i="19"/>
  <c r="BI176" i="19"/>
  <c r="BI175" i="19"/>
  <c r="BI174" i="19"/>
  <c r="BI173" i="19"/>
  <c r="BI172" i="19"/>
  <c r="BI171" i="19"/>
  <c r="BI170" i="19"/>
  <c r="BI169" i="19"/>
  <c r="BI168" i="19"/>
  <c r="BI167" i="19"/>
  <c r="BI166" i="19"/>
  <c r="BI165" i="19"/>
  <c r="BI164" i="19"/>
  <c r="BI163" i="19"/>
  <c r="BI162" i="19"/>
  <c r="BI161" i="19"/>
  <c r="BI160" i="19"/>
  <c r="BI159" i="19"/>
  <c r="BI158" i="19"/>
  <c r="BI157" i="19"/>
  <c r="BI156" i="19"/>
  <c r="BI155" i="19"/>
  <c r="BI154" i="19"/>
  <c r="BI153" i="19"/>
  <c r="BI152" i="19"/>
  <c r="BI151" i="19"/>
  <c r="BI150" i="19"/>
  <c r="BI149" i="19"/>
  <c r="BI148" i="19"/>
  <c r="BI147" i="19"/>
  <c r="BI146" i="19"/>
  <c r="BI145" i="19"/>
  <c r="BI144" i="19"/>
  <c r="BI143" i="19"/>
  <c r="BI142" i="19"/>
  <c r="BI141" i="19"/>
  <c r="BI140" i="19"/>
  <c r="BI139" i="19"/>
  <c r="BI138" i="19"/>
  <c r="BI137" i="19"/>
  <c r="BI136" i="19"/>
  <c r="BI135" i="19"/>
  <c r="BI134" i="19"/>
  <c r="BI133" i="19"/>
  <c r="BI132" i="19"/>
  <c r="BI131" i="19"/>
  <c r="BI130" i="19"/>
  <c r="BI129" i="19"/>
  <c r="BI128" i="19"/>
  <c r="BI127" i="19"/>
  <c r="BI126" i="19"/>
  <c r="BI125" i="19"/>
  <c r="BI124" i="19"/>
  <c r="BI123" i="19"/>
  <c r="BI122" i="19"/>
  <c r="BI121" i="19"/>
  <c r="BI120" i="19"/>
  <c r="BI119" i="19"/>
  <c r="BI118" i="19"/>
  <c r="BI117" i="19"/>
  <c r="BI116" i="19"/>
  <c r="BI115" i="19"/>
  <c r="BI114" i="19"/>
  <c r="BI113" i="19"/>
  <c r="BI112" i="19"/>
  <c r="BI111" i="19"/>
  <c r="BI110" i="19"/>
  <c r="BI108" i="19"/>
  <c r="BI107" i="19"/>
  <c r="BI106" i="19"/>
  <c r="BI105" i="19"/>
  <c r="BI104" i="19"/>
  <c r="BI103" i="19"/>
  <c r="BI102" i="19"/>
  <c r="BI101" i="19"/>
  <c r="BI100" i="19"/>
  <c r="BI99" i="19"/>
  <c r="BI98" i="19"/>
  <c r="BI97" i="19"/>
  <c r="BI96" i="19"/>
  <c r="BI95" i="19"/>
  <c r="BI94" i="19"/>
  <c r="BI93" i="19"/>
  <c r="BI92" i="19"/>
  <c r="BI91" i="19"/>
  <c r="BI90" i="19"/>
  <c r="BI89" i="19"/>
  <c r="BI88" i="19"/>
  <c r="BI87" i="19"/>
  <c r="BI86" i="19"/>
  <c r="BI85" i="19"/>
  <c r="BI84" i="19"/>
  <c r="BI83" i="19"/>
  <c r="BI82" i="19"/>
  <c r="BI81" i="19"/>
  <c r="BI80" i="19"/>
  <c r="BI79" i="19"/>
  <c r="BI78" i="19"/>
  <c r="BI77" i="19"/>
  <c r="BI76" i="19"/>
  <c r="BI75" i="19"/>
  <c r="BI74" i="19"/>
  <c r="BI73" i="19"/>
  <c r="BI72" i="19"/>
  <c r="BI71" i="19"/>
  <c r="BI70" i="19"/>
  <c r="BI69" i="19"/>
  <c r="BI68" i="19"/>
  <c r="BI67" i="19"/>
  <c r="BI66" i="19"/>
  <c r="BI65" i="19"/>
  <c r="BI64" i="19"/>
  <c r="BI63" i="19"/>
  <c r="BI62" i="19"/>
  <c r="BI61" i="19"/>
  <c r="BI60" i="19"/>
  <c r="BI58" i="19"/>
  <c r="BI57" i="19"/>
  <c r="BI56" i="19"/>
  <c r="BI55" i="19"/>
  <c r="BI54" i="19"/>
  <c r="BI53" i="19"/>
  <c r="BI52" i="19"/>
  <c r="BI51" i="19"/>
  <c r="BI50" i="19"/>
  <c r="BI49" i="19"/>
  <c r="BI48" i="19"/>
  <c r="BI47" i="19"/>
  <c r="BI46" i="19"/>
  <c r="BI44" i="19"/>
  <c r="BI43" i="19"/>
  <c r="BI42" i="19"/>
  <c r="BI41" i="19"/>
  <c r="BI40" i="19"/>
  <c r="BI39" i="19"/>
  <c r="BI38" i="19"/>
  <c r="BI37" i="19"/>
  <c r="BI36" i="19"/>
  <c r="BI35" i="19"/>
  <c r="BI34" i="19"/>
  <c r="BI33" i="19"/>
  <c r="BI32" i="19"/>
  <c r="BI30" i="19"/>
  <c r="BI29" i="19"/>
  <c r="BI28" i="19"/>
  <c r="BI27" i="19"/>
  <c r="BI26" i="19"/>
  <c r="BI25" i="19"/>
  <c r="BI24" i="19"/>
  <c r="BI23" i="19"/>
  <c r="BI22" i="19"/>
  <c r="BI21" i="19"/>
  <c r="BI20" i="19"/>
  <c r="BI19" i="19"/>
  <c r="BI18" i="19"/>
  <c r="BI17" i="19"/>
  <c r="BI16" i="19"/>
  <c r="BI15" i="19"/>
  <c r="BI14" i="19"/>
  <c r="BI13" i="19"/>
  <c r="BI12" i="19"/>
  <c r="BI11" i="19"/>
  <c r="BI10" i="19"/>
  <c r="BI9" i="19"/>
  <c r="BI8" i="19"/>
  <c r="BI7" i="19"/>
  <c r="BI6" i="19"/>
  <c r="BI5" i="19"/>
  <c r="BI4" i="19"/>
  <c r="BI3" i="19"/>
  <c r="BI2" i="19"/>
  <c r="BB209" i="19"/>
  <c r="BB206" i="19"/>
  <c r="BB205" i="19"/>
  <c r="BB204" i="19"/>
  <c r="BB203" i="19"/>
  <c r="BB202" i="19"/>
  <c r="BB201" i="19"/>
  <c r="BB200" i="19"/>
  <c r="BB199" i="19"/>
  <c r="BB198" i="19"/>
  <c r="BB197" i="19"/>
  <c r="BB196" i="19"/>
  <c r="BB195" i="19"/>
  <c r="BB194" i="19"/>
  <c r="BB192" i="19"/>
  <c r="BB191" i="19"/>
  <c r="BB190" i="19"/>
  <c r="BB189" i="19"/>
  <c r="BB187" i="19"/>
  <c r="BB185" i="19"/>
  <c r="BB184" i="19"/>
  <c r="BB183" i="19"/>
  <c r="BB182" i="19"/>
  <c r="BB181" i="19"/>
  <c r="BB180" i="19"/>
  <c r="BB178" i="19"/>
  <c r="BB177" i="19"/>
  <c r="BB176" i="19"/>
  <c r="BB175" i="19"/>
  <c r="BB174" i="19"/>
  <c r="BB173" i="19"/>
  <c r="BB172" i="19"/>
  <c r="BB171" i="19"/>
  <c r="BB170" i="19"/>
  <c r="BB169" i="19"/>
  <c r="BB168" i="19"/>
  <c r="BB167" i="19"/>
  <c r="BB166" i="19"/>
  <c r="BB165" i="19"/>
  <c r="BB163" i="19"/>
  <c r="BB162" i="19"/>
  <c r="BB160" i="19"/>
  <c r="BB159" i="19"/>
  <c r="BB158" i="19"/>
  <c r="BB157" i="19"/>
  <c r="BB156" i="19"/>
  <c r="BB155" i="19"/>
  <c r="BB153" i="19"/>
  <c r="BB152" i="19"/>
  <c r="BB151" i="19"/>
  <c r="BB150" i="19"/>
  <c r="BB149" i="19"/>
  <c r="BB147" i="19"/>
  <c r="BB146" i="19"/>
  <c r="BB145" i="19"/>
  <c r="BB144" i="19"/>
  <c r="BB143" i="19"/>
  <c r="BB142" i="19"/>
  <c r="BB141" i="19"/>
  <c r="BB140" i="19"/>
  <c r="BB137" i="19"/>
  <c r="BB136" i="19"/>
  <c r="BB135" i="19"/>
  <c r="BB134" i="19"/>
  <c r="BB133" i="19"/>
  <c r="BB132" i="19"/>
  <c r="BB131" i="19"/>
  <c r="BB130" i="19"/>
  <c r="BB129" i="19"/>
  <c r="BB128" i="19"/>
  <c r="BB126" i="19"/>
  <c r="BB124" i="19"/>
  <c r="BB123" i="19"/>
  <c r="BB122" i="19"/>
  <c r="BB121" i="19"/>
  <c r="BB119" i="19"/>
  <c r="BB118" i="19"/>
  <c r="BB117" i="19"/>
  <c r="BB115" i="19"/>
  <c r="BB114" i="19"/>
  <c r="BB113" i="19"/>
  <c r="BB111" i="19"/>
  <c r="BB110" i="19"/>
  <c r="BB109" i="19"/>
  <c r="BB108" i="19"/>
  <c r="BB107" i="19"/>
  <c r="BB106" i="19"/>
  <c r="BB105" i="19"/>
  <c r="BB104" i="19"/>
  <c r="BB103" i="19"/>
  <c r="BB102" i="19"/>
  <c r="BB101" i="19"/>
  <c r="BB100" i="19"/>
  <c r="BB99" i="19"/>
  <c r="BB98" i="19"/>
  <c r="BB97" i="19"/>
  <c r="BB95" i="19"/>
  <c r="BB93" i="19"/>
  <c r="BB92" i="19"/>
  <c r="BB90" i="19"/>
  <c r="BB89" i="19"/>
  <c r="BB88" i="19"/>
  <c r="BB85" i="19"/>
  <c r="BB84" i="19"/>
  <c r="BB83" i="19"/>
  <c r="BB82" i="19"/>
  <c r="BB81" i="19"/>
  <c r="BB80" i="19"/>
  <c r="BB79" i="19"/>
  <c r="BB78" i="19"/>
  <c r="BB77" i="19"/>
  <c r="BB76" i="19"/>
  <c r="BB75" i="19"/>
  <c r="BB74" i="19"/>
  <c r="BB73" i="19"/>
  <c r="BB72" i="19"/>
  <c r="BB71" i="19"/>
  <c r="BB68" i="19"/>
  <c r="BB67" i="19"/>
  <c r="BB64" i="19"/>
  <c r="BB63" i="19"/>
  <c r="BB62" i="19"/>
  <c r="BB61" i="19"/>
  <c r="BB58" i="19"/>
  <c r="BB57" i="19"/>
  <c r="BB56" i="19"/>
  <c r="BB55" i="19"/>
  <c r="BB53" i="19"/>
  <c r="BB52" i="19"/>
  <c r="BB51" i="19"/>
  <c r="BB50" i="19"/>
  <c r="BB49" i="19"/>
  <c r="BB48" i="19"/>
  <c r="BB47" i="19"/>
  <c r="BB46" i="19"/>
  <c r="BB45" i="19"/>
  <c r="BB44" i="19"/>
  <c r="BB42" i="19"/>
  <c r="BB41" i="19"/>
  <c r="BB40" i="19"/>
  <c r="BB37" i="19"/>
  <c r="BB36" i="19"/>
  <c r="BB35" i="19"/>
  <c r="BB34" i="19"/>
  <c r="BB33" i="19"/>
  <c r="BB32" i="19"/>
  <c r="BB29" i="19"/>
  <c r="BB27" i="19"/>
  <c r="BB26" i="19"/>
  <c r="BB25" i="19"/>
  <c r="BB24" i="19"/>
  <c r="BB23" i="19"/>
  <c r="BB22" i="19"/>
  <c r="BB21" i="19"/>
  <c r="BB19" i="19"/>
  <c r="BB18" i="19"/>
  <c r="BB17" i="19"/>
  <c r="BB15" i="19"/>
  <c r="BB14" i="19"/>
  <c r="BB13" i="19"/>
  <c r="BB12" i="19"/>
  <c r="BB11" i="19"/>
  <c r="BB10" i="19"/>
  <c r="BB7" i="19"/>
  <c r="BB6" i="19"/>
  <c r="BB5" i="19"/>
  <c r="BB3" i="19"/>
  <c r="BB2" i="19"/>
  <c r="AT209" i="19"/>
  <c r="AT207" i="19"/>
  <c r="AT206" i="19"/>
  <c r="AT205" i="19"/>
  <c r="AT204" i="19"/>
  <c r="AT203" i="19"/>
  <c r="AT202" i="19"/>
  <c r="AT201" i="19"/>
  <c r="AT200" i="19"/>
  <c r="AT199" i="19"/>
  <c r="AT198" i="19"/>
  <c r="AT197" i="19"/>
  <c r="AT196" i="19"/>
  <c r="AT195" i="19"/>
  <c r="AT194" i="19"/>
  <c r="AT193" i="19"/>
  <c r="AT192" i="19"/>
  <c r="AT191" i="19"/>
  <c r="AT190" i="19"/>
  <c r="AT189" i="19"/>
  <c r="AT188" i="19"/>
  <c r="AT187" i="19"/>
  <c r="AT186" i="19"/>
  <c r="AT185" i="19"/>
  <c r="AT184" i="19"/>
  <c r="AT183" i="19"/>
  <c r="AT182" i="19"/>
  <c r="AT181" i="19"/>
  <c r="AT180" i="19"/>
  <c r="AT179" i="19"/>
  <c r="AT178" i="19"/>
  <c r="AT177" i="19"/>
  <c r="AT176" i="19"/>
  <c r="AT175" i="19"/>
  <c r="AT174" i="19"/>
  <c r="AT173" i="19"/>
  <c r="AT172" i="19"/>
  <c r="AT171" i="19"/>
  <c r="AT170" i="19"/>
  <c r="AT169" i="19"/>
  <c r="AT168" i="19"/>
  <c r="AT167" i="19"/>
  <c r="AT165" i="19"/>
  <c r="AT164" i="19"/>
  <c r="AT163" i="19"/>
  <c r="AT162" i="19"/>
  <c r="AT161" i="19"/>
  <c r="AT160" i="19"/>
  <c r="AT159" i="19"/>
  <c r="AT158" i="19"/>
  <c r="AT156" i="19"/>
  <c r="AT155" i="19"/>
  <c r="AT154" i="19"/>
  <c r="AT153" i="19"/>
  <c r="AT152" i="19"/>
  <c r="AT151" i="19"/>
  <c r="AT150" i="19"/>
  <c r="AT149" i="19"/>
  <c r="AT147" i="19"/>
  <c r="AT146" i="19"/>
  <c r="AT145" i="19"/>
  <c r="AT144" i="19"/>
  <c r="AT143" i="19"/>
  <c r="AT142" i="19"/>
  <c r="AT141" i="19"/>
  <c r="AT140" i="19"/>
  <c r="AT139" i="19"/>
  <c r="AT138" i="19"/>
  <c r="AT137" i="19"/>
  <c r="AT136" i="19"/>
  <c r="AT134" i="19"/>
  <c r="AT133" i="19"/>
  <c r="AT132" i="19"/>
  <c r="AT131" i="19"/>
  <c r="AT130" i="19"/>
  <c r="AT129" i="19"/>
  <c r="AT128" i="19"/>
  <c r="AT127" i="19"/>
  <c r="AT126" i="19"/>
  <c r="AT125" i="19"/>
  <c r="AT124" i="19"/>
  <c r="AT123" i="19"/>
  <c r="AT121" i="19"/>
  <c r="AT120" i="19"/>
  <c r="AT119" i="19"/>
  <c r="AT118" i="19"/>
  <c r="AT117" i="19"/>
  <c r="AT116" i="19"/>
  <c r="AT115" i="19"/>
  <c r="AT114" i="19"/>
  <c r="AT113" i="19"/>
  <c r="AT112" i="19"/>
  <c r="AT111" i="19"/>
  <c r="AT110" i="19"/>
  <c r="AT109" i="19"/>
  <c r="AT108" i="19"/>
  <c r="AT107" i="19"/>
  <c r="AT106" i="19"/>
  <c r="AT105" i="19"/>
  <c r="AT104" i="19"/>
  <c r="AT103" i="19"/>
  <c r="AT102" i="19"/>
  <c r="AT101" i="19"/>
  <c r="AT100" i="19"/>
  <c r="AT99" i="19"/>
  <c r="AT98" i="19"/>
  <c r="AT97" i="19"/>
  <c r="AT96" i="19"/>
  <c r="AT95" i="19"/>
  <c r="AT94" i="19"/>
  <c r="AT93" i="19"/>
  <c r="AT92" i="19"/>
  <c r="AT91" i="19"/>
  <c r="AT90" i="19"/>
  <c r="AT89" i="19"/>
  <c r="AT88" i="19"/>
  <c r="AT87" i="19"/>
  <c r="AT84" i="19"/>
  <c r="AT83" i="19"/>
  <c r="AT82" i="19"/>
  <c r="AT81" i="19"/>
  <c r="AT80" i="19"/>
  <c r="AT79" i="19"/>
  <c r="AT78" i="19"/>
  <c r="AT77" i="19"/>
  <c r="AT76" i="19"/>
  <c r="AT75" i="19"/>
  <c r="AT74" i="19"/>
  <c r="AT73" i="19"/>
  <c r="AT72" i="19"/>
  <c r="AT71" i="19"/>
  <c r="AT70" i="19"/>
  <c r="AT69" i="19"/>
  <c r="AT68" i="19"/>
  <c r="AT67" i="19"/>
  <c r="AT66" i="19"/>
  <c r="AT65" i="19"/>
  <c r="AT63" i="19"/>
  <c r="AT62" i="19"/>
  <c r="AT60" i="19"/>
  <c r="AT59" i="19"/>
  <c r="AT58" i="19"/>
  <c r="AT57" i="19"/>
  <c r="AT56" i="19"/>
  <c r="AT55" i="19"/>
  <c r="AT54" i="19"/>
  <c r="AT53" i="19"/>
  <c r="AT52" i="19"/>
  <c r="AT51" i="19"/>
  <c r="AT50" i="19"/>
  <c r="AT49" i="19"/>
  <c r="AT47" i="19"/>
  <c r="AT46" i="19"/>
  <c r="AT45" i="19"/>
  <c r="AT44" i="19"/>
  <c r="AT43" i="19"/>
  <c r="AT42" i="19"/>
  <c r="AT41" i="19"/>
  <c r="AT40" i="19"/>
  <c r="AT39" i="19"/>
  <c r="AT38" i="19"/>
  <c r="AT37" i="19"/>
  <c r="AT36" i="19"/>
  <c r="AT35" i="19"/>
  <c r="AT34" i="19"/>
  <c r="AT33" i="19"/>
  <c r="AT32" i="19"/>
  <c r="AT31" i="19"/>
  <c r="AT30" i="19"/>
  <c r="AT29" i="19"/>
  <c r="AT28" i="19"/>
  <c r="AT27" i="19"/>
  <c r="AT26" i="19"/>
  <c r="AT25" i="19"/>
  <c r="AT24" i="19"/>
  <c r="AT23" i="19"/>
  <c r="AT22" i="19"/>
  <c r="AT21" i="19"/>
  <c r="AT20" i="19"/>
  <c r="AT19" i="19"/>
  <c r="AT18" i="19"/>
  <c r="AT17" i="19"/>
  <c r="AT16" i="19"/>
  <c r="AT15" i="19"/>
  <c r="AT14" i="19"/>
  <c r="AT13" i="19"/>
  <c r="AT12" i="19"/>
  <c r="AT11" i="19"/>
  <c r="AT9" i="19"/>
  <c r="AT8" i="19"/>
  <c r="AT6" i="19"/>
  <c r="AT4" i="19"/>
  <c r="AT3" i="19"/>
  <c r="AT2" i="19"/>
  <c r="AH148" i="19"/>
  <c r="F34" i="3"/>
  <c r="P205" i="19"/>
  <c r="BJ18" i="19" l="1"/>
  <c r="AG158" i="19"/>
  <c r="AH158" i="19" s="1"/>
  <c r="AG130" i="19"/>
  <c r="AH130" i="19" s="1"/>
  <c r="AG88" i="19"/>
  <c r="AH88" i="19" s="1"/>
  <c r="AE53" i="19"/>
  <c r="AG143" i="19"/>
  <c r="AH143" i="19" s="1"/>
  <c r="AG122" i="19"/>
  <c r="AH122" i="19" s="1"/>
  <c r="AG120" i="19"/>
  <c r="AH120" i="19" s="1"/>
  <c r="AG103" i="19"/>
  <c r="AH103" i="19" s="1"/>
  <c r="AG90" i="19"/>
  <c r="AH90" i="19" s="1"/>
  <c r="AG70" i="19"/>
  <c r="AH70" i="19" s="1"/>
  <c r="AG43" i="19"/>
  <c r="AH43" i="19" s="1"/>
  <c r="AG39" i="19"/>
  <c r="AH39" i="19" s="1"/>
  <c r="AG36" i="19"/>
  <c r="AH36" i="19" s="1"/>
  <c r="AG100" i="19"/>
  <c r="AH100" i="19" s="1"/>
  <c r="AG80" i="19"/>
  <c r="AH80" i="19" s="1"/>
  <c r="AG206" i="19"/>
  <c r="AH206" i="19" s="1"/>
  <c r="AG184" i="19"/>
  <c r="AH184" i="19" s="1"/>
  <c r="AG177" i="19"/>
  <c r="AH177" i="19" s="1"/>
  <c r="AG176" i="19"/>
  <c r="AH176" i="19" s="1"/>
  <c r="AG174" i="19"/>
  <c r="AH174" i="19" s="1"/>
  <c r="AG173" i="19"/>
  <c r="AH173" i="19" s="1"/>
  <c r="AG169" i="19"/>
  <c r="AH169" i="19" s="1"/>
  <c r="AG161" i="19"/>
  <c r="AH161" i="19" s="1"/>
  <c r="AG159" i="19"/>
  <c r="AH159" i="19" s="1"/>
  <c r="AG157" i="19"/>
  <c r="AH157" i="19" s="1"/>
  <c r="AG155" i="19"/>
  <c r="AH155" i="19" s="1"/>
  <c r="AG154" i="19"/>
  <c r="AH154" i="19" s="1"/>
  <c r="AG153" i="19"/>
  <c r="AH153" i="19" s="1"/>
  <c r="AG138" i="19"/>
  <c r="AH138" i="19" s="1"/>
  <c r="AG132" i="19"/>
  <c r="AH132" i="19" s="1"/>
  <c r="AG131" i="19"/>
  <c r="AH131" i="19" s="1"/>
  <c r="AG128" i="19"/>
  <c r="AH128" i="19" s="1"/>
  <c r="AG126" i="19"/>
  <c r="AH126" i="19" s="1"/>
  <c r="AG116" i="19"/>
  <c r="AH116" i="19" s="1"/>
  <c r="AG114" i="19"/>
  <c r="AH114" i="19" s="1"/>
  <c r="AG109" i="19"/>
  <c r="AH109" i="19" s="1"/>
  <c r="AG108" i="19"/>
  <c r="AH108" i="19" s="1"/>
  <c r="AG102" i="19"/>
  <c r="AH102" i="19" s="1"/>
  <c r="AG98" i="19"/>
  <c r="AH98" i="19" s="1"/>
  <c r="AG94" i="19"/>
  <c r="AH94" i="19" s="1"/>
  <c r="AG91" i="19"/>
  <c r="AH91" i="19" s="1"/>
  <c r="AG89" i="19"/>
  <c r="AH89" i="19" s="1"/>
  <c r="AG87" i="19"/>
  <c r="AH87" i="19" s="1"/>
  <c r="AG74" i="19"/>
  <c r="AH74" i="19" s="1"/>
  <c r="AG69" i="19"/>
  <c r="AH69" i="19" s="1"/>
  <c r="AG67" i="19"/>
  <c r="AH67" i="19" s="1"/>
  <c r="AG64" i="19"/>
  <c r="AH64" i="19" s="1"/>
  <c r="AG63" i="19"/>
  <c r="AH63" i="19" s="1"/>
  <c r="AG49" i="19"/>
  <c r="AH49" i="19" s="1"/>
  <c r="AG46" i="19"/>
  <c r="AH46" i="19" s="1"/>
  <c r="AG42" i="19"/>
  <c r="AH42" i="19" s="1"/>
  <c r="AG37" i="19"/>
  <c r="AH37" i="19" s="1"/>
  <c r="AG28" i="19"/>
  <c r="AH28" i="19" s="1"/>
  <c r="AG26" i="19"/>
  <c r="AH26" i="19" s="1"/>
  <c r="AG3" i="19"/>
  <c r="AH3" i="19" s="1"/>
  <c r="AG204" i="19"/>
  <c r="AH204" i="19" s="1"/>
  <c r="AG203" i="19"/>
  <c r="AH203" i="19" s="1"/>
  <c r="AG202" i="19"/>
  <c r="AH202" i="19" s="1"/>
  <c r="AG200" i="19"/>
  <c r="AH200" i="19" s="1"/>
  <c r="AG199" i="19"/>
  <c r="AH199" i="19" s="1"/>
  <c r="AG193" i="19"/>
  <c r="AH193" i="19" s="1"/>
  <c r="AG192" i="19"/>
  <c r="AH192" i="19" s="1"/>
  <c r="AG188" i="19"/>
  <c r="AH188" i="19" s="1"/>
  <c r="AG187" i="19"/>
  <c r="AH187" i="19" s="1"/>
  <c r="AG185" i="19"/>
  <c r="AH185" i="19" s="1"/>
  <c r="AG183" i="19"/>
  <c r="AH183" i="19" s="1"/>
  <c r="AG180" i="19"/>
  <c r="AH180" i="19" s="1"/>
  <c r="AG179" i="19"/>
  <c r="AH179" i="19" s="1"/>
  <c r="AG178" i="19"/>
  <c r="AH178" i="19" s="1"/>
  <c r="AG175" i="19"/>
  <c r="AH175" i="19" s="1"/>
  <c r="AG172" i="19"/>
  <c r="AH172" i="19" s="1"/>
  <c r="AG171" i="19"/>
  <c r="AH171" i="19" s="1"/>
  <c r="AG170" i="19"/>
  <c r="AH170" i="19" s="1"/>
  <c r="AG168" i="19"/>
  <c r="AH168" i="19" s="1"/>
  <c r="AG166" i="19"/>
  <c r="AH166" i="19" s="1"/>
  <c r="AG165" i="19"/>
  <c r="AH165" i="19" s="1"/>
  <c r="AG164" i="19"/>
  <c r="AH164" i="19" s="1"/>
  <c r="AG163" i="19"/>
  <c r="AH163" i="19" s="1"/>
  <c r="AG162" i="19"/>
  <c r="AH162" i="19" s="1"/>
  <c r="AG160" i="19"/>
  <c r="AH160" i="19" s="1"/>
  <c r="AG156" i="19"/>
  <c r="AH156" i="19" s="1"/>
  <c r="AG152" i="19"/>
  <c r="AH152" i="19" s="1"/>
  <c r="AG145" i="19"/>
  <c r="AH145" i="19" s="1"/>
  <c r="AG144" i="19"/>
  <c r="AH144" i="19" s="1"/>
  <c r="AG142" i="19"/>
  <c r="AH142" i="19" s="1"/>
  <c r="AG141" i="19"/>
  <c r="AH141" i="19" s="1"/>
  <c r="AG140" i="19"/>
  <c r="AH140" i="19" s="1"/>
  <c r="AG136" i="19"/>
  <c r="AH136" i="19" s="1"/>
  <c r="AG135" i="19"/>
  <c r="AH135" i="19" s="1"/>
  <c r="AG134" i="19"/>
  <c r="AH134" i="19" s="1"/>
  <c r="AG133" i="19"/>
  <c r="AH133" i="19" s="1"/>
  <c r="AG124" i="19"/>
  <c r="AH124" i="19" s="1"/>
  <c r="AG123" i="19"/>
  <c r="AH123" i="19" s="1"/>
  <c r="AG121" i="19"/>
  <c r="AH121" i="19" s="1"/>
  <c r="AG118" i="19"/>
  <c r="AH118" i="19" s="1"/>
  <c r="AG117" i="19"/>
  <c r="AH117" i="19" s="1"/>
  <c r="AG113" i="19"/>
  <c r="AH113" i="19" s="1"/>
  <c r="AG112" i="19"/>
  <c r="AH112" i="19" s="1"/>
  <c r="AG111" i="19"/>
  <c r="AH111" i="19" s="1"/>
  <c r="AG107" i="19"/>
  <c r="AH107" i="19" s="1"/>
  <c r="AG101" i="19"/>
  <c r="AH101" i="19" s="1"/>
  <c r="AG96" i="19"/>
  <c r="AH96" i="19" s="1"/>
  <c r="AG95" i="19"/>
  <c r="AH95" i="19" s="1"/>
  <c r="AG93" i="19"/>
  <c r="AH93" i="19" s="1"/>
  <c r="AG92" i="19"/>
  <c r="AH92" i="19" s="1"/>
  <c r="AG84" i="19"/>
  <c r="AH84" i="19" s="1"/>
  <c r="AG83" i="19"/>
  <c r="AH83" i="19" s="1"/>
  <c r="AG82" i="19"/>
  <c r="AH82" i="19" s="1"/>
  <c r="AG79" i="19"/>
  <c r="AH79" i="19" s="1"/>
  <c r="AG78" i="19"/>
  <c r="AH78" i="19" s="1"/>
  <c r="AG68" i="19"/>
  <c r="AH68" i="19" s="1"/>
  <c r="AG60" i="19"/>
  <c r="AH60" i="19" s="1"/>
  <c r="AG59" i="19"/>
  <c r="AH59" i="19" s="1"/>
  <c r="AG58" i="19"/>
  <c r="AH58" i="19" s="1"/>
  <c r="AG54" i="19"/>
  <c r="AH54" i="19" s="1"/>
  <c r="AG48" i="19"/>
  <c r="AH48" i="19" s="1"/>
  <c r="AG45" i="19"/>
  <c r="AH45" i="19" s="1"/>
  <c r="AG44" i="19"/>
  <c r="AH44" i="19" s="1"/>
  <c r="AG41" i="19"/>
  <c r="AH41" i="19" s="1"/>
  <c r="AG40" i="19"/>
  <c r="AH40" i="19" s="1"/>
  <c r="AG35" i="19"/>
  <c r="AH35" i="19" s="1"/>
  <c r="AG33" i="19"/>
  <c r="AH33" i="19" s="1"/>
  <c r="AG31" i="19"/>
  <c r="AH31" i="19" s="1"/>
  <c r="AG30" i="19"/>
  <c r="AH30" i="19" s="1"/>
  <c r="AG24" i="19"/>
  <c r="AH24" i="19" s="1"/>
  <c r="AG23" i="19"/>
  <c r="AH23" i="19" s="1"/>
  <c r="AG21" i="19"/>
  <c r="AH21" i="19" s="1"/>
  <c r="AG20" i="19"/>
  <c r="AH20" i="19" s="1"/>
  <c r="AG17" i="19"/>
  <c r="AH17" i="19" s="1"/>
  <c r="AG15" i="19"/>
  <c r="AH15" i="19" s="1"/>
  <c r="AG14" i="19"/>
  <c r="AH14" i="19" s="1"/>
  <c r="AG13" i="19"/>
  <c r="AH13" i="19" s="1"/>
  <c r="AG12" i="19"/>
  <c r="AH12" i="19" s="1"/>
  <c r="AG7" i="19"/>
  <c r="AH7" i="19" s="1"/>
  <c r="AG6" i="19"/>
  <c r="AH6" i="19" s="1"/>
  <c r="AG5" i="19"/>
  <c r="AH5" i="19" s="1"/>
  <c r="AG4" i="19"/>
  <c r="AH4" i="19" s="1"/>
  <c r="AG198" i="19"/>
  <c r="AH198" i="19" s="1"/>
  <c r="AG194" i="19"/>
  <c r="AH194" i="19" s="1"/>
  <c r="AG190" i="19"/>
  <c r="AH190" i="19" s="1"/>
  <c r="AG150" i="19"/>
  <c r="AH150" i="19" s="1"/>
  <c r="AG146" i="19"/>
  <c r="AH146" i="19" s="1"/>
  <c r="AG137" i="19"/>
  <c r="AH137" i="19" s="1"/>
  <c r="AG127" i="19"/>
  <c r="AH127" i="19" s="1"/>
  <c r="AG104" i="19"/>
  <c r="AH104" i="19" s="1"/>
  <c r="AG99" i="19"/>
  <c r="AH99" i="19" s="1"/>
  <c r="AG71" i="19"/>
  <c r="AH71" i="19" s="1"/>
  <c r="AG56" i="19"/>
  <c r="AH56" i="19" s="1"/>
  <c r="AG55" i="19"/>
  <c r="AH55" i="19" s="1"/>
  <c r="AG52" i="19"/>
  <c r="AH52" i="19" s="1"/>
  <c r="AG34" i="19"/>
  <c r="AH34" i="19" s="1"/>
  <c r="AG29" i="19"/>
  <c r="AH29" i="19" s="1"/>
  <c r="AG10" i="19"/>
  <c r="AH10" i="19" s="1"/>
  <c r="AG9" i="19"/>
  <c r="AH9" i="19" s="1"/>
  <c r="AG209" i="19"/>
  <c r="AH209" i="19" s="1"/>
  <c r="AG207" i="19"/>
  <c r="AH207" i="19" s="1"/>
  <c r="AG205" i="19"/>
  <c r="AH205" i="19" s="1"/>
  <c r="AG201" i="19"/>
  <c r="AH201" i="19" s="1"/>
  <c r="AG197" i="19"/>
  <c r="AH197" i="19" s="1"/>
  <c r="AG196" i="19"/>
  <c r="AH196" i="19" s="1"/>
  <c r="AG195" i="19"/>
  <c r="AH195" i="19" s="1"/>
  <c r="AG191" i="19"/>
  <c r="AH191" i="19" s="1"/>
  <c r="AG189" i="19"/>
  <c r="AH189" i="19" s="1"/>
  <c r="AG186" i="19"/>
  <c r="AH186" i="19" s="1"/>
  <c r="AG182" i="19"/>
  <c r="AH182" i="19" s="1"/>
  <c r="AG181" i="19"/>
  <c r="AH181" i="19" s="1"/>
  <c r="AG167" i="19"/>
  <c r="AH167" i="19" s="1"/>
  <c r="AG151" i="19"/>
  <c r="AH151" i="19" s="1"/>
  <c r="AG149" i="19"/>
  <c r="AH149" i="19" s="1"/>
  <c r="AG147" i="19"/>
  <c r="AH147" i="19" s="1"/>
  <c r="AG139" i="19"/>
  <c r="AH139" i="19" s="1"/>
  <c r="AG129" i="19"/>
  <c r="AH129" i="19" s="1"/>
  <c r="AG125" i="19"/>
  <c r="AH125" i="19" s="1"/>
  <c r="AG119" i="19"/>
  <c r="AH119" i="19" s="1"/>
  <c r="AG115" i="19"/>
  <c r="AH115" i="19" s="1"/>
  <c r="AG110" i="19"/>
  <c r="AH110" i="19" s="1"/>
  <c r="AG106" i="19"/>
  <c r="AH106" i="19" s="1"/>
  <c r="AG105" i="19"/>
  <c r="AH105" i="19" s="1"/>
  <c r="AG97" i="19"/>
  <c r="AH97" i="19" s="1"/>
  <c r="AG86" i="19"/>
  <c r="AH86" i="19" s="1"/>
  <c r="AG85" i="19"/>
  <c r="AH85" i="19" s="1"/>
  <c r="AG81" i="19"/>
  <c r="AH81" i="19" s="1"/>
  <c r="AG77" i="19"/>
  <c r="AH77" i="19" s="1"/>
  <c r="AG76" i="19"/>
  <c r="AH76" i="19" s="1"/>
  <c r="AG75" i="19"/>
  <c r="AH75" i="19" s="1"/>
  <c r="AG73" i="19"/>
  <c r="AH73" i="19" s="1"/>
  <c r="AG72" i="19"/>
  <c r="AH72" i="19" s="1"/>
  <c r="AG66" i="19"/>
  <c r="AH66" i="19" s="1"/>
  <c r="AG65" i="19"/>
  <c r="AH65" i="19" s="1"/>
  <c r="AG62" i="19"/>
  <c r="AH62" i="19" s="1"/>
  <c r="AG61" i="19"/>
  <c r="AH61" i="19" s="1"/>
  <c r="AG57" i="19"/>
  <c r="AH57" i="19" s="1"/>
  <c r="AG51" i="19"/>
  <c r="AH51" i="19" s="1"/>
  <c r="AG50" i="19"/>
  <c r="AH50" i="19" s="1"/>
  <c r="AG47" i="19"/>
  <c r="AH47" i="19" s="1"/>
  <c r="AG38" i="19"/>
  <c r="AH38" i="19" s="1"/>
  <c r="AG32" i="19"/>
  <c r="AH32" i="19" s="1"/>
  <c r="AG27" i="19"/>
  <c r="AH27" i="19" s="1"/>
  <c r="AG25" i="19"/>
  <c r="AH25" i="19" s="1"/>
  <c r="AG22" i="19"/>
  <c r="AH22" i="19" s="1"/>
  <c r="AG19" i="19"/>
  <c r="AH19" i="19" s="1"/>
  <c r="AG18" i="19"/>
  <c r="AH18" i="19" s="1"/>
  <c r="AG16" i="19"/>
  <c r="AH16" i="19" s="1"/>
  <c r="AG11" i="19"/>
  <c r="AH11" i="19" s="1"/>
  <c r="AG8" i="19"/>
  <c r="AH8" i="19" s="1"/>
  <c r="BH207" i="19"/>
  <c r="BI207" i="19" s="1"/>
  <c r="BH109" i="19"/>
  <c r="BH59" i="19"/>
  <c r="BI59" i="19" s="1"/>
  <c r="BH45" i="19"/>
  <c r="BH31" i="19"/>
  <c r="BI31" i="19" s="1"/>
  <c r="BA193" i="19"/>
  <c r="BA186" i="19"/>
  <c r="BA154" i="19"/>
  <c r="BA127" i="19"/>
  <c r="BA125" i="19"/>
  <c r="BA116" i="19"/>
  <c r="BA87" i="19"/>
  <c r="BA86" i="19"/>
  <c r="BB86" i="19" s="1"/>
  <c r="BA70" i="19"/>
  <c r="BA69" i="19"/>
  <c r="BA60" i="19"/>
  <c r="BA54" i="19"/>
  <c r="BA43" i="19"/>
  <c r="BB43" i="19" s="1"/>
  <c r="BA4" i="19"/>
  <c r="BA188" i="19"/>
  <c r="BA164" i="19"/>
  <c r="BA161" i="19"/>
  <c r="BA148" i="19"/>
  <c r="BB148" i="19" s="1"/>
  <c r="BA139" i="19"/>
  <c r="BA138" i="19"/>
  <c r="BA120" i="19"/>
  <c r="BA112" i="19"/>
  <c r="BA96" i="19"/>
  <c r="BA94" i="19"/>
  <c r="BA91" i="19"/>
  <c r="BA65" i="19"/>
  <c r="BA59" i="19"/>
  <c r="BB59" i="19" s="1"/>
  <c r="BA38" i="19"/>
  <c r="BA31" i="19"/>
  <c r="BB31" i="19" s="1"/>
  <c r="BA30" i="19"/>
  <c r="BA28" i="19"/>
  <c r="BA20" i="19"/>
  <c r="BA9" i="19"/>
  <c r="BA8" i="19"/>
  <c r="BA207" i="19"/>
  <c r="BA66" i="19"/>
  <c r="BA16" i="19"/>
  <c r="AS122" i="19"/>
  <c r="AS64" i="19"/>
  <c r="AS10" i="19"/>
  <c r="AS7" i="19"/>
  <c r="AS166" i="19"/>
  <c r="AS157" i="19"/>
  <c r="AS148" i="19"/>
  <c r="AT148" i="19" s="1"/>
  <c r="AS135" i="19"/>
  <c r="AS86" i="19"/>
  <c r="AT86" i="19" s="1"/>
  <c r="AS85" i="19"/>
  <c r="AS61" i="19"/>
  <c r="AS48" i="19"/>
  <c r="AS5" i="19"/>
  <c r="AN209" i="19"/>
  <c r="AO209" i="19" s="1"/>
  <c r="AN207" i="19"/>
  <c r="AO207" i="19" s="1"/>
  <c r="AN206" i="19"/>
  <c r="AO206" i="19" s="1"/>
  <c r="AN205" i="19"/>
  <c r="AO205" i="19" s="1"/>
  <c r="AN204" i="19"/>
  <c r="AO204" i="19" s="1"/>
  <c r="AN203" i="19"/>
  <c r="AO203" i="19" s="1"/>
  <c r="AN202" i="19"/>
  <c r="AO202" i="19" s="1"/>
  <c r="AN201" i="19"/>
  <c r="AO201" i="19" s="1"/>
  <c r="AN200" i="19"/>
  <c r="AO200" i="19" s="1"/>
  <c r="AN199" i="19"/>
  <c r="AO199" i="19" s="1"/>
  <c r="AN198" i="19"/>
  <c r="AO198" i="19" s="1"/>
  <c r="AN197" i="19"/>
  <c r="AO197" i="19" s="1"/>
  <c r="AN196" i="19"/>
  <c r="AO196" i="19" s="1"/>
  <c r="AN195" i="19"/>
  <c r="AO195" i="19" s="1"/>
  <c r="AN194" i="19"/>
  <c r="AO194" i="19" s="1"/>
  <c r="AN193" i="19"/>
  <c r="AO193" i="19" s="1"/>
  <c r="AN192" i="19"/>
  <c r="AO192" i="19" s="1"/>
  <c r="AN191" i="19"/>
  <c r="AO191" i="19" s="1"/>
  <c r="AN190" i="19"/>
  <c r="AO190" i="19" s="1"/>
  <c r="AN189" i="19"/>
  <c r="AO189" i="19" s="1"/>
  <c r="AN188" i="19"/>
  <c r="AO188" i="19" s="1"/>
  <c r="AN187" i="19"/>
  <c r="AO187" i="19" s="1"/>
  <c r="AN186" i="19"/>
  <c r="AO186" i="19" s="1"/>
  <c r="AN185" i="19"/>
  <c r="AO185" i="19" s="1"/>
  <c r="AN184" i="19"/>
  <c r="AO184" i="19" s="1"/>
  <c r="AN183" i="19"/>
  <c r="AO183" i="19" s="1"/>
  <c r="AN182" i="19"/>
  <c r="AO182" i="19" s="1"/>
  <c r="AN181" i="19"/>
  <c r="AO181" i="19" s="1"/>
  <c r="AN180" i="19"/>
  <c r="AO180" i="19" s="1"/>
  <c r="AN179" i="19"/>
  <c r="AO179" i="19" s="1"/>
  <c r="AN178" i="19"/>
  <c r="AO178" i="19" s="1"/>
  <c r="AN177" i="19"/>
  <c r="AO177" i="19" s="1"/>
  <c r="AN176" i="19"/>
  <c r="AO176" i="19" s="1"/>
  <c r="AN175" i="19"/>
  <c r="AO175" i="19" s="1"/>
  <c r="AN174" i="19"/>
  <c r="AO174" i="19" s="1"/>
  <c r="AN173" i="19"/>
  <c r="AO173" i="19" s="1"/>
  <c r="AN172" i="19"/>
  <c r="AO172" i="19" s="1"/>
  <c r="AN171" i="19"/>
  <c r="AO171" i="19" s="1"/>
  <c r="AN170" i="19"/>
  <c r="AO170" i="19" s="1"/>
  <c r="AN169" i="19"/>
  <c r="AO169" i="19" s="1"/>
  <c r="AN168" i="19"/>
  <c r="AO168" i="19" s="1"/>
  <c r="AN167" i="19"/>
  <c r="AO167" i="19" s="1"/>
  <c r="AN166" i="19"/>
  <c r="AO166" i="19" s="1"/>
  <c r="AN165" i="19"/>
  <c r="AO165" i="19" s="1"/>
  <c r="AN164" i="19"/>
  <c r="AO164" i="19" s="1"/>
  <c r="AN163" i="19"/>
  <c r="AO163" i="19" s="1"/>
  <c r="AN162" i="19"/>
  <c r="AO162" i="19" s="1"/>
  <c r="AN161" i="19"/>
  <c r="AO161" i="19" s="1"/>
  <c r="AN160" i="19"/>
  <c r="AO160" i="19" s="1"/>
  <c r="AN159" i="19"/>
  <c r="AO159" i="19" s="1"/>
  <c r="AN158" i="19"/>
  <c r="AO158" i="19" s="1"/>
  <c r="AN157" i="19"/>
  <c r="AO157" i="19" s="1"/>
  <c r="AN156" i="19"/>
  <c r="AO156" i="19" s="1"/>
  <c r="AN155" i="19"/>
  <c r="AO155" i="19" s="1"/>
  <c r="AN154" i="19"/>
  <c r="AO154" i="19" s="1"/>
  <c r="AN153" i="19"/>
  <c r="AO153" i="19" s="1"/>
  <c r="AN152" i="19"/>
  <c r="AO152" i="19" s="1"/>
  <c r="AN151" i="19"/>
  <c r="AO151" i="19" s="1"/>
  <c r="AN150" i="19"/>
  <c r="AO150" i="19" s="1"/>
  <c r="AN149" i="19"/>
  <c r="AO149" i="19" s="1"/>
  <c r="AN148" i="19"/>
  <c r="AO148" i="19" s="1"/>
  <c r="AN147" i="19"/>
  <c r="AO147" i="19" s="1"/>
  <c r="AN146" i="19"/>
  <c r="AO146" i="19" s="1"/>
  <c r="AN145" i="19"/>
  <c r="AO145" i="19" s="1"/>
  <c r="AN144" i="19"/>
  <c r="AO144" i="19" s="1"/>
  <c r="AN143" i="19"/>
  <c r="AO143" i="19" s="1"/>
  <c r="AN142" i="19"/>
  <c r="AO142" i="19" s="1"/>
  <c r="AN141" i="19"/>
  <c r="AO141" i="19" s="1"/>
  <c r="AN140" i="19"/>
  <c r="AO140" i="19" s="1"/>
  <c r="AN139" i="19"/>
  <c r="AO139" i="19" s="1"/>
  <c r="AN138" i="19"/>
  <c r="AO138" i="19" s="1"/>
  <c r="AN137" i="19"/>
  <c r="AO137" i="19" s="1"/>
  <c r="AN136" i="19"/>
  <c r="AO136" i="19" s="1"/>
  <c r="AN135" i="19"/>
  <c r="AO135" i="19" s="1"/>
  <c r="AN134" i="19"/>
  <c r="AO134" i="19" s="1"/>
  <c r="AN133" i="19"/>
  <c r="AO133" i="19" s="1"/>
  <c r="AN132" i="19"/>
  <c r="AO132" i="19" s="1"/>
  <c r="AN131" i="19"/>
  <c r="AO131" i="19" s="1"/>
  <c r="AN130" i="19"/>
  <c r="AO130" i="19" s="1"/>
  <c r="AN129" i="19"/>
  <c r="AO129" i="19" s="1"/>
  <c r="AN128" i="19"/>
  <c r="AO128" i="19" s="1"/>
  <c r="AN127" i="19"/>
  <c r="AO127" i="19" s="1"/>
  <c r="AN126" i="19"/>
  <c r="AO126" i="19" s="1"/>
  <c r="AN125" i="19"/>
  <c r="AO125" i="19" s="1"/>
  <c r="AN124" i="19"/>
  <c r="AO124" i="19" s="1"/>
  <c r="AN123" i="19"/>
  <c r="AO123" i="19" s="1"/>
  <c r="AN122" i="19"/>
  <c r="AO122" i="19" s="1"/>
  <c r="AN121" i="19"/>
  <c r="AO121" i="19" s="1"/>
  <c r="AN120" i="19"/>
  <c r="AO120" i="19" s="1"/>
  <c r="AN119" i="19"/>
  <c r="AO119" i="19" s="1"/>
  <c r="AN118" i="19"/>
  <c r="AO118" i="19" s="1"/>
  <c r="AN117" i="19"/>
  <c r="AO117" i="19" s="1"/>
  <c r="AN116" i="19"/>
  <c r="AO116" i="19" s="1"/>
  <c r="AN115" i="19"/>
  <c r="AO115" i="19" s="1"/>
  <c r="AN114" i="19"/>
  <c r="AO114" i="19" s="1"/>
  <c r="AN113" i="19"/>
  <c r="AO113" i="19" s="1"/>
  <c r="AN112" i="19"/>
  <c r="AO112" i="19" s="1"/>
  <c r="AN111" i="19"/>
  <c r="AO111" i="19" s="1"/>
  <c r="AN110" i="19"/>
  <c r="AO110" i="19" s="1"/>
  <c r="AN109" i="19"/>
  <c r="AO109" i="19" s="1"/>
  <c r="AN108" i="19"/>
  <c r="AO108" i="19" s="1"/>
  <c r="AN107" i="19"/>
  <c r="AO107" i="19" s="1"/>
  <c r="AN106" i="19"/>
  <c r="AO106" i="19" s="1"/>
  <c r="AN105" i="19"/>
  <c r="AO105" i="19" s="1"/>
  <c r="AN104" i="19"/>
  <c r="AO104" i="19" s="1"/>
  <c r="AN103" i="19"/>
  <c r="AO103" i="19" s="1"/>
  <c r="AN102" i="19"/>
  <c r="AO102" i="19" s="1"/>
  <c r="AN101" i="19"/>
  <c r="AO101" i="19" s="1"/>
  <c r="AN100" i="19"/>
  <c r="AO100" i="19" s="1"/>
  <c r="AN99" i="19"/>
  <c r="AO99" i="19" s="1"/>
  <c r="AN98" i="19"/>
  <c r="AO98" i="19" s="1"/>
  <c r="AN97" i="19"/>
  <c r="AO97" i="19" s="1"/>
  <c r="AN96" i="19"/>
  <c r="AO96" i="19" s="1"/>
  <c r="AN95" i="19"/>
  <c r="AO95" i="19" s="1"/>
  <c r="AN94" i="19"/>
  <c r="AO94" i="19" s="1"/>
  <c r="AN93" i="19"/>
  <c r="AO93" i="19" s="1"/>
  <c r="AN92" i="19"/>
  <c r="AO92" i="19" s="1"/>
  <c r="AN91" i="19"/>
  <c r="AO91" i="19" s="1"/>
  <c r="AN90" i="19"/>
  <c r="AO90" i="19" s="1"/>
  <c r="AN89" i="19"/>
  <c r="AO89" i="19" s="1"/>
  <c r="AN88" i="19"/>
  <c r="AO88" i="19" s="1"/>
  <c r="AN87" i="19"/>
  <c r="AO87" i="19" s="1"/>
  <c r="AN86" i="19"/>
  <c r="AO86" i="19" s="1"/>
  <c r="AN85" i="19"/>
  <c r="AO85" i="19" s="1"/>
  <c r="AN84" i="19"/>
  <c r="AO84" i="19" s="1"/>
  <c r="AN83" i="19"/>
  <c r="AO83" i="19" s="1"/>
  <c r="AN82" i="19"/>
  <c r="AO82" i="19" s="1"/>
  <c r="AN81" i="19"/>
  <c r="AO81" i="19" s="1"/>
  <c r="AN80" i="19"/>
  <c r="AO80" i="19" s="1"/>
  <c r="AN79" i="19"/>
  <c r="AO79" i="19" s="1"/>
  <c r="AN78" i="19"/>
  <c r="AO78" i="19" s="1"/>
  <c r="AN77" i="19"/>
  <c r="AO77" i="19" s="1"/>
  <c r="AN76" i="19"/>
  <c r="AO76" i="19" s="1"/>
  <c r="AN75" i="19"/>
  <c r="AO75" i="19" s="1"/>
  <c r="AN74" i="19"/>
  <c r="AO74" i="19" s="1"/>
  <c r="AN73" i="19"/>
  <c r="AO73" i="19" s="1"/>
  <c r="AN72" i="19"/>
  <c r="AO72" i="19" s="1"/>
  <c r="AN71" i="19"/>
  <c r="AO71" i="19" s="1"/>
  <c r="AN70" i="19"/>
  <c r="AO70" i="19" s="1"/>
  <c r="AN69" i="19"/>
  <c r="AO69" i="19" s="1"/>
  <c r="AN68" i="19"/>
  <c r="AO68" i="19" s="1"/>
  <c r="AN67" i="19"/>
  <c r="AO67" i="19" s="1"/>
  <c r="AN66" i="19"/>
  <c r="AO66" i="19" s="1"/>
  <c r="AN65" i="19"/>
  <c r="AO65" i="19" s="1"/>
  <c r="AN64" i="19"/>
  <c r="AO64" i="19" s="1"/>
  <c r="AN63" i="19"/>
  <c r="AO63" i="19" s="1"/>
  <c r="AN62" i="19"/>
  <c r="AO62" i="19" s="1"/>
  <c r="AN61" i="19"/>
  <c r="AO61" i="19" s="1"/>
  <c r="AN60" i="19"/>
  <c r="AO60" i="19" s="1"/>
  <c r="AN59" i="19"/>
  <c r="AO59" i="19" s="1"/>
  <c r="AN58" i="19"/>
  <c r="AO58" i="19" s="1"/>
  <c r="AN57" i="19"/>
  <c r="AO57" i="19" s="1"/>
  <c r="AN56" i="19"/>
  <c r="AO56" i="19" s="1"/>
  <c r="AN55" i="19"/>
  <c r="AO55" i="19" s="1"/>
  <c r="AN54" i="19"/>
  <c r="AO54" i="19" s="1"/>
  <c r="AN53" i="19"/>
  <c r="AO53" i="19" s="1"/>
  <c r="AN52" i="19"/>
  <c r="AO52" i="19" s="1"/>
  <c r="AN51" i="19"/>
  <c r="AO51" i="19" s="1"/>
  <c r="AN50" i="19"/>
  <c r="AO50" i="19" s="1"/>
  <c r="AN49" i="19"/>
  <c r="AO49" i="19" s="1"/>
  <c r="AN48" i="19"/>
  <c r="AO48" i="19" s="1"/>
  <c r="AN47" i="19"/>
  <c r="AO47" i="19" s="1"/>
  <c r="AN46" i="19"/>
  <c r="AO46" i="19" s="1"/>
  <c r="AN45" i="19"/>
  <c r="AO45" i="19" s="1"/>
  <c r="AN44" i="19"/>
  <c r="AO44" i="19" s="1"/>
  <c r="AN43" i="19"/>
  <c r="AO43" i="19" s="1"/>
  <c r="AN42" i="19"/>
  <c r="AO42" i="19" s="1"/>
  <c r="AN41" i="19"/>
  <c r="AO41" i="19" s="1"/>
  <c r="AN40" i="19"/>
  <c r="AO40" i="19" s="1"/>
  <c r="AN39" i="19"/>
  <c r="AO39" i="19" s="1"/>
  <c r="AN38" i="19"/>
  <c r="AO38" i="19" s="1"/>
  <c r="AN37" i="19"/>
  <c r="AO37" i="19" s="1"/>
  <c r="AN36" i="19"/>
  <c r="AO36" i="19" s="1"/>
  <c r="AN35" i="19"/>
  <c r="AO35" i="19" s="1"/>
  <c r="AN34" i="19"/>
  <c r="AO34" i="19" s="1"/>
  <c r="AN33" i="19"/>
  <c r="AO33" i="19" s="1"/>
  <c r="AN32" i="19"/>
  <c r="AO32" i="19" s="1"/>
  <c r="AN31" i="19"/>
  <c r="AO31" i="19" s="1"/>
  <c r="AN30" i="19"/>
  <c r="AO30" i="19" s="1"/>
  <c r="AN29" i="19"/>
  <c r="AO29" i="19" s="1"/>
  <c r="AN28" i="19"/>
  <c r="AO28" i="19" s="1"/>
  <c r="AN27" i="19"/>
  <c r="AO27" i="19" s="1"/>
  <c r="AN26" i="19"/>
  <c r="AO26" i="19" s="1"/>
  <c r="AN25" i="19"/>
  <c r="AO25" i="19" s="1"/>
  <c r="AN24" i="19"/>
  <c r="AO24" i="19" s="1"/>
  <c r="AN23" i="19"/>
  <c r="AO23" i="19" s="1"/>
  <c r="AN22" i="19"/>
  <c r="AO22" i="19" s="1"/>
  <c r="AN21" i="19"/>
  <c r="AO21" i="19" s="1"/>
  <c r="AN20" i="19"/>
  <c r="AO20" i="19" s="1"/>
  <c r="AN19" i="19"/>
  <c r="AO19" i="19" s="1"/>
  <c r="AN18" i="19"/>
  <c r="AO18" i="19" s="1"/>
  <c r="AN17" i="19"/>
  <c r="AO17" i="19" s="1"/>
  <c r="AN16" i="19"/>
  <c r="AO16" i="19" s="1"/>
  <c r="AN15" i="19"/>
  <c r="AO15" i="19" s="1"/>
  <c r="AN14" i="19"/>
  <c r="AO14" i="19" s="1"/>
  <c r="AN13" i="19"/>
  <c r="AO13" i="19" s="1"/>
  <c r="AN12" i="19"/>
  <c r="AO12" i="19" s="1"/>
  <c r="AN11" i="19"/>
  <c r="AO11" i="19" s="1"/>
  <c r="AN10" i="19"/>
  <c r="AO10" i="19" s="1"/>
  <c r="AN9" i="19"/>
  <c r="AO9" i="19" s="1"/>
  <c r="AN8" i="19"/>
  <c r="AO8" i="19" s="1"/>
  <c r="AN7" i="19"/>
  <c r="AO7" i="19" s="1"/>
  <c r="AN6" i="19"/>
  <c r="AO6" i="19" s="1"/>
  <c r="AN5" i="19"/>
  <c r="AO5" i="19" s="1"/>
  <c r="AN4" i="19"/>
  <c r="AO4" i="19" s="1"/>
  <c r="AN3" i="19"/>
  <c r="AO3" i="19" s="1"/>
  <c r="AN2" i="19"/>
  <c r="AO2" i="19" s="1"/>
  <c r="BJ209" i="19"/>
  <c r="P207" i="19"/>
  <c r="BJ206" i="19"/>
  <c r="BJ205" i="19"/>
  <c r="BJ204" i="19"/>
  <c r="BJ203" i="19"/>
  <c r="BJ202" i="19"/>
  <c r="BJ201" i="19"/>
  <c r="BJ200" i="19"/>
  <c r="BJ199" i="19"/>
  <c r="BJ198" i="19"/>
  <c r="BJ197" i="19"/>
  <c r="P197" i="19"/>
  <c r="BJ196" i="19"/>
  <c r="P196" i="19"/>
  <c r="BJ195" i="19"/>
  <c r="P195" i="19"/>
  <c r="BJ194" i="19"/>
  <c r="BJ192" i="19"/>
  <c r="BJ191" i="19"/>
  <c r="P191" i="19"/>
  <c r="BJ190" i="19"/>
  <c r="BJ189" i="19"/>
  <c r="P189" i="19"/>
  <c r="BJ187" i="19"/>
  <c r="P186" i="19"/>
  <c r="BJ185" i="19"/>
  <c r="BJ184" i="19"/>
  <c r="BJ183" i="19"/>
  <c r="BJ182" i="19"/>
  <c r="P182" i="19"/>
  <c r="BJ181" i="19"/>
  <c r="P181" i="19"/>
  <c r="BJ180" i="19"/>
  <c r="BJ178" i="19"/>
  <c r="BJ177" i="19"/>
  <c r="BJ176" i="19"/>
  <c r="BJ175" i="19"/>
  <c r="BJ174" i="19"/>
  <c r="BJ173" i="19"/>
  <c r="BJ172" i="19"/>
  <c r="BJ171" i="19"/>
  <c r="BJ170" i="19"/>
  <c r="BJ169" i="19"/>
  <c r="BJ168" i="19"/>
  <c r="BJ167" i="19"/>
  <c r="P167" i="19"/>
  <c r="BJ165" i="19"/>
  <c r="BJ163" i="19"/>
  <c r="BJ162" i="19"/>
  <c r="BJ160" i="19"/>
  <c r="BJ159" i="19"/>
  <c r="BJ158" i="19"/>
  <c r="P158" i="19"/>
  <c r="BJ156" i="19"/>
  <c r="BJ155" i="19"/>
  <c r="BJ153" i="19"/>
  <c r="BJ152" i="19"/>
  <c r="BJ151" i="19"/>
  <c r="P151" i="19"/>
  <c r="BJ150" i="19"/>
  <c r="BJ149" i="19"/>
  <c r="P149" i="19"/>
  <c r="P148" i="19"/>
  <c r="BJ147" i="19"/>
  <c r="P147" i="19"/>
  <c r="BJ146" i="19"/>
  <c r="BJ145" i="19"/>
  <c r="BJ144" i="19"/>
  <c r="BJ143" i="19"/>
  <c r="BJ142" i="19"/>
  <c r="BJ141" i="19"/>
  <c r="BJ140" i="19"/>
  <c r="P139" i="19"/>
  <c r="BJ137" i="19"/>
  <c r="BJ136" i="19"/>
  <c r="BJ134" i="19"/>
  <c r="BJ133" i="19"/>
  <c r="BJ132" i="19"/>
  <c r="BJ131" i="19"/>
  <c r="BJ130" i="19"/>
  <c r="BJ129" i="19"/>
  <c r="P129" i="19"/>
  <c r="BJ128" i="19"/>
  <c r="BJ126" i="19"/>
  <c r="BJ123" i="19"/>
  <c r="BJ121" i="19"/>
  <c r="BJ119" i="19"/>
  <c r="P119" i="19"/>
  <c r="BJ118" i="19"/>
  <c r="BJ117" i="19"/>
  <c r="BJ115" i="19"/>
  <c r="P115" i="19"/>
  <c r="BJ114" i="19"/>
  <c r="BJ113" i="19"/>
  <c r="BJ111" i="19"/>
  <c r="BJ110" i="19"/>
  <c r="P110" i="19"/>
  <c r="BJ108" i="19"/>
  <c r="BJ107" i="19"/>
  <c r="BJ106" i="19"/>
  <c r="P106" i="19"/>
  <c r="BJ105" i="19"/>
  <c r="P105" i="19"/>
  <c r="BJ104" i="19"/>
  <c r="BJ103" i="19"/>
  <c r="BJ102" i="19"/>
  <c r="BJ101" i="19"/>
  <c r="BJ100" i="19"/>
  <c r="BJ99" i="19"/>
  <c r="BJ98" i="19"/>
  <c r="BJ97" i="19"/>
  <c r="P97" i="19"/>
  <c r="BJ95" i="19"/>
  <c r="BJ93" i="19"/>
  <c r="BJ92" i="19"/>
  <c r="BJ90" i="19"/>
  <c r="BJ89" i="19"/>
  <c r="BJ88" i="19"/>
  <c r="P88" i="19"/>
  <c r="P86" i="19"/>
  <c r="P85" i="19"/>
  <c r="BJ84" i="19"/>
  <c r="BJ83" i="19"/>
  <c r="BJ82" i="19"/>
  <c r="BJ81" i="19"/>
  <c r="P81" i="19"/>
  <c r="BJ80" i="19"/>
  <c r="BJ79" i="19"/>
  <c r="BJ78" i="19"/>
  <c r="BJ77" i="19"/>
  <c r="BJ76" i="19"/>
  <c r="P76" i="19"/>
  <c r="BJ75" i="19"/>
  <c r="P75" i="19"/>
  <c r="BJ74" i="19"/>
  <c r="BJ73" i="19"/>
  <c r="P73" i="19"/>
  <c r="BJ72" i="19"/>
  <c r="P72" i="19"/>
  <c r="BJ71" i="19"/>
  <c r="BJ68" i="19"/>
  <c r="BJ67" i="19"/>
  <c r="P66" i="19"/>
  <c r="P65" i="19"/>
  <c r="BJ63" i="19"/>
  <c r="BJ62" i="19"/>
  <c r="P62" i="19"/>
  <c r="P61" i="19"/>
  <c r="BJ58" i="19"/>
  <c r="BJ57" i="19"/>
  <c r="P57" i="19"/>
  <c r="BJ56" i="19"/>
  <c r="BJ55" i="19"/>
  <c r="BJ53" i="19"/>
  <c r="P53" i="19"/>
  <c r="BJ52" i="19"/>
  <c r="BJ51" i="19"/>
  <c r="P51" i="19"/>
  <c r="BJ50" i="19"/>
  <c r="P50" i="19"/>
  <c r="BJ49" i="19"/>
  <c r="BJ47" i="19"/>
  <c r="BJ46" i="19"/>
  <c r="BJ44" i="19"/>
  <c r="BJ42" i="19"/>
  <c r="BJ41" i="19"/>
  <c r="BJ40" i="19"/>
  <c r="BJ39" i="19"/>
  <c r="P38" i="19"/>
  <c r="BJ37" i="19"/>
  <c r="BJ36" i="19"/>
  <c r="BJ35" i="19"/>
  <c r="BJ34" i="19"/>
  <c r="BJ33" i="19"/>
  <c r="BJ32" i="19"/>
  <c r="P32" i="19"/>
  <c r="BJ29" i="19"/>
  <c r="BJ27" i="19"/>
  <c r="BJ26" i="19"/>
  <c r="BJ25" i="19"/>
  <c r="P25" i="19"/>
  <c r="BJ24" i="19"/>
  <c r="BJ23" i="19"/>
  <c r="BJ22" i="19"/>
  <c r="P22" i="19"/>
  <c r="BJ21" i="19"/>
  <c r="P19" i="19"/>
  <c r="P18" i="19"/>
  <c r="BJ17" i="19"/>
  <c r="P16" i="19"/>
  <c r="BJ15" i="19"/>
  <c r="BJ14" i="19"/>
  <c r="BJ13" i="19"/>
  <c r="BJ12" i="19"/>
  <c r="BJ11" i="19"/>
  <c r="P11" i="19"/>
  <c r="P8" i="19"/>
  <c r="BJ6" i="19"/>
  <c r="BJ2" i="19"/>
  <c r="AG53" i="19" l="1"/>
  <c r="AH53" i="19" s="1"/>
  <c r="BI45" i="19"/>
  <c r="BJ45" i="19" s="1"/>
  <c r="BI109" i="19"/>
  <c r="BJ109" i="19" s="1"/>
  <c r="BB8" i="19"/>
  <c r="BJ8" i="19" s="1"/>
  <c r="BB30" i="19"/>
  <c r="BJ30" i="19" s="1"/>
  <c r="BB65" i="19"/>
  <c r="BJ65" i="19" s="1"/>
  <c r="BB112" i="19"/>
  <c r="BJ112" i="19" s="1"/>
  <c r="BB4" i="19"/>
  <c r="BJ4" i="19" s="1"/>
  <c r="BB69" i="19"/>
  <c r="BJ69" i="19" s="1"/>
  <c r="BB116" i="19"/>
  <c r="BJ116" i="19" s="1"/>
  <c r="BB179" i="19"/>
  <c r="BJ179" i="19" s="1"/>
  <c r="BB28" i="19"/>
  <c r="BJ28" i="19" s="1"/>
  <c r="BB96" i="19"/>
  <c r="BJ96" i="19" s="1"/>
  <c r="BB188" i="19"/>
  <c r="BJ188" i="19" s="1"/>
  <c r="BB87" i="19"/>
  <c r="BJ87" i="19" s="1"/>
  <c r="BB16" i="19"/>
  <c r="BJ16" i="19" s="1"/>
  <c r="BB9" i="19"/>
  <c r="BJ9" i="19" s="1"/>
  <c r="BB91" i="19"/>
  <c r="BJ91" i="19" s="1"/>
  <c r="BB120" i="19"/>
  <c r="BJ120" i="19" s="1"/>
  <c r="BB161" i="19"/>
  <c r="BJ161" i="19" s="1"/>
  <c r="BJ43" i="19"/>
  <c r="BB70" i="19"/>
  <c r="BJ70" i="19" s="1"/>
  <c r="BB125" i="19"/>
  <c r="BJ125" i="19" s="1"/>
  <c r="BB186" i="19"/>
  <c r="BJ186" i="19" s="1"/>
  <c r="BB207" i="19"/>
  <c r="BJ207" i="19" s="1"/>
  <c r="BB139" i="19"/>
  <c r="BJ139" i="19" s="1"/>
  <c r="BB60" i="19"/>
  <c r="BJ60" i="19" s="1"/>
  <c r="BB154" i="19"/>
  <c r="BJ154" i="19" s="1"/>
  <c r="BB66" i="19"/>
  <c r="BJ66" i="19" s="1"/>
  <c r="BB20" i="19"/>
  <c r="BJ20" i="19" s="1"/>
  <c r="BB38" i="19"/>
  <c r="BJ38" i="19" s="1"/>
  <c r="BB94" i="19"/>
  <c r="BJ94" i="19" s="1"/>
  <c r="BB138" i="19"/>
  <c r="BJ138" i="19" s="1"/>
  <c r="BB164" i="19"/>
  <c r="BJ164" i="19" s="1"/>
  <c r="BB54" i="19"/>
  <c r="BJ54" i="19" s="1"/>
  <c r="BB127" i="19"/>
  <c r="BJ127" i="19" s="1"/>
  <c r="BB193" i="19"/>
  <c r="BJ193" i="19" s="1"/>
  <c r="AT48" i="19"/>
  <c r="BJ48" i="19" s="1"/>
  <c r="AT135" i="19"/>
  <c r="BJ135" i="19" s="1"/>
  <c r="AT7" i="19"/>
  <c r="BJ7" i="19" s="1"/>
  <c r="AT5" i="19"/>
  <c r="BJ5" i="19" s="1"/>
  <c r="AT166" i="19"/>
  <c r="BJ166" i="19" s="1"/>
  <c r="AT122" i="19"/>
  <c r="BJ122" i="19" s="1"/>
  <c r="AT61" i="19"/>
  <c r="BJ61" i="19" s="1"/>
  <c r="AT10" i="19"/>
  <c r="BJ10" i="19" s="1"/>
  <c r="AT85" i="19"/>
  <c r="BJ85" i="19" s="1"/>
  <c r="AT157" i="19"/>
  <c r="BJ157" i="19" s="1"/>
  <c r="AT64" i="19"/>
  <c r="BJ64" i="19" s="1"/>
  <c r="BJ31" i="19"/>
  <c r="BJ59" i="19"/>
  <c r="BJ86" i="19"/>
  <c r="BJ148" i="19"/>
  <c r="L17" i="15"/>
  <c r="L16" i="15"/>
  <c r="E45" i="15"/>
  <c r="E44" i="15"/>
  <c r="E42" i="15"/>
  <c r="E41" i="15"/>
  <c r="E40" i="15"/>
  <c r="E39" i="15"/>
  <c r="E38" i="15"/>
  <c r="E37" i="15"/>
  <c r="E36" i="15"/>
  <c r="E35" i="15"/>
  <c r="C45" i="15"/>
  <c r="C44" i="15"/>
  <c r="C43" i="15"/>
  <c r="C42" i="15"/>
  <c r="C38" i="15"/>
  <c r="C37" i="15"/>
  <c r="C36" i="15"/>
  <c r="C35" i="15"/>
  <c r="P18" i="15"/>
  <c r="P17" i="15"/>
  <c r="P16" i="15"/>
  <c r="N18" i="15"/>
  <c r="N17" i="15"/>
  <c r="N16" i="15"/>
  <c r="L18" i="15"/>
  <c r="N20" i="15" l="1"/>
  <c r="L20" i="15"/>
  <c r="P20" i="15"/>
  <c r="C18" i="15"/>
  <c r="C19" i="15"/>
  <c r="C20" i="15"/>
  <c r="C17" i="15"/>
  <c r="E18" i="15"/>
  <c r="E19" i="15"/>
  <c r="E20" i="15"/>
  <c r="E17" i="15"/>
  <c r="G18" i="15"/>
  <c r="G19" i="15"/>
  <c r="G20" i="15"/>
  <c r="G17" i="15"/>
</calcChain>
</file>

<file path=xl/sharedStrings.xml><?xml version="1.0" encoding="utf-8"?>
<sst xmlns="http://schemas.openxmlformats.org/spreadsheetml/2006/main" count="6815" uniqueCount="1293">
  <si>
    <t>SEXO</t>
  </si>
  <si>
    <t>D_BENE_APE</t>
  </si>
  <si>
    <t>LEIRO GARCIA</t>
  </si>
  <si>
    <t>MIGUEL</t>
  </si>
  <si>
    <t>CARRERA</t>
  </si>
  <si>
    <t>DIAZ</t>
  </si>
  <si>
    <t>FASCE</t>
  </si>
  <si>
    <t>GALINDEZ</t>
  </si>
  <si>
    <t>GARCIA</t>
  </si>
  <si>
    <t>JUAREZ</t>
  </si>
  <si>
    <t>MALONE</t>
  </si>
  <si>
    <t>MARTINENA</t>
  </si>
  <si>
    <t>PEÑALVA</t>
  </si>
  <si>
    <t>PEREZ</t>
  </si>
  <si>
    <t>RODRIGUEZ</t>
  </si>
  <si>
    <t>ROMERO</t>
  </si>
  <si>
    <t>BOCCIO</t>
  </si>
  <si>
    <t>CALLERO</t>
  </si>
  <si>
    <t>DI GLORIA</t>
  </si>
  <si>
    <t>DUNEZAT</t>
  </si>
  <si>
    <t>FERNANDEZ</t>
  </si>
  <si>
    <t>FIEGO</t>
  </si>
  <si>
    <t>GARNICA</t>
  </si>
  <si>
    <t>GOMEZ</t>
  </si>
  <si>
    <t>GONZALEZ</t>
  </si>
  <si>
    <t>GORRIA</t>
  </si>
  <si>
    <t>IRIBARNE</t>
  </si>
  <si>
    <t>JIMENEZ</t>
  </si>
  <si>
    <t>MARINO</t>
  </si>
  <si>
    <t>OVIEDO</t>
  </si>
  <si>
    <t>STAHL</t>
  </si>
  <si>
    <t>TRACNEC</t>
  </si>
  <si>
    <t>VERA</t>
  </si>
  <si>
    <t>VIDAL</t>
  </si>
  <si>
    <t>ZALAZAR</t>
  </si>
  <si>
    <t>SILVA</t>
  </si>
  <si>
    <t>PEREYRA</t>
  </si>
  <si>
    <t>CHANINE</t>
  </si>
  <si>
    <t>DEL RIO</t>
  </si>
  <si>
    <t>ECHAVARRIA</t>
  </si>
  <si>
    <t>GUTIERREZ</t>
  </si>
  <si>
    <t>HERRERA HERRERA</t>
  </si>
  <si>
    <t>HUERTAS</t>
  </si>
  <si>
    <t>JUNCOS</t>
  </si>
  <si>
    <t>LEMA</t>
  </si>
  <si>
    <t>LORENZINI</t>
  </si>
  <si>
    <t>LORENZO</t>
  </si>
  <si>
    <t>PEDERNERA</t>
  </si>
  <si>
    <t>RAMALLO</t>
  </si>
  <si>
    <t>REINOZO</t>
  </si>
  <si>
    <t>RICARDO</t>
  </si>
  <si>
    <t>SAAVEDRA</t>
  </si>
  <si>
    <t>SALVADOR</t>
  </si>
  <si>
    <t>TORRES</t>
  </si>
  <si>
    <t>ZUMINO</t>
  </si>
  <si>
    <t>ACOSTA MONTES DE OCA</t>
  </si>
  <si>
    <t>COSENTINO</t>
  </si>
  <si>
    <t>FRANCIA</t>
  </si>
  <si>
    <t>GENES</t>
  </si>
  <si>
    <t>GRAZIANI</t>
  </si>
  <si>
    <t>LIENDRO</t>
  </si>
  <si>
    <t>LOMBARDO</t>
  </si>
  <si>
    <t>LUCIANO</t>
  </si>
  <si>
    <t>MARCHESINI</t>
  </si>
  <si>
    <t>MASSARI</t>
  </si>
  <si>
    <t>MORALES</t>
  </si>
  <si>
    <t>MORAN</t>
  </si>
  <si>
    <t>PORZIO</t>
  </si>
  <si>
    <t>REQUIERE</t>
  </si>
  <si>
    <t>ROBERTS</t>
  </si>
  <si>
    <t>ROLON</t>
  </si>
  <si>
    <t>SOSA</t>
  </si>
  <si>
    <t>SPINA</t>
  </si>
  <si>
    <t>SUAREZ</t>
  </si>
  <si>
    <t>VENTURA</t>
  </si>
  <si>
    <t>VICARIO</t>
  </si>
  <si>
    <t>WARD</t>
  </si>
  <si>
    <t>ZAMPARO</t>
  </si>
  <si>
    <t>JUAN CARLOS</t>
  </si>
  <si>
    <t>JOSE AURELIO</t>
  </si>
  <si>
    <t>RICARDO OSCAR</t>
  </si>
  <si>
    <t>ZULEMA NOEMI</t>
  </si>
  <si>
    <t>JUANA ROSA</t>
  </si>
  <si>
    <t>ABEL ANTONIO</t>
  </si>
  <si>
    <t>MARIO OSCAR</t>
  </si>
  <si>
    <t>RAIMUNDO</t>
  </si>
  <si>
    <t>OMAR DANIEL</t>
  </si>
  <si>
    <t>OMAR ANGEL</t>
  </si>
  <si>
    <t>OSCAR</t>
  </si>
  <si>
    <t>FRANCO</t>
  </si>
  <si>
    <t>AGUSTIN</t>
  </si>
  <si>
    <t>MARIA DEL CARMEN</t>
  </si>
  <si>
    <t>MIRTA NOEMI</t>
  </si>
  <si>
    <t>NORA EDITH</t>
  </si>
  <si>
    <t>HORACIO ENRIQUE</t>
  </si>
  <si>
    <t>ANA</t>
  </si>
  <si>
    <t>ISABEL AMANDA</t>
  </si>
  <si>
    <t>ABELARDO ISAAC</t>
  </si>
  <si>
    <t>MARIA ISABEL</t>
  </si>
  <si>
    <t>DANIEL ALFREDO</t>
  </si>
  <si>
    <t>ROBERTO ANIBAL</t>
  </si>
  <si>
    <t>ANA MARIA</t>
  </si>
  <si>
    <t>ROBERTO HUGO</t>
  </si>
  <si>
    <t>NORBERTO CARLOS</t>
  </si>
  <si>
    <t>CLEMENCIA CATALINA</t>
  </si>
  <si>
    <t>CLEMENTINA LIDIA</t>
  </si>
  <si>
    <t>NELIDA</t>
  </si>
  <si>
    <t>HUMBERTO ERNESTO</t>
  </si>
  <si>
    <t>MIGUEL ANGEL</t>
  </si>
  <si>
    <t>MARIA ESTER</t>
  </si>
  <si>
    <t>ELSA SUSANA</t>
  </si>
  <si>
    <t>JAIME</t>
  </si>
  <si>
    <t>FUENTES AVILA</t>
  </si>
  <si>
    <t>RICARDO FELICIANO</t>
  </si>
  <si>
    <t>CRESCENCIA</t>
  </si>
  <si>
    <t>MANUEL ROBERTO</t>
  </si>
  <si>
    <t>EDUARDO</t>
  </si>
  <si>
    <t>IRIS NANCY</t>
  </si>
  <si>
    <t>BAUDILIA PASCACIA</t>
  </si>
  <si>
    <t>MAURO FERNANDO</t>
  </si>
  <si>
    <t>GRISELDA INES</t>
  </si>
  <si>
    <t>GLADIS</t>
  </si>
  <si>
    <t>SILVIO JOSE</t>
  </si>
  <si>
    <t>MARTHA SUSANA</t>
  </si>
  <si>
    <t>ELBA ALICIA</t>
  </si>
  <si>
    <t>ALBERTO MARIA PIO</t>
  </si>
  <si>
    <t>NELIDA DEL VALLE</t>
  </si>
  <si>
    <t>ABEL</t>
  </si>
  <si>
    <t>OMAR ALBERTO</t>
  </si>
  <si>
    <t>FRANCISCO EDUARDO</t>
  </si>
  <si>
    <t>ELDA JUANA</t>
  </si>
  <si>
    <t>JUAN JOSE</t>
  </si>
  <si>
    <t>MIRTA MARIA ANTONIA</t>
  </si>
  <si>
    <t>MARTA MABEL</t>
  </si>
  <si>
    <t>IRMA NOEMI</t>
  </si>
  <si>
    <t xml:space="preserve">DAMBOREARENA </t>
  </si>
  <si>
    <t>NELIDA ESTER</t>
  </si>
  <si>
    <t>TRANCITO</t>
  </si>
  <si>
    <t xml:space="preserve">ESPINDOLA </t>
  </si>
  <si>
    <t>HUGO ALBERTO</t>
  </si>
  <si>
    <t>BLANCA HAIDEE</t>
  </si>
  <si>
    <t>EDUARDO CARLOS</t>
  </si>
  <si>
    <t>IRMA MABEL</t>
  </si>
  <si>
    <t>POLICAR</t>
  </si>
  <si>
    <t>MARTA</t>
  </si>
  <si>
    <t>YOLANDA ESTER</t>
  </si>
  <si>
    <t>CAMILO NAZARENO</t>
  </si>
  <si>
    <t>HUGO RAUL</t>
  </si>
  <si>
    <t>MIGUEL ANTONIO</t>
  </si>
  <si>
    <t>GRACIELA MARIA</t>
  </si>
  <si>
    <t>PASCUAL JOSE</t>
  </si>
  <si>
    <t>STELLA MARIS</t>
  </si>
  <si>
    <t>OLGA AURORA</t>
  </si>
  <si>
    <t>TERESA MARGARITA</t>
  </si>
  <si>
    <t>FRANCISCO ESPERANZA</t>
  </si>
  <si>
    <t>MARIA ANGELICA</t>
  </si>
  <si>
    <t>MARIA GREGORIA</t>
  </si>
  <si>
    <t>LILIANA ISABEL</t>
  </si>
  <si>
    <t>EDUARDO GENARO</t>
  </si>
  <si>
    <t>MYRIAM STELLA</t>
  </si>
  <si>
    <t>MARTA GRACIELA</t>
  </si>
  <si>
    <t>EDAD</t>
  </si>
  <si>
    <t>FECHA_HbAc1_INICIO</t>
  </si>
  <si>
    <t>M</t>
  </si>
  <si>
    <t>F</t>
  </si>
  <si>
    <t>CANDIDA</t>
  </si>
  <si>
    <t xml:space="preserve">PENDONES FERNANDEZ </t>
  </si>
  <si>
    <t>MAX_NIV_EDUC_ALCANZADO</t>
  </si>
  <si>
    <t>MAXIMO NIVEL EDUC ALCANZADO</t>
  </si>
  <si>
    <t>SUELDO</t>
  </si>
  <si>
    <t>PESO</t>
  </si>
  <si>
    <t>TALLA</t>
  </si>
  <si>
    <t>IMC</t>
  </si>
  <si>
    <t>HTA</t>
  </si>
  <si>
    <t>Sin instrucción</t>
  </si>
  <si>
    <t>INSU_TIPO</t>
  </si>
  <si>
    <t>HPO</t>
  </si>
  <si>
    <t>Si</t>
  </si>
  <si>
    <t>PESO en kg</t>
  </si>
  <si>
    <t>No</t>
  </si>
  <si>
    <t>Metformina</t>
  </si>
  <si>
    <t>TALLA en metros</t>
  </si>
  <si>
    <t>NPH</t>
  </si>
  <si>
    <t>Glargina (Lantus)</t>
  </si>
  <si>
    <t>Degludec (Tresiba)</t>
  </si>
  <si>
    <t>Detemir (Levemir)</t>
  </si>
  <si>
    <t>Aspartica (Novorapid)</t>
  </si>
  <si>
    <t>Glulisina (Apidra)</t>
  </si>
  <si>
    <t>Lispro (Humalog)</t>
  </si>
  <si>
    <t>Sulfonilureas</t>
  </si>
  <si>
    <t>ANALOGAS (basales) --&gt;</t>
  </si>
  <si>
    <t>RAPIDAS                  --&gt;</t>
  </si>
  <si>
    <t>Biguandinas</t>
  </si>
  <si>
    <t>Glibenclamida</t>
  </si>
  <si>
    <t>Glimepirida</t>
  </si>
  <si>
    <t>Clorpropramida</t>
  </si>
  <si>
    <t>Tiazoladinedionas</t>
  </si>
  <si>
    <t>Pioglitazona</t>
  </si>
  <si>
    <t>Rosiglitazona</t>
  </si>
  <si>
    <t>GLP1</t>
  </si>
  <si>
    <t>Glutides</t>
  </si>
  <si>
    <t>InhDPP4</t>
  </si>
  <si>
    <t>Gliptinas</t>
  </si>
  <si>
    <t>SGLT2</t>
  </si>
  <si>
    <t>Gliflozinas</t>
  </si>
  <si>
    <t>BIGUA_NOM</t>
  </si>
  <si>
    <t>SULFO_NOM</t>
  </si>
  <si>
    <t>BIGUA_DOSIS</t>
  </si>
  <si>
    <t>SULFO_DOSIS</t>
  </si>
  <si>
    <t>GLITAZONAS_NOM</t>
  </si>
  <si>
    <t>GLIPTINAS_NOM</t>
  </si>
  <si>
    <t>GLIPTINAS_DOSIS</t>
  </si>
  <si>
    <t>N/A</t>
  </si>
  <si>
    <t>"Pension"=</t>
  </si>
  <si>
    <t>80% de la JM=</t>
  </si>
  <si>
    <t>Jubilacion (JM) =</t>
  </si>
  <si>
    <t>PAQ/YEAR</t>
  </si>
  <si>
    <t>INSU_RAPIDA</t>
  </si>
  <si>
    <t>VIVE_SOLO</t>
  </si>
  <si>
    <t>NS/NC</t>
  </si>
  <si>
    <t>OTELO</t>
  </si>
  <si>
    <t>Educ. especial</t>
  </si>
  <si>
    <t>GLIFLOZINAS_NOM</t>
  </si>
  <si>
    <t>GLIFLOZINAS_DOSIS</t>
  </si>
  <si>
    <t>Glargina Toujeo (T)</t>
  </si>
  <si>
    <t>DE MENDONCA</t>
  </si>
  <si>
    <t>PINA JORGE</t>
  </si>
  <si>
    <t>Gliclazida</t>
  </si>
  <si>
    <t>Insulatard = NPH</t>
  </si>
  <si>
    <t>no</t>
  </si>
  <si>
    <t>Secundario (completa e incompleta)</t>
  </si>
  <si>
    <t>Terciario/Universitario (completa e incompleta)</t>
  </si>
  <si>
    <t>Primario (completa e incompleta)</t>
  </si>
  <si>
    <t>si</t>
  </si>
  <si>
    <t>D_BENE_NOM</t>
  </si>
  <si>
    <t>ARIDES LUIS</t>
  </si>
  <si>
    <t>MELO</t>
  </si>
  <si>
    <t>DE LA CRUZ</t>
  </si>
  <si>
    <t>INSU_BASAL</t>
  </si>
  <si>
    <t>BASAL_DOSIS</t>
  </si>
  <si>
    <t>VALERIO ROSA VERONICA</t>
  </si>
  <si>
    <t>NPH (basal)               --&gt;</t>
  </si>
  <si>
    <t>NO</t>
  </si>
  <si>
    <t>SI</t>
  </si>
  <si>
    <t>GLARGINA</t>
  </si>
  <si>
    <t>DEGLUDEC</t>
  </si>
  <si>
    <t>GLIMEPIRIDA</t>
  </si>
  <si>
    <t>METFORMINA</t>
  </si>
  <si>
    <t>GLARGINA T</t>
  </si>
  <si>
    <t>SITAGLIPTINA</t>
  </si>
  <si>
    <t>DETEMIR</t>
  </si>
  <si>
    <t>VILDAGLIPTINA</t>
  </si>
  <si>
    <t>Glargina T</t>
  </si>
  <si>
    <t>PUCHI</t>
  </si>
  <si>
    <t>GLICLAZIDA</t>
  </si>
  <si>
    <t>ACROGLIANO</t>
  </si>
  <si>
    <t>MARIO ALBERTO</t>
  </si>
  <si>
    <t>AGUERO</t>
  </si>
  <si>
    <t>ALBERTO RODOLFO</t>
  </si>
  <si>
    <t>ALDERETE</t>
  </si>
  <si>
    <t>SILVIA</t>
  </si>
  <si>
    <t>ALEGRIA FARIAS</t>
  </si>
  <si>
    <t>LUIS JORGE</t>
  </si>
  <si>
    <t>ALMIRON</t>
  </si>
  <si>
    <t>HECTOR OSCAR</t>
  </si>
  <si>
    <t>ALONSO</t>
  </si>
  <si>
    <t>DORINDA</t>
  </si>
  <si>
    <t>AMADO</t>
  </si>
  <si>
    <t>RICARDO HORACIO</t>
  </si>
  <si>
    <t>AMCHITE</t>
  </si>
  <si>
    <t>RICARDO MIGUEL</t>
  </si>
  <si>
    <t>ANGELINI</t>
  </si>
  <si>
    <t>DARIO ENRIQUE</t>
  </si>
  <si>
    <t>ARAUJO</t>
  </si>
  <si>
    <t>MARIA GRACIELA</t>
  </si>
  <si>
    <t>ARREGUI</t>
  </si>
  <si>
    <t>JOSE LUIS</t>
  </si>
  <si>
    <t>SERGIO NICOLAS</t>
  </si>
  <si>
    <t>ARTO</t>
  </si>
  <si>
    <t>GRACIELA EDITH</t>
  </si>
  <si>
    <t>AYBAR</t>
  </si>
  <si>
    <t>BARRIENTOS GONZALEZ</t>
  </si>
  <si>
    <t>MARIA NORMA</t>
  </si>
  <si>
    <t>BARRIONUEVO</t>
  </si>
  <si>
    <t>MARTA INES</t>
  </si>
  <si>
    <t>BASUALDO</t>
  </si>
  <si>
    <t>JUAN DOMINGO</t>
  </si>
  <si>
    <t>JUANA LILIANA</t>
  </si>
  <si>
    <t>BELEN</t>
  </si>
  <si>
    <t>BELLOTTI</t>
  </si>
  <si>
    <t>JORGE MIGUEL</t>
  </si>
  <si>
    <t>BELOSO</t>
  </si>
  <si>
    <t>HORACIO CARLOS</t>
  </si>
  <si>
    <t>BRITO</t>
  </si>
  <si>
    <t>ROBERTO LUIS</t>
  </si>
  <si>
    <t>BUSTOS</t>
  </si>
  <si>
    <t>CAMINOS</t>
  </si>
  <si>
    <t>ALBERTO REINALDO</t>
  </si>
  <si>
    <t>CAMPOS</t>
  </si>
  <si>
    <t>ELIDA HEBE</t>
  </si>
  <si>
    <t>CARABALLO</t>
  </si>
  <si>
    <t>MARIA EVA</t>
  </si>
  <si>
    <t>CARBALLO RODRIGUEZ</t>
  </si>
  <si>
    <t>LEOPOLDO</t>
  </si>
  <si>
    <t>CARDUCCI</t>
  </si>
  <si>
    <t>ORLANDO ALBERTO</t>
  </si>
  <si>
    <t>CARREÑO</t>
  </si>
  <si>
    <t>HAYDEE ESTHER</t>
  </si>
  <si>
    <t>CARRETERO</t>
  </si>
  <si>
    <t>FERNANDO</t>
  </si>
  <si>
    <t>CASTILLO</t>
  </si>
  <si>
    <t>MARTA MARGARITA</t>
  </si>
  <si>
    <t>CENTURION</t>
  </si>
  <si>
    <t>MABEL BEATRIZ</t>
  </si>
  <si>
    <t>CONELIA</t>
  </si>
  <si>
    <t>NELIDA MARGARITA</t>
  </si>
  <si>
    <t>CORDOBA</t>
  </si>
  <si>
    <t>JOSE ANGEL</t>
  </si>
  <si>
    <t>DALLA</t>
  </si>
  <si>
    <t>VALLE ADRIANA</t>
  </si>
  <si>
    <t>DE CENSO</t>
  </si>
  <si>
    <t>JOSE</t>
  </si>
  <si>
    <t>DI PIETRO</t>
  </si>
  <si>
    <t>LUCIA</t>
  </si>
  <si>
    <t>ROSA MATILDE</t>
  </si>
  <si>
    <t>DOMINGUEZ CASTILLO</t>
  </si>
  <si>
    <t>JUANA NERY</t>
  </si>
  <si>
    <t>DONZINI</t>
  </si>
  <si>
    <t>MARIA ESTHER</t>
  </si>
  <si>
    <t>FALLIERI</t>
  </si>
  <si>
    <t>MIGUEL EUGENIO</t>
  </si>
  <si>
    <t>FARIAS</t>
  </si>
  <si>
    <t>MARTA AMELIA</t>
  </si>
  <si>
    <t>MARIO ENRIQUE</t>
  </si>
  <si>
    <t>ROSA ELVIRA</t>
  </si>
  <si>
    <t>EDUARDO NORBERTO</t>
  </si>
  <si>
    <t>JULIO EDUARDO</t>
  </si>
  <si>
    <t>FLORENCIO</t>
  </si>
  <si>
    <t xml:space="preserve">FLORES MELLA </t>
  </si>
  <si>
    <t>MANUEL JESUS</t>
  </si>
  <si>
    <t xml:space="preserve">FUENTES VALENZUELA </t>
  </si>
  <si>
    <t>FRANCISCO</t>
  </si>
  <si>
    <t>GALERA</t>
  </si>
  <si>
    <t>OSCAR HECTOR</t>
  </si>
  <si>
    <t>GALVAN</t>
  </si>
  <si>
    <t>RAUL ELVIDIO</t>
  </si>
  <si>
    <t>GARAY</t>
  </si>
  <si>
    <t>MARIA DEL VALLE</t>
  </si>
  <si>
    <t>GAUNA</t>
  </si>
  <si>
    <t>OLGA DEL CARMEN</t>
  </si>
  <si>
    <t>GONZALEZ LIDORO</t>
  </si>
  <si>
    <t>APARICIO</t>
  </si>
  <si>
    <t>GOROSITO</t>
  </si>
  <si>
    <t>YRMA MERCEDES</t>
  </si>
  <si>
    <t>GUILLEN</t>
  </si>
  <si>
    <t>ROSA MARIA</t>
  </si>
  <si>
    <t>HERRERA</t>
  </si>
  <si>
    <t>MARIA ERNESTINA</t>
  </si>
  <si>
    <t>ISLAS</t>
  </si>
  <si>
    <t>IRMA BEATRIZ</t>
  </si>
  <si>
    <t>JIMENEZ ARIAS</t>
  </si>
  <si>
    <t>GUIDO</t>
  </si>
  <si>
    <t>LAZZARINI</t>
  </si>
  <si>
    <t>TERESA ELENA DEL VALLE</t>
  </si>
  <si>
    <t>LESCANO</t>
  </si>
  <si>
    <t>ESTANISLAO MIGUEL</t>
  </si>
  <si>
    <t>MACEIRA</t>
  </si>
  <si>
    <t>CARMEN LUJAN</t>
  </si>
  <si>
    <t>MANNARINO</t>
  </si>
  <si>
    <t>VICENTE</t>
  </si>
  <si>
    <t>MANSILLA</t>
  </si>
  <si>
    <t>HUGO OSCAR</t>
  </si>
  <si>
    <t>MARCELINA ROSA</t>
  </si>
  <si>
    <t>MARCHIANE</t>
  </si>
  <si>
    <t>EDELBERTO JORGE</t>
  </si>
  <si>
    <t>MARSIGLIO</t>
  </si>
  <si>
    <t>OLGA NOEMI</t>
  </si>
  <si>
    <t>MARTINEZ</t>
  </si>
  <si>
    <t>ANIBAL JACINTO</t>
  </si>
  <si>
    <t>MAYER</t>
  </si>
  <si>
    <t>MAZZUTTI</t>
  </si>
  <si>
    <t>MEDINA</t>
  </si>
  <si>
    <t>SANTOS ESTEBAN</t>
  </si>
  <si>
    <t>MELE</t>
  </si>
  <si>
    <t>DANIEL</t>
  </si>
  <si>
    <t>MELVERN</t>
  </si>
  <si>
    <t>RAUL FEDERICO</t>
  </si>
  <si>
    <t>MESA</t>
  </si>
  <si>
    <t>JUAN RAMON</t>
  </si>
  <si>
    <t>MOGABRE</t>
  </si>
  <si>
    <t>DELIA ESTER</t>
  </si>
  <si>
    <t>MOLINERO</t>
  </si>
  <si>
    <t>MONGELLI</t>
  </si>
  <si>
    <t>ROSA</t>
  </si>
  <si>
    <t>MORENO</t>
  </si>
  <si>
    <t>CARLOS ALBERTO</t>
  </si>
  <si>
    <t>MUSICARELLI</t>
  </si>
  <si>
    <t>NAVARRO</t>
  </si>
  <si>
    <t>OBERTI</t>
  </si>
  <si>
    <t>FLORENCIO VICTOR</t>
  </si>
  <si>
    <t>OLARTICOCHEA</t>
  </si>
  <si>
    <t>HECTOR DOMINGO</t>
  </si>
  <si>
    <t>OLIVERA</t>
  </si>
  <si>
    <t>MARIA DELIA</t>
  </si>
  <si>
    <t xml:space="preserve">OUVRARD </t>
  </si>
  <si>
    <t>MABEL HAYDEE</t>
  </si>
  <si>
    <t>PAEZ</t>
  </si>
  <si>
    <t xml:space="preserve">PAGLIARELLA </t>
  </si>
  <si>
    <t>SILVIA CRISTINA</t>
  </si>
  <si>
    <t>PINTO SANCHEZ</t>
  </si>
  <si>
    <t>ERNESTO</t>
  </si>
  <si>
    <t>PRIETO</t>
  </si>
  <si>
    <t>HERIBERTO FELIX</t>
  </si>
  <si>
    <t>QUINTEROS</t>
  </si>
  <si>
    <t>CRISTINA DEL CARMEN</t>
  </si>
  <si>
    <t>RASICH</t>
  </si>
  <si>
    <t>NORMA ESTER</t>
  </si>
  <si>
    <t>REYNOSO</t>
  </si>
  <si>
    <t>NELIDA LORETA</t>
  </si>
  <si>
    <t>MARIA CRISTINA</t>
  </si>
  <si>
    <t>DELIA ALICIA</t>
  </si>
  <si>
    <t>ROMAN</t>
  </si>
  <si>
    <t>HUGO LUIS</t>
  </si>
  <si>
    <t>ESTELA RAMONA</t>
  </si>
  <si>
    <t>ROMERO LOPEZ</t>
  </si>
  <si>
    <t>FRANCISCO ANTONIO</t>
  </si>
  <si>
    <t>RONDON</t>
  </si>
  <si>
    <t>MIRTA SUSANA</t>
  </si>
  <si>
    <t>SAIZ</t>
  </si>
  <si>
    <t>EDUARDO DANIEL</t>
  </si>
  <si>
    <t>SALINAS</t>
  </si>
  <si>
    <t>NESTOR</t>
  </si>
  <si>
    <t>SIEIRA</t>
  </si>
  <si>
    <t>SORIA</t>
  </si>
  <si>
    <t>AIDA LUCIA</t>
  </si>
  <si>
    <t>SOVAK</t>
  </si>
  <si>
    <t>BLANCA ITATI</t>
  </si>
  <si>
    <t>STAFFA</t>
  </si>
  <si>
    <t>OSCAR RODOLFO MARIO</t>
  </si>
  <si>
    <t>TARANTOLA</t>
  </si>
  <si>
    <t>LUIS CESAR</t>
  </si>
  <si>
    <t>TELLO</t>
  </si>
  <si>
    <t>ROSA DEL VALLE</t>
  </si>
  <si>
    <t>ELIDA EDITH</t>
  </si>
  <si>
    <t>TOMAS</t>
  </si>
  <si>
    <t>JORGE ALBERTO</t>
  </si>
  <si>
    <t>TORO</t>
  </si>
  <si>
    <t>HECTOR JAIME</t>
  </si>
  <si>
    <t>VALENCIA</t>
  </si>
  <si>
    <t>CARLOS ENRIQUE</t>
  </si>
  <si>
    <t>ALBERTO HUGO</t>
  </si>
  <si>
    <t>VELASCO</t>
  </si>
  <si>
    <t>ENRIQUE SANTOS</t>
  </si>
  <si>
    <t>HORACIO MANUEL</t>
  </si>
  <si>
    <t>VIDELA</t>
  </si>
  <si>
    <t>VILLAGRA</t>
  </si>
  <si>
    <t>MARIA SUSANA</t>
  </si>
  <si>
    <t>ZUAZO</t>
  </si>
  <si>
    <t>NORMA LILIANA</t>
  </si>
  <si>
    <t>18000 A 25000</t>
  </si>
  <si>
    <t>25000 A 50000</t>
  </si>
  <si>
    <t>50000 A 80000</t>
  </si>
  <si>
    <t>MAS DE 80000</t>
  </si>
  <si>
    <t>SEGÚN TABLA</t>
  </si>
  <si>
    <t>RAPIDA_DOSIS POR UNIDAD</t>
  </si>
  <si>
    <t>LINAGLIPTINA</t>
  </si>
  <si>
    <t>EMPAGLIFOZINA</t>
  </si>
  <si>
    <t>DAPAGLIFOZINA</t>
  </si>
  <si>
    <t>55-64</t>
  </si>
  <si>
    <t>65-74</t>
  </si>
  <si>
    <t>75-84</t>
  </si>
  <si>
    <t>85-o mas</t>
  </si>
  <si>
    <t>Total general</t>
  </si>
  <si>
    <t>(en blanco)</t>
  </si>
  <si>
    <t>4,5-7</t>
  </si>
  <si>
    <t>7,1-9</t>
  </si>
  <si>
    <t>9,1-11</t>
  </si>
  <si>
    <t>11,1 - o mas</t>
  </si>
  <si>
    <t>no usar rango edad</t>
  </si>
  <si>
    <t>55-70</t>
  </si>
  <si>
    <t>71-75</t>
  </si>
  <si>
    <t>rango  edad</t>
  </si>
  <si>
    <t>76-95</t>
  </si>
  <si>
    <t>S/D</t>
  </si>
  <si>
    <t>RANG IMC</t>
  </si>
  <si>
    <t>NORM</t>
  </si>
  <si>
    <t>PSN</t>
  </si>
  <si>
    <t>OBESIDAD</t>
  </si>
  <si>
    <t>FUMA</t>
  </si>
  <si>
    <t>Etiquetas de fila</t>
  </si>
  <si>
    <t>Cuenta de SEXO</t>
  </si>
  <si>
    <t>Etiquetas de columna</t>
  </si>
  <si>
    <t>Rango4c A1c</t>
  </si>
  <si>
    <t>Rango A1c 3c</t>
  </si>
  <si>
    <t>menor o igual a 7,5</t>
  </si>
  <si>
    <t>7,6 a 11</t>
  </si>
  <si>
    <t>mayor a 11</t>
  </si>
  <si>
    <t>HAc1</t>
  </si>
  <si>
    <t>menor o igual 7,5</t>
  </si>
  <si>
    <t>&gt;11</t>
  </si>
  <si>
    <t>Distribución de casos según sexo y edad</t>
  </si>
  <si>
    <t>SULFOSI</t>
  </si>
  <si>
    <t>GLIPTISI</t>
  </si>
  <si>
    <t>BIGUASI</t>
  </si>
  <si>
    <t>N° DE DROGAS</t>
  </si>
  <si>
    <t>0-7,5</t>
  </si>
  <si>
    <t>7,6-10</t>
  </si>
  <si>
    <t>10,1 a mas</t>
  </si>
  <si>
    <t>con quien vievn según su sexo y rango A1c nuevo</t>
  </si>
  <si>
    <t>significa</t>
  </si>
  <si>
    <t>de las 98 mujeres un 33,67% no viven solas y tiene una hem de mas de 10,1</t>
  </si>
  <si>
    <t>del total de mujeres 98, el 13.27%vive sola</t>
  </si>
  <si>
    <t>de 110 varones el 90,91% no vivwn solos</t>
  </si>
  <si>
    <t xml:space="preserve">de 110 varones  </t>
  </si>
  <si>
    <t>el 4,56%viven solos</t>
  </si>
  <si>
    <t>de 110 varones el 3.64% vivwn solos y tieen una A2c 10,1 o mas</t>
  </si>
  <si>
    <t>61-70</t>
  </si>
  <si>
    <t>70-79</t>
  </si>
  <si>
    <t>80 o mas</t>
  </si>
  <si>
    <t xml:space="preserve">AVADT </t>
  </si>
  <si>
    <t>5 AÑOS</t>
  </si>
  <si>
    <t>60,4 MEDIA</t>
  </si>
  <si>
    <t>AÑOS</t>
  </si>
  <si>
    <t>DURACIION</t>
  </si>
  <si>
    <t>5 ,6 AÑOS</t>
  </si>
  <si>
    <t>PROMEIDO</t>
  </si>
  <si>
    <t>8 AÑOS</t>
  </si>
  <si>
    <t>OBJETIVO</t>
  </si>
  <si>
    <t>DIS A1C 1.5</t>
  </si>
  <si>
    <t>ACCORD</t>
  </si>
  <si>
    <t>ADVANCE</t>
  </si>
  <si>
    <t>ING/EGRE</t>
  </si>
  <si>
    <t>8.4-6.9</t>
  </si>
  <si>
    <t>3.5  AÑOS</t>
  </si>
  <si>
    <t>SUSP POR MORT-RAMA INTENSIVA</t>
  </si>
  <si>
    <t>UKPDS</t>
  </si>
  <si>
    <t>10 AÑOS</t>
  </si>
  <si>
    <t>DCCT-8B1</t>
  </si>
  <si>
    <t>13-39</t>
  </si>
  <si>
    <t>10 años</t>
  </si>
  <si>
    <t>vs raMAS</t>
  </si>
  <si>
    <t>54-MEDIA 4/60</t>
  </si>
  <si>
    <t>1C DE 7A 7.9%</t>
  </si>
  <si>
    <t>6.5</t>
  </si>
  <si>
    <t>7.5</t>
  </si>
  <si>
    <t>META A1C MENOR A 6</t>
  </si>
  <si>
    <t>40-70, M 60</t>
  </si>
  <si>
    <t>&gt;=7.5+ECV</t>
  </si>
  <si>
    <t xml:space="preserve">GLICLAZIDA SUSP OTROOS </t>
  </si>
  <si>
    <t>ESTUDIOS COMPARTIVOS DE A1C</t>
  </si>
  <si>
    <t xml:space="preserve"> HA1C POR SEXO Y EDAD</t>
  </si>
  <si>
    <t>valor prom mg metf</t>
  </si>
  <si>
    <t>valor por pac $ diario</t>
  </si>
  <si>
    <t>prome por mg</t>
  </si>
  <si>
    <t>prec por unidad</t>
  </si>
  <si>
    <t>costo total pac</t>
  </si>
  <si>
    <t>Sueldo MODIF</t>
  </si>
  <si>
    <t>18000a23000</t>
  </si>
  <si>
    <t>23001-46000</t>
  </si>
  <si>
    <t>46001-69000</t>
  </si>
  <si>
    <t>mas de 69000</t>
  </si>
  <si>
    <t>dólar</t>
  </si>
  <si>
    <t>Compra</t>
  </si>
  <si>
    <t>venta</t>
  </si>
  <si>
    <t>promedio</t>
  </si>
  <si>
    <t>Rango 12/12</t>
  </si>
  <si>
    <t>Menor a 7</t>
  </si>
  <si>
    <t>7a7,5</t>
  </si>
  <si>
    <t>7,6-8</t>
  </si>
  <si>
    <t>mas de 8</t>
  </si>
  <si>
    <t>en dólar sep21</t>
  </si>
  <si>
    <t>BIFASICA</t>
  </si>
  <si>
    <t>178-248</t>
  </si>
  <si>
    <t>249-495</t>
  </si>
  <si>
    <t>496-792</t>
  </si>
  <si>
    <t>&gt;793</t>
  </si>
  <si>
    <t>INGRESOS</t>
  </si>
  <si>
    <t>PESOS AL 21/9</t>
  </si>
  <si>
    <t>USD/MES (OFICIAL)</t>
  </si>
  <si>
    <t>HbA1c_INICIO</t>
  </si>
  <si>
    <t>RANGO3LUCIO</t>
  </si>
  <si>
    <t>RANGO3ADA</t>
  </si>
  <si>
    <t>&lt;7</t>
  </si>
  <si>
    <t>7,1-8</t>
  </si>
  <si>
    <t>&gt;8,1</t>
  </si>
  <si>
    <t>CÓDLUCIO3c A1c</t>
  </si>
  <si>
    <t>GLIFLOZINAS SI</t>
  </si>
  <si>
    <t>NDROGASHPO</t>
  </si>
  <si>
    <t>MAXIMO NIVEL EDUCATIVO</t>
  </si>
  <si>
    <t>INGRESO -NIVEL EDUCTIVO</t>
  </si>
  <si>
    <t>Mas de 10</t>
  </si>
  <si>
    <t>A1c</t>
  </si>
  <si>
    <t>UNIDADES DE INSULINA UTILIZADAS</t>
  </si>
  <si>
    <t>TIPOS DE INSULINAS Y ANALOGOS UTILIZADOS</t>
  </si>
  <si>
    <t>PESOS</t>
  </si>
  <si>
    <t>DÓLAR</t>
  </si>
  <si>
    <t>A1C</t>
  </si>
  <si>
    <t>R  EDAD</t>
  </si>
  <si>
    <t>%</t>
  </si>
  <si>
    <t>SI VIVE SOLO</t>
  </si>
  <si>
    <t>R. EDAD</t>
  </si>
  <si>
    <t>POBLACION POR SEXO</t>
  </si>
  <si>
    <t>POBLACION GENERAL SEGÚN SEXO Y EDAD</t>
  </si>
  <si>
    <t>PCION GRAL S/SEXO EDAD  EN %</t>
  </si>
  <si>
    <t>0-7.5</t>
  </si>
  <si>
    <t>HEMOGLOBINA GLICADA SEGÚN RANGO DE EDAD</t>
  </si>
  <si>
    <t>HGO UTILIZADOS Y COSTOS  USD BANCO NACION  SEPTIEMBRE</t>
  </si>
  <si>
    <t>COSTO X UNIDAD DE NPH-ANALOGOS</t>
  </si>
  <si>
    <t>AÑOS DBT</t>
  </si>
  <si>
    <t>EDAD DG  DBT</t>
  </si>
  <si>
    <t>N/S</t>
  </si>
  <si>
    <t xml:space="preserve">AÑO DG </t>
  </si>
  <si>
    <t>X</t>
  </si>
  <si>
    <t>POBLACION TBQ</t>
  </si>
  <si>
    <t>TBQ</t>
  </si>
  <si>
    <t>HGO GASTOS USD</t>
  </si>
  <si>
    <t>N DROGAS</t>
  </si>
  <si>
    <t xml:space="preserve">TOTAL </t>
  </si>
  <si>
    <t>COSTO</t>
  </si>
  <si>
    <t>GASTO TOTAL POR INHA1cSULINAS/ANALOGOS/HGO SEGÚN HA1c</t>
  </si>
  <si>
    <t>INSULINAS</t>
  </si>
  <si>
    <t>USD</t>
  </si>
  <si>
    <t>DROGAS</t>
  </si>
  <si>
    <t>TOTAL USD</t>
  </si>
  <si>
    <t>nivel educ.</t>
  </si>
  <si>
    <t>COSTOS USD ACORDE A TIPOS INSULINA/ANALOGOS ACORDE A A1C</t>
  </si>
  <si>
    <t>PTES</t>
  </si>
  <si>
    <t>ACT FCA</t>
  </si>
  <si>
    <t>$</t>
  </si>
  <si>
    <t xml:space="preserve">Glargina T </t>
  </si>
  <si>
    <t>SITA</t>
  </si>
  <si>
    <t>N/H</t>
  </si>
  <si>
    <t>Suma de BASAL_DOSIS</t>
  </si>
  <si>
    <t>total unidades</t>
  </si>
  <si>
    <t>USD DIA</t>
  </si>
  <si>
    <t>N°  HGO</t>
  </si>
  <si>
    <t>RANGO EDAD</t>
  </si>
  <si>
    <t>NIVEL EDUCATIVO</t>
  </si>
  <si>
    <t>A1C- NIVEL EDUCATIVO</t>
  </si>
  <si>
    <t>RANGO DE EDAD POR NIVEL EDUCATIVO</t>
  </si>
  <si>
    <t>Total  Ptes</t>
  </si>
  <si>
    <t>TIPO TTO.</t>
  </si>
  <si>
    <t>AA</t>
  </si>
  <si>
    <t>CONCUERDA</t>
  </si>
  <si>
    <t>VER P</t>
  </si>
  <si>
    <t>AF SI</t>
  </si>
  <si>
    <t>AF NO</t>
  </si>
  <si>
    <t>HA1c obj.</t>
  </si>
  <si>
    <t>HA1c no obj.</t>
  </si>
  <si>
    <t>OB SI</t>
  </si>
  <si>
    <t>OB NO</t>
  </si>
  <si>
    <t>IMC SEGÚN HA1c</t>
  </si>
  <si>
    <t>IMC. SEGÚN HA1c %</t>
  </si>
  <si>
    <t>El 22% estaba en rango, el resto no</t>
  </si>
  <si>
    <t>HA1c s/ TIPOS DE TTO</t>
  </si>
  <si>
    <t>El 72,6% tenía AA y el 78% mal control glucemia</t>
  </si>
  <si>
    <t>No hay asociación entre AF y HA1c. Sesgo caract. Población: obesidad y 25% 76-95 años</t>
  </si>
  <si>
    <t>no hay asociación entre obesidad y control glucémico</t>
  </si>
  <si>
    <t>No hubo asociación entre efectividad y AA vs NPH. Entonces a igual efectividad hay mayores costos ocn el uso de análogos en una población que e general tiene un mal control metabólico</t>
  </si>
  <si>
    <t>7,5-10</t>
  </si>
  <si>
    <t>&gt;10</t>
  </si>
  <si>
    <t>TOTAL GRAL</t>
  </si>
  <si>
    <t>TOAL PTES</t>
  </si>
  <si>
    <t>PROMDIO DE AÑOS DBT</t>
  </si>
  <si>
    <t>UI TTO S/IMC Y HA1c</t>
  </si>
  <si>
    <t>PROMEDIO DEL TTO</t>
  </si>
  <si>
    <t>CON BIFÁSICA</t>
  </si>
  <si>
    <t>SIN BIFÁSICA</t>
  </si>
  <si>
    <t>UI DETRATAMIENTO INYECTABLE SEGUN IMC Y HA1c</t>
  </si>
  <si>
    <t>COSTO PROMEDIO TOTAL DEL TTO INYECTABLE S/ IMC Y HA1c</t>
  </si>
  <si>
    <t>COSTO PROMEDIO POR PACIENTE DEL TTO INYECTABLE S/ IMC Y HA1c</t>
  </si>
  <si>
    <t>Los pacientes con obesidad generaron un gasto  en tratamiento inyectable de 1,3 USD por paciente por encima que los que tienen sobrepeso y 0,5 USD por encima del promedio</t>
  </si>
  <si>
    <t>NÚMERO DE PACIENTES SEGÚN IMC Y HA1c</t>
  </si>
  <si>
    <t>En pacientes obesos hubo un gasto total en en tratamiento inyectable 3,5 veces mayor que en pacientes con sobrepeso y 12 veces mayor que en pacientes con peso normal</t>
  </si>
  <si>
    <t>No hubo relación relación entre los valores de HA1c y el tipo de tratamiento implementado (p&gt;0,05). Poner en Discusión eficacia vscosto-efectividad</t>
  </si>
  <si>
    <t>UI S/TIPO DE TTO INYECTABLE Y HA1c</t>
  </si>
  <si>
    <t>COSTO TOTAL S/TIPO DE TTO Y ha1c</t>
  </si>
  <si>
    <t>PROMEDIO COSTO AA</t>
  </si>
  <si>
    <t>Total</t>
  </si>
  <si>
    <t>COSTO por paciente S/TIPO DE TTO Y ha1c</t>
  </si>
  <si>
    <t>n DE PACIENTES S/ ha1C Y TIPO DE TTO</t>
  </si>
  <si>
    <t>Si bien la eficacia fue la misma, el costo por paciente que utilizó AA fue 1,5 mayor que el de quienes utilizaron NPH. El uso de AA generó un gasto total 3,9 veces superior al de la NPH (Conclusión: cita de Cardiología explica cada concepto)</t>
  </si>
  <si>
    <t>INSULINAS -ANALOGOS UTILIZASO- TOMANDO COSTO VADEMECUN 9-2021 CONVERTIDO EN USD OFICIAL (poner tabla rosa)</t>
  </si>
  <si>
    <t>En My M poner que hubo 4 paciente con bifásicas. A los fines del análisis se consideraron como en tratamiento con NPH adaptando/ponderando las Ui y costos según fórmula bioquímica</t>
  </si>
  <si>
    <t>en dólar glipti</t>
  </si>
  <si>
    <t>en dólar glifo</t>
  </si>
  <si>
    <t>en dólar sulfo</t>
  </si>
  <si>
    <t>en dólar bigua</t>
  </si>
  <si>
    <t>BIGUA</t>
  </si>
  <si>
    <t>SULFO</t>
  </si>
  <si>
    <t>GLITA</t>
  </si>
  <si>
    <t>GLIFO</t>
  </si>
  <si>
    <t>NPH: COSTOS TOTALES S/HA1c DE C/HGO EN PACIENTES CON NPH</t>
  </si>
  <si>
    <t>N PACIENTES S/ TIPO DE TTO</t>
  </si>
  <si>
    <t>NPH: COSTOS TOTALES X PACIENTE S/HA1c DE C/HGO EN PACIENTES CON NPH</t>
  </si>
  <si>
    <t>AA  COSTOS TOTALES X PACIENTE S/HA1c DE C/HGO EN PACIENTES CON AA</t>
  </si>
  <si>
    <t>AA: COSTOS TOTALES X PACIENTE S/HA1c DE C/HGO EN PACIENTES CON AA</t>
  </si>
  <si>
    <t>El uso y costo de HGO por paciente es similar en ambos grupos ya que la indicación es más por protección de órganos blanco por las complicaciones d ela DM (e. Glita en HB más altas como cardio y reno protectores)</t>
  </si>
  <si>
    <t>GASTO TOTAL EN HGO (TEXTO)</t>
  </si>
  <si>
    <t>CALCULO DIARIO POR PACIENTE Y TOTAL EN ESTA MUESTRA</t>
  </si>
  <si>
    <t>TTOS TODOS JUNTOS</t>
  </si>
  <si>
    <t>NPH + HPO</t>
  </si>
  <si>
    <t>AA + HPO</t>
  </si>
  <si>
    <t>DISCUSIÓN : EN AQUELLOS CON NPH  Y ANÁLOGOS EL RENDIMIENTO/EFICACIA FUERON SIMILARES</t>
  </si>
  <si>
    <t>Recordar que en esta población qu eel manejo promedio de HB era malo</t>
  </si>
  <si>
    <t>Dosis promedio utilizada de insulina y AA por paciente (????)</t>
  </si>
  <si>
    <t>No se analizó tiempo de evolución</t>
  </si>
  <si>
    <t>DE</t>
  </si>
  <si>
    <t>PROM. EDAD</t>
  </si>
  <si>
    <t>El 53% de los pacientes fueron de sexo masculino. El promedio de edad fue similar en ambos sexos, siendo de 72,1 años (DE 5,3) en mujeres y de 72,7 años (DE 5,5) en varones</t>
  </si>
  <si>
    <t>Mujeres</t>
  </si>
  <si>
    <t>Varones</t>
  </si>
  <si>
    <t>42 (42,9%)</t>
  </si>
  <si>
    <t>30 (30,6%)</t>
  </si>
  <si>
    <t>26 (26,5%)</t>
  </si>
  <si>
    <t>98 (100%)</t>
  </si>
  <si>
    <t>41 (37,3%)</t>
  </si>
  <si>
    <t>45 (40,9%)</t>
  </si>
  <si>
    <t>24 (21,8%)</t>
  </si>
  <si>
    <t>110 (100%)</t>
  </si>
  <si>
    <t>83 (39,9%)</t>
  </si>
  <si>
    <t>75 (36,1%)</t>
  </si>
  <si>
    <t>50 (24,0%)</t>
  </si>
  <si>
    <t>208 (100%)</t>
  </si>
  <si>
    <t>La mayoría de los pacientes (39,9%) se ubicó en el rango entre 55 y 77 años</t>
  </si>
  <si>
    <t>Ver en tablas ok</t>
  </si>
  <si>
    <t>Rango etario</t>
  </si>
  <si>
    <t>Sexo</t>
  </si>
  <si>
    <t>Tabla xx: Distribución según sexo y rango etario</t>
  </si>
  <si>
    <t>El 84% de los pacientes presentaba diagnóstico de HTA</t>
  </si>
  <si>
    <t>Activ física s/rango etario</t>
  </si>
  <si>
    <t xml:space="preserve">El 32,2% realizaba actividad física, siendo este porcentaje mayor  (37,7%) en el grupo entre 55 y 70 años. </t>
  </si>
  <si>
    <t>Nivel educativo</t>
  </si>
  <si>
    <t>N</t>
  </si>
  <si>
    <t>Sin escolarización</t>
  </si>
  <si>
    <t>Tabla xx: Distribución según máximo nivel educativo alcanzado</t>
  </si>
  <si>
    <t>pasar la mínima a USD</t>
  </si>
  <si>
    <t>Para el 50% de quienes integraron la muestra su mayor nivel educativo fue hasta la escuela primaria (en muchos casos incompleta). Un 12% de los pacientes no tenía escolarización formal (Tabla ok)</t>
  </si>
  <si>
    <t>Cuenta de RANG IMC</t>
  </si>
  <si>
    <t>El 68,8% percibía un ingreso mensual igual o menor a la jubilación mínima. El 8,7% de los pacientes vivían solos</t>
  </si>
  <si>
    <t>En Septiembre la jubilación mínima fue $ 37.525?</t>
  </si>
  <si>
    <t>Rango de HA1c (%)</t>
  </si>
  <si>
    <t>Normal</t>
  </si>
  <si>
    <t>Sobrepeso</t>
  </si>
  <si>
    <t>Obesidad</t>
  </si>
  <si>
    <t>Tabla xx: Rango de HA1c según IMC</t>
  </si>
  <si>
    <t>4 (8,9%)</t>
  </si>
  <si>
    <t>8 (17,8%)</t>
  </si>
  <si>
    <t>33 (73,3%)</t>
  </si>
  <si>
    <t>45 (100%)</t>
  </si>
  <si>
    <t>6 (7,5%)</t>
  </si>
  <si>
    <t>21 (26,3%)</t>
  </si>
  <si>
    <t>53 (66,3%)</t>
  </si>
  <si>
    <t>80 (100%)</t>
  </si>
  <si>
    <t>7 (8,4%)</t>
  </si>
  <si>
    <t>23 (27,7%)</t>
  </si>
  <si>
    <t>53  (63,9%)</t>
  </si>
  <si>
    <t>83 (100%)</t>
  </si>
  <si>
    <t>17 (8,2%)</t>
  </si>
  <si>
    <t>52 (25,0%)</t>
  </si>
  <si>
    <t>139 (66,8%)</t>
  </si>
  <si>
    <t>El 66,8% presentó obesidad. Para cada rango de HA1c las proporciones de pacientes con peso normal, sobrepeso u obesidad fueron similares, por lo que no se observó una asociación significativa entre ambas variables</t>
  </si>
  <si>
    <t>Ver tablas ok</t>
  </si>
  <si>
    <t>El 66,8% presentó obesidad. Para cada rango de HA1c, las proporciones de pacientes con peso normal, sobrepeso u obesidad fueron similares, por lo que no se observó una asociación significativa entre ambas variables</t>
  </si>
  <si>
    <t>El 21,6% (n=45) tuvo una HA1c dentro de los valores adecuados. No se encontró relación entre la HA1c y los rangos etarios, ya que los porcentajes de pacientes según grupo etario tenían valores similares de este parámetro de laboratorio</t>
  </si>
  <si>
    <t>Ver tabla ok</t>
  </si>
  <si>
    <t>Rango etario (años)</t>
  </si>
  <si>
    <t>16 (35,6%)</t>
  </si>
  <si>
    <t>18 (40,0%)</t>
  </si>
  <si>
    <t>11 (24,4%)</t>
  </si>
  <si>
    <t>29 (36,3%)</t>
  </si>
  <si>
    <t>27 (33,8%)</t>
  </si>
  <si>
    <t>24 (30,0%)</t>
  </si>
  <si>
    <t>38 (45,8%)</t>
  </si>
  <si>
    <t>30 (36,1%)</t>
  </si>
  <si>
    <t>15 (18,1%)</t>
  </si>
  <si>
    <t xml:space="preserve">El 21,6% (n=45) tuvo una HA1c dentro de los valores adecuados. No se encontró relación entre la HA1c y los rangos etarios, ya que los porcentajes de pacientes según grupo etario tenían valores similares al promedio. </t>
  </si>
  <si>
    <t>Hubo 4 pacientes que utilizaron insulina bifásica: 1 con HA1c en rango normal, 2 con  HA1c y 1 con  HA1c mayor al 10%. A los fines del análisis se incluyeron como tratados con NPH ponderándolos según su composición bioquímica (75/25).</t>
  </si>
  <si>
    <t>Se indicaron correcciones con insulina rápida en el 56,1% de los pacientes tratados con NPH y en el 56,3% de los pacientes tratados con ANG</t>
  </si>
  <si>
    <t>Corregidos con insulina rápida</t>
  </si>
  <si>
    <t>Objetivo 2.1: evolución clínica de la HA1c</t>
  </si>
  <si>
    <t>Tabla xx: Rango de HA1c según edad</t>
  </si>
  <si>
    <t xml:space="preserve">El 78,4% (n=163) de los diabéticos tuvo una HA1c mayor de 7,6%. No se encontró relación entre la HA1c y los rangos etarios, ya que los porcentajes de pacientes según grupo etario tenían valores similares al promedio. </t>
  </si>
  <si>
    <t xml:space="preserve">Tampoco se encontró asociación con el pacientes con peso normal, sobrepeso u obesidad, ni con el hecho de realizar actividad física </t>
  </si>
  <si>
    <t>coef. R entre años de DBT y dosis de insulina</t>
  </si>
  <si>
    <t>HA1c</t>
  </si>
  <si>
    <t>Años de DM s/ sexo y HA1C</t>
  </si>
  <si>
    <t xml:space="preserve">Total </t>
  </si>
  <si>
    <t>coef. R entre años de HBA1c y dosis de insulina</t>
  </si>
  <si>
    <t>coef. R entre años de DBT y HA1c</t>
  </si>
  <si>
    <t>Poner falta de asociación entre insulina, hemoglobina y años de evolución (para discutir s/argumentos de Marcelo)</t>
  </si>
  <si>
    <t>No hubo correlación entre insulina, hemoglobina y años de evolución (para discutir s/argumentos de Marcelo)</t>
  </si>
  <si>
    <t>ver test medias</t>
  </si>
  <si>
    <t>El promedio de años de evolución de la enfermedad fue mayor en mujeres</t>
  </si>
  <si>
    <t>OBESIDAD SEGÚN SEXO</t>
  </si>
  <si>
    <t>ver tablas ok</t>
  </si>
  <si>
    <t>Tabla xx:IMC según sexo</t>
  </si>
  <si>
    <t>Mujeres  N (%)</t>
  </si>
  <si>
    <t>Total  N (%)</t>
  </si>
  <si>
    <t>12 (70,6%)</t>
  </si>
  <si>
    <t>5 (29,4%)</t>
  </si>
  <si>
    <t>62 (44,6%)</t>
  </si>
  <si>
    <t>77  (55,4%)</t>
  </si>
  <si>
    <t>139 (100%)</t>
  </si>
  <si>
    <t>24 (46,2%)</t>
  </si>
  <si>
    <t>28 (53,8%)</t>
  </si>
  <si>
    <t>52 (100%)</t>
  </si>
  <si>
    <t>98 (47,1%)</t>
  </si>
  <si>
    <t>110 (52,9%)</t>
  </si>
  <si>
    <t>208  (100%)</t>
  </si>
  <si>
    <t>17 (100%)</t>
  </si>
  <si>
    <t>Varones N (%)</t>
  </si>
  <si>
    <t>Los varones tuvieron una mayor prevalencia de obesidad  que las mujeres (55,4%) y el 29,4% tuvo peso normal</t>
  </si>
  <si>
    <t>Gráfico xx: Distribución de pacientes según IMC</t>
  </si>
  <si>
    <t>Cuenta de FUMA</t>
  </si>
  <si>
    <t xml:space="preserve">El 9,6% (n=20) refirió fumar al momento de realizar la encuesta y el 32% (n=67) realizaba algún tipo de actividad física. </t>
  </si>
  <si>
    <t>Más de 10</t>
  </si>
  <si>
    <t>0-7,5 %</t>
  </si>
  <si>
    <t>7,6-10 %</t>
  </si>
  <si>
    <t>Más de 10 %</t>
  </si>
  <si>
    <t>71-75 años  N (%)</t>
  </si>
  <si>
    <t>76-95 años N (%)</t>
  </si>
  <si>
    <t>0-7,5 N (%)</t>
  </si>
  <si>
    <t>7,6-10 N (%)</t>
  </si>
  <si>
    <t>Mas de 10 N (%)</t>
  </si>
  <si>
    <t>Total N (%)</t>
  </si>
  <si>
    <t>Análogos</t>
  </si>
  <si>
    <t>El 72,6% (n=151) de los pacientes se hallaba en tratamiento con análogos de insulina. Esta proporción en relación a la insulina NPH fue similar para loss 3 rangos de HA1c, por lo que no se observó asociación entre tipo de tratamiento inyectable  y control metabólico</t>
  </si>
  <si>
    <t>31 (68,9%)</t>
  </si>
  <si>
    <t>59 (73,8%)</t>
  </si>
  <si>
    <t>61 (73,5%)</t>
  </si>
  <si>
    <t>151 (72,6%)</t>
  </si>
  <si>
    <t>14 (31,1%)</t>
  </si>
  <si>
    <t>22 (26,5%)</t>
  </si>
  <si>
    <t>57 (27,4%)</t>
  </si>
  <si>
    <t>Tipo de tratamiento inyectable</t>
  </si>
  <si>
    <t xml:space="preserve">Tabla xx: HA1c según tipo de tratamiento inyectable  
</t>
  </si>
  <si>
    <t>Tabla xx: HA1c según análogos de insulina utilizados</t>
  </si>
  <si>
    <t>Degludec</t>
  </si>
  <si>
    <t>Detemir</t>
  </si>
  <si>
    <t>Glargina</t>
  </si>
  <si>
    <t>60-70 años  N (%)</t>
  </si>
  <si>
    <t>60-70</t>
  </si>
  <si>
    <t>situacion conyugal</t>
  </si>
  <si>
    <t>viene acompañado (si1)</t>
  </si>
  <si>
    <t>TAS</t>
  </si>
  <si>
    <t>TAD</t>
  </si>
  <si>
    <t>perimetro abdominal</t>
  </si>
  <si>
    <t>viudo</t>
  </si>
  <si>
    <t>soltero</t>
  </si>
  <si>
    <t>casado/concubinato</t>
  </si>
  <si>
    <t>divorciado</t>
  </si>
  <si>
    <t>BRANDO</t>
  </si>
  <si>
    <t>acv si 1</t>
  </si>
  <si>
    <t>enf coronaria si1</t>
  </si>
  <si>
    <t>GRUPO</t>
  </si>
  <si>
    <t>ID</t>
  </si>
  <si>
    <t>fecha inicio</t>
  </si>
  <si>
    <t>HbAc1_inicial</t>
  </si>
  <si>
    <t>FECHA FIN</t>
  </si>
  <si>
    <t>HbAc1_final</t>
  </si>
  <si>
    <t>Fecha final duplicado</t>
  </si>
  <si>
    <t>HbAc1_final por duplicado</t>
  </si>
  <si>
    <t>HbAc1 previa</t>
  </si>
  <si>
    <t>N_BENEFICIO</t>
  </si>
  <si>
    <t>C_GRADO_PAREN</t>
  </si>
  <si>
    <t>D_BENE_APE_NOM</t>
  </si>
  <si>
    <t>DB3</t>
  </si>
  <si>
    <t>ACROGLIANO MARIO ALBERTO</t>
  </si>
  <si>
    <t>DB12</t>
  </si>
  <si>
    <t>x</t>
  </si>
  <si>
    <t>ALDERETE SILVIA DEL CARMEN</t>
  </si>
  <si>
    <t>DB14</t>
  </si>
  <si>
    <t>ALEGRIA FARIAS LUIS JORGE</t>
  </si>
  <si>
    <t>DB16</t>
  </si>
  <si>
    <t>ALMIRON HECTOR OSCAR</t>
  </si>
  <si>
    <t>DB21</t>
  </si>
  <si>
    <t>AMADO RICARDO HORACIO</t>
  </si>
  <si>
    <t>DB30</t>
  </si>
  <si>
    <t>8.1</t>
  </si>
  <si>
    <t>ARAUJO MARIA GRACIELA</t>
  </si>
  <si>
    <t>DB37</t>
  </si>
  <si>
    <t>ARRIAGADA DIAZ SERGIO NICOLAS</t>
  </si>
  <si>
    <t>DB43</t>
  </si>
  <si>
    <t>AYBAR JUAN CARLOS</t>
  </si>
  <si>
    <t>DB53</t>
  </si>
  <si>
    <t>BARRIONUEVO MARTA INES</t>
  </si>
  <si>
    <t>DB56</t>
  </si>
  <si>
    <t>BASUALDO JUAN DOMINGO</t>
  </si>
  <si>
    <t>DB61</t>
  </si>
  <si>
    <t>BELEN MIGUEL ANGEL</t>
  </si>
  <si>
    <t>DB73</t>
  </si>
  <si>
    <t>BUSTOS MARIA ESTER</t>
  </si>
  <si>
    <t>DB84</t>
  </si>
  <si>
    <t>CAMPOS ELIDA HEBE</t>
  </si>
  <si>
    <t>DB88</t>
  </si>
  <si>
    <t>CARABALLO MARIA EVA</t>
  </si>
  <si>
    <t>DB89</t>
  </si>
  <si>
    <t>CARBALLO RODRIGUEZ LEOPOLDO</t>
  </si>
  <si>
    <t>DB92</t>
  </si>
  <si>
    <t>CARRERA JOSE AURELIO</t>
  </si>
  <si>
    <t>DB102</t>
  </si>
  <si>
    <t>CENTURION MABEL BEATRIZ</t>
  </si>
  <si>
    <t>DB105</t>
  </si>
  <si>
    <t>CHANINE MIGUEL ANGEL</t>
  </si>
  <si>
    <t>DB111</t>
  </si>
  <si>
    <t>CORDOBA JOSE ANGEL</t>
  </si>
  <si>
    <t>DB125</t>
  </si>
  <si>
    <t>DALLA VALLE ADRIANA</t>
  </si>
  <si>
    <t>DB129</t>
  </si>
  <si>
    <t>DEL RIO JUAN CARLOS</t>
  </si>
  <si>
    <t>DB135</t>
  </si>
  <si>
    <t>DIAZ ROSA MATILDE</t>
  </si>
  <si>
    <t>DB141</t>
  </si>
  <si>
    <t>DOMINGUEZ CASTILLO JUANA NERY</t>
  </si>
  <si>
    <t>DB144</t>
  </si>
  <si>
    <t>&lt;</t>
  </si>
  <si>
    <t>ECHAVARRIA ELSA SUSANA</t>
  </si>
  <si>
    <t>DB150</t>
  </si>
  <si>
    <t>FASCE RICARDO OSCAR</t>
  </si>
  <si>
    <t>DB157</t>
  </si>
  <si>
    <t>FIEGO MARIA ESTER</t>
  </si>
  <si>
    <t>DB168</t>
  </si>
  <si>
    <t>FUENTES AVILA JAIME</t>
  </si>
  <si>
    <t>DB169</t>
  </si>
  <si>
    <t>GALINDEZ ZULEMA NOEMI</t>
  </si>
  <si>
    <t>DB173</t>
  </si>
  <si>
    <t>GARCIA JUANA ROSA</t>
  </si>
  <si>
    <t>DB174</t>
  </si>
  <si>
    <t>GARCIA RICARDO FELICIANO</t>
  </si>
  <si>
    <t>DB177</t>
  </si>
  <si>
    <t>GAUNA OLGA DEL CARMEN</t>
  </si>
  <si>
    <t>DB185</t>
  </si>
  <si>
    <t>GONZALEZ CRESCENCIA</t>
  </si>
  <si>
    <t>DB195</t>
  </si>
  <si>
    <t>GUTIERREZ MANUEL ROBERTO</t>
  </si>
  <si>
    <t>DB201</t>
  </si>
  <si>
    <t>HERRERA HERRERA EDUARDO</t>
  </si>
  <si>
    <t>DB202</t>
  </si>
  <si>
    <t>HERRERA MARIA ERNESTINA</t>
  </si>
  <si>
    <t>DB203</t>
  </si>
  <si>
    <t>HUERTAS IRIS NANCY</t>
  </si>
  <si>
    <t>DB211</t>
  </si>
  <si>
    <t>JIMENEZ BAUDILIA PASCACIA</t>
  </si>
  <si>
    <t>DB215</t>
  </si>
  <si>
    <t>JUAREZ ABEL ANTONIO</t>
  </si>
  <si>
    <t>DB218</t>
  </si>
  <si>
    <t>JUAREZ MARIO OSCAR</t>
  </si>
  <si>
    <t>DB220</t>
  </si>
  <si>
    <t>JUAREZ MAURO FERNANDO</t>
  </si>
  <si>
    <t>DB222</t>
  </si>
  <si>
    <t>JUNCOS GRISELDA INES</t>
  </si>
  <si>
    <t>DB226</t>
  </si>
  <si>
    <t>LAZZARINI TERESA ELENA DEL VALLE</t>
  </si>
  <si>
    <t>DB230</t>
  </si>
  <si>
    <t>LEIRO GARCIA RAIMUNDO</t>
  </si>
  <si>
    <t>DB231</t>
  </si>
  <si>
    <t>LEMA GLADIS</t>
  </si>
  <si>
    <t>DB234</t>
  </si>
  <si>
    <t>LESCANO ESTANISLAO MIGUEL</t>
  </si>
  <si>
    <t>DB242</t>
  </si>
  <si>
    <t>LORENZINI SILVIO JOSE</t>
  </si>
  <si>
    <t>DB243</t>
  </si>
  <si>
    <t>LORENZO MARTHA SUSANA</t>
  </si>
  <si>
    <t>DB258</t>
  </si>
  <si>
    <t>MALONE OMAR DANIEL</t>
  </si>
  <si>
    <t>DB259</t>
  </si>
  <si>
    <t>MANNARINO VICENTE</t>
  </si>
  <si>
    <t>DB261</t>
  </si>
  <si>
    <t>MANSILLA HUGO OSCAR</t>
  </si>
  <si>
    <t>DB262</t>
  </si>
  <si>
    <t>MANSILLA MARCELINA ROSA</t>
  </si>
  <si>
    <t>DB265</t>
  </si>
  <si>
    <t>MARCHIANE EDELBERTO JORGE</t>
  </si>
  <si>
    <t>DB268</t>
  </si>
  <si>
    <t>MARSIGLIO OLGA NOEMI</t>
  </si>
  <si>
    <t>DB269</t>
  </si>
  <si>
    <t>MARTINENA OMAR ANGEL</t>
  </si>
  <si>
    <t>DB270</t>
  </si>
  <si>
    <t>MARTINEZ ANIBAL JACINTO</t>
  </si>
  <si>
    <t>DB276</t>
  </si>
  <si>
    <t>MAYER MARIA ESTER</t>
  </si>
  <si>
    <t>DB280</t>
  </si>
  <si>
    <t>MELVERN RAUL FEDERICO</t>
  </si>
  <si>
    <t>DB286</t>
  </si>
  <si>
    <t>MESA JUAN RAMON</t>
  </si>
  <si>
    <t>DB288</t>
  </si>
  <si>
    <t>MIGUEL OSCAR</t>
  </si>
  <si>
    <t>DB293</t>
  </si>
  <si>
    <t>MOLINERO JOSE LUIS</t>
  </si>
  <si>
    <t>DB294</t>
  </si>
  <si>
    <t>MONGELLI ROSA</t>
  </si>
  <si>
    <t>DB305</t>
  </si>
  <si>
    <t>MUSICARELLI FRANCO</t>
  </si>
  <si>
    <t>DB308</t>
  </si>
  <si>
    <t>NAVARRO MARIA DEL CARMEN</t>
  </si>
  <si>
    <t>DB320</t>
  </si>
  <si>
    <t>PAGLIARELLA SILVIA CRISTINA</t>
  </si>
  <si>
    <t>DB327</t>
  </si>
  <si>
    <t>PEDERNERA ELBA ALICIA</t>
  </si>
  <si>
    <t>DB331</t>
  </si>
  <si>
    <t>PENDONES FERNANDEZ CANDIDA</t>
  </si>
  <si>
    <t>DB333</t>
  </si>
  <si>
    <t>PEÑALVA JUAN CARLOS</t>
  </si>
  <si>
    <t>DB334</t>
  </si>
  <si>
    <t>PEREZ AGUSTIN</t>
  </si>
  <si>
    <t>DB343</t>
  </si>
  <si>
    <t>PINTO SANCHEZ ERNESTO</t>
  </si>
  <si>
    <t>DB346</t>
  </si>
  <si>
    <t>PRIETO HERIBERTO</t>
  </si>
  <si>
    <t>DB347</t>
  </si>
  <si>
    <t>PUCHI VALERIO ROSA VERONICA</t>
  </si>
  <si>
    <t>DB348</t>
  </si>
  <si>
    <t>QUINTEROS CRISTINA DEL CARMEN</t>
  </si>
  <si>
    <t>DB350</t>
  </si>
  <si>
    <t>RAMALLO ALBERTO MARIA PIO</t>
  </si>
  <si>
    <t>DB353</t>
  </si>
  <si>
    <t>RASICH NORMA ESTER</t>
  </si>
  <si>
    <t>DB355</t>
  </si>
  <si>
    <t>REINOZO NELIDA DEL VALLE</t>
  </si>
  <si>
    <t>DB358</t>
  </si>
  <si>
    <t>REYNOSO NELIDA LORETA</t>
  </si>
  <si>
    <t>DB359</t>
  </si>
  <si>
    <t>RICARDO ABEL</t>
  </si>
  <si>
    <t>DB367</t>
  </si>
  <si>
    <t>RODRIGUEZ DELIA ALICIA</t>
  </si>
  <si>
    <t>DB369</t>
  </si>
  <si>
    <t>RODRIGUEZ MARIA CRISTINA</t>
  </si>
  <si>
    <t>DB377</t>
  </si>
  <si>
    <t>ROMERO ANA</t>
  </si>
  <si>
    <t>DB379</t>
  </si>
  <si>
    <t>ROMERO ESTELA RAMONA</t>
  </si>
  <si>
    <t>DB381</t>
  </si>
  <si>
    <t>ROMERO LOPEZ FRANCISCO ANTONIO</t>
  </si>
  <si>
    <t>DB382</t>
  </si>
  <si>
    <t>RONDON MIRTA SUSANA</t>
  </si>
  <si>
    <t>DB390</t>
  </si>
  <si>
    <t>SAAVEDRA OMAR ALBERTO</t>
  </si>
  <si>
    <t>DB393</t>
  </si>
  <si>
    <t>SAIZ EDUARDO DANIEL</t>
  </si>
  <si>
    <t>DB398</t>
  </si>
  <si>
    <t>SALINAS NESTOR</t>
  </si>
  <si>
    <t>DB399</t>
  </si>
  <si>
    <t>SALVADOR FRANCISCO EDUARDO</t>
  </si>
  <si>
    <t>DB419</t>
  </si>
  <si>
    <t>SIEIRA JOSE</t>
  </si>
  <si>
    <t>DB425</t>
  </si>
  <si>
    <t>SOVAK BLANCA ITATI</t>
  </si>
  <si>
    <t>DB431</t>
  </si>
  <si>
    <t>TARANTOLA LUIS CESAR</t>
  </si>
  <si>
    <t>DB432</t>
  </si>
  <si>
    <t>TELLO ELIDA EDITH</t>
  </si>
  <si>
    <t>DB433</t>
  </si>
  <si>
    <t>TELLO ROSA DEL VALLE</t>
  </si>
  <si>
    <t>DB436</t>
  </si>
  <si>
    <t>TOMAS JORGE ALBERTO</t>
  </si>
  <si>
    <t>DB439</t>
  </si>
  <si>
    <t>TORO HECTOR JAIME</t>
  </si>
  <si>
    <t>DB442</t>
  </si>
  <si>
    <t>TORRES ELDA JUANA</t>
  </si>
  <si>
    <t>DB449</t>
  </si>
  <si>
    <t>VALENCIA ALBERTO HUGO</t>
  </si>
  <si>
    <t>DB450</t>
  </si>
  <si>
    <t>VALENCIA CARLOS ENRIQUE</t>
  </si>
  <si>
    <t>DB459</t>
  </si>
  <si>
    <t>7,40?????</t>
  </si>
  <si>
    <t>VIDAL JUAN JOSE</t>
  </si>
  <si>
    <t>DB460</t>
  </si>
  <si>
    <t>VIDELA MARIA DEL CARMEN</t>
  </si>
  <si>
    <t>DB461</t>
  </si>
  <si>
    <t>VILLAGRA MARIA SUSANA</t>
  </si>
  <si>
    <t>DB473</t>
  </si>
  <si>
    <t>ZUAZO NORMA LILIANA</t>
  </si>
  <si>
    <t>DB474</t>
  </si>
  <si>
    <t>ZUMINO MIRTA MARIA ANTONIA</t>
  </si>
  <si>
    <t>DB478</t>
  </si>
  <si>
    <t>ACOSTA MONTES DE OCA ARIDES LUIS</t>
  </si>
  <si>
    <t>DB485</t>
  </si>
  <si>
    <t>AGUERO ALBERTO RODOLFO</t>
  </si>
  <si>
    <t>DB507</t>
  </si>
  <si>
    <t>ALONSO DORINDA</t>
  </si>
  <si>
    <t>DB510</t>
  </si>
  <si>
    <t>AMCHITE RICARDO MIGUEL</t>
  </si>
  <si>
    <t>DB514</t>
  </si>
  <si>
    <t>ANGELINI DARIO ENRIQUE</t>
  </si>
  <si>
    <t>DB526</t>
  </si>
  <si>
    <t>ARTO GRACIELA EDITH</t>
  </si>
  <si>
    <t>DB544</t>
  </si>
  <si>
    <t>BARRIENTOS GONZALEZ MARIA NORMA</t>
  </si>
  <si>
    <t>DB548</t>
  </si>
  <si>
    <t>BASUALDO JUANA LILIANA</t>
  </si>
  <si>
    <t>DB551</t>
  </si>
  <si>
    <t>BELLOTTI JORGE MIGUEL</t>
  </si>
  <si>
    <t>DB553</t>
  </si>
  <si>
    <t>BELOSO HORACIO CARLOS</t>
  </si>
  <si>
    <t>DB563</t>
  </si>
  <si>
    <t>BOCCIO OTELO</t>
  </si>
  <si>
    <t>DB570</t>
  </si>
  <si>
    <t>BRITO JUAN DOMINGO</t>
  </si>
  <si>
    <t>DB571</t>
  </si>
  <si>
    <t>BRONDO ROBERTO LUIS</t>
  </si>
  <si>
    <t>DB587</t>
  </si>
  <si>
    <t>CALLERO MIRTA NOEMI</t>
  </si>
  <si>
    <t>DB588</t>
  </si>
  <si>
    <t>CAMINOS ALBERTO REINALDO</t>
  </si>
  <si>
    <t>DB597</t>
  </si>
  <si>
    <t>CARDUCCI ORLANDO ALBERTO</t>
  </si>
  <si>
    <t>DB601</t>
  </si>
  <si>
    <t>CARREÑO HAYDEE ESTHER</t>
  </si>
  <si>
    <t>DB602</t>
  </si>
  <si>
    <t>CARRETERO FERNANDO</t>
  </si>
  <si>
    <t>DB612</t>
  </si>
  <si>
    <t>CASTILLO MARTA MARGARITA</t>
  </si>
  <si>
    <t>DB636</t>
  </si>
  <si>
    <t>CONELIA NELIDA MARGARITA</t>
  </si>
  <si>
    <t>DB648</t>
  </si>
  <si>
    <t>COSENTINO MARTA MABEL</t>
  </si>
  <si>
    <t>DB663</t>
  </si>
  <si>
    <t>DAMBOREARENA IRMA NOEMI</t>
  </si>
  <si>
    <t>DB665</t>
  </si>
  <si>
    <t>DE CENSO JOSE</t>
  </si>
  <si>
    <t>DB669</t>
  </si>
  <si>
    <t>DE MENDONCA PINA JORGE</t>
  </si>
  <si>
    <t>DB681</t>
  </si>
  <si>
    <t>DI GLORIA NORA EDITH</t>
  </si>
  <si>
    <t>DB683</t>
  </si>
  <si>
    <t>DI PIETRO LUCIA</t>
  </si>
  <si>
    <t>DB687</t>
  </si>
  <si>
    <t>DIAZ NELIDA ESTER</t>
  </si>
  <si>
    <t>DB692</t>
  </si>
  <si>
    <t>DONZINI MARIA ESTHER</t>
  </si>
  <si>
    <t>DB693</t>
  </si>
  <si>
    <t>DUNEZAT HORACIO ENRIQUE</t>
  </si>
  <si>
    <t>DB703</t>
  </si>
  <si>
    <t>ESPINDOLA TRANCITO</t>
  </si>
  <si>
    <t>DB711</t>
  </si>
  <si>
    <t>FALLIERI MIGUEL EUGENIO</t>
  </si>
  <si>
    <t>DB712</t>
  </si>
  <si>
    <t>FARIAS MARTA AMELIA</t>
  </si>
  <si>
    <t>DB717</t>
  </si>
  <si>
    <t>FERNANDEZ EDUARDO NORBERTO</t>
  </si>
  <si>
    <t>DB719</t>
  </si>
  <si>
    <t>FERNANDEZ MARIA DEL CARMEN</t>
  </si>
  <si>
    <t>DB720</t>
  </si>
  <si>
    <t>FERNANDEZ MARIO ENRIQUE</t>
  </si>
  <si>
    <t>DB722</t>
  </si>
  <si>
    <t>FERNANDEZ ROSA ELVIRA</t>
  </si>
  <si>
    <t>DB725</t>
  </si>
  <si>
    <t>FIEGO JULIO EDUARDO</t>
  </si>
  <si>
    <t>DB731</t>
  </si>
  <si>
    <t>FLORENCIO JUAN DOMINGO</t>
  </si>
  <si>
    <t>DB732</t>
  </si>
  <si>
    <t>FLORES MELLA MANUEL JESUS</t>
  </si>
  <si>
    <t>DB734</t>
  </si>
  <si>
    <t>FRANCIA HUGO ALBERTO</t>
  </si>
  <si>
    <t>DB737</t>
  </si>
  <si>
    <t>FUENTES VALENZUELA FRANCISCO</t>
  </si>
  <si>
    <t>DB740</t>
  </si>
  <si>
    <t>GALERA OSCAR HECTOR</t>
  </si>
  <si>
    <t>DB742</t>
  </si>
  <si>
    <t>GALVAN RAUL ELVIDIO</t>
  </si>
  <si>
    <t>DB745</t>
  </si>
  <si>
    <t>GARAY MARIA DEL VALLE</t>
  </si>
  <si>
    <t>DB747</t>
  </si>
  <si>
    <t>GARCIA ANA</t>
  </si>
  <si>
    <t>DB748</t>
  </si>
  <si>
    <t>GARCIA BLANCA HAIDEE</t>
  </si>
  <si>
    <t>DB750</t>
  </si>
  <si>
    <t>GARNICA ISABEL AMANDA</t>
  </si>
  <si>
    <t>DB754</t>
  </si>
  <si>
    <t>GENES EDUARDO CARLOS</t>
  </si>
  <si>
    <t>DB762</t>
  </si>
  <si>
    <t>GOMEZ ABELARDO ISAAC</t>
  </si>
  <si>
    <t>DB776</t>
  </si>
  <si>
    <t>GONZALEZ IRMA MABEL</t>
  </si>
  <si>
    <t>DB777</t>
  </si>
  <si>
    <t>GONZALEZ LIDORO APARICIO</t>
  </si>
  <si>
    <t>DB781</t>
  </si>
  <si>
    <t>GONZALEZ POLICAR</t>
  </si>
  <si>
    <t>DB787</t>
  </si>
  <si>
    <t>GOROSITO YRMA MERCEDES</t>
  </si>
  <si>
    <t>DB788</t>
  </si>
  <si>
    <t>GORRIA MARIA ISABEL</t>
  </si>
  <si>
    <t>DB790</t>
  </si>
  <si>
    <t>GRAZIANI MARTA</t>
  </si>
  <si>
    <t>DB792</t>
  </si>
  <si>
    <t>GUILLEN ROSA MARIA</t>
  </si>
  <si>
    <t>DB809</t>
  </si>
  <si>
    <t>IRIBARNE DANIEL ALFREDO</t>
  </si>
  <si>
    <t>DB811</t>
  </si>
  <si>
    <t>ISLAS IRMA BEATRIZ</t>
  </si>
  <si>
    <t>DB816</t>
  </si>
  <si>
    <t>JIMENEZ ARIAS GUIDO</t>
  </si>
  <si>
    <t>DB835</t>
  </si>
  <si>
    <t>LIENDRO YOLANDA ESTER</t>
  </si>
  <si>
    <t>DB844</t>
  </si>
  <si>
    <t>LOMBARDO CAMILO NAZARENO</t>
  </si>
  <si>
    <t>DB848</t>
  </si>
  <si>
    <t>LUCIANO HUGO RAUL</t>
  </si>
  <si>
    <t>DB852</t>
  </si>
  <si>
    <t>MACEIRA CARMEN LUJAN</t>
  </si>
  <si>
    <t>DB868</t>
  </si>
  <si>
    <t>MARCHESINI OMAR DANIEL</t>
  </si>
  <si>
    <t>DB872</t>
  </si>
  <si>
    <t>MARINO ROBERTO ANIBAL</t>
  </si>
  <si>
    <t>DB881</t>
  </si>
  <si>
    <t>MASSARI FRANCO</t>
  </si>
  <si>
    <t>DB883</t>
  </si>
  <si>
    <t>MAZZUTTI ANA MARIA</t>
  </si>
  <si>
    <t>DB885</t>
  </si>
  <si>
    <t>MEDINA SANTOS ESTEBAN</t>
  </si>
  <si>
    <t>DB887</t>
  </si>
  <si>
    <t>MELE DANIEL</t>
  </si>
  <si>
    <t>DB888</t>
  </si>
  <si>
    <t>MELO DE LA CRUZ</t>
  </si>
  <si>
    <t>DB896</t>
  </si>
  <si>
    <t>MOGABRE DELIA ESTER</t>
  </si>
  <si>
    <t>DB907</t>
  </si>
  <si>
    <t>MORALES MIGUEL ANTONIO</t>
  </si>
  <si>
    <t>DB909</t>
  </si>
  <si>
    <t>MORAN GRACIELA MARIA</t>
  </si>
  <si>
    <t>DB914</t>
  </si>
  <si>
    <t>MORENO CARLOS ALBERTO</t>
  </si>
  <si>
    <t>DB929</t>
  </si>
  <si>
    <t>OLARTICOCHEA HECTOR DOMINGO</t>
  </si>
  <si>
    <t>DB933</t>
  </si>
  <si>
    <t>OLIVERA MARIA DELIA</t>
  </si>
  <si>
    <t>DB945</t>
  </si>
  <si>
    <t>OUVRARD MABEL HAYDEE</t>
  </si>
  <si>
    <t>DB947</t>
  </si>
  <si>
    <t>OVIEDO ANA MARIA</t>
  </si>
  <si>
    <t>DB951</t>
  </si>
  <si>
    <t>PAEZ JUAN CARLOS</t>
  </si>
  <si>
    <t>DB967</t>
  </si>
  <si>
    <t>PEREZ ROBERTO HUGO</t>
  </si>
  <si>
    <t>DB981</t>
  </si>
  <si>
    <t>PORZIO PASCUAL JOSE</t>
  </si>
  <si>
    <t>DB998</t>
  </si>
  <si>
    <t>REQUIERE STELLA MARIS</t>
  </si>
  <si>
    <t>DB1006</t>
  </si>
  <si>
    <t>ROBERTS OLGA AURORA</t>
  </si>
  <si>
    <t>DB1013</t>
  </si>
  <si>
    <t>RODRIGUEZ TERESA MARGARITA</t>
  </si>
  <si>
    <t>DB1023</t>
  </si>
  <si>
    <t>ROLON FRANCISCO ESPERANZA</t>
  </si>
  <si>
    <t>DB1077</t>
  </si>
  <si>
    <t>SORIA AIDA LUCIA</t>
  </si>
  <si>
    <t>DB1080</t>
  </si>
  <si>
    <t>SOSA MARIA ANGELICA</t>
  </si>
  <si>
    <t>DB1081</t>
  </si>
  <si>
    <t>SOSA MARIA GREGORIA</t>
  </si>
  <si>
    <t>DB1086</t>
  </si>
  <si>
    <t>SPINA LILIANA ISABEL</t>
  </si>
  <si>
    <t>DB1087</t>
  </si>
  <si>
    <t>STAFFA OSCAR RODOLFO MARIO</t>
  </si>
  <si>
    <t>DB1088</t>
  </si>
  <si>
    <t>STAHL NORBERTO CARLOS</t>
  </si>
  <si>
    <t>DB1091</t>
  </si>
  <si>
    <t>SUAREZ JUAN CARLOS</t>
  </si>
  <si>
    <t>DB1104</t>
  </si>
  <si>
    <t>TRACNEC JUAN CARLOS</t>
  </si>
  <si>
    <t>DB1116</t>
  </si>
  <si>
    <t>VELTRI CARLOS EUGENIO</t>
  </si>
  <si>
    <t>DB1118</t>
  </si>
  <si>
    <t>VENTURA EDUARDO GENARO</t>
  </si>
  <si>
    <t>DB1120</t>
  </si>
  <si>
    <t>VERA CLEMENCIA CATALINA</t>
  </si>
  <si>
    <t>DB1123</t>
  </si>
  <si>
    <t>VICARIO MARIA DEL CARMEN</t>
  </si>
  <si>
    <t>DB1125</t>
  </si>
  <si>
    <t>SI PLANILLA</t>
  </si>
  <si>
    <t>VIDAL HORACIO MANUEL</t>
  </si>
  <si>
    <t>DB1136</t>
  </si>
  <si>
    <t>WARD MYRIAM STELLA</t>
  </si>
  <si>
    <t>DB1140</t>
  </si>
  <si>
    <t>ZALAZAR CLEMENTINA LIDIA</t>
  </si>
  <si>
    <t>DB1141</t>
  </si>
  <si>
    <t>ZAMPARO MARTA GRACIELA</t>
  </si>
  <si>
    <t>DB1146</t>
  </si>
  <si>
    <t>OBERTI FLORENCIO VICTOR</t>
  </si>
  <si>
    <t>DB1147</t>
  </si>
  <si>
    <t>ARREGUI JOSE LUIS</t>
  </si>
  <si>
    <t>DB1148</t>
  </si>
  <si>
    <t>SILVA NELIDA</t>
  </si>
  <si>
    <t>DB1149</t>
  </si>
  <si>
    <t>PEREYRA HUMBERTO ERNESTO</t>
  </si>
  <si>
    <t>DB1150</t>
  </si>
  <si>
    <t>VELAZCO ENRIQUE SANTOS</t>
  </si>
  <si>
    <t>DB118</t>
  </si>
  <si>
    <t>COSENTINO JOSE LUCIANO</t>
  </si>
  <si>
    <t>actividad fisica</t>
  </si>
  <si>
    <t>orden</t>
  </si>
  <si>
    <t>dni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</si>
</sst>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 #,##0.00_-;\-&quot;$&quot;\ * #,##0.00_-;_-&quot;$&quot;\ * &quot;-&quot;??_-;_-@_-"/>
    <numFmt numFmtId="164" formatCode="0.0"/>
    <numFmt numFmtId="165" formatCode="d/mm/yyyy"/>
    <numFmt numFmtId="166" formatCode="0.0%"/>
    <numFmt numFmtId="167" formatCode="_-[$$-2C0A]\ * #,##0.00_-;\-[$$-2C0A]\ * #,##0.00_-;_-[$$-2C0A]\ * &quot;-&quot;??_-;_-@_-"/>
    <numFmt numFmtId="168" formatCode="[$USD]\ #,##0.00"/>
    <numFmt numFmtId="169" formatCode="0.000"/>
  </numFmts>
  <fonts count="29" x14ac:knownFonts="1">
    <font>
      <sz val="10"/>
      <color rgb="FF000000"/>
      <name val="Arial"/>
    </font>
    <font>
      <sz val="11"/>
      <color theme="1"/>
      <name val="Calibri"/>
      <family val="2"/>
    </font>
    <font>
      <sz val="10"/>
      <color rgb="FF000000"/>
      <name val="Arial"/>
      <family val="2"/>
    </font>
    <font>
      <sz val="11"/>
      <name val="Calibri"/>
      <family val="2"/>
      <scheme val="major"/>
    </font>
    <font>
      <b/>
      <sz val="11"/>
      <color theme="1"/>
      <name val="Calibri"/>
      <family val="2"/>
    </font>
    <font>
      <b/>
      <sz val="11"/>
      <color theme="1"/>
      <name val="Calibri"/>
      <family val="2"/>
      <scheme val="major"/>
    </font>
    <font>
      <b/>
      <sz val="11"/>
      <color theme="1"/>
      <name val="Arial"/>
      <family val="2"/>
    </font>
    <font>
      <sz val="11"/>
      <color theme="1"/>
      <name val="Calibri"/>
      <family val="2"/>
      <scheme val="major"/>
    </font>
    <font>
      <sz val="11"/>
      <color theme="1"/>
      <name val="Arial"/>
      <family val="2"/>
    </font>
    <font>
      <u/>
      <sz val="11"/>
      <color theme="1"/>
      <name val="Calibri"/>
      <family val="2"/>
    </font>
    <font>
      <b/>
      <sz val="11"/>
      <color rgb="FFFF0000"/>
      <name val="Calibri"/>
      <family val="2"/>
      <scheme val="major"/>
    </font>
    <font>
      <sz val="11"/>
      <color rgb="FFFF0000"/>
      <name val="Calibri"/>
      <family val="2"/>
      <scheme val="major"/>
    </font>
    <font>
      <sz val="11"/>
      <color rgb="FFFF0000"/>
      <name val="Calibri"/>
      <family val="2"/>
    </font>
    <font>
      <sz val="11"/>
      <color rgb="FFFF0000"/>
      <name val="Arial"/>
      <family val="2"/>
    </font>
    <font>
      <b/>
      <sz val="11"/>
      <color theme="1" tint="0.499984740745262"/>
      <name val="Calibri"/>
      <family val="2"/>
      <scheme val="major"/>
    </font>
    <font>
      <sz val="11"/>
      <color theme="1" tint="0.499984740745262"/>
      <name val="Calibri"/>
      <family val="2"/>
      <scheme val="major"/>
    </font>
    <font>
      <sz val="10"/>
      <color rgb="FF000000"/>
      <name val="Arial"/>
      <family val="2"/>
    </font>
    <font>
      <b/>
      <sz val="10"/>
      <color theme="1"/>
      <name val="Arial"/>
      <family val="2"/>
    </font>
    <font>
      <b/>
      <sz val="10"/>
      <color rgb="FF000000"/>
      <name val="Arial"/>
      <family val="2"/>
    </font>
    <font>
      <sz val="10"/>
      <color theme="1"/>
      <name val="Arial"/>
      <family val="2"/>
    </font>
    <font>
      <b/>
      <sz val="11"/>
      <color rgb="FF000000"/>
      <name val="Arial"/>
      <family val="2"/>
    </font>
    <font>
      <b/>
      <sz val="10"/>
      <color theme="1"/>
      <name val="Arial"/>
      <family val="2"/>
    </font>
    <font>
      <b/>
      <sz val="10"/>
      <color theme="1" tint="0.499984740745262"/>
      <name val="Arial"/>
      <family val="2"/>
    </font>
    <font>
      <sz val="10"/>
      <color rgb="FF0070C0"/>
      <name val="Arial"/>
      <family val="2"/>
    </font>
    <font>
      <b/>
      <sz val="10"/>
      <color rgb="FF0070C0"/>
      <name val="Arial"/>
      <family val="2"/>
    </font>
    <font>
      <b/>
      <sz val="10"/>
      <name val="Arial"/>
      <family val="2"/>
    </font>
    <font>
      <sz val="10"/>
      <name val="Arial"/>
      <family val="2"/>
    </font>
    <font>
      <sz val="10"/>
      <color theme="1"/>
      <name val="Calibri"/>
      <family val="2"/>
      <scheme val="minor"/>
    </font>
    <font>
      <b/>
      <sz val="10"/>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99"/>
        <bgColor indexed="64"/>
      </patternFill>
    </fill>
    <fill>
      <patternFill patternType="solid">
        <fgColor rgb="FFFFFFCC"/>
        <bgColor indexed="64"/>
      </patternFill>
    </fill>
    <fill>
      <patternFill patternType="solid">
        <fgColor theme="0"/>
        <bgColor indexed="64"/>
      </patternFill>
    </fill>
    <fill>
      <patternFill patternType="solid">
        <fgColor theme="5" tint="0.39997558519241921"/>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6"/>
        <bgColor indexed="64"/>
      </patternFill>
    </fill>
    <fill>
      <patternFill patternType="solid">
        <fgColor theme="2"/>
        <bgColor indexed="64"/>
      </patternFill>
    </fill>
    <fill>
      <patternFill patternType="solid">
        <fgColor rgb="FF9900FF"/>
        <bgColor indexed="64"/>
      </patternFill>
    </fill>
  </fills>
  <borders count="18">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3">
    <xf numFmtId="0" fontId="0" fillId="0" borderId="0"/>
    <xf numFmtId="9" fontId="16" fillId="0" borderId="0" applyFont="0" applyFill="0" applyBorder="0" applyAlignment="0" applyProtection="0"/>
    <xf numFmtId="44" fontId="16" fillId="0" borderId="0" applyFont="0" applyFill="0" applyBorder="0" applyAlignment="0" applyProtection="0"/>
  </cellStyleXfs>
  <cellXfs count="288">
    <xf numFmtId="0" fontId="0" fillId="0" borderId="0" xfId="0"/>
    <xf numFmtId="0" fontId="2" fillId="3" borderId="0" xfId="0" applyFont="1" applyFill="1"/>
    <xf numFmtId="0" fontId="0" fillId="3" borderId="0" xfId="0" applyFill="1"/>
    <xf numFmtId="0" fontId="2" fillId="0" borderId="0" xfId="0" applyFont="1"/>
    <xf numFmtId="0" fontId="2" fillId="2" borderId="0" xfId="0" applyFont="1" applyFill="1"/>
    <xf numFmtId="0" fontId="0" fillId="2" borderId="0" xfId="0" applyFill="1"/>
    <xf numFmtId="0" fontId="2" fillId="4" borderId="0" xfId="0" applyFont="1" applyFill="1"/>
    <xf numFmtId="0" fontId="2" fillId="5" borderId="0" xfId="0" applyFont="1" applyFill="1"/>
    <xf numFmtId="0" fontId="2" fillId="4" borderId="0" xfId="0" applyFont="1" applyFill="1" applyAlignment="1">
      <alignment horizontal="right"/>
    </xf>
    <xf numFmtId="0" fontId="2" fillId="6" borderId="0" xfId="0" applyFont="1" applyFill="1"/>
    <xf numFmtId="0" fontId="2" fillId="6" borderId="0" xfId="0" applyFont="1" applyFill="1" applyAlignment="1">
      <alignment horizontal="right"/>
    </xf>
    <xf numFmtId="0" fontId="0" fillId="6" borderId="0" xfId="0" applyFill="1"/>
    <xf numFmtId="0" fontId="2" fillId="3" borderId="0" xfId="0" applyFont="1" applyFill="1" applyAlignment="1">
      <alignment wrapText="1"/>
    </xf>
    <xf numFmtId="0" fontId="2" fillId="7" borderId="0" xfId="0" applyFont="1" applyFill="1"/>
    <xf numFmtId="0" fontId="2" fillId="8" borderId="0" xfId="0" applyFont="1" applyFill="1"/>
    <xf numFmtId="0" fontId="1" fillId="0" borderId="2" xfId="0" applyFont="1" applyBorder="1"/>
    <xf numFmtId="14" fontId="1" fillId="0" borderId="2" xfId="0" applyNumberFormat="1" applyFont="1" applyBorder="1"/>
    <xf numFmtId="0" fontId="1" fillId="0" borderId="2" xfId="0" applyFont="1" applyBorder="1" applyAlignment="1">
      <alignment horizontal="right"/>
    </xf>
    <xf numFmtId="14" fontId="1" fillId="0" borderId="2" xfId="0" applyNumberFormat="1" applyFont="1" applyBorder="1" applyAlignment="1">
      <alignment horizontal="right"/>
    </xf>
    <xf numFmtId="1" fontId="1" fillId="0" borderId="2" xfId="0" applyNumberFormat="1" applyFont="1" applyBorder="1"/>
    <xf numFmtId="1" fontId="1" fillId="0" borderId="2" xfId="0" applyNumberFormat="1" applyFont="1" applyBorder="1" applyAlignment="1">
      <alignment horizontal="right"/>
    </xf>
    <xf numFmtId="165" fontId="1" fillId="0" borderId="2" xfId="0" applyNumberFormat="1" applyFont="1" applyBorder="1" applyAlignment="1">
      <alignment horizontal="right"/>
    </xf>
    <xf numFmtId="165" fontId="1" fillId="0" borderId="2" xfId="0" applyNumberFormat="1" applyFont="1" applyBorder="1"/>
    <xf numFmtId="0" fontId="7" fillId="0" borderId="2" xfId="0" applyFont="1" applyBorder="1"/>
    <xf numFmtId="164" fontId="7" fillId="0" borderId="2" xfId="0" applyNumberFormat="1" applyFont="1" applyBorder="1"/>
    <xf numFmtId="0" fontId="7" fillId="0" borderId="2" xfId="0" applyFont="1" applyBorder="1" applyAlignment="1">
      <alignment horizontal="right"/>
    </xf>
    <xf numFmtId="0" fontId="8" fillId="0" borderId="1" xfId="0" applyFont="1" applyBorder="1"/>
    <xf numFmtId="0" fontId="8" fillId="0" borderId="2" xfId="0" applyFont="1" applyBorder="1"/>
    <xf numFmtId="16" fontId="7" fillId="0" borderId="2" xfId="0" quotePrefix="1" applyNumberFormat="1" applyFont="1" applyBorder="1" applyAlignment="1">
      <alignment horizontal="right"/>
    </xf>
    <xf numFmtId="0" fontId="7" fillId="0" borderId="2" xfId="0" quotePrefix="1" applyFont="1" applyBorder="1" applyAlignment="1">
      <alignment horizontal="right"/>
    </xf>
    <xf numFmtId="0" fontId="7" fillId="9" borderId="2" xfId="0" applyFont="1" applyFill="1" applyBorder="1"/>
    <xf numFmtId="0" fontId="9" fillId="0" borderId="2" xfId="0" applyFont="1" applyBorder="1"/>
    <xf numFmtId="0" fontId="8" fillId="10" borderId="2" xfId="0" applyFont="1" applyFill="1" applyBorder="1"/>
    <xf numFmtId="0" fontId="7" fillId="0" borderId="1" xfId="0" applyFont="1" applyBorder="1"/>
    <xf numFmtId="164" fontId="7" fillId="0" borderId="1" xfId="0" applyNumberFormat="1" applyFont="1" applyBorder="1"/>
    <xf numFmtId="0" fontId="7" fillId="0" borderId="1" xfId="0" applyFont="1" applyBorder="1" applyAlignment="1">
      <alignment horizontal="right"/>
    </xf>
    <xf numFmtId="0" fontId="7" fillId="2" borderId="2" xfId="0" applyFont="1" applyFill="1" applyBorder="1"/>
    <xf numFmtId="0" fontId="7" fillId="2" borderId="2" xfId="0" applyFont="1" applyFill="1" applyBorder="1" applyAlignment="1">
      <alignment horizontal="right"/>
    </xf>
    <xf numFmtId="0" fontId="7" fillId="2" borderId="2" xfId="0" quotePrefix="1" applyFont="1" applyFill="1" applyBorder="1" applyAlignment="1">
      <alignment horizontal="right"/>
    </xf>
    <xf numFmtId="0" fontId="7" fillId="2" borderId="2" xfId="0" quotePrefix="1" applyFont="1" applyFill="1" applyBorder="1"/>
    <xf numFmtId="0" fontId="7" fillId="2" borderId="1" xfId="0" applyFont="1" applyFill="1" applyBorder="1"/>
    <xf numFmtId="0" fontId="11" fillId="0" borderId="2" xfId="0" applyFont="1" applyBorder="1"/>
    <xf numFmtId="1" fontId="12" fillId="0" borderId="2" xfId="0" applyNumberFormat="1" applyFont="1" applyBorder="1"/>
    <xf numFmtId="0" fontId="13" fillId="0" borderId="1" xfId="0" applyFont="1" applyBorder="1"/>
    <xf numFmtId="0" fontId="7" fillId="11" borderId="2" xfId="0" applyFont="1" applyFill="1" applyBorder="1"/>
    <xf numFmtId="0" fontId="15" fillId="0" borderId="2" xfId="0" applyFont="1" applyBorder="1"/>
    <xf numFmtId="0" fontId="15" fillId="0" borderId="1" xfId="0" applyFont="1" applyBorder="1"/>
    <xf numFmtId="0" fontId="0" fillId="0" borderId="0" xfId="0" applyAlignment="1">
      <alignment horizontal="left"/>
    </xf>
    <xf numFmtId="0" fontId="8" fillId="0" borderId="2" xfId="0" applyFont="1" applyBorder="1" applyAlignment="1">
      <alignment horizontal="right"/>
    </xf>
    <xf numFmtId="0" fontId="8" fillId="0" borderId="1" xfId="0" applyFont="1" applyBorder="1" applyAlignment="1">
      <alignment horizontal="right"/>
    </xf>
    <xf numFmtId="0" fontId="2" fillId="6" borderId="0" xfId="0" applyFont="1" applyFill="1" applyAlignment="1">
      <alignment wrapText="1"/>
    </xf>
    <xf numFmtId="0" fontId="2" fillId="0" borderId="0" xfId="0" applyFont="1" applyAlignment="1">
      <alignment horizontal="left"/>
    </xf>
    <xf numFmtId="166" fontId="0" fillId="0" borderId="0" xfId="0" applyNumberFormat="1"/>
    <xf numFmtId="0" fontId="0" fillId="0" borderId="2" xfId="0" applyBorder="1"/>
    <xf numFmtId="0" fontId="2" fillId="0" borderId="2" xfId="0" applyFont="1" applyBorder="1"/>
    <xf numFmtId="0" fontId="2" fillId="0" borderId="2" xfId="0" applyFont="1" applyBorder="1" applyAlignment="1">
      <alignment horizontal="left"/>
    </xf>
    <xf numFmtId="0" fontId="0" fillId="0" borderId="2" xfId="0" applyBorder="1" applyAlignment="1">
      <alignment horizontal="left"/>
    </xf>
    <xf numFmtId="0" fontId="0" fillId="0" borderId="0" xfId="0" applyAlignment="1">
      <alignment horizontal="center"/>
    </xf>
    <xf numFmtId="9" fontId="0" fillId="0" borderId="0" xfId="1" applyFont="1" applyAlignment="1"/>
    <xf numFmtId="10" fontId="0" fillId="0" borderId="0" xfId="1" applyNumberFormat="1" applyFont="1" applyAlignment="1"/>
    <xf numFmtId="10" fontId="0" fillId="0" borderId="0" xfId="0" applyNumberFormat="1"/>
    <xf numFmtId="0" fontId="17" fillId="12" borderId="3" xfId="0" applyFont="1" applyFill="1" applyBorder="1"/>
    <xf numFmtId="0" fontId="17" fillId="12" borderId="4" xfId="0" applyFont="1" applyFill="1" applyBorder="1" applyAlignment="1">
      <alignment horizontal="left"/>
    </xf>
    <xf numFmtId="0" fontId="17" fillId="12" borderId="4" xfId="0" applyFont="1" applyFill="1" applyBorder="1"/>
    <xf numFmtId="10" fontId="17" fillId="12" borderId="4" xfId="0" applyNumberFormat="1" applyFont="1" applyFill="1" applyBorder="1"/>
    <xf numFmtId="0" fontId="0" fillId="0" borderId="0" xfId="0" applyAlignment="1">
      <alignment horizontal="left" indent="1"/>
    </xf>
    <xf numFmtId="0" fontId="17" fillId="0" borderId="3" xfId="0" applyFont="1" applyBorder="1" applyAlignment="1">
      <alignment horizontal="left"/>
    </xf>
    <xf numFmtId="0" fontId="17" fillId="0" borderId="3" xfId="0" applyFont="1" applyBorder="1"/>
    <xf numFmtId="0" fontId="17" fillId="12" borderId="3" xfId="0" applyFont="1" applyFill="1" applyBorder="1" applyAlignment="1">
      <alignment horizontal="center"/>
    </xf>
    <xf numFmtId="0" fontId="17" fillId="12" borderId="4" xfId="0" applyFont="1" applyFill="1" applyBorder="1" applyAlignment="1">
      <alignment horizontal="center"/>
    </xf>
    <xf numFmtId="10" fontId="17" fillId="0" borderId="3" xfId="0" applyNumberFormat="1" applyFont="1" applyBorder="1"/>
    <xf numFmtId="10" fontId="0" fillId="2" borderId="0" xfId="0" applyNumberFormat="1" applyFill="1"/>
    <xf numFmtId="10" fontId="17" fillId="13" borderId="3" xfId="1" applyNumberFormat="1" applyFont="1" applyFill="1" applyBorder="1" applyAlignment="1"/>
    <xf numFmtId="0" fontId="0" fillId="13" borderId="0" xfId="0" applyFill="1"/>
    <xf numFmtId="10" fontId="17" fillId="14" borderId="3" xfId="0" applyNumberFormat="1" applyFont="1" applyFill="1" applyBorder="1"/>
    <xf numFmtId="0" fontId="0" fillId="14" borderId="0" xfId="0" applyFill="1"/>
    <xf numFmtId="10" fontId="17" fillId="15" borderId="3" xfId="0" applyNumberFormat="1" applyFont="1" applyFill="1" applyBorder="1"/>
    <xf numFmtId="0" fontId="0" fillId="15" borderId="0" xfId="0" applyFill="1"/>
    <xf numFmtId="10" fontId="0" fillId="16" borderId="0" xfId="0" applyNumberFormat="1" applyFill="1"/>
    <xf numFmtId="0" fontId="0" fillId="16" borderId="0" xfId="0" applyFill="1"/>
    <xf numFmtId="0" fontId="2" fillId="15" borderId="0" xfId="0" applyFont="1" applyFill="1" applyAlignment="1">
      <alignment horizontal="left"/>
    </xf>
    <xf numFmtId="0" fontId="0" fillId="15" borderId="0" xfId="0" applyFill="1" applyAlignment="1">
      <alignment horizontal="left"/>
    </xf>
    <xf numFmtId="0" fontId="0" fillId="15" borderId="0" xfId="0" applyFill="1" applyAlignment="1">
      <alignment horizontal="center"/>
    </xf>
    <xf numFmtId="0" fontId="0" fillId="15" borderId="2" xfId="0" applyFill="1" applyBorder="1"/>
    <xf numFmtId="0" fontId="2" fillId="15" borderId="0" xfId="0" applyFont="1" applyFill="1"/>
    <xf numFmtId="0" fontId="7" fillId="13" borderId="2" xfId="0" applyFont="1" applyFill="1" applyBorder="1"/>
    <xf numFmtId="17" fontId="0" fillId="0" borderId="0" xfId="0" applyNumberFormat="1"/>
    <xf numFmtId="167" fontId="7" fillId="0" borderId="2" xfId="0" applyNumberFormat="1" applyFont="1" applyBorder="1"/>
    <xf numFmtId="167" fontId="7" fillId="16" borderId="2" xfId="0" applyNumberFormat="1" applyFont="1" applyFill="1" applyBorder="1"/>
    <xf numFmtId="167" fontId="7" fillId="0" borderId="1" xfId="0" applyNumberFormat="1" applyFont="1" applyBorder="1"/>
    <xf numFmtId="167" fontId="7" fillId="16" borderId="1" xfId="0" applyNumberFormat="1" applyFont="1" applyFill="1" applyBorder="1"/>
    <xf numFmtId="44" fontId="7" fillId="0" borderId="2" xfId="2" applyFont="1" applyBorder="1"/>
    <xf numFmtId="44" fontId="7" fillId="16" borderId="2" xfId="2" applyFont="1" applyFill="1" applyBorder="1"/>
    <xf numFmtId="44" fontId="7" fillId="0" borderId="1" xfId="2" applyFont="1" applyBorder="1"/>
    <xf numFmtId="167" fontId="7" fillId="2" borderId="2" xfId="0" applyNumberFormat="1" applyFont="1" applyFill="1" applyBorder="1"/>
    <xf numFmtId="167" fontId="7" fillId="2" borderId="1" xfId="0" applyNumberFormat="1" applyFont="1" applyFill="1" applyBorder="1"/>
    <xf numFmtId="0" fontId="1" fillId="2" borderId="2" xfId="0" applyFont="1" applyFill="1" applyBorder="1" applyAlignment="1">
      <alignment horizontal="right"/>
    </xf>
    <xf numFmtId="0" fontId="1" fillId="2" borderId="2" xfId="0" applyFont="1" applyFill="1" applyBorder="1"/>
    <xf numFmtId="0" fontId="1" fillId="9" borderId="2" xfId="0" applyFont="1" applyFill="1" applyBorder="1" applyAlignment="1">
      <alignment horizontal="right"/>
    </xf>
    <xf numFmtId="0" fontId="1" fillId="9" borderId="2" xfId="0" applyFont="1" applyFill="1" applyBorder="1"/>
    <xf numFmtId="1" fontId="0" fillId="0" borderId="0" xfId="0" applyNumberFormat="1"/>
    <xf numFmtId="16" fontId="7" fillId="0" borderId="2" xfId="0" applyNumberFormat="1" applyFont="1" applyBorder="1"/>
    <xf numFmtId="0" fontId="18" fillId="9" borderId="0" xfId="0" applyFont="1" applyFill="1"/>
    <xf numFmtId="0" fontId="18" fillId="0" borderId="0" xfId="0" applyFont="1"/>
    <xf numFmtId="9" fontId="0" fillId="0" borderId="0" xfId="1" applyFont="1"/>
    <xf numFmtId="0" fontId="0" fillId="9" borderId="0" xfId="0" applyFill="1"/>
    <xf numFmtId="0" fontId="0" fillId="14" borderId="0" xfId="0" applyFill="1" applyAlignment="1">
      <alignment wrapText="1"/>
    </xf>
    <xf numFmtId="0" fontId="2" fillId="0" borderId="0" xfId="0" applyFont="1" applyAlignment="1">
      <alignment horizontal="center"/>
    </xf>
    <xf numFmtId="14" fontId="0" fillId="0" borderId="0" xfId="0" applyNumberFormat="1"/>
    <xf numFmtId="1" fontId="0" fillId="0" borderId="0" xfId="0" applyNumberFormat="1" applyAlignment="1">
      <alignment horizontal="center"/>
    </xf>
    <xf numFmtId="0" fontId="7" fillId="0" borderId="5" xfId="0" applyFont="1" applyBorder="1"/>
    <xf numFmtId="0" fontId="0" fillId="0" borderId="1" xfId="0" applyBorder="1"/>
    <xf numFmtId="168" fontId="0" fillId="0" borderId="0" xfId="0" applyNumberFormat="1"/>
    <xf numFmtId="9" fontId="2" fillId="0" borderId="0" xfId="1" applyFont="1" applyAlignment="1">
      <alignment horizontal="center"/>
    </xf>
    <xf numFmtId="0" fontId="18" fillId="9" borderId="0" xfId="0" applyFont="1" applyFill="1" applyAlignment="1">
      <alignment wrapText="1"/>
    </xf>
    <xf numFmtId="3" fontId="0" fillId="0" borderId="0" xfId="0" applyNumberFormat="1"/>
    <xf numFmtId="9" fontId="0" fillId="0" borderId="0" xfId="0" applyNumberFormat="1"/>
    <xf numFmtId="0" fontId="3" fillId="9" borderId="2" xfId="0" applyFont="1" applyFill="1" applyBorder="1"/>
    <xf numFmtId="9" fontId="2" fillId="0" borderId="0" xfId="1" applyFont="1"/>
    <xf numFmtId="9" fontId="2" fillId="0" borderId="0" xfId="0" applyNumberFormat="1" applyFont="1"/>
    <xf numFmtId="0" fontId="2" fillId="2" borderId="0" xfId="0" applyFont="1" applyFill="1" applyAlignment="1">
      <alignment horizontal="center"/>
    </xf>
    <xf numFmtId="0" fontId="0" fillId="2" borderId="0" xfId="0" applyFill="1" applyAlignment="1">
      <alignment horizontal="center"/>
    </xf>
    <xf numFmtId="0" fontId="18" fillId="0" borderId="0" xfId="0" applyFont="1" applyAlignment="1">
      <alignment horizontal="center"/>
    </xf>
    <xf numFmtId="0" fontId="4" fillId="0" borderId="2" xfId="0" applyFont="1" applyBorder="1" applyAlignment="1">
      <alignment horizontal="left" wrapText="1"/>
    </xf>
    <xf numFmtId="0" fontId="4" fillId="0" borderId="2" xfId="0" applyFont="1" applyBorder="1" applyAlignment="1">
      <alignment wrapText="1"/>
    </xf>
    <xf numFmtId="0" fontId="5" fillId="0" borderId="2" xfId="0" applyFont="1" applyBorder="1" applyAlignment="1">
      <alignment wrapText="1"/>
    </xf>
    <xf numFmtId="0" fontId="10" fillId="0" borderId="2" xfId="0" applyFont="1" applyBorder="1" applyAlignment="1">
      <alignment wrapText="1"/>
    </xf>
    <xf numFmtId="0" fontId="5" fillId="13" borderId="2" xfId="0" applyFont="1" applyFill="1" applyBorder="1" applyAlignment="1">
      <alignment wrapText="1"/>
    </xf>
    <xf numFmtId="0" fontId="0" fillId="0" borderId="0" xfId="0" applyAlignment="1">
      <alignment wrapText="1"/>
    </xf>
    <xf numFmtId="14" fontId="0" fillId="0" borderId="0" xfId="0" applyNumberFormat="1" applyAlignment="1">
      <alignment wrapText="1"/>
    </xf>
    <xf numFmtId="164" fontId="5" fillId="0" borderId="2" xfId="0" applyNumberFormat="1" applyFont="1" applyBorder="1" applyAlignment="1">
      <alignment wrapText="1"/>
    </xf>
    <xf numFmtId="0" fontId="14" fillId="0" borderId="2" xfId="0" applyFont="1" applyBorder="1" applyAlignment="1">
      <alignment wrapText="1"/>
    </xf>
    <xf numFmtId="0" fontId="4" fillId="9" borderId="2" xfId="0" applyFont="1" applyFill="1" applyBorder="1" applyAlignment="1">
      <alignment horizontal="left" wrapText="1"/>
    </xf>
    <xf numFmtId="0" fontId="5" fillId="2" borderId="2" xfId="0" applyFont="1" applyFill="1" applyBorder="1" applyAlignment="1">
      <alignment wrapText="1"/>
    </xf>
    <xf numFmtId="167" fontId="5" fillId="2" borderId="2" xfId="0" applyNumberFormat="1" applyFont="1" applyFill="1" applyBorder="1" applyAlignment="1">
      <alignment wrapText="1"/>
    </xf>
    <xf numFmtId="167" fontId="5" fillId="16" borderId="2" xfId="0" applyNumberFormat="1" applyFont="1" applyFill="1" applyBorder="1" applyAlignment="1">
      <alignment wrapText="1"/>
    </xf>
    <xf numFmtId="0" fontId="5" fillId="0" borderId="2" xfId="0" applyFont="1" applyBorder="1" applyAlignment="1">
      <alignment horizontal="right" wrapText="1"/>
    </xf>
    <xf numFmtId="44" fontId="5" fillId="0" borderId="2" xfId="2" applyFont="1" applyBorder="1" applyAlignment="1">
      <alignment wrapText="1"/>
    </xf>
    <xf numFmtId="44" fontId="5" fillId="16" borderId="2" xfId="2" applyFont="1" applyFill="1" applyBorder="1" applyAlignment="1">
      <alignment wrapText="1"/>
    </xf>
    <xf numFmtId="167" fontId="5" fillId="0" borderId="2" xfId="0" applyNumberFormat="1" applyFont="1" applyBorder="1" applyAlignment="1">
      <alignment wrapText="1"/>
    </xf>
    <xf numFmtId="167" fontId="5" fillId="0" borderId="1" xfId="0" applyNumberFormat="1" applyFont="1" applyBorder="1" applyAlignment="1">
      <alignment wrapText="1"/>
    </xf>
    <xf numFmtId="0" fontId="6" fillId="0" borderId="1" xfId="0" applyFont="1" applyBorder="1" applyAlignment="1">
      <alignment wrapText="1"/>
    </xf>
    <xf numFmtId="0" fontId="8" fillId="0" borderId="1" xfId="0" applyFont="1" applyBorder="1" applyAlignment="1">
      <alignment wrapText="1"/>
    </xf>
    <xf numFmtId="9" fontId="18" fillId="0" borderId="0" xfId="1" applyFont="1" applyAlignment="1">
      <alignment horizontal="center"/>
    </xf>
    <xf numFmtId="0" fontId="18" fillId="6" borderId="0" xfId="0" applyFont="1" applyFill="1" applyAlignment="1">
      <alignment horizontal="center"/>
    </xf>
    <xf numFmtId="0" fontId="18" fillId="6" borderId="0" xfId="0" applyFont="1" applyFill="1"/>
    <xf numFmtId="9" fontId="18" fillId="6" borderId="0" xfId="1" applyFont="1" applyFill="1"/>
    <xf numFmtId="0" fontId="18" fillId="2" borderId="0" xfId="0" applyFont="1" applyFill="1"/>
    <xf numFmtId="0" fontId="18" fillId="2" borderId="0" xfId="0" applyFont="1" applyFill="1" applyAlignment="1">
      <alignment horizontal="center"/>
    </xf>
    <xf numFmtId="9" fontId="2" fillId="2" borderId="0" xfId="1" applyFont="1" applyFill="1"/>
    <xf numFmtId="0" fontId="0" fillId="0" borderId="0" xfId="0" pivotButton="1"/>
    <xf numFmtId="166" fontId="2" fillId="6" borderId="2" xfId="0" applyNumberFormat="1" applyFont="1" applyFill="1" applyBorder="1"/>
    <xf numFmtId="0" fontId="2" fillId="0" borderId="10" xfId="0" applyFont="1" applyBorder="1"/>
    <xf numFmtId="0" fontId="2" fillId="0" borderId="11" xfId="0" applyFont="1" applyBorder="1"/>
    <xf numFmtId="0" fontId="2" fillId="0" borderId="12" xfId="0" applyFont="1" applyBorder="1"/>
    <xf numFmtId="0" fontId="2" fillId="14" borderId="0" xfId="0" applyFont="1" applyFill="1" applyAlignment="1">
      <alignment horizontal="center" vertical="center"/>
    </xf>
    <xf numFmtId="0" fontId="0" fillId="14" borderId="0" xfId="0" applyFill="1" applyAlignment="1">
      <alignment horizontal="center" vertical="center"/>
    </xf>
    <xf numFmtId="0" fontId="2" fillId="0" borderId="0" xfId="0" applyFont="1" applyAlignment="1">
      <alignment wrapText="1"/>
    </xf>
    <xf numFmtId="0" fontId="18" fillId="0" borderId="0" xfId="0" applyFont="1" applyAlignment="1">
      <alignment horizontal="left"/>
    </xf>
    <xf numFmtId="0" fontId="20" fillId="0" borderId="0" xfId="0" applyFont="1"/>
    <xf numFmtId="164" fontId="18" fillId="0" borderId="0" xfId="0" applyNumberFormat="1" applyFont="1"/>
    <xf numFmtId="164" fontId="0" fillId="0" borderId="0" xfId="0" applyNumberFormat="1"/>
    <xf numFmtId="0" fontId="19" fillId="13" borderId="0" xfId="0" applyFont="1" applyFill="1"/>
    <xf numFmtId="0" fontId="2" fillId="13" borderId="0" xfId="0" applyFont="1" applyFill="1"/>
    <xf numFmtId="169" fontId="0" fillId="6" borderId="0" xfId="0" applyNumberFormat="1" applyFill="1"/>
    <xf numFmtId="0" fontId="2" fillId="0" borderId="2" xfId="0" applyFont="1" applyBorder="1" applyAlignment="1">
      <alignment horizontal="center"/>
    </xf>
    <xf numFmtId="164" fontId="21" fillId="12" borderId="4" xfId="0" applyNumberFormat="1" applyFont="1" applyFill="1" applyBorder="1"/>
    <xf numFmtId="0" fontId="0" fillId="0" borderId="0" xfId="0" applyAlignment="1">
      <alignment horizontal="center" vertical="center" wrapText="1"/>
    </xf>
    <xf numFmtId="166" fontId="0" fillId="0" borderId="0" xfId="1" applyNumberFormat="1" applyFont="1"/>
    <xf numFmtId="166" fontId="0" fillId="0" borderId="0" xfId="0" applyNumberFormat="1" applyAlignment="1">
      <alignment horizontal="center" vertical="center"/>
    </xf>
    <xf numFmtId="0" fontId="2" fillId="0" borderId="1" xfId="0" applyFont="1" applyBorder="1" applyAlignment="1">
      <alignment horizontal="left" vertical="center"/>
    </xf>
    <xf numFmtId="166" fontId="18" fillId="0" borderId="0" xfId="0" applyNumberFormat="1" applyFont="1"/>
    <xf numFmtId="166" fontId="22" fillId="0" borderId="0" xfId="0" applyNumberFormat="1" applyFont="1"/>
    <xf numFmtId="0" fontId="0" fillId="0" borderId="0" xfId="0" applyAlignment="1">
      <alignment horizontal="center" vertical="center"/>
    </xf>
    <xf numFmtId="0" fontId="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vertical="center" wrapText="1"/>
    </xf>
    <xf numFmtId="0" fontId="0" fillId="0" borderId="2" xfId="0" applyBorder="1" applyAlignment="1">
      <alignment horizontal="center"/>
    </xf>
    <xf numFmtId="164" fontId="0" fillId="0" borderId="2" xfId="0" applyNumberFormat="1" applyBorder="1" applyAlignment="1">
      <alignment horizontal="center"/>
    </xf>
    <xf numFmtId="0" fontId="18" fillId="0" borderId="2" xfId="0" applyFont="1" applyBorder="1" applyAlignment="1">
      <alignment horizontal="center"/>
    </xf>
    <xf numFmtId="164" fontId="18" fillId="0" borderId="2" xfId="0" applyNumberFormat="1" applyFont="1" applyBorder="1" applyAlignment="1">
      <alignment horizontal="center"/>
    </xf>
    <xf numFmtId="0" fontId="18" fillId="0" borderId="14" xfId="0" applyFont="1" applyBorder="1" applyAlignment="1">
      <alignment horizontal="left"/>
    </xf>
    <xf numFmtId="166" fontId="2" fillId="0" borderId="0" xfId="0" applyNumberFormat="1" applyFont="1"/>
    <xf numFmtId="0" fontId="18" fillId="0" borderId="1" xfId="0" applyFont="1" applyBorder="1" applyAlignment="1">
      <alignment horizontal="center" vertical="center"/>
    </xf>
    <xf numFmtId="0" fontId="24" fillId="0" borderId="13" xfId="0" applyFont="1" applyBorder="1" applyAlignment="1">
      <alignment horizontal="center" vertical="center"/>
    </xf>
    <xf numFmtId="0" fontId="24" fillId="0" borderId="13" xfId="0" applyFont="1" applyBorder="1" applyAlignment="1">
      <alignment horizontal="center" vertical="center" wrapText="1"/>
    </xf>
    <xf numFmtId="0" fontId="23" fillId="0" borderId="0" xfId="0" applyFont="1"/>
    <xf numFmtId="0" fontId="23" fillId="0" borderId="0" xfId="0" applyFont="1" applyAlignment="1">
      <alignment horizontal="center" vertical="center" wrapText="1"/>
    </xf>
    <xf numFmtId="0" fontId="23" fillId="0" borderId="0" xfId="0" applyFont="1" applyAlignment="1">
      <alignment horizontal="center" vertical="center"/>
    </xf>
    <xf numFmtId="166" fontId="23" fillId="0" borderId="0" xfId="0" applyNumberFormat="1" applyFont="1" applyAlignment="1">
      <alignment horizontal="center" vertical="center"/>
    </xf>
    <xf numFmtId="0" fontId="23" fillId="0" borderId="13" xfId="0" applyFont="1" applyBorder="1" applyAlignment="1">
      <alignment horizontal="center" vertical="center" wrapText="1"/>
    </xf>
    <xf numFmtId="0" fontId="23" fillId="0" borderId="13" xfId="0" applyFont="1" applyBorder="1" applyAlignment="1">
      <alignment horizontal="center" vertical="center"/>
    </xf>
    <xf numFmtId="166" fontId="23" fillId="0" borderId="13" xfId="0" applyNumberFormat="1" applyFont="1" applyBorder="1" applyAlignment="1">
      <alignment horizontal="center" vertical="center"/>
    </xf>
    <xf numFmtId="166" fontId="24" fillId="0" borderId="13" xfId="0" applyNumberFormat="1" applyFont="1" applyBorder="1" applyAlignment="1">
      <alignment horizontal="center" vertical="center"/>
    </xf>
    <xf numFmtId="0" fontId="24" fillId="0" borderId="0" xfId="0" applyFont="1" applyAlignment="1">
      <alignment horizontal="center" vertical="center"/>
    </xf>
    <xf numFmtId="0" fontId="24" fillId="0" borderId="7" xfId="0" applyFont="1" applyBorder="1" applyAlignment="1">
      <alignment horizontal="center" vertical="center"/>
    </xf>
    <xf numFmtId="0" fontId="23" fillId="0" borderId="7" xfId="0" applyFont="1" applyBorder="1" applyAlignment="1">
      <alignment horizontal="center" vertical="center"/>
    </xf>
    <xf numFmtId="9" fontId="24" fillId="0" borderId="7" xfId="0" applyNumberFormat="1" applyFont="1" applyBorder="1" applyAlignment="1">
      <alignment horizontal="center" vertical="center"/>
    </xf>
    <xf numFmtId="0" fontId="23" fillId="0" borderId="0" xfId="0" applyFont="1" applyAlignment="1">
      <alignment horizontal="left"/>
    </xf>
    <xf numFmtId="166" fontId="23" fillId="0" borderId="0" xfId="1" applyNumberFormat="1" applyFont="1"/>
    <xf numFmtId="0" fontId="24" fillId="0" borderId="0" xfId="0" applyFont="1" applyAlignment="1">
      <alignment horizontal="center" vertical="center" wrapText="1"/>
    </xf>
    <xf numFmtId="0" fontId="23" fillId="0" borderId="0" xfId="0" applyFont="1" applyAlignment="1">
      <alignment horizontal="left" vertical="center"/>
    </xf>
    <xf numFmtId="0" fontId="24" fillId="0" borderId="0" xfId="0" applyFont="1"/>
    <xf numFmtId="166" fontId="23" fillId="0" borderId="0" xfId="0" applyNumberFormat="1" applyFont="1"/>
    <xf numFmtId="0" fontId="23" fillId="0" borderId="1" xfId="0" applyFont="1" applyBorder="1" applyAlignment="1">
      <alignment horizontal="left" vertical="center"/>
    </xf>
    <xf numFmtId="0" fontId="24" fillId="0" borderId="1" xfId="0" applyFont="1" applyBorder="1" applyAlignment="1">
      <alignment horizontal="center" vertical="center"/>
    </xf>
    <xf numFmtId="0" fontId="23" fillId="0" borderId="1" xfId="0" applyFont="1" applyBorder="1" applyAlignment="1">
      <alignment horizontal="center" vertical="center"/>
    </xf>
    <xf numFmtId="0" fontId="17" fillId="9" borderId="0" xfId="0" applyFont="1" applyFill="1" applyAlignment="1">
      <alignment horizontal="center" vertical="center" readingOrder="1"/>
    </xf>
    <xf numFmtId="0" fontId="19" fillId="0" borderId="0" xfId="0" applyFont="1" applyAlignment="1">
      <alignment horizontal="center" vertical="center" readingOrder="1"/>
    </xf>
    <xf numFmtId="0" fontId="17" fillId="0" borderId="0" xfId="0" applyFont="1" applyAlignment="1">
      <alignment horizontal="center" vertical="center" readingOrder="1"/>
    </xf>
    <xf numFmtId="0" fontId="17" fillId="9" borderId="13" xfId="0" applyFont="1" applyFill="1" applyBorder="1" applyAlignment="1">
      <alignment horizontal="center" vertical="center" wrapText="1"/>
    </xf>
    <xf numFmtId="0" fontId="17" fillId="9" borderId="0" xfId="0" applyFont="1" applyFill="1" applyAlignment="1">
      <alignment horizontal="center" vertical="center" wrapText="1"/>
    </xf>
    <xf numFmtId="0" fontId="19" fillId="9" borderId="0" xfId="0" applyFont="1" applyFill="1" applyAlignment="1">
      <alignment horizontal="center" vertical="center" wrapText="1"/>
    </xf>
    <xf numFmtId="0" fontId="19" fillId="9" borderId="13" xfId="0" applyFont="1" applyFill="1" applyBorder="1" applyAlignment="1">
      <alignment horizontal="center" vertical="center" wrapText="1"/>
    </xf>
    <xf numFmtId="0" fontId="17" fillId="9" borderId="11" xfId="0" applyFont="1" applyFill="1" applyBorder="1" applyAlignment="1">
      <alignment horizontal="center" vertical="center" wrapText="1"/>
    </xf>
    <xf numFmtId="0" fontId="25" fillId="0" borderId="0" xfId="0" applyFont="1" applyAlignment="1">
      <alignment horizontal="center" vertical="center"/>
    </xf>
    <xf numFmtId="0" fontId="25" fillId="0" borderId="13" xfId="0" applyFont="1" applyBorder="1" applyAlignment="1">
      <alignment horizontal="center" vertical="center"/>
    </xf>
    <xf numFmtId="0" fontId="26" fillId="0" borderId="13" xfId="0" applyFont="1" applyBorder="1" applyAlignment="1">
      <alignment horizontal="center" vertical="center"/>
    </xf>
    <xf numFmtId="0" fontId="26" fillId="0" borderId="0" xfId="0" applyFont="1" applyAlignment="1">
      <alignment horizontal="center" vertical="center"/>
    </xf>
    <xf numFmtId="0" fontId="25" fillId="0" borderId="7" xfId="0" applyFont="1" applyBorder="1" applyAlignment="1">
      <alignment horizontal="center" vertical="center"/>
    </xf>
    <xf numFmtId="0" fontId="26" fillId="0" borderId="7" xfId="0" applyFont="1" applyBorder="1" applyAlignment="1">
      <alignment horizontal="center" vertical="center"/>
    </xf>
    <xf numFmtId="0" fontId="27" fillId="0" borderId="15" xfId="0" applyFont="1" applyBorder="1"/>
    <xf numFmtId="0" fontId="28" fillId="0" borderId="15" xfId="0" applyFont="1" applyBorder="1"/>
    <xf numFmtId="0" fontId="28" fillId="0" borderId="15" xfId="0" applyFont="1" applyBorder="1" applyAlignment="1">
      <alignment horizontal="center"/>
    </xf>
    <xf numFmtId="0" fontId="27" fillId="0" borderId="16" xfId="0" applyFont="1" applyBorder="1" applyAlignment="1">
      <alignment horizontal="right"/>
    </xf>
    <xf numFmtId="0" fontId="27" fillId="0" borderId="17" xfId="0" applyFont="1" applyBorder="1" applyAlignment="1">
      <alignment horizontal="right"/>
    </xf>
    <xf numFmtId="0" fontId="27" fillId="0" borderId="17" xfId="0" applyFont="1" applyBorder="1"/>
    <xf numFmtId="0" fontId="27" fillId="2" borderId="17" xfId="0" applyFont="1" applyFill="1" applyBorder="1" applyAlignment="1">
      <alignment horizontal="right"/>
    </xf>
    <xf numFmtId="14" fontId="27" fillId="0" borderId="17" xfId="0" applyNumberFormat="1" applyFont="1" applyBorder="1" applyAlignment="1">
      <alignment horizontal="right"/>
    </xf>
    <xf numFmtId="0" fontId="27" fillId="0" borderId="16" xfId="0" applyFont="1" applyBorder="1"/>
    <xf numFmtId="0" fontId="27" fillId="0" borderId="17" xfId="0" applyFont="1" applyBorder="1" applyAlignment="1">
      <alignment horizontal="center"/>
    </xf>
    <xf numFmtId="0" fontId="0" fillId="2" borderId="17" xfId="0" applyFill="1" applyBorder="1" applyAlignment="1">
      <alignment horizontal="right"/>
    </xf>
    <xf numFmtId="0" fontId="27" fillId="2" borderId="17" xfId="0" applyFont="1" applyFill="1" applyBorder="1"/>
    <xf numFmtId="3" fontId="27" fillId="0" borderId="17" xfId="0" applyNumberFormat="1" applyFont="1" applyBorder="1" applyAlignment="1">
      <alignment horizontal="right"/>
    </xf>
    <xf numFmtId="3" fontId="27" fillId="18" borderId="17" xfId="0" applyNumberFormat="1" applyFont="1" applyFill="1" applyBorder="1" applyAlignment="1">
      <alignment horizontal="right"/>
    </xf>
    <xf numFmtId="0" fontId="28" fillId="0" borderId="17" xfId="0" applyFont="1" applyBorder="1"/>
    <xf numFmtId="0" fontId="8" fillId="0" borderId="1" xfId="0" applyFont="1" applyBorder="1" applyAlignment="1">
      <alignment horizontal="center"/>
    </xf>
    <xf numFmtId="44" fontId="7" fillId="0" borderId="2" xfId="2" applyFont="1" applyFill="1" applyBorder="1"/>
    <xf numFmtId="0" fontId="27" fillId="0" borderId="1" xfId="0" applyFont="1" applyBorder="1"/>
    <xf numFmtId="0" fontId="2" fillId="2" borderId="1" xfId="0" applyFont="1" applyFill="1" applyBorder="1" applyAlignment="1">
      <alignment horizontal="center"/>
    </xf>
    <xf numFmtId="0" fontId="0" fillId="2" borderId="1" xfId="0" applyFill="1" applyBorder="1" applyAlignment="1">
      <alignment horizontal="center"/>
    </xf>
    <xf numFmtId="0" fontId="2" fillId="2" borderId="0" xfId="0" applyFont="1" applyFill="1" applyAlignment="1">
      <alignment horizontal="center"/>
    </xf>
    <xf numFmtId="0" fontId="0" fillId="2" borderId="0" xfId="0" applyFill="1" applyAlignment="1">
      <alignment horizontal="center"/>
    </xf>
    <xf numFmtId="0" fontId="2" fillId="13" borderId="0" xfId="0" applyFont="1" applyFill="1" applyAlignment="1">
      <alignment horizontal="center"/>
    </xf>
    <xf numFmtId="0" fontId="2" fillId="0" borderId="0" xfId="0" applyFont="1" applyAlignment="1">
      <alignment horizontal="center"/>
    </xf>
    <xf numFmtId="0" fontId="18" fillId="0" borderId="0" xfId="0" applyFont="1" applyAlignment="1">
      <alignment horizontal="center"/>
    </xf>
    <xf numFmtId="0" fontId="0" fillId="13" borderId="0" xfId="0" applyFill="1" applyAlignment="1">
      <alignment horizontal="center"/>
    </xf>
    <xf numFmtId="0" fontId="2" fillId="14" borderId="0" xfId="0" applyFont="1" applyFill="1" applyAlignment="1">
      <alignment horizontal="center"/>
    </xf>
    <xf numFmtId="0" fontId="18" fillId="0" borderId="0" xfId="0" applyFont="1" applyAlignment="1">
      <alignment horizontal="center" vertical="center" wrapText="1"/>
    </xf>
    <xf numFmtId="0" fontId="0" fillId="0" borderId="0" xfId="0" applyAlignment="1">
      <alignment horizontal="center"/>
    </xf>
    <xf numFmtId="0" fontId="2" fillId="17" borderId="0" xfId="0" applyFont="1" applyFill="1" applyAlignment="1">
      <alignment horizontal="right"/>
    </xf>
    <xf numFmtId="0" fontId="0" fillId="2" borderId="0" xfId="0" applyFill="1" applyAlignment="1">
      <alignment horizontal="center" wrapText="1"/>
    </xf>
    <xf numFmtId="0" fontId="18" fillId="2" borderId="0" xfId="0" applyFont="1" applyFill="1" applyAlignment="1">
      <alignment horizontal="center"/>
    </xf>
    <xf numFmtId="0" fontId="18" fillId="0" borderId="0" xfId="0" applyFont="1" applyAlignment="1">
      <alignment horizontal="left" vertical="center" wrapText="1"/>
    </xf>
    <xf numFmtId="0" fontId="2" fillId="0" borderId="1" xfId="0" applyFont="1" applyBorder="1" applyAlignment="1">
      <alignment horizontal="center" vertical="center" wrapText="1"/>
    </xf>
    <xf numFmtId="0" fontId="18" fillId="2" borderId="0" xfId="0" applyFont="1" applyFill="1" applyAlignment="1">
      <alignment horizontal="center" vertical="center"/>
    </xf>
    <xf numFmtId="0" fontId="18" fillId="6" borderId="1" xfId="0" applyFont="1" applyFill="1" applyBorder="1" applyAlignment="1">
      <alignment horizontal="center" vertical="center" wrapText="1"/>
    </xf>
    <xf numFmtId="0" fontId="2" fillId="0" borderId="0" xfId="0" applyFont="1" applyAlignment="1">
      <alignment horizontal="center" vertical="center" wrapText="1"/>
    </xf>
    <xf numFmtId="0" fontId="2" fillId="6" borderId="6" xfId="0" applyFont="1" applyFill="1" applyBorder="1" applyAlignment="1">
      <alignment horizontal="center" wrapText="1"/>
    </xf>
    <xf numFmtId="0" fontId="2" fillId="6" borderId="7" xfId="0" applyFont="1" applyFill="1" applyBorder="1" applyAlignment="1">
      <alignment horizontal="center" wrapText="1"/>
    </xf>
    <xf numFmtId="0" fontId="2" fillId="6" borderId="8" xfId="0" applyFont="1" applyFill="1" applyBorder="1" applyAlignment="1">
      <alignment horizontal="center" wrapText="1"/>
    </xf>
    <xf numFmtId="0" fontId="2" fillId="6" borderId="5" xfId="0" applyFont="1" applyFill="1" applyBorder="1" applyAlignment="1">
      <alignment horizontal="center" wrapText="1"/>
    </xf>
    <xf numFmtId="0" fontId="2" fillId="6" borderId="1" xfId="0" applyFont="1" applyFill="1" applyBorder="1" applyAlignment="1">
      <alignment horizont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2" fillId="6" borderId="12" xfId="0" applyFont="1" applyFill="1" applyBorder="1" applyAlignment="1">
      <alignment horizontal="center" wrapText="1"/>
    </xf>
    <xf numFmtId="0" fontId="2" fillId="6" borderId="2" xfId="0" applyFont="1" applyFill="1" applyBorder="1" applyAlignment="1">
      <alignment horizontal="center" vertical="center" wrapText="1"/>
    </xf>
    <xf numFmtId="0" fontId="2" fillId="14" borderId="1" xfId="0" applyFont="1" applyFill="1" applyBorder="1" applyAlignment="1">
      <alignment horizontal="center"/>
    </xf>
    <xf numFmtId="0" fontId="24" fillId="2" borderId="0" xfId="0" applyFont="1" applyFill="1" applyAlignment="1">
      <alignment horizontal="center"/>
    </xf>
    <xf numFmtId="0" fontId="17" fillId="0" borderId="7" xfId="0" applyFont="1" applyBorder="1" applyAlignment="1">
      <alignment horizontal="center" vertical="center" wrapText="1" readingOrder="1"/>
    </xf>
    <xf numFmtId="0" fontId="17" fillId="0" borderId="11" xfId="0" applyFont="1" applyBorder="1" applyAlignment="1">
      <alignment horizontal="center" vertical="center" wrapText="1" readingOrder="1"/>
    </xf>
    <xf numFmtId="0" fontId="17" fillId="9" borderId="13" xfId="0" applyFont="1" applyFill="1" applyBorder="1" applyAlignment="1">
      <alignment horizontal="center" vertical="center" wrapText="1"/>
    </xf>
    <xf numFmtId="0" fontId="17" fillId="9" borderId="7" xfId="0" applyFont="1" applyFill="1" applyBorder="1" applyAlignment="1">
      <alignment horizontal="center" vertical="center" wrapText="1"/>
    </xf>
    <xf numFmtId="0" fontId="17" fillId="9" borderId="11" xfId="0" applyFont="1" applyFill="1" applyBorder="1" applyAlignment="1">
      <alignment horizontal="center" vertical="center" wrapText="1"/>
    </xf>
    <xf numFmtId="0" fontId="23" fillId="0" borderId="0" xfId="0" applyFont="1" applyAlignment="1">
      <alignment horizontal="center" vertical="center" wrapText="1"/>
    </xf>
    <xf numFmtId="0" fontId="24" fillId="0" borderId="7"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7" xfId="0" applyFont="1" applyBorder="1" applyAlignment="1">
      <alignment horizontal="center" vertical="center"/>
    </xf>
    <xf numFmtId="0" fontId="24" fillId="0" borderId="11" xfId="0" applyFont="1" applyBorder="1" applyAlignment="1">
      <alignment horizontal="center" vertical="center"/>
    </xf>
    <xf numFmtId="0" fontId="24" fillId="0" borderId="13" xfId="0" applyFont="1" applyBorder="1" applyAlignment="1">
      <alignment horizontal="center" vertical="center"/>
    </xf>
    <xf numFmtId="0" fontId="25" fillId="0" borderId="13" xfId="0" applyFont="1" applyBorder="1" applyAlignment="1">
      <alignment horizontal="center" vertical="center" wrapText="1"/>
    </xf>
    <xf numFmtId="0" fontId="24" fillId="0" borderId="7" xfId="0" applyFont="1" applyBorder="1" applyAlignment="1">
      <alignment horizontal="center" vertical="center" wrapText="1" readingOrder="1"/>
    </xf>
    <xf numFmtId="0" fontId="24" fillId="0" borderId="11" xfId="0" applyFont="1" applyBorder="1" applyAlignment="1">
      <alignment horizontal="center" vertical="center" wrapText="1" readingOrder="1"/>
    </xf>
    <xf numFmtId="0" fontId="25" fillId="0" borderId="7" xfId="0" applyFont="1" applyBorder="1" applyAlignment="1">
      <alignment horizontal="center" vertical="center" wrapText="1"/>
    </xf>
    <xf numFmtId="0" fontId="25" fillId="0" borderId="11" xfId="0" applyFont="1" applyBorder="1" applyAlignment="1">
      <alignment horizontal="center" vertical="center" wrapText="1"/>
    </xf>
    <xf numFmtId="0" fontId="2" fillId="15" borderId="2" xfId="0" applyFont="1" applyFill="1" applyBorder="1" applyAlignment="1">
      <alignment horizontal="center"/>
    </xf>
    <xf numFmtId="0" fontId="2" fillId="0" borderId="2" xfId="0" applyFont="1" applyBorder="1"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Light16"/>
  <colors>
    <mruColors>
      <color rgb="FF0052A4"/>
      <color rgb="FFD8CDBE"/>
      <color rgb="FF2BAEAB"/>
      <color rgb="FF33CCCC"/>
      <color rgb="FF404040"/>
      <color rgb="FFB2EDEC"/>
      <color rgb="FF009E00"/>
      <color rgb="FF3608A8"/>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563898963031309E-2"/>
          <c:y val="5.0925925925925923E-2"/>
          <c:w val="0.72957109976450696"/>
          <c:h val="0.74908209390492841"/>
        </c:manualLayout>
      </c:layout>
      <c:lineChart>
        <c:grouping val="standard"/>
        <c:varyColors val="0"/>
        <c:ser>
          <c:idx val="0"/>
          <c:order val="0"/>
          <c:tx>
            <c:strRef>
              <c:f>Hoja1!$A$1</c:f>
              <c:strCache>
                <c:ptCount val="1"/>
                <c:pt idx="0">
                  <c:v>AÑOS DBT</c:v>
                </c:pt>
              </c:strCache>
            </c:strRef>
          </c:tx>
          <c:spPr>
            <a:ln w="22225" cap="rnd">
              <a:solidFill>
                <a:srgbClr val="C00000"/>
              </a:solidFill>
              <a:round/>
            </a:ln>
            <a:effectLst/>
          </c:spPr>
          <c:marker>
            <c:symbol val="none"/>
          </c:marker>
          <c:cat>
            <c:numRef>
              <c:f>Hoja1!$A$2:$A$194</c:f>
              <c:numCache>
                <c:formatCode>General</c:formatCode>
                <c:ptCount val="193"/>
                <c:pt idx="0">
                  <c:v>1</c:v>
                </c:pt>
                <c:pt idx="1">
                  <c:v>2</c:v>
                </c:pt>
                <c:pt idx="2">
                  <c:v>2</c:v>
                </c:pt>
                <c:pt idx="3">
                  <c:v>3</c:v>
                </c:pt>
                <c:pt idx="4">
                  <c:v>3</c:v>
                </c:pt>
                <c:pt idx="5">
                  <c:v>3</c:v>
                </c:pt>
                <c:pt idx="6">
                  <c:v>4</c:v>
                </c:pt>
                <c:pt idx="7">
                  <c:v>4</c:v>
                </c:pt>
                <c:pt idx="8">
                  <c:v>5</c:v>
                </c:pt>
                <c:pt idx="9">
                  <c:v>5</c:v>
                </c:pt>
                <c:pt idx="10">
                  <c:v>5</c:v>
                </c:pt>
                <c:pt idx="11">
                  <c:v>6</c:v>
                </c:pt>
                <c:pt idx="12">
                  <c:v>6</c:v>
                </c:pt>
                <c:pt idx="13">
                  <c:v>6</c:v>
                </c:pt>
                <c:pt idx="14">
                  <c:v>6</c:v>
                </c:pt>
                <c:pt idx="15">
                  <c:v>6</c:v>
                </c:pt>
                <c:pt idx="16">
                  <c:v>6</c:v>
                </c:pt>
                <c:pt idx="17">
                  <c:v>7</c:v>
                </c:pt>
                <c:pt idx="18">
                  <c:v>7</c:v>
                </c:pt>
                <c:pt idx="19">
                  <c:v>7</c:v>
                </c:pt>
                <c:pt idx="20">
                  <c:v>7</c:v>
                </c:pt>
                <c:pt idx="21">
                  <c:v>7</c:v>
                </c:pt>
                <c:pt idx="22">
                  <c:v>7</c:v>
                </c:pt>
                <c:pt idx="23">
                  <c:v>7</c:v>
                </c:pt>
                <c:pt idx="24">
                  <c:v>8</c:v>
                </c:pt>
                <c:pt idx="25">
                  <c:v>8</c:v>
                </c:pt>
                <c:pt idx="26">
                  <c:v>8</c:v>
                </c:pt>
                <c:pt idx="27">
                  <c:v>8</c:v>
                </c:pt>
                <c:pt idx="28">
                  <c:v>9</c:v>
                </c:pt>
                <c:pt idx="29">
                  <c:v>10</c:v>
                </c:pt>
                <c:pt idx="30">
                  <c:v>10</c:v>
                </c:pt>
                <c:pt idx="31">
                  <c:v>10</c:v>
                </c:pt>
                <c:pt idx="32">
                  <c:v>10</c:v>
                </c:pt>
                <c:pt idx="33">
                  <c:v>10</c:v>
                </c:pt>
                <c:pt idx="34">
                  <c:v>10</c:v>
                </c:pt>
                <c:pt idx="35">
                  <c:v>11</c:v>
                </c:pt>
                <c:pt idx="36">
                  <c:v>11</c:v>
                </c:pt>
                <c:pt idx="37">
                  <c:v>11</c:v>
                </c:pt>
                <c:pt idx="38">
                  <c:v>11</c:v>
                </c:pt>
                <c:pt idx="39">
                  <c:v>11</c:v>
                </c:pt>
                <c:pt idx="40">
                  <c:v>11</c:v>
                </c:pt>
                <c:pt idx="41">
                  <c:v>11</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13</c:v>
                </c:pt>
                <c:pt idx="58">
                  <c:v>13</c:v>
                </c:pt>
                <c:pt idx="59">
                  <c:v>13</c:v>
                </c:pt>
                <c:pt idx="60">
                  <c:v>14</c:v>
                </c:pt>
                <c:pt idx="61">
                  <c:v>14</c:v>
                </c:pt>
                <c:pt idx="62">
                  <c:v>14</c:v>
                </c:pt>
                <c:pt idx="63">
                  <c:v>15</c:v>
                </c:pt>
                <c:pt idx="64">
                  <c:v>15</c:v>
                </c:pt>
                <c:pt idx="65">
                  <c:v>15</c:v>
                </c:pt>
                <c:pt idx="66">
                  <c:v>15</c:v>
                </c:pt>
                <c:pt idx="67">
                  <c:v>15</c:v>
                </c:pt>
                <c:pt idx="68">
                  <c:v>15</c:v>
                </c:pt>
                <c:pt idx="69">
                  <c:v>15</c:v>
                </c:pt>
                <c:pt idx="70">
                  <c:v>15</c:v>
                </c:pt>
                <c:pt idx="71">
                  <c:v>16</c:v>
                </c:pt>
                <c:pt idx="72">
                  <c:v>16</c:v>
                </c:pt>
                <c:pt idx="73">
                  <c:v>16</c:v>
                </c:pt>
                <c:pt idx="74">
                  <c:v>16</c:v>
                </c:pt>
                <c:pt idx="75">
                  <c:v>16</c:v>
                </c:pt>
                <c:pt idx="76">
                  <c:v>16</c:v>
                </c:pt>
                <c:pt idx="77">
                  <c:v>16</c:v>
                </c:pt>
                <c:pt idx="78">
                  <c:v>16</c:v>
                </c:pt>
                <c:pt idx="79">
                  <c:v>16</c:v>
                </c:pt>
                <c:pt idx="80">
                  <c:v>16</c:v>
                </c:pt>
                <c:pt idx="81">
                  <c:v>17</c:v>
                </c:pt>
                <c:pt idx="82">
                  <c:v>17</c:v>
                </c:pt>
                <c:pt idx="83">
                  <c:v>17</c:v>
                </c:pt>
                <c:pt idx="84">
                  <c:v>18</c:v>
                </c:pt>
                <c:pt idx="85">
                  <c:v>18</c:v>
                </c:pt>
                <c:pt idx="86">
                  <c:v>18</c:v>
                </c:pt>
                <c:pt idx="87">
                  <c:v>18</c:v>
                </c:pt>
                <c:pt idx="88">
                  <c:v>18</c:v>
                </c:pt>
                <c:pt idx="89">
                  <c:v>18</c:v>
                </c:pt>
                <c:pt idx="90">
                  <c:v>18</c:v>
                </c:pt>
                <c:pt idx="91">
                  <c:v>19</c:v>
                </c:pt>
                <c:pt idx="92">
                  <c:v>19</c:v>
                </c:pt>
                <c:pt idx="93">
                  <c:v>20</c:v>
                </c:pt>
                <c:pt idx="94">
                  <c:v>20</c:v>
                </c:pt>
                <c:pt idx="95">
                  <c:v>20</c:v>
                </c:pt>
                <c:pt idx="96">
                  <c:v>20</c:v>
                </c:pt>
                <c:pt idx="97">
                  <c:v>20</c:v>
                </c:pt>
                <c:pt idx="98">
                  <c:v>20</c:v>
                </c:pt>
                <c:pt idx="99">
                  <c:v>21</c:v>
                </c:pt>
                <c:pt idx="100">
                  <c:v>21</c:v>
                </c:pt>
                <c:pt idx="101">
                  <c:v>21</c:v>
                </c:pt>
                <c:pt idx="102">
                  <c:v>21</c:v>
                </c:pt>
                <c:pt idx="103">
                  <c:v>21</c:v>
                </c:pt>
                <c:pt idx="104">
                  <c:v>21</c:v>
                </c:pt>
                <c:pt idx="105">
                  <c:v>21</c:v>
                </c:pt>
                <c:pt idx="106">
                  <c:v>21</c:v>
                </c:pt>
                <c:pt idx="107">
                  <c:v>21</c:v>
                </c:pt>
                <c:pt idx="108">
                  <c:v>21</c:v>
                </c:pt>
                <c:pt idx="109">
                  <c:v>21</c:v>
                </c:pt>
                <c:pt idx="110">
                  <c:v>21</c:v>
                </c:pt>
                <c:pt idx="111">
                  <c:v>21</c:v>
                </c:pt>
                <c:pt idx="112">
                  <c:v>21</c:v>
                </c:pt>
                <c:pt idx="113">
                  <c:v>21</c:v>
                </c:pt>
                <c:pt idx="114">
                  <c:v>21</c:v>
                </c:pt>
                <c:pt idx="115">
                  <c:v>21</c:v>
                </c:pt>
                <c:pt idx="116">
                  <c:v>21</c:v>
                </c:pt>
                <c:pt idx="117">
                  <c:v>21</c:v>
                </c:pt>
                <c:pt idx="118">
                  <c:v>21</c:v>
                </c:pt>
                <c:pt idx="119">
                  <c:v>21</c:v>
                </c:pt>
                <c:pt idx="120">
                  <c:v>22</c:v>
                </c:pt>
                <c:pt idx="121">
                  <c:v>22</c:v>
                </c:pt>
                <c:pt idx="122">
                  <c:v>22</c:v>
                </c:pt>
                <c:pt idx="123">
                  <c:v>22</c:v>
                </c:pt>
                <c:pt idx="124">
                  <c:v>23</c:v>
                </c:pt>
                <c:pt idx="125">
                  <c:v>23</c:v>
                </c:pt>
                <c:pt idx="126">
                  <c:v>23</c:v>
                </c:pt>
                <c:pt idx="127">
                  <c:v>23</c:v>
                </c:pt>
                <c:pt idx="128">
                  <c:v>23</c:v>
                </c:pt>
                <c:pt idx="129">
                  <c:v>23</c:v>
                </c:pt>
                <c:pt idx="130">
                  <c:v>24</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26</c:v>
                </c:pt>
                <c:pt idx="145">
                  <c:v>26</c:v>
                </c:pt>
                <c:pt idx="146">
                  <c:v>26</c:v>
                </c:pt>
                <c:pt idx="147">
                  <c:v>26</c:v>
                </c:pt>
                <c:pt idx="148">
                  <c:v>26</c:v>
                </c:pt>
                <c:pt idx="149">
                  <c:v>26</c:v>
                </c:pt>
                <c:pt idx="150">
                  <c:v>26</c:v>
                </c:pt>
                <c:pt idx="151">
                  <c:v>27</c:v>
                </c:pt>
                <c:pt idx="152">
                  <c:v>27</c:v>
                </c:pt>
                <c:pt idx="153">
                  <c:v>27</c:v>
                </c:pt>
                <c:pt idx="154">
                  <c:v>28</c:v>
                </c:pt>
                <c:pt idx="155">
                  <c:v>28</c:v>
                </c:pt>
                <c:pt idx="156">
                  <c:v>29</c:v>
                </c:pt>
                <c:pt idx="157">
                  <c:v>30</c:v>
                </c:pt>
                <c:pt idx="158">
                  <c:v>30</c:v>
                </c:pt>
                <c:pt idx="159">
                  <c:v>31</c:v>
                </c:pt>
                <c:pt idx="160">
                  <c:v>31</c:v>
                </c:pt>
                <c:pt idx="161">
                  <c:v>31</c:v>
                </c:pt>
                <c:pt idx="162">
                  <c:v>31</c:v>
                </c:pt>
                <c:pt idx="163">
                  <c:v>31</c:v>
                </c:pt>
                <c:pt idx="164">
                  <c:v>31</c:v>
                </c:pt>
                <c:pt idx="165">
                  <c:v>31</c:v>
                </c:pt>
                <c:pt idx="166">
                  <c:v>31</c:v>
                </c:pt>
                <c:pt idx="167">
                  <c:v>31</c:v>
                </c:pt>
                <c:pt idx="168">
                  <c:v>31</c:v>
                </c:pt>
                <c:pt idx="169">
                  <c:v>31</c:v>
                </c:pt>
                <c:pt idx="170">
                  <c:v>31</c:v>
                </c:pt>
                <c:pt idx="171">
                  <c:v>31</c:v>
                </c:pt>
                <c:pt idx="172">
                  <c:v>33</c:v>
                </c:pt>
                <c:pt idx="173">
                  <c:v>34</c:v>
                </c:pt>
                <c:pt idx="174">
                  <c:v>35</c:v>
                </c:pt>
                <c:pt idx="175">
                  <c:v>35</c:v>
                </c:pt>
                <c:pt idx="176">
                  <c:v>36</c:v>
                </c:pt>
                <c:pt idx="177">
                  <c:v>38</c:v>
                </c:pt>
                <c:pt idx="178">
                  <c:v>39</c:v>
                </c:pt>
                <c:pt idx="179">
                  <c:v>40</c:v>
                </c:pt>
                <c:pt idx="180">
                  <c:v>40</c:v>
                </c:pt>
                <c:pt idx="181">
                  <c:v>41</c:v>
                </c:pt>
                <c:pt idx="182">
                  <c:v>41</c:v>
                </c:pt>
                <c:pt idx="183">
                  <c:v>41</c:v>
                </c:pt>
                <c:pt idx="184">
                  <c:v>41</c:v>
                </c:pt>
                <c:pt idx="185">
                  <c:v>41</c:v>
                </c:pt>
                <c:pt idx="186">
                  <c:v>41</c:v>
                </c:pt>
                <c:pt idx="187">
                  <c:v>42</c:v>
                </c:pt>
                <c:pt idx="188">
                  <c:v>43</c:v>
                </c:pt>
                <c:pt idx="189">
                  <c:v>45</c:v>
                </c:pt>
                <c:pt idx="190">
                  <c:v>45</c:v>
                </c:pt>
                <c:pt idx="191">
                  <c:v>51</c:v>
                </c:pt>
                <c:pt idx="192">
                  <c:v>51</c:v>
                </c:pt>
              </c:numCache>
            </c:numRef>
          </c:cat>
          <c:val>
            <c:numRef>
              <c:f>Hoja1!$A$2:$A$194</c:f>
              <c:numCache>
                <c:formatCode>General</c:formatCode>
                <c:ptCount val="193"/>
                <c:pt idx="0">
                  <c:v>1</c:v>
                </c:pt>
                <c:pt idx="1">
                  <c:v>2</c:v>
                </c:pt>
                <c:pt idx="2">
                  <c:v>2</c:v>
                </c:pt>
                <c:pt idx="3">
                  <c:v>3</c:v>
                </c:pt>
                <c:pt idx="4">
                  <c:v>3</c:v>
                </c:pt>
                <c:pt idx="5">
                  <c:v>3</c:v>
                </c:pt>
                <c:pt idx="6">
                  <c:v>4</c:v>
                </c:pt>
                <c:pt idx="7">
                  <c:v>4</c:v>
                </c:pt>
                <c:pt idx="8">
                  <c:v>5</c:v>
                </c:pt>
                <c:pt idx="9">
                  <c:v>5</c:v>
                </c:pt>
                <c:pt idx="10">
                  <c:v>5</c:v>
                </c:pt>
                <c:pt idx="11">
                  <c:v>6</c:v>
                </c:pt>
                <c:pt idx="12">
                  <c:v>6</c:v>
                </c:pt>
                <c:pt idx="13">
                  <c:v>6</c:v>
                </c:pt>
                <c:pt idx="14">
                  <c:v>6</c:v>
                </c:pt>
                <c:pt idx="15">
                  <c:v>6</c:v>
                </c:pt>
                <c:pt idx="16">
                  <c:v>6</c:v>
                </c:pt>
                <c:pt idx="17">
                  <c:v>7</c:v>
                </c:pt>
                <c:pt idx="18">
                  <c:v>7</c:v>
                </c:pt>
                <c:pt idx="19">
                  <c:v>7</c:v>
                </c:pt>
                <c:pt idx="20">
                  <c:v>7</c:v>
                </c:pt>
                <c:pt idx="21">
                  <c:v>7</c:v>
                </c:pt>
                <c:pt idx="22">
                  <c:v>7</c:v>
                </c:pt>
                <c:pt idx="23">
                  <c:v>7</c:v>
                </c:pt>
                <c:pt idx="24">
                  <c:v>8</c:v>
                </c:pt>
                <c:pt idx="25">
                  <c:v>8</c:v>
                </c:pt>
                <c:pt idx="26">
                  <c:v>8</c:v>
                </c:pt>
                <c:pt idx="27">
                  <c:v>8</c:v>
                </c:pt>
                <c:pt idx="28">
                  <c:v>9</c:v>
                </c:pt>
                <c:pt idx="29">
                  <c:v>10</c:v>
                </c:pt>
                <c:pt idx="30">
                  <c:v>10</c:v>
                </c:pt>
                <c:pt idx="31">
                  <c:v>10</c:v>
                </c:pt>
                <c:pt idx="32">
                  <c:v>10</c:v>
                </c:pt>
                <c:pt idx="33">
                  <c:v>10</c:v>
                </c:pt>
                <c:pt idx="34">
                  <c:v>10</c:v>
                </c:pt>
                <c:pt idx="35">
                  <c:v>11</c:v>
                </c:pt>
                <c:pt idx="36">
                  <c:v>11</c:v>
                </c:pt>
                <c:pt idx="37">
                  <c:v>11</c:v>
                </c:pt>
                <c:pt idx="38">
                  <c:v>11</c:v>
                </c:pt>
                <c:pt idx="39">
                  <c:v>11</c:v>
                </c:pt>
                <c:pt idx="40">
                  <c:v>11</c:v>
                </c:pt>
                <c:pt idx="41">
                  <c:v>11</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13</c:v>
                </c:pt>
                <c:pt idx="58">
                  <c:v>13</c:v>
                </c:pt>
                <c:pt idx="59">
                  <c:v>13</c:v>
                </c:pt>
                <c:pt idx="60">
                  <c:v>14</c:v>
                </c:pt>
                <c:pt idx="61">
                  <c:v>14</c:v>
                </c:pt>
                <c:pt idx="62">
                  <c:v>14</c:v>
                </c:pt>
                <c:pt idx="63">
                  <c:v>15</c:v>
                </c:pt>
                <c:pt idx="64">
                  <c:v>15</c:v>
                </c:pt>
                <c:pt idx="65">
                  <c:v>15</c:v>
                </c:pt>
                <c:pt idx="66">
                  <c:v>15</c:v>
                </c:pt>
                <c:pt idx="67">
                  <c:v>15</c:v>
                </c:pt>
                <c:pt idx="68">
                  <c:v>15</c:v>
                </c:pt>
                <c:pt idx="69">
                  <c:v>15</c:v>
                </c:pt>
                <c:pt idx="70">
                  <c:v>15</c:v>
                </c:pt>
                <c:pt idx="71">
                  <c:v>16</c:v>
                </c:pt>
                <c:pt idx="72">
                  <c:v>16</c:v>
                </c:pt>
                <c:pt idx="73">
                  <c:v>16</c:v>
                </c:pt>
                <c:pt idx="74">
                  <c:v>16</c:v>
                </c:pt>
                <c:pt idx="75">
                  <c:v>16</c:v>
                </c:pt>
                <c:pt idx="76">
                  <c:v>16</c:v>
                </c:pt>
                <c:pt idx="77">
                  <c:v>16</c:v>
                </c:pt>
                <c:pt idx="78">
                  <c:v>16</c:v>
                </c:pt>
                <c:pt idx="79">
                  <c:v>16</c:v>
                </c:pt>
                <c:pt idx="80">
                  <c:v>16</c:v>
                </c:pt>
                <c:pt idx="81">
                  <c:v>17</c:v>
                </c:pt>
                <c:pt idx="82">
                  <c:v>17</c:v>
                </c:pt>
                <c:pt idx="83">
                  <c:v>17</c:v>
                </c:pt>
                <c:pt idx="84">
                  <c:v>18</c:v>
                </c:pt>
                <c:pt idx="85">
                  <c:v>18</c:v>
                </c:pt>
                <c:pt idx="86">
                  <c:v>18</c:v>
                </c:pt>
                <c:pt idx="87">
                  <c:v>18</c:v>
                </c:pt>
                <c:pt idx="88">
                  <c:v>18</c:v>
                </c:pt>
                <c:pt idx="89">
                  <c:v>18</c:v>
                </c:pt>
                <c:pt idx="90">
                  <c:v>18</c:v>
                </c:pt>
                <c:pt idx="91">
                  <c:v>19</c:v>
                </c:pt>
                <c:pt idx="92">
                  <c:v>19</c:v>
                </c:pt>
                <c:pt idx="93">
                  <c:v>20</c:v>
                </c:pt>
                <c:pt idx="94">
                  <c:v>20</c:v>
                </c:pt>
                <c:pt idx="95">
                  <c:v>20</c:v>
                </c:pt>
                <c:pt idx="96">
                  <c:v>20</c:v>
                </c:pt>
                <c:pt idx="97">
                  <c:v>20</c:v>
                </c:pt>
                <c:pt idx="98">
                  <c:v>20</c:v>
                </c:pt>
                <c:pt idx="99">
                  <c:v>21</c:v>
                </c:pt>
                <c:pt idx="100">
                  <c:v>21</c:v>
                </c:pt>
                <c:pt idx="101">
                  <c:v>21</c:v>
                </c:pt>
                <c:pt idx="102">
                  <c:v>21</c:v>
                </c:pt>
                <c:pt idx="103">
                  <c:v>21</c:v>
                </c:pt>
                <c:pt idx="104">
                  <c:v>21</c:v>
                </c:pt>
                <c:pt idx="105">
                  <c:v>21</c:v>
                </c:pt>
                <c:pt idx="106">
                  <c:v>21</c:v>
                </c:pt>
                <c:pt idx="107">
                  <c:v>21</c:v>
                </c:pt>
                <c:pt idx="108">
                  <c:v>21</c:v>
                </c:pt>
                <c:pt idx="109">
                  <c:v>21</c:v>
                </c:pt>
                <c:pt idx="110">
                  <c:v>21</c:v>
                </c:pt>
                <c:pt idx="111">
                  <c:v>21</c:v>
                </c:pt>
                <c:pt idx="112">
                  <c:v>21</c:v>
                </c:pt>
                <c:pt idx="113">
                  <c:v>21</c:v>
                </c:pt>
                <c:pt idx="114">
                  <c:v>21</c:v>
                </c:pt>
                <c:pt idx="115">
                  <c:v>21</c:v>
                </c:pt>
                <c:pt idx="116">
                  <c:v>21</c:v>
                </c:pt>
                <c:pt idx="117">
                  <c:v>21</c:v>
                </c:pt>
                <c:pt idx="118">
                  <c:v>21</c:v>
                </c:pt>
                <c:pt idx="119">
                  <c:v>21</c:v>
                </c:pt>
                <c:pt idx="120">
                  <c:v>22</c:v>
                </c:pt>
                <c:pt idx="121">
                  <c:v>22</c:v>
                </c:pt>
                <c:pt idx="122">
                  <c:v>22</c:v>
                </c:pt>
                <c:pt idx="123">
                  <c:v>22</c:v>
                </c:pt>
                <c:pt idx="124">
                  <c:v>23</c:v>
                </c:pt>
                <c:pt idx="125">
                  <c:v>23</c:v>
                </c:pt>
                <c:pt idx="126">
                  <c:v>23</c:v>
                </c:pt>
                <c:pt idx="127">
                  <c:v>23</c:v>
                </c:pt>
                <c:pt idx="128">
                  <c:v>23</c:v>
                </c:pt>
                <c:pt idx="129">
                  <c:v>23</c:v>
                </c:pt>
                <c:pt idx="130">
                  <c:v>24</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26</c:v>
                </c:pt>
                <c:pt idx="145">
                  <c:v>26</c:v>
                </c:pt>
                <c:pt idx="146">
                  <c:v>26</c:v>
                </c:pt>
                <c:pt idx="147">
                  <c:v>26</c:v>
                </c:pt>
                <c:pt idx="148">
                  <c:v>26</c:v>
                </c:pt>
                <c:pt idx="149">
                  <c:v>26</c:v>
                </c:pt>
                <c:pt idx="150">
                  <c:v>26</c:v>
                </c:pt>
                <c:pt idx="151">
                  <c:v>27</c:v>
                </c:pt>
                <c:pt idx="152">
                  <c:v>27</c:v>
                </c:pt>
                <c:pt idx="153">
                  <c:v>27</c:v>
                </c:pt>
                <c:pt idx="154">
                  <c:v>28</c:v>
                </c:pt>
                <c:pt idx="155">
                  <c:v>28</c:v>
                </c:pt>
                <c:pt idx="156">
                  <c:v>29</c:v>
                </c:pt>
                <c:pt idx="157">
                  <c:v>30</c:v>
                </c:pt>
                <c:pt idx="158">
                  <c:v>30</c:v>
                </c:pt>
                <c:pt idx="159">
                  <c:v>31</c:v>
                </c:pt>
                <c:pt idx="160">
                  <c:v>31</c:v>
                </c:pt>
                <c:pt idx="161">
                  <c:v>31</c:v>
                </c:pt>
                <c:pt idx="162">
                  <c:v>31</c:v>
                </c:pt>
                <c:pt idx="163">
                  <c:v>31</c:v>
                </c:pt>
                <c:pt idx="164">
                  <c:v>31</c:v>
                </c:pt>
                <c:pt idx="165">
                  <c:v>31</c:v>
                </c:pt>
                <c:pt idx="166">
                  <c:v>31</c:v>
                </c:pt>
                <c:pt idx="167">
                  <c:v>31</c:v>
                </c:pt>
                <c:pt idx="168">
                  <c:v>31</c:v>
                </c:pt>
                <c:pt idx="169">
                  <c:v>31</c:v>
                </c:pt>
                <c:pt idx="170">
                  <c:v>31</c:v>
                </c:pt>
                <c:pt idx="171">
                  <c:v>31</c:v>
                </c:pt>
                <c:pt idx="172">
                  <c:v>33</c:v>
                </c:pt>
                <c:pt idx="173">
                  <c:v>34</c:v>
                </c:pt>
                <c:pt idx="174">
                  <c:v>35</c:v>
                </c:pt>
                <c:pt idx="175">
                  <c:v>35</c:v>
                </c:pt>
                <c:pt idx="176">
                  <c:v>36</c:v>
                </c:pt>
                <c:pt idx="177">
                  <c:v>38</c:v>
                </c:pt>
                <c:pt idx="178">
                  <c:v>39</c:v>
                </c:pt>
                <c:pt idx="179">
                  <c:v>40</c:v>
                </c:pt>
                <c:pt idx="180">
                  <c:v>40</c:v>
                </c:pt>
                <c:pt idx="181">
                  <c:v>41</c:v>
                </c:pt>
                <c:pt idx="182">
                  <c:v>41</c:v>
                </c:pt>
                <c:pt idx="183">
                  <c:v>41</c:v>
                </c:pt>
                <c:pt idx="184">
                  <c:v>41</c:v>
                </c:pt>
                <c:pt idx="185">
                  <c:v>41</c:v>
                </c:pt>
                <c:pt idx="186">
                  <c:v>41</c:v>
                </c:pt>
                <c:pt idx="187">
                  <c:v>42</c:v>
                </c:pt>
                <c:pt idx="188">
                  <c:v>43</c:v>
                </c:pt>
                <c:pt idx="189">
                  <c:v>45</c:v>
                </c:pt>
                <c:pt idx="190">
                  <c:v>45</c:v>
                </c:pt>
                <c:pt idx="191">
                  <c:v>51</c:v>
                </c:pt>
                <c:pt idx="192">
                  <c:v>51</c:v>
                </c:pt>
              </c:numCache>
            </c:numRef>
          </c:val>
          <c:smooth val="0"/>
          <c:extLst>
            <c:ext xmlns:c16="http://schemas.microsoft.com/office/drawing/2014/chart" uri="{C3380CC4-5D6E-409C-BE32-E72D297353CC}">
              <c16:uniqueId val="{00000000-B5AE-4249-A5DC-C09B4F377E88}"/>
            </c:ext>
          </c:extLst>
        </c:ser>
        <c:ser>
          <c:idx val="1"/>
          <c:order val="1"/>
          <c:tx>
            <c:strRef>
              <c:f>Hoja1!$B$1</c:f>
              <c:strCache>
                <c:ptCount val="1"/>
                <c:pt idx="0">
                  <c:v>HbA1c_INICIO</c:v>
                </c:pt>
              </c:strCache>
            </c:strRef>
          </c:tx>
          <c:spPr>
            <a:ln w="22225" cap="rnd">
              <a:solidFill>
                <a:srgbClr val="009E00"/>
              </a:solidFill>
              <a:round/>
            </a:ln>
            <a:effectLst/>
          </c:spPr>
          <c:marker>
            <c:symbol val="none"/>
          </c:marker>
          <c:cat>
            <c:numRef>
              <c:f>Hoja1!$A$2:$A$194</c:f>
              <c:numCache>
                <c:formatCode>General</c:formatCode>
                <c:ptCount val="193"/>
                <c:pt idx="0">
                  <c:v>1</c:v>
                </c:pt>
                <c:pt idx="1">
                  <c:v>2</c:v>
                </c:pt>
                <c:pt idx="2">
                  <c:v>2</c:v>
                </c:pt>
                <c:pt idx="3">
                  <c:v>3</c:v>
                </c:pt>
                <c:pt idx="4">
                  <c:v>3</c:v>
                </c:pt>
                <c:pt idx="5">
                  <c:v>3</c:v>
                </c:pt>
                <c:pt idx="6">
                  <c:v>4</c:v>
                </c:pt>
                <c:pt idx="7">
                  <c:v>4</c:v>
                </c:pt>
                <c:pt idx="8">
                  <c:v>5</c:v>
                </c:pt>
                <c:pt idx="9">
                  <c:v>5</c:v>
                </c:pt>
                <c:pt idx="10">
                  <c:v>5</c:v>
                </c:pt>
                <c:pt idx="11">
                  <c:v>6</c:v>
                </c:pt>
                <c:pt idx="12">
                  <c:v>6</c:v>
                </c:pt>
                <c:pt idx="13">
                  <c:v>6</c:v>
                </c:pt>
                <c:pt idx="14">
                  <c:v>6</c:v>
                </c:pt>
                <c:pt idx="15">
                  <c:v>6</c:v>
                </c:pt>
                <c:pt idx="16">
                  <c:v>6</c:v>
                </c:pt>
                <c:pt idx="17">
                  <c:v>7</c:v>
                </c:pt>
                <c:pt idx="18">
                  <c:v>7</c:v>
                </c:pt>
                <c:pt idx="19">
                  <c:v>7</c:v>
                </c:pt>
                <c:pt idx="20">
                  <c:v>7</c:v>
                </c:pt>
                <c:pt idx="21">
                  <c:v>7</c:v>
                </c:pt>
                <c:pt idx="22">
                  <c:v>7</c:v>
                </c:pt>
                <c:pt idx="23">
                  <c:v>7</c:v>
                </c:pt>
                <c:pt idx="24">
                  <c:v>8</c:v>
                </c:pt>
                <c:pt idx="25">
                  <c:v>8</c:v>
                </c:pt>
                <c:pt idx="26">
                  <c:v>8</c:v>
                </c:pt>
                <c:pt idx="27">
                  <c:v>8</c:v>
                </c:pt>
                <c:pt idx="28">
                  <c:v>9</c:v>
                </c:pt>
                <c:pt idx="29">
                  <c:v>10</c:v>
                </c:pt>
                <c:pt idx="30">
                  <c:v>10</c:v>
                </c:pt>
                <c:pt idx="31">
                  <c:v>10</c:v>
                </c:pt>
                <c:pt idx="32">
                  <c:v>10</c:v>
                </c:pt>
                <c:pt idx="33">
                  <c:v>10</c:v>
                </c:pt>
                <c:pt idx="34">
                  <c:v>10</c:v>
                </c:pt>
                <c:pt idx="35">
                  <c:v>11</c:v>
                </c:pt>
                <c:pt idx="36">
                  <c:v>11</c:v>
                </c:pt>
                <c:pt idx="37">
                  <c:v>11</c:v>
                </c:pt>
                <c:pt idx="38">
                  <c:v>11</c:v>
                </c:pt>
                <c:pt idx="39">
                  <c:v>11</c:v>
                </c:pt>
                <c:pt idx="40">
                  <c:v>11</c:v>
                </c:pt>
                <c:pt idx="41">
                  <c:v>11</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13</c:v>
                </c:pt>
                <c:pt idx="58">
                  <c:v>13</c:v>
                </c:pt>
                <c:pt idx="59">
                  <c:v>13</c:v>
                </c:pt>
                <c:pt idx="60">
                  <c:v>14</c:v>
                </c:pt>
                <c:pt idx="61">
                  <c:v>14</c:v>
                </c:pt>
                <c:pt idx="62">
                  <c:v>14</c:v>
                </c:pt>
                <c:pt idx="63">
                  <c:v>15</c:v>
                </c:pt>
                <c:pt idx="64">
                  <c:v>15</c:v>
                </c:pt>
                <c:pt idx="65">
                  <c:v>15</c:v>
                </c:pt>
                <c:pt idx="66">
                  <c:v>15</c:v>
                </c:pt>
                <c:pt idx="67">
                  <c:v>15</c:v>
                </c:pt>
                <c:pt idx="68">
                  <c:v>15</c:v>
                </c:pt>
                <c:pt idx="69">
                  <c:v>15</c:v>
                </c:pt>
                <c:pt idx="70">
                  <c:v>15</c:v>
                </c:pt>
                <c:pt idx="71">
                  <c:v>16</c:v>
                </c:pt>
                <c:pt idx="72">
                  <c:v>16</c:v>
                </c:pt>
                <c:pt idx="73">
                  <c:v>16</c:v>
                </c:pt>
                <c:pt idx="74">
                  <c:v>16</c:v>
                </c:pt>
                <c:pt idx="75">
                  <c:v>16</c:v>
                </c:pt>
                <c:pt idx="76">
                  <c:v>16</c:v>
                </c:pt>
                <c:pt idx="77">
                  <c:v>16</c:v>
                </c:pt>
                <c:pt idx="78">
                  <c:v>16</c:v>
                </c:pt>
                <c:pt idx="79">
                  <c:v>16</c:v>
                </c:pt>
                <c:pt idx="80">
                  <c:v>16</c:v>
                </c:pt>
                <c:pt idx="81">
                  <c:v>17</c:v>
                </c:pt>
                <c:pt idx="82">
                  <c:v>17</c:v>
                </c:pt>
                <c:pt idx="83">
                  <c:v>17</c:v>
                </c:pt>
                <c:pt idx="84">
                  <c:v>18</c:v>
                </c:pt>
                <c:pt idx="85">
                  <c:v>18</c:v>
                </c:pt>
                <c:pt idx="86">
                  <c:v>18</c:v>
                </c:pt>
                <c:pt idx="87">
                  <c:v>18</c:v>
                </c:pt>
                <c:pt idx="88">
                  <c:v>18</c:v>
                </c:pt>
                <c:pt idx="89">
                  <c:v>18</c:v>
                </c:pt>
                <c:pt idx="90">
                  <c:v>18</c:v>
                </c:pt>
                <c:pt idx="91">
                  <c:v>19</c:v>
                </c:pt>
                <c:pt idx="92">
                  <c:v>19</c:v>
                </c:pt>
                <c:pt idx="93">
                  <c:v>20</c:v>
                </c:pt>
                <c:pt idx="94">
                  <c:v>20</c:v>
                </c:pt>
                <c:pt idx="95">
                  <c:v>20</c:v>
                </c:pt>
                <c:pt idx="96">
                  <c:v>20</c:v>
                </c:pt>
                <c:pt idx="97">
                  <c:v>20</c:v>
                </c:pt>
                <c:pt idx="98">
                  <c:v>20</c:v>
                </c:pt>
                <c:pt idx="99">
                  <c:v>21</c:v>
                </c:pt>
                <c:pt idx="100">
                  <c:v>21</c:v>
                </c:pt>
                <c:pt idx="101">
                  <c:v>21</c:v>
                </c:pt>
                <c:pt idx="102">
                  <c:v>21</c:v>
                </c:pt>
                <c:pt idx="103">
                  <c:v>21</c:v>
                </c:pt>
                <c:pt idx="104">
                  <c:v>21</c:v>
                </c:pt>
                <c:pt idx="105">
                  <c:v>21</c:v>
                </c:pt>
                <c:pt idx="106">
                  <c:v>21</c:v>
                </c:pt>
                <c:pt idx="107">
                  <c:v>21</c:v>
                </c:pt>
                <c:pt idx="108">
                  <c:v>21</c:v>
                </c:pt>
                <c:pt idx="109">
                  <c:v>21</c:v>
                </c:pt>
                <c:pt idx="110">
                  <c:v>21</c:v>
                </c:pt>
                <c:pt idx="111">
                  <c:v>21</c:v>
                </c:pt>
                <c:pt idx="112">
                  <c:v>21</c:v>
                </c:pt>
                <c:pt idx="113">
                  <c:v>21</c:v>
                </c:pt>
                <c:pt idx="114">
                  <c:v>21</c:v>
                </c:pt>
                <c:pt idx="115">
                  <c:v>21</c:v>
                </c:pt>
                <c:pt idx="116">
                  <c:v>21</c:v>
                </c:pt>
                <c:pt idx="117">
                  <c:v>21</c:v>
                </c:pt>
                <c:pt idx="118">
                  <c:v>21</c:v>
                </c:pt>
                <c:pt idx="119">
                  <c:v>21</c:v>
                </c:pt>
                <c:pt idx="120">
                  <c:v>22</c:v>
                </c:pt>
                <c:pt idx="121">
                  <c:v>22</c:v>
                </c:pt>
                <c:pt idx="122">
                  <c:v>22</c:v>
                </c:pt>
                <c:pt idx="123">
                  <c:v>22</c:v>
                </c:pt>
                <c:pt idx="124">
                  <c:v>23</c:v>
                </c:pt>
                <c:pt idx="125">
                  <c:v>23</c:v>
                </c:pt>
                <c:pt idx="126">
                  <c:v>23</c:v>
                </c:pt>
                <c:pt idx="127">
                  <c:v>23</c:v>
                </c:pt>
                <c:pt idx="128">
                  <c:v>23</c:v>
                </c:pt>
                <c:pt idx="129">
                  <c:v>23</c:v>
                </c:pt>
                <c:pt idx="130">
                  <c:v>24</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26</c:v>
                </c:pt>
                <c:pt idx="145">
                  <c:v>26</c:v>
                </c:pt>
                <c:pt idx="146">
                  <c:v>26</c:v>
                </c:pt>
                <c:pt idx="147">
                  <c:v>26</c:v>
                </c:pt>
                <c:pt idx="148">
                  <c:v>26</c:v>
                </c:pt>
                <c:pt idx="149">
                  <c:v>26</c:v>
                </c:pt>
                <c:pt idx="150">
                  <c:v>26</c:v>
                </c:pt>
                <c:pt idx="151">
                  <c:v>27</c:v>
                </c:pt>
                <c:pt idx="152">
                  <c:v>27</c:v>
                </c:pt>
                <c:pt idx="153">
                  <c:v>27</c:v>
                </c:pt>
                <c:pt idx="154">
                  <c:v>28</c:v>
                </c:pt>
                <c:pt idx="155">
                  <c:v>28</c:v>
                </c:pt>
                <c:pt idx="156">
                  <c:v>29</c:v>
                </c:pt>
                <c:pt idx="157">
                  <c:v>30</c:v>
                </c:pt>
                <c:pt idx="158">
                  <c:v>30</c:v>
                </c:pt>
                <c:pt idx="159">
                  <c:v>31</c:v>
                </c:pt>
                <c:pt idx="160">
                  <c:v>31</c:v>
                </c:pt>
                <c:pt idx="161">
                  <c:v>31</c:v>
                </c:pt>
                <c:pt idx="162">
                  <c:v>31</c:v>
                </c:pt>
                <c:pt idx="163">
                  <c:v>31</c:v>
                </c:pt>
                <c:pt idx="164">
                  <c:v>31</c:v>
                </c:pt>
                <c:pt idx="165">
                  <c:v>31</c:v>
                </c:pt>
                <c:pt idx="166">
                  <c:v>31</c:v>
                </c:pt>
                <c:pt idx="167">
                  <c:v>31</c:v>
                </c:pt>
                <c:pt idx="168">
                  <c:v>31</c:v>
                </c:pt>
                <c:pt idx="169">
                  <c:v>31</c:v>
                </c:pt>
                <c:pt idx="170">
                  <c:v>31</c:v>
                </c:pt>
                <c:pt idx="171">
                  <c:v>31</c:v>
                </c:pt>
                <c:pt idx="172">
                  <c:v>33</c:v>
                </c:pt>
                <c:pt idx="173">
                  <c:v>34</c:v>
                </c:pt>
                <c:pt idx="174">
                  <c:v>35</c:v>
                </c:pt>
                <c:pt idx="175">
                  <c:v>35</c:v>
                </c:pt>
                <c:pt idx="176">
                  <c:v>36</c:v>
                </c:pt>
                <c:pt idx="177">
                  <c:v>38</c:v>
                </c:pt>
                <c:pt idx="178">
                  <c:v>39</c:v>
                </c:pt>
                <c:pt idx="179">
                  <c:v>40</c:v>
                </c:pt>
                <c:pt idx="180">
                  <c:v>40</c:v>
                </c:pt>
                <c:pt idx="181">
                  <c:v>41</c:v>
                </c:pt>
                <c:pt idx="182">
                  <c:v>41</c:v>
                </c:pt>
                <c:pt idx="183">
                  <c:v>41</c:v>
                </c:pt>
                <c:pt idx="184">
                  <c:v>41</c:v>
                </c:pt>
                <c:pt idx="185">
                  <c:v>41</c:v>
                </c:pt>
                <c:pt idx="186">
                  <c:v>41</c:v>
                </c:pt>
                <c:pt idx="187">
                  <c:v>42</c:v>
                </c:pt>
                <c:pt idx="188">
                  <c:v>43</c:v>
                </c:pt>
                <c:pt idx="189">
                  <c:v>45</c:v>
                </c:pt>
                <c:pt idx="190">
                  <c:v>45</c:v>
                </c:pt>
                <c:pt idx="191">
                  <c:v>51</c:v>
                </c:pt>
                <c:pt idx="192">
                  <c:v>51</c:v>
                </c:pt>
              </c:numCache>
            </c:numRef>
          </c:cat>
          <c:val>
            <c:numRef>
              <c:f>Hoja1!$B$2:$B$194</c:f>
              <c:numCache>
                <c:formatCode>General</c:formatCode>
                <c:ptCount val="193"/>
                <c:pt idx="0">
                  <c:v>9.4</c:v>
                </c:pt>
                <c:pt idx="1">
                  <c:v>7.2</c:v>
                </c:pt>
                <c:pt idx="2">
                  <c:v>6.6</c:v>
                </c:pt>
                <c:pt idx="3">
                  <c:v>8.6999999999999993</c:v>
                </c:pt>
                <c:pt idx="4">
                  <c:v>9.6999999999999993</c:v>
                </c:pt>
                <c:pt idx="5">
                  <c:v>15.4</c:v>
                </c:pt>
                <c:pt idx="6">
                  <c:v>12.6</c:v>
                </c:pt>
                <c:pt idx="7">
                  <c:v>9.1</c:v>
                </c:pt>
                <c:pt idx="8">
                  <c:v>8.6</c:v>
                </c:pt>
                <c:pt idx="9">
                  <c:v>11.2</c:v>
                </c:pt>
                <c:pt idx="10">
                  <c:v>9.6999999999999993</c:v>
                </c:pt>
                <c:pt idx="11">
                  <c:v>9.9</c:v>
                </c:pt>
                <c:pt idx="12">
                  <c:v>8.4</c:v>
                </c:pt>
                <c:pt idx="13">
                  <c:v>8.1999999999999993</c:v>
                </c:pt>
                <c:pt idx="14">
                  <c:v>11.8</c:v>
                </c:pt>
                <c:pt idx="15">
                  <c:v>9.6</c:v>
                </c:pt>
                <c:pt idx="16">
                  <c:v>5.8</c:v>
                </c:pt>
                <c:pt idx="17">
                  <c:v>8.5</c:v>
                </c:pt>
                <c:pt idx="18">
                  <c:v>9.4</c:v>
                </c:pt>
                <c:pt idx="19">
                  <c:v>10.3</c:v>
                </c:pt>
                <c:pt idx="20">
                  <c:v>5.5</c:v>
                </c:pt>
                <c:pt idx="21">
                  <c:v>9.5</c:v>
                </c:pt>
                <c:pt idx="22">
                  <c:v>6.3</c:v>
                </c:pt>
                <c:pt idx="23">
                  <c:v>8.3000000000000007</c:v>
                </c:pt>
                <c:pt idx="24">
                  <c:v>7.9</c:v>
                </c:pt>
                <c:pt idx="25">
                  <c:v>8.9</c:v>
                </c:pt>
                <c:pt idx="26">
                  <c:v>12.3</c:v>
                </c:pt>
                <c:pt idx="27">
                  <c:v>11.8</c:v>
                </c:pt>
                <c:pt idx="28">
                  <c:v>10.1</c:v>
                </c:pt>
                <c:pt idx="29">
                  <c:v>13.4</c:v>
                </c:pt>
                <c:pt idx="30">
                  <c:v>6.8</c:v>
                </c:pt>
                <c:pt idx="31">
                  <c:v>9.3000000000000007</c:v>
                </c:pt>
                <c:pt idx="32">
                  <c:v>9.4</c:v>
                </c:pt>
                <c:pt idx="33">
                  <c:v>10.199999999999999</c:v>
                </c:pt>
                <c:pt idx="34">
                  <c:v>10.5</c:v>
                </c:pt>
                <c:pt idx="35">
                  <c:v>9.4</c:v>
                </c:pt>
                <c:pt idx="36">
                  <c:v>9.6</c:v>
                </c:pt>
                <c:pt idx="37">
                  <c:v>7.9</c:v>
                </c:pt>
                <c:pt idx="38">
                  <c:v>8.6</c:v>
                </c:pt>
                <c:pt idx="39">
                  <c:v>8.8000000000000007</c:v>
                </c:pt>
                <c:pt idx="40">
                  <c:v>13.5</c:v>
                </c:pt>
                <c:pt idx="41">
                  <c:v>9.3000000000000007</c:v>
                </c:pt>
                <c:pt idx="42">
                  <c:v>9.6</c:v>
                </c:pt>
                <c:pt idx="43">
                  <c:v>12.4</c:v>
                </c:pt>
                <c:pt idx="44">
                  <c:v>10</c:v>
                </c:pt>
                <c:pt idx="45">
                  <c:v>11.2</c:v>
                </c:pt>
                <c:pt idx="46">
                  <c:v>8.5</c:v>
                </c:pt>
                <c:pt idx="47">
                  <c:v>8</c:v>
                </c:pt>
                <c:pt idx="48">
                  <c:v>8.1</c:v>
                </c:pt>
                <c:pt idx="49">
                  <c:v>13.5</c:v>
                </c:pt>
                <c:pt idx="50">
                  <c:v>11.4</c:v>
                </c:pt>
                <c:pt idx="51">
                  <c:v>14.4</c:v>
                </c:pt>
                <c:pt idx="52">
                  <c:v>10.7</c:v>
                </c:pt>
                <c:pt idx="53">
                  <c:v>7.9</c:v>
                </c:pt>
                <c:pt idx="54">
                  <c:v>8.1</c:v>
                </c:pt>
                <c:pt idx="55">
                  <c:v>6.5</c:v>
                </c:pt>
                <c:pt idx="56">
                  <c:v>6.3</c:v>
                </c:pt>
                <c:pt idx="57">
                  <c:v>7.7</c:v>
                </c:pt>
                <c:pt idx="58">
                  <c:v>9.1</c:v>
                </c:pt>
                <c:pt idx="59">
                  <c:v>6.8</c:v>
                </c:pt>
                <c:pt idx="60">
                  <c:v>11.9</c:v>
                </c:pt>
                <c:pt idx="61">
                  <c:v>7.2</c:v>
                </c:pt>
                <c:pt idx="62">
                  <c:v>10.3</c:v>
                </c:pt>
                <c:pt idx="63">
                  <c:v>9</c:v>
                </c:pt>
                <c:pt idx="64">
                  <c:v>11</c:v>
                </c:pt>
                <c:pt idx="65">
                  <c:v>6.4</c:v>
                </c:pt>
                <c:pt idx="66">
                  <c:v>7.3</c:v>
                </c:pt>
                <c:pt idx="67">
                  <c:v>9</c:v>
                </c:pt>
                <c:pt idx="68">
                  <c:v>15.2</c:v>
                </c:pt>
                <c:pt idx="69">
                  <c:v>6.5</c:v>
                </c:pt>
                <c:pt idx="70">
                  <c:v>6.5</c:v>
                </c:pt>
                <c:pt idx="71">
                  <c:v>11.9</c:v>
                </c:pt>
                <c:pt idx="72">
                  <c:v>12</c:v>
                </c:pt>
                <c:pt idx="73">
                  <c:v>7.3</c:v>
                </c:pt>
                <c:pt idx="74">
                  <c:v>12.8</c:v>
                </c:pt>
                <c:pt idx="75">
                  <c:v>9.8000000000000007</c:v>
                </c:pt>
                <c:pt idx="76">
                  <c:v>13.4</c:v>
                </c:pt>
                <c:pt idx="77">
                  <c:v>9.1</c:v>
                </c:pt>
                <c:pt idx="78">
                  <c:v>12.4</c:v>
                </c:pt>
                <c:pt idx="79">
                  <c:v>11</c:v>
                </c:pt>
                <c:pt idx="80">
                  <c:v>9.9</c:v>
                </c:pt>
                <c:pt idx="81">
                  <c:v>8.6999999999999993</c:v>
                </c:pt>
                <c:pt idx="82">
                  <c:v>4.5</c:v>
                </c:pt>
                <c:pt idx="83">
                  <c:v>9</c:v>
                </c:pt>
                <c:pt idx="84">
                  <c:v>10.7</c:v>
                </c:pt>
                <c:pt idx="85">
                  <c:v>11.3</c:v>
                </c:pt>
                <c:pt idx="86">
                  <c:v>10.6</c:v>
                </c:pt>
                <c:pt idx="87">
                  <c:v>5.6</c:v>
                </c:pt>
                <c:pt idx="88">
                  <c:v>10.9</c:v>
                </c:pt>
                <c:pt idx="89">
                  <c:v>6.5</c:v>
                </c:pt>
                <c:pt idx="90">
                  <c:v>10.1</c:v>
                </c:pt>
                <c:pt idx="91">
                  <c:v>9</c:v>
                </c:pt>
                <c:pt idx="92">
                  <c:v>10.7</c:v>
                </c:pt>
                <c:pt idx="93">
                  <c:v>10.4</c:v>
                </c:pt>
                <c:pt idx="94">
                  <c:v>13.3</c:v>
                </c:pt>
                <c:pt idx="95">
                  <c:v>7.3</c:v>
                </c:pt>
                <c:pt idx="96">
                  <c:v>10.4</c:v>
                </c:pt>
                <c:pt idx="97">
                  <c:v>10.6</c:v>
                </c:pt>
                <c:pt idx="98">
                  <c:v>11.3</c:v>
                </c:pt>
                <c:pt idx="99">
                  <c:v>11.8</c:v>
                </c:pt>
                <c:pt idx="100">
                  <c:v>15.5</c:v>
                </c:pt>
                <c:pt idx="101">
                  <c:v>7.3</c:v>
                </c:pt>
                <c:pt idx="102">
                  <c:v>8.4</c:v>
                </c:pt>
                <c:pt idx="103">
                  <c:v>8.9</c:v>
                </c:pt>
                <c:pt idx="104">
                  <c:v>12.8</c:v>
                </c:pt>
                <c:pt idx="105">
                  <c:v>13.2</c:v>
                </c:pt>
                <c:pt idx="106">
                  <c:v>9.1</c:v>
                </c:pt>
                <c:pt idx="107">
                  <c:v>8.5</c:v>
                </c:pt>
                <c:pt idx="108">
                  <c:v>8.5</c:v>
                </c:pt>
                <c:pt idx="109">
                  <c:v>14.4</c:v>
                </c:pt>
                <c:pt idx="110">
                  <c:v>12</c:v>
                </c:pt>
                <c:pt idx="111">
                  <c:v>6.6</c:v>
                </c:pt>
                <c:pt idx="112">
                  <c:v>8.5</c:v>
                </c:pt>
                <c:pt idx="113">
                  <c:v>8.3000000000000007</c:v>
                </c:pt>
                <c:pt idx="114">
                  <c:v>8.4</c:v>
                </c:pt>
                <c:pt idx="115">
                  <c:v>11.6</c:v>
                </c:pt>
                <c:pt idx="116">
                  <c:v>10.1</c:v>
                </c:pt>
                <c:pt idx="117">
                  <c:v>11.2</c:v>
                </c:pt>
                <c:pt idx="118">
                  <c:v>7.7</c:v>
                </c:pt>
                <c:pt idx="119">
                  <c:v>10.1</c:v>
                </c:pt>
                <c:pt idx="120">
                  <c:v>12.1</c:v>
                </c:pt>
                <c:pt idx="121">
                  <c:v>14.6</c:v>
                </c:pt>
                <c:pt idx="122">
                  <c:v>9.9</c:v>
                </c:pt>
                <c:pt idx="123">
                  <c:v>12.5</c:v>
                </c:pt>
                <c:pt idx="124">
                  <c:v>11.7</c:v>
                </c:pt>
                <c:pt idx="125">
                  <c:v>7.3</c:v>
                </c:pt>
                <c:pt idx="126">
                  <c:v>7.8</c:v>
                </c:pt>
                <c:pt idx="127">
                  <c:v>8.3000000000000007</c:v>
                </c:pt>
                <c:pt idx="128">
                  <c:v>12.4</c:v>
                </c:pt>
                <c:pt idx="129">
                  <c:v>7.8</c:v>
                </c:pt>
                <c:pt idx="130">
                  <c:v>9.5</c:v>
                </c:pt>
                <c:pt idx="131">
                  <c:v>4.7</c:v>
                </c:pt>
                <c:pt idx="132">
                  <c:v>13.4</c:v>
                </c:pt>
                <c:pt idx="133">
                  <c:v>13.3</c:v>
                </c:pt>
                <c:pt idx="134">
                  <c:v>9.1999999999999993</c:v>
                </c:pt>
                <c:pt idx="135">
                  <c:v>5.6</c:v>
                </c:pt>
                <c:pt idx="136">
                  <c:v>8.1999999999999993</c:v>
                </c:pt>
                <c:pt idx="137">
                  <c:v>12.4</c:v>
                </c:pt>
                <c:pt idx="138">
                  <c:v>9.6</c:v>
                </c:pt>
                <c:pt idx="139">
                  <c:v>11.7</c:v>
                </c:pt>
                <c:pt idx="140">
                  <c:v>10.3</c:v>
                </c:pt>
                <c:pt idx="141">
                  <c:v>6.3</c:v>
                </c:pt>
                <c:pt idx="142">
                  <c:v>9.6999999999999993</c:v>
                </c:pt>
                <c:pt idx="143">
                  <c:v>7.4</c:v>
                </c:pt>
                <c:pt idx="144">
                  <c:v>10.3</c:v>
                </c:pt>
                <c:pt idx="145">
                  <c:v>14.6</c:v>
                </c:pt>
                <c:pt idx="146">
                  <c:v>13.5</c:v>
                </c:pt>
                <c:pt idx="147">
                  <c:v>10.4</c:v>
                </c:pt>
                <c:pt idx="148">
                  <c:v>13.2</c:v>
                </c:pt>
                <c:pt idx="149">
                  <c:v>9.3000000000000007</c:v>
                </c:pt>
                <c:pt idx="150">
                  <c:v>8.1</c:v>
                </c:pt>
                <c:pt idx="151">
                  <c:v>12.3</c:v>
                </c:pt>
                <c:pt idx="152">
                  <c:v>10.1</c:v>
                </c:pt>
                <c:pt idx="153">
                  <c:v>10.7</c:v>
                </c:pt>
                <c:pt idx="154">
                  <c:v>8.8000000000000007</c:v>
                </c:pt>
                <c:pt idx="155">
                  <c:v>7.3</c:v>
                </c:pt>
                <c:pt idx="156">
                  <c:v>14.3</c:v>
                </c:pt>
                <c:pt idx="157">
                  <c:v>7.6</c:v>
                </c:pt>
                <c:pt idx="158">
                  <c:v>6.6</c:v>
                </c:pt>
                <c:pt idx="159">
                  <c:v>7.8</c:v>
                </c:pt>
                <c:pt idx="160">
                  <c:v>8.6999999999999993</c:v>
                </c:pt>
                <c:pt idx="161">
                  <c:v>7.5</c:v>
                </c:pt>
                <c:pt idx="162">
                  <c:v>7.1</c:v>
                </c:pt>
                <c:pt idx="163">
                  <c:v>8.1999999999999993</c:v>
                </c:pt>
                <c:pt idx="164">
                  <c:v>13.3</c:v>
                </c:pt>
                <c:pt idx="165">
                  <c:v>12.6</c:v>
                </c:pt>
                <c:pt idx="166">
                  <c:v>9.5</c:v>
                </c:pt>
                <c:pt idx="167">
                  <c:v>5.8</c:v>
                </c:pt>
                <c:pt idx="168">
                  <c:v>6.6</c:v>
                </c:pt>
                <c:pt idx="169">
                  <c:v>7.5</c:v>
                </c:pt>
                <c:pt idx="170">
                  <c:v>11.7</c:v>
                </c:pt>
                <c:pt idx="171">
                  <c:v>9.8000000000000007</c:v>
                </c:pt>
                <c:pt idx="172">
                  <c:v>4.5999999999999996</c:v>
                </c:pt>
                <c:pt idx="173">
                  <c:v>10.199999999999999</c:v>
                </c:pt>
                <c:pt idx="174">
                  <c:v>9</c:v>
                </c:pt>
                <c:pt idx="175">
                  <c:v>8.6999999999999993</c:v>
                </c:pt>
                <c:pt idx="176">
                  <c:v>8</c:v>
                </c:pt>
                <c:pt idx="177">
                  <c:v>15.8</c:v>
                </c:pt>
                <c:pt idx="178">
                  <c:v>12.2</c:v>
                </c:pt>
                <c:pt idx="179">
                  <c:v>6.1</c:v>
                </c:pt>
                <c:pt idx="180">
                  <c:v>11.2</c:v>
                </c:pt>
                <c:pt idx="181">
                  <c:v>8.6999999999999993</c:v>
                </c:pt>
                <c:pt idx="182">
                  <c:v>7.1</c:v>
                </c:pt>
                <c:pt idx="183">
                  <c:v>13.4</c:v>
                </c:pt>
                <c:pt idx="184">
                  <c:v>8.8000000000000007</c:v>
                </c:pt>
                <c:pt idx="185">
                  <c:v>5.8</c:v>
                </c:pt>
                <c:pt idx="186">
                  <c:v>10.5</c:v>
                </c:pt>
                <c:pt idx="187">
                  <c:v>8.4</c:v>
                </c:pt>
                <c:pt idx="188">
                  <c:v>7.3</c:v>
                </c:pt>
                <c:pt idx="189">
                  <c:v>9.8000000000000007</c:v>
                </c:pt>
                <c:pt idx="190">
                  <c:v>9.9</c:v>
                </c:pt>
                <c:pt idx="191">
                  <c:v>5.9</c:v>
                </c:pt>
                <c:pt idx="192">
                  <c:v>12.5</c:v>
                </c:pt>
              </c:numCache>
            </c:numRef>
          </c:val>
          <c:smooth val="0"/>
          <c:extLst>
            <c:ext xmlns:c16="http://schemas.microsoft.com/office/drawing/2014/chart" uri="{C3380CC4-5D6E-409C-BE32-E72D297353CC}">
              <c16:uniqueId val="{00000001-B5AE-4249-A5DC-C09B4F377E88}"/>
            </c:ext>
          </c:extLst>
        </c:ser>
        <c:ser>
          <c:idx val="2"/>
          <c:order val="2"/>
          <c:tx>
            <c:strRef>
              <c:f>Hoja1!$C$1</c:f>
              <c:strCache>
                <c:ptCount val="1"/>
                <c:pt idx="0">
                  <c:v>BASAL_DOSIS</c:v>
                </c:pt>
              </c:strCache>
            </c:strRef>
          </c:tx>
          <c:spPr>
            <a:ln w="12700" cap="rnd">
              <a:solidFill>
                <a:srgbClr val="3608A8"/>
              </a:solidFill>
              <a:round/>
            </a:ln>
            <a:effectLst/>
          </c:spPr>
          <c:marker>
            <c:symbol val="none"/>
          </c:marker>
          <c:cat>
            <c:numRef>
              <c:f>Hoja1!$A$2:$A$194</c:f>
              <c:numCache>
                <c:formatCode>General</c:formatCode>
                <c:ptCount val="193"/>
                <c:pt idx="0">
                  <c:v>1</c:v>
                </c:pt>
                <c:pt idx="1">
                  <c:v>2</c:v>
                </c:pt>
                <c:pt idx="2">
                  <c:v>2</c:v>
                </c:pt>
                <c:pt idx="3">
                  <c:v>3</c:v>
                </c:pt>
                <c:pt idx="4">
                  <c:v>3</c:v>
                </c:pt>
                <c:pt idx="5">
                  <c:v>3</c:v>
                </c:pt>
                <c:pt idx="6">
                  <c:v>4</c:v>
                </c:pt>
                <c:pt idx="7">
                  <c:v>4</c:v>
                </c:pt>
                <c:pt idx="8">
                  <c:v>5</c:v>
                </c:pt>
                <c:pt idx="9">
                  <c:v>5</c:v>
                </c:pt>
                <c:pt idx="10">
                  <c:v>5</c:v>
                </c:pt>
                <c:pt idx="11">
                  <c:v>6</c:v>
                </c:pt>
                <c:pt idx="12">
                  <c:v>6</c:v>
                </c:pt>
                <c:pt idx="13">
                  <c:v>6</c:v>
                </c:pt>
                <c:pt idx="14">
                  <c:v>6</c:v>
                </c:pt>
                <c:pt idx="15">
                  <c:v>6</c:v>
                </c:pt>
                <c:pt idx="16">
                  <c:v>6</c:v>
                </c:pt>
                <c:pt idx="17">
                  <c:v>7</c:v>
                </c:pt>
                <c:pt idx="18">
                  <c:v>7</c:v>
                </c:pt>
                <c:pt idx="19">
                  <c:v>7</c:v>
                </c:pt>
                <c:pt idx="20">
                  <c:v>7</c:v>
                </c:pt>
                <c:pt idx="21">
                  <c:v>7</c:v>
                </c:pt>
                <c:pt idx="22">
                  <c:v>7</c:v>
                </c:pt>
                <c:pt idx="23">
                  <c:v>7</c:v>
                </c:pt>
                <c:pt idx="24">
                  <c:v>8</c:v>
                </c:pt>
                <c:pt idx="25">
                  <c:v>8</c:v>
                </c:pt>
                <c:pt idx="26">
                  <c:v>8</c:v>
                </c:pt>
                <c:pt idx="27">
                  <c:v>8</c:v>
                </c:pt>
                <c:pt idx="28">
                  <c:v>9</c:v>
                </c:pt>
                <c:pt idx="29">
                  <c:v>10</c:v>
                </c:pt>
                <c:pt idx="30">
                  <c:v>10</c:v>
                </c:pt>
                <c:pt idx="31">
                  <c:v>10</c:v>
                </c:pt>
                <c:pt idx="32">
                  <c:v>10</c:v>
                </c:pt>
                <c:pt idx="33">
                  <c:v>10</c:v>
                </c:pt>
                <c:pt idx="34">
                  <c:v>10</c:v>
                </c:pt>
                <c:pt idx="35">
                  <c:v>11</c:v>
                </c:pt>
                <c:pt idx="36">
                  <c:v>11</c:v>
                </c:pt>
                <c:pt idx="37">
                  <c:v>11</c:v>
                </c:pt>
                <c:pt idx="38">
                  <c:v>11</c:v>
                </c:pt>
                <c:pt idx="39">
                  <c:v>11</c:v>
                </c:pt>
                <c:pt idx="40">
                  <c:v>11</c:v>
                </c:pt>
                <c:pt idx="41">
                  <c:v>11</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13</c:v>
                </c:pt>
                <c:pt idx="58">
                  <c:v>13</c:v>
                </c:pt>
                <c:pt idx="59">
                  <c:v>13</c:v>
                </c:pt>
                <c:pt idx="60">
                  <c:v>14</c:v>
                </c:pt>
                <c:pt idx="61">
                  <c:v>14</c:v>
                </c:pt>
                <c:pt idx="62">
                  <c:v>14</c:v>
                </c:pt>
                <c:pt idx="63">
                  <c:v>15</c:v>
                </c:pt>
                <c:pt idx="64">
                  <c:v>15</c:v>
                </c:pt>
                <c:pt idx="65">
                  <c:v>15</c:v>
                </c:pt>
                <c:pt idx="66">
                  <c:v>15</c:v>
                </c:pt>
                <c:pt idx="67">
                  <c:v>15</c:v>
                </c:pt>
                <c:pt idx="68">
                  <c:v>15</c:v>
                </c:pt>
                <c:pt idx="69">
                  <c:v>15</c:v>
                </c:pt>
                <c:pt idx="70">
                  <c:v>15</c:v>
                </c:pt>
                <c:pt idx="71">
                  <c:v>16</c:v>
                </c:pt>
                <c:pt idx="72">
                  <c:v>16</c:v>
                </c:pt>
                <c:pt idx="73">
                  <c:v>16</c:v>
                </c:pt>
                <c:pt idx="74">
                  <c:v>16</c:v>
                </c:pt>
                <c:pt idx="75">
                  <c:v>16</c:v>
                </c:pt>
                <c:pt idx="76">
                  <c:v>16</c:v>
                </c:pt>
                <c:pt idx="77">
                  <c:v>16</c:v>
                </c:pt>
                <c:pt idx="78">
                  <c:v>16</c:v>
                </c:pt>
                <c:pt idx="79">
                  <c:v>16</c:v>
                </c:pt>
                <c:pt idx="80">
                  <c:v>16</c:v>
                </c:pt>
                <c:pt idx="81">
                  <c:v>17</c:v>
                </c:pt>
                <c:pt idx="82">
                  <c:v>17</c:v>
                </c:pt>
                <c:pt idx="83">
                  <c:v>17</c:v>
                </c:pt>
                <c:pt idx="84">
                  <c:v>18</c:v>
                </c:pt>
                <c:pt idx="85">
                  <c:v>18</c:v>
                </c:pt>
                <c:pt idx="86">
                  <c:v>18</c:v>
                </c:pt>
                <c:pt idx="87">
                  <c:v>18</c:v>
                </c:pt>
                <c:pt idx="88">
                  <c:v>18</c:v>
                </c:pt>
                <c:pt idx="89">
                  <c:v>18</c:v>
                </c:pt>
                <c:pt idx="90">
                  <c:v>18</c:v>
                </c:pt>
                <c:pt idx="91">
                  <c:v>19</c:v>
                </c:pt>
                <c:pt idx="92">
                  <c:v>19</c:v>
                </c:pt>
                <c:pt idx="93">
                  <c:v>20</c:v>
                </c:pt>
                <c:pt idx="94">
                  <c:v>20</c:v>
                </c:pt>
                <c:pt idx="95">
                  <c:v>20</c:v>
                </c:pt>
                <c:pt idx="96">
                  <c:v>20</c:v>
                </c:pt>
                <c:pt idx="97">
                  <c:v>20</c:v>
                </c:pt>
                <c:pt idx="98">
                  <c:v>20</c:v>
                </c:pt>
                <c:pt idx="99">
                  <c:v>21</c:v>
                </c:pt>
                <c:pt idx="100">
                  <c:v>21</c:v>
                </c:pt>
                <c:pt idx="101">
                  <c:v>21</c:v>
                </c:pt>
                <c:pt idx="102">
                  <c:v>21</c:v>
                </c:pt>
                <c:pt idx="103">
                  <c:v>21</c:v>
                </c:pt>
                <c:pt idx="104">
                  <c:v>21</c:v>
                </c:pt>
                <c:pt idx="105">
                  <c:v>21</c:v>
                </c:pt>
                <c:pt idx="106">
                  <c:v>21</c:v>
                </c:pt>
                <c:pt idx="107">
                  <c:v>21</c:v>
                </c:pt>
                <c:pt idx="108">
                  <c:v>21</c:v>
                </c:pt>
                <c:pt idx="109">
                  <c:v>21</c:v>
                </c:pt>
                <c:pt idx="110">
                  <c:v>21</c:v>
                </c:pt>
                <c:pt idx="111">
                  <c:v>21</c:v>
                </c:pt>
                <c:pt idx="112">
                  <c:v>21</c:v>
                </c:pt>
                <c:pt idx="113">
                  <c:v>21</c:v>
                </c:pt>
                <c:pt idx="114">
                  <c:v>21</c:v>
                </c:pt>
                <c:pt idx="115">
                  <c:v>21</c:v>
                </c:pt>
                <c:pt idx="116">
                  <c:v>21</c:v>
                </c:pt>
                <c:pt idx="117">
                  <c:v>21</c:v>
                </c:pt>
                <c:pt idx="118">
                  <c:v>21</c:v>
                </c:pt>
                <c:pt idx="119">
                  <c:v>21</c:v>
                </c:pt>
                <c:pt idx="120">
                  <c:v>22</c:v>
                </c:pt>
                <c:pt idx="121">
                  <c:v>22</c:v>
                </c:pt>
                <c:pt idx="122">
                  <c:v>22</c:v>
                </c:pt>
                <c:pt idx="123">
                  <c:v>22</c:v>
                </c:pt>
                <c:pt idx="124">
                  <c:v>23</c:v>
                </c:pt>
                <c:pt idx="125">
                  <c:v>23</c:v>
                </c:pt>
                <c:pt idx="126">
                  <c:v>23</c:v>
                </c:pt>
                <c:pt idx="127">
                  <c:v>23</c:v>
                </c:pt>
                <c:pt idx="128">
                  <c:v>23</c:v>
                </c:pt>
                <c:pt idx="129">
                  <c:v>23</c:v>
                </c:pt>
                <c:pt idx="130">
                  <c:v>24</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26</c:v>
                </c:pt>
                <c:pt idx="145">
                  <c:v>26</c:v>
                </c:pt>
                <c:pt idx="146">
                  <c:v>26</c:v>
                </c:pt>
                <c:pt idx="147">
                  <c:v>26</c:v>
                </c:pt>
                <c:pt idx="148">
                  <c:v>26</c:v>
                </c:pt>
                <c:pt idx="149">
                  <c:v>26</c:v>
                </c:pt>
                <c:pt idx="150">
                  <c:v>26</c:v>
                </c:pt>
                <c:pt idx="151">
                  <c:v>27</c:v>
                </c:pt>
                <c:pt idx="152">
                  <c:v>27</c:v>
                </c:pt>
                <c:pt idx="153">
                  <c:v>27</c:v>
                </c:pt>
                <c:pt idx="154">
                  <c:v>28</c:v>
                </c:pt>
                <c:pt idx="155">
                  <c:v>28</c:v>
                </c:pt>
                <c:pt idx="156">
                  <c:v>29</c:v>
                </c:pt>
                <c:pt idx="157">
                  <c:v>30</c:v>
                </c:pt>
                <c:pt idx="158">
                  <c:v>30</c:v>
                </c:pt>
                <c:pt idx="159">
                  <c:v>31</c:v>
                </c:pt>
                <c:pt idx="160">
                  <c:v>31</c:v>
                </c:pt>
                <c:pt idx="161">
                  <c:v>31</c:v>
                </c:pt>
                <c:pt idx="162">
                  <c:v>31</c:v>
                </c:pt>
                <c:pt idx="163">
                  <c:v>31</c:v>
                </c:pt>
                <c:pt idx="164">
                  <c:v>31</c:v>
                </c:pt>
                <c:pt idx="165">
                  <c:v>31</c:v>
                </c:pt>
                <c:pt idx="166">
                  <c:v>31</c:v>
                </c:pt>
                <c:pt idx="167">
                  <c:v>31</c:v>
                </c:pt>
                <c:pt idx="168">
                  <c:v>31</c:v>
                </c:pt>
                <c:pt idx="169">
                  <c:v>31</c:v>
                </c:pt>
                <c:pt idx="170">
                  <c:v>31</c:v>
                </c:pt>
                <c:pt idx="171">
                  <c:v>31</c:v>
                </c:pt>
                <c:pt idx="172">
                  <c:v>33</c:v>
                </c:pt>
                <c:pt idx="173">
                  <c:v>34</c:v>
                </c:pt>
                <c:pt idx="174">
                  <c:v>35</c:v>
                </c:pt>
                <c:pt idx="175">
                  <c:v>35</c:v>
                </c:pt>
                <c:pt idx="176">
                  <c:v>36</c:v>
                </c:pt>
                <c:pt idx="177">
                  <c:v>38</c:v>
                </c:pt>
                <c:pt idx="178">
                  <c:v>39</c:v>
                </c:pt>
                <c:pt idx="179">
                  <c:v>40</c:v>
                </c:pt>
                <c:pt idx="180">
                  <c:v>40</c:v>
                </c:pt>
                <c:pt idx="181">
                  <c:v>41</c:v>
                </c:pt>
                <c:pt idx="182">
                  <c:v>41</c:v>
                </c:pt>
                <c:pt idx="183">
                  <c:v>41</c:v>
                </c:pt>
                <c:pt idx="184">
                  <c:v>41</c:v>
                </c:pt>
                <c:pt idx="185">
                  <c:v>41</c:v>
                </c:pt>
                <c:pt idx="186">
                  <c:v>41</c:v>
                </c:pt>
                <c:pt idx="187">
                  <c:v>42</c:v>
                </c:pt>
                <c:pt idx="188">
                  <c:v>43</c:v>
                </c:pt>
                <c:pt idx="189">
                  <c:v>45</c:v>
                </c:pt>
                <c:pt idx="190">
                  <c:v>45</c:v>
                </c:pt>
                <c:pt idx="191">
                  <c:v>51</c:v>
                </c:pt>
                <c:pt idx="192">
                  <c:v>51</c:v>
                </c:pt>
              </c:numCache>
            </c:numRef>
          </c:cat>
          <c:val>
            <c:numRef>
              <c:f>Hoja1!$C$2:$C$194</c:f>
              <c:numCache>
                <c:formatCode>General</c:formatCode>
                <c:ptCount val="193"/>
                <c:pt idx="0">
                  <c:v>40</c:v>
                </c:pt>
                <c:pt idx="1">
                  <c:v>40</c:v>
                </c:pt>
                <c:pt idx="2">
                  <c:v>20</c:v>
                </c:pt>
                <c:pt idx="3">
                  <c:v>16</c:v>
                </c:pt>
                <c:pt idx="4">
                  <c:v>68</c:v>
                </c:pt>
                <c:pt idx="5">
                  <c:v>52</c:v>
                </c:pt>
                <c:pt idx="6">
                  <c:v>40</c:v>
                </c:pt>
                <c:pt idx="7">
                  <c:v>40</c:v>
                </c:pt>
                <c:pt idx="8">
                  <c:v>40</c:v>
                </c:pt>
                <c:pt idx="9">
                  <c:v>22</c:v>
                </c:pt>
                <c:pt idx="10">
                  <c:v>44</c:v>
                </c:pt>
                <c:pt idx="11">
                  <c:v>42</c:v>
                </c:pt>
                <c:pt idx="12">
                  <c:v>60</c:v>
                </c:pt>
                <c:pt idx="13">
                  <c:v>20</c:v>
                </c:pt>
                <c:pt idx="14">
                  <c:v>48</c:v>
                </c:pt>
                <c:pt idx="15">
                  <c:v>50</c:v>
                </c:pt>
                <c:pt idx="16">
                  <c:v>36</c:v>
                </c:pt>
                <c:pt idx="17">
                  <c:v>12</c:v>
                </c:pt>
                <c:pt idx="18">
                  <c:v>32</c:v>
                </c:pt>
                <c:pt idx="19">
                  <c:v>24</c:v>
                </c:pt>
                <c:pt idx="20">
                  <c:v>10</c:v>
                </c:pt>
                <c:pt idx="21">
                  <c:v>48</c:v>
                </c:pt>
                <c:pt idx="22">
                  <c:v>60</c:v>
                </c:pt>
                <c:pt idx="23">
                  <c:v>30</c:v>
                </c:pt>
                <c:pt idx="24">
                  <c:v>10</c:v>
                </c:pt>
                <c:pt idx="25">
                  <c:v>13</c:v>
                </c:pt>
                <c:pt idx="26">
                  <c:v>40</c:v>
                </c:pt>
                <c:pt idx="27">
                  <c:v>20</c:v>
                </c:pt>
                <c:pt idx="28">
                  <c:v>50</c:v>
                </c:pt>
                <c:pt idx="29">
                  <c:v>26</c:v>
                </c:pt>
                <c:pt idx="30">
                  <c:v>28</c:v>
                </c:pt>
                <c:pt idx="31">
                  <c:v>60</c:v>
                </c:pt>
                <c:pt idx="32">
                  <c:v>60</c:v>
                </c:pt>
                <c:pt idx="33">
                  <c:v>60</c:v>
                </c:pt>
                <c:pt idx="34">
                  <c:v>48</c:v>
                </c:pt>
                <c:pt idx="35">
                  <c:v>64</c:v>
                </c:pt>
                <c:pt idx="36">
                  <c:v>34</c:v>
                </c:pt>
                <c:pt idx="37">
                  <c:v>10</c:v>
                </c:pt>
                <c:pt idx="38">
                  <c:v>36</c:v>
                </c:pt>
                <c:pt idx="39">
                  <c:v>12</c:v>
                </c:pt>
                <c:pt idx="40">
                  <c:v>80</c:v>
                </c:pt>
                <c:pt idx="41">
                  <c:v>70</c:v>
                </c:pt>
                <c:pt idx="42">
                  <c:v>70</c:v>
                </c:pt>
                <c:pt idx="43">
                  <c:v>40</c:v>
                </c:pt>
                <c:pt idx="44">
                  <c:v>60</c:v>
                </c:pt>
                <c:pt idx="45">
                  <c:v>34</c:v>
                </c:pt>
                <c:pt idx="46">
                  <c:v>26</c:v>
                </c:pt>
                <c:pt idx="47">
                  <c:v>26</c:v>
                </c:pt>
                <c:pt idx="48">
                  <c:v>25</c:v>
                </c:pt>
                <c:pt idx="49">
                  <c:v>64</c:v>
                </c:pt>
                <c:pt idx="50">
                  <c:v>76</c:v>
                </c:pt>
                <c:pt idx="51">
                  <c:v>80</c:v>
                </c:pt>
                <c:pt idx="52">
                  <c:v>36</c:v>
                </c:pt>
                <c:pt idx="53">
                  <c:v>28</c:v>
                </c:pt>
                <c:pt idx="54">
                  <c:v>35</c:v>
                </c:pt>
                <c:pt idx="55">
                  <c:v>40</c:v>
                </c:pt>
                <c:pt idx="56">
                  <c:v>97</c:v>
                </c:pt>
                <c:pt idx="57">
                  <c:v>10</c:v>
                </c:pt>
                <c:pt idx="58">
                  <c:v>26</c:v>
                </c:pt>
                <c:pt idx="59">
                  <c:v>70</c:v>
                </c:pt>
                <c:pt idx="60">
                  <c:v>26</c:v>
                </c:pt>
                <c:pt idx="61">
                  <c:v>30</c:v>
                </c:pt>
                <c:pt idx="62">
                  <c:v>90</c:v>
                </c:pt>
                <c:pt idx="63">
                  <c:v>110</c:v>
                </c:pt>
                <c:pt idx="64">
                  <c:v>48</c:v>
                </c:pt>
                <c:pt idx="65">
                  <c:v>54</c:v>
                </c:pt>
                <c:pt idx="66">
                  <c:v>36</c:v>
                </c:pt>
                <c:pt idx="67">
                  <c:v>24</c:v>
                </c:pt>
                <c:pt idx="68">
                  <c:v>30</c:v>
                </c:pt>
                <c:pt idx="69">
                  <c:v>40</c:v>
                </c:pt>
                <c:pt idx="70">
                  <c:v>20</c:v>
                </c:pt>
                <c:pt idx="71">
                  <c:v>80</c:v>
                </c:pt>
                <c:pt idx="72">
                  <c:v>30</c:v>
                </c:pt>
                <c:pt idx="73">
                  <c:v>18</c:v>
                </c:pt>
                <c:pt idx="74">
                  <c:v>44</c:v>
                </c:pt>
                <c:pt idx="75">
                  <c:v>50</c:v>
                </c:pt>
                <c:pt idx="76">
                  <c:v>22</c:v>
                </c:pt>
                <c:pt idx="77">
                  <c:v>50</c:v>
                </c:pt>
                <c:pt idx="78">
                  <c:v>50</c:v>
                </c:pt>
                <c:pt idx="79">
                  <c:v>60</c:v>
                </c:pt>
                <c:pt idx="80">
                  <c:v>48</c:v>
                </c:pt>
                <c:pt idx="81">
                  <c:v>20</c:v>
                </c:pt>
                <c:pt idx="82">
                  <c:v>48</c:v>
                </c:pt>
                <c:pt idx="83">
                  <c:v>45</c:v>
                </c:pt>
                <c:pt idx="84">
                  <c:v>50</c:v>
                </c:pt>
                <c:pt idx="85">
                  <c:v>20</c:v>
                </c:pt>
                <c:pt idx="86">
                  <c:v>94</c:v>
                </c:pt>
                <c:pt idx="87">
                  <c:v>20</c:v>
                </c:pt>
                <c:pt idx="88">
                  <c:v>76</c:v>
                </c:pt>
                <c:pt idx="89">
                  <c:v>12</c:v>
                </c:pt>
                <c:pt idx="90">
                  <c:v>18</c:v>
                </c:pt>
                <c:pt idx="91">
                  <c:v>52</c:v>
                </c:pt>
                <c:pt idx="92">
                  <c:v>40</c:v>
                </c:pt>
                <c:pt idx="93">
                  <c:v>84</c:v>
                </c:pt>
                <c:pt idx="94">
                  <c:v>30</c:v>
                </c:pt>
                <c:pt idx="95">
                  <c:v>16</c:v>
                </c:pt>
                <c:pt idx="96">
                  <c:v>60</c:v>
                </c:pt>
                <c:pt idx="97">
                  <c:v>30</c:v>
                </c:pt>
                <c:pt idx="98">
                  <c:v>60</c:v>
                </c:pt>
                <c:pt idx="99">
                  <c:v>30</c:v>
                </c:pt>
                <c:pt idx="100">
                  <c:v>30</c:v>
                </c:pt>
                <c:pt idx="101">
                  <c:v>38</c:v>
                </c:pt>
                <c:pt idx="102">
                  <c:v>28</c:v>
                </c:pt>
                <c:pt idx="103">
                  <c:v>14</c:v>
                </c:pt>
                <c:pt idx="104">
                  <c:v>35</c:v>
                </c:pt>
                <c:pt idx="105">
                  <c:v>40</c:v>
                </c:pt>
                <c:pt idx="106">
                  <c:v>26</c:v>
                </c:pt>
                <c:pt idx="107">
                  <c:v>50</c:v>
                </c:pt>
                <c:pt idx="108">
                  <c:v>10</c:v>
                </c:pt>
                <c:pt idx="109">
                  <c:v>50</c:v>
                </c:pt>
                <c:pt idx="110">
                  <c:v>75</c:v>
                </c:pt>
                <c:pt idx="111">
                  <c:v>44</c:v>
                </c:pt>
                <c:pt idx="112">
                  <c:v>22</c:v>
                </c:pt>
                <c:pt idx="113">
                  <c:v>16</c:v>
                </c:pt>
                <c:pt idx="114">
                  <c:v>44</c:v>
                </c:pt>
                <c:pt idx="115">
                  <c:v>34</c:v>
                </c:pt>
                <c:pt idx="116">
                  <c:v>65</c:v>
                </c:pt>
                <c:pt idx="117">
                  <c:v>45</c:v>
                </c:pt>
                <c:pt idx="118">
                  <c:v>40</c:v>
                </c:pt>
                <c:pt idx="119">
                  <c:v>26</c:v>
                </c:pt>
                <c:pt idx="120">
                  <c:v>50</c:v>
                </c:pt>
                <c:pt idx="121">
                  <c:v>30</c:v>
                </c:pt>
                <c:pt idx="122">
                  <c:v>10</c:v>
                </c:pt>
                <c:pt idx="123">
                  <c:v>50</c:v>
                </c:pt>
                <c:pt idx="124">
                  <c:v>52</c:v>
                </c:pt>
                <c:pt idx="125">
                  <c:v>72</c:v>
                </c:pt>
                <c:pt idx="126">
                  <c:v>32</c:v>
                </c:pt>
                <c:pt idx="127">
                  <c:v>80</c:v>
                </c:pt>
                <c:pt idx="128">
                  <c:v>60</c:v>
                </c:pt>
                <c:pt idx="129">
                  <c:v>50</c:v>
                </c:pt>
                <c:pt idx="130">
                  <c:v>50</c:v>
                </c:pt>
                <c:pt idx="131">
                  <c:v>6</c:v>
                </c:pt>
                <c:pt idx="132">
                  <c:v>30</c:v>
                </c:pt>
                <c:pt idx="133">
                  <c:v>65</c:v>
                </c:pt>
                <c:pt idx="134">
                  <c:v>50</c:v>
                </c:pt>
                <c:pt idx="135">
                  <c:v>70</c:v>
                </c:pt>
                <c:pt idx="136">
                  <c:v>60</c:v>
                </c:pt>
                <c:pt idx="137">
                  <c:v>34</c:v>
                </c:pt>
                <c:pt idx="138">
                  <c:v>38</c:v>
                </c:pt>
                <c:pt idx="139">
                  <c:v>62</c:v>
                </c:pt>
                <c:pt idx="140">
                  <c:v>85</c:v>
                </c:pt>
                <c:pt idx="141">
                  <c:v>52</c:v>
                </c:pt>
                <c:pt idx="142">
                  <c:v>100</c:v>
                </c:pt>
                <c:pt idx="143">
                  <c:v>16</c:v>
                </c:pt>
                <c:pt idx="144">
                  <c:v>99</c:v>
                </c:pt>
                <c:pt idx="145">
                  <c:v>36</c:v>
                </c:pt>
                <c:pt idx="146">
                  <c:v>84</c:v>
                </c:pt>
                <c:pt idx="147">
                  <c:v>40</c:v>
                </c:pt>
                <c:pt idx="148">
                  <c:v>40</c:v>
                </c:pt>
                <c:pt idx="149">
                  <c:v>38</c:v>
                </c:pt>
                <c:pt idx="150">
                  <c:v>40</c:v>
                </c:pt>
                <c:pt idx="151">
                  <c:v>50</c:v>
                </c:pt>
                <c:pt idx="152">
                  <c:v>25</c:v>
                </c:pt>
                <c:pt idx="153">
                  <c:v>118</c:v>
                </c:pt>
                <c:pt idx="154">
                  <c:v>36</c:v>
                </c:pt>
                <c:pt idx="155">
                  <c:v>31</c:v>
                </c:pt>
                <c:pt idx="156">
                  <c:v>14</c:v>
                </c:pt>
                <c:pt idx="157">
                  <c:v>81</c:v>
                </c:pt>
                <c:pt idx="158">
                  <c:v>38</c:v>
                </c:pt>
                <c:pt idx="159">
                  <c:v>40</c:v>
                </c:pt>
                <c:pt idx="160">
                  <c:v>48</c:v>
                </c:pt>
                <c:pt idx="161">
                  <c:v>20</c:v>
                </c:pt>
                <c:pt idx="162">
                  <c:v>35</c:v>
                </c:pt>
                <c:pt idx="163">
                  <c:v>31</c:v>
                </c:pt>
                <c:pt idx="164">
                  <c:v>20</c:v>
                </c:pt>
                <c:pt idx="165">
                  <c:v>32</c:v>
                </c:pt>
                <c:pt idx="166">
                  <c:v>56</c:v>
                </c:pt>
                <c:pt idx="167">
                  <c:v>12</c:v>
                </c:pt>
                <c:pt idx="168">
                  <c:v>40</c:v>
                </c:pt>
                <c:pt idx="169">
                  <c:v>52</c:v>
                </c:pt>
                <c:pt idx="170">
                  <c:v>65</c:v>
                </c:pt>
                <c:pt idx="171">
                  <c:v>120</c:v>
                </c:pt>
                <c:pt idx="172">
                  <c:v>50</c:v>
                </c:pt>
                <c:pt idx="173">
                  <c:v>54</c:v>
                </c:pt>
                <c:pt idx="174">
                  <c:v>70</c:v>
                </c:pt>
                <c:pt idx="175">
                  <c:v>40</c:v>
                </c:pt>
                <c:pt idx="176">
                  <c:v>40</c:v>
                </c:pt>
                <c:pt idx="177">
                  <c:v>67</c:v>
                </c:pt>
                <c:pt idx="178">
                  <c:v>64</c:v>
                </c:pt>
                <c:pt idx="179">
                  <c:v>4</c:v>
                </c:pt>
                <c:pt idx="180">
                  <c:v>21</c:v>
                </c:pt>
                <c:pt idx="181">
                  <c:v>35</c:v>
                </c:pt>
                <c:pt idx="182">
                  <c:v>16</c:v>
                </c:pt>
                <c:pt idx="183">
                  <c:v>70</c:v>
                </c:pt>
                <c:pt idx="184">
                  <c:v>30</c:v>
                </c:pt>
                <c:pt idx="185">
                  <c:v>54</c:v>
                </c:pt>
                <c:pt idx="186">
                  <c:v>20</c:v>
                </c:pt>
                <c:pt idx="187">
                  <c:v>40</c:v>
                </c:pt>
                <c:pt idx="188">
                  <c:v>30</c:v>
                </c:pt>
                <c:pt idx="189">
                  <c:v>50</c:v>
                </c:pt>
                <c:pt idx="190">
                  <c:v>54</c:v>
                </c:pt>
                <c:pt idx="191">
                  <c:v>30</c:v>
                </c:pt>
                <c:pt idx="192">
                  <c:v>70</c:v>
                </c:pt>
              </c:numCache>
            </c:numRef>
          </c:val>
          <c:smooth val="0"/>
          <c:extLst>
            <c:ext xmlns:c16="http://schemas.microsoft.com/office/drawing/2014/chart" uri="{C3380CC4-5D6E-409C-BE32-E72D297353CC}">
              <c16:uniqueId val="{00000002-B5AE-4249-A5DC-C09B4F377E88}"/>
            </c:ext>
          </c:extLst>
        </c:ser>
        <c:dLbls>
          <c:showLegendKey val="0"/>
          <c:showVal val="0"/>
          <c:showCatName val="0"/>
          <c:showSerName val="0"/>
          <c:showPercent val="0"/>
          <c:showBubbleSize val="0"/>
        </c:dLbls>
        <c:smooth val="0"/>
        <c:axId val="75330048"/>
        <c:axId val="101330304"/>
      </c:lineChart>
      <c:catAx>
        <c:axId val="75330048"/>
        <c:scaling>
          <c:orientation val="minMax"/>
        </c:scaling>
        <c:delete val="0"/>
        <c:axPos val="b"/>
        <c:numFmt formatCode="General" sourceLinked="1"/>
        <c:majorTickMark val="out"/>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1330304"/>
        <c:crosses val="autoZero"/>
        <c:auto val="1"/>
        <c:lblAlgn val="ctr"/>
        <c:lblOffset val="100"/>
        <c:tickLblSkip val="10"/>
        <c:tickMarkSkip val="20"/>
        <c:noMultiLvlLbl val="0"/>
      </c:catAx>
      <c:valAx>
        <c:axId val="10133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Dosis de Insulina</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5330048"/>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77929059194561"/>
          <c:y val="0.11085431978431219"/>
          <c:w val="0.48990082467677204"/>
          <c:h val="0.82664597106253657"/>
        </c:manualLayout>
      </c:layout>
      <c:pieChart>
        <c:varyColors val="1"/>
        <c:ser>
          <c:idx val="0"/>
          <c:order val="0"/>
          <c:spPr>
            <a:ln w="6350">
              <a:solidFill>
                <a:srgbClr val="404040"/>
              </a:solidFill>
            </a:ln>
          </c:spPr>
          <c:dPt>
            <c:idx val="0"/>
            <c:bubble3D val="0"/>
            <c:spPr>
              <a:solidFill>
                <a:srgbClr val="B2EDEC"/>
              </a:solidFill>
              <a:ln w="6350">
                <a:solidFill>
                  <a:srgbClr val="404040"/>
                </a:solidFill>
              </a:ln>
              <a:effectLst/>
            </c:spPr>
            <c:extLst>
              <c:ext xmlns:c16="http://schemas.microsoft.com/office/drawing/2014/chart" uri="{C3380CC4-5D6E-409C-BE32-E72D297353CC}">
                <c16:uniqueId val="{00000001-C8D2-4A8A-A64E-D4FCEEC4EB04}"/>
              </c:ext>
            </c:extLst>
          </c:dPt>
          <c:dPt>
            <c:idx val="1"/>
            <c:bubble3D val="0"/>
            <c:spPr>
              <a:solidFill>
                <a:srgbClr val="33CCCC"/>
              </a:solidFill>
              <a:ln w="6350">
                <a:solidFill>
                  <a:srgbClr val="404040"/>
                </a:solidFill>
              </a:ln>
              <a:effectLst/>
            </c:spPr>
            <c:extLst>
              <c:ext xmlns:c16="http://schemas.microsoft.com/office/drawing/2014/chart" uri="{C3380CC4-5D6E-409C-BE32-E72D297353CC}">
                <c16:uniqueId val="{00000003-C8D2-4A8A-A64E-D4FCEEC4EB04}"/>
              </c:ext>
            </c:extLst>
          </c:dPt>
          <c:dPt>
            <c:idx val="2"/>
            <c:bubble3D val="0"/>
            <c:spPr>
              <a:solidFill>
                <a:srgbClr val="2BAEAB"/>
              </a:solidFill>
              <a:ln w="6350">
                <a:solidFill>
                  <a:srgbClr val="404040"/>
                </a:solidFill>
              </a:ln>
              <a:effectLst/>
            </c:spPr>
            <c:extLst>
              <c:ext xmlns:c16="http://schemas.microsoft.com/office/drawing/2014/chart" uri="{C3380CC4-5D6E-409C-BE32-E72D297353CC}">
                <c16:uniqueId val="{00000005-C8D2-4A8A-A64E-D4FCEEC4EB04}"/>
              </c:ext>
            </c:extLst>
          </c:dPt>
          <c:dLbls>
            <c:numFmt formatCode="0.0%" sourceLinked="0"/>
            <c:spPr>
              <a:solidFill>
                <a:schemeClr val="bg1"/>
              </a:solidFill>
              <a:ln>
                <a:solidFill>
                  <a:schemeClr val="tx1">
                    <a:lumMod val="95000"/>
                    <a:lumOff val="5000"/>
                    <a:alpha val="99000"/>
                  </a:schemeClr>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s-AR"/>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'Tablas editadas ok'!$Y$2:$Y$4</c:f>
              <c:strCache>
                <c:ptCount val="3"/>
                <c:pt idx="0">
                  <c:v>Normal</c:v>
                </c:pt>
                <c:pt idx="1">
                  <c:v>Sobrepeso</c:v>
                </c:pt>
                <c:pt idx="2">
                  <c:v>Obesidad</c:v>
                </c:pt>
              </c:strCache>
            </c:strRef>
          </c:cat>
          <c:val>
            <c:numRef>
              <c:f>'Tablas editadas ok'!$Z$2:$Z$4</c:f>
              <c:numCache>
                <c:formatCode>0.0%</c:formatCode>
                <c:ptCount val="3"/>
                <c:pt idx="0">
                  <c:v>8.1730769230769232E-2</c:v>
                </c:pt>
                <c:pt idx="1">
                  <c:v>0.25</c:v>
                </c:pt>
                <c:pt idx="2">
                  <c:v>0.66826923076923073</c:v>
                </c:pt>
              </c:numCache>
            </c:numRef>
          </c:val>
          <c:extLst>
            <c:ext xmlns:c16="http://schemas.microsoft.com/office/drawing/2014/chart" uri="{C3380CC4-5D6E-409C-BE32-E72D297353CC}">
              <c16:uniqueId val="{00000006-C8D2-4A8A-A64E-D4FCEEC4EB04}"/>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7523051361720785"/>
          <c:y val="0.36937422872703846"/>
          <c:w val="0.18581936611249847"/>
          <c:h val="0.298480000866466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3902785050612"/>
          <c:y val="4.1368003315231064E-2"/>
          <c:w val="0.82483434276722423"/>
          <c:h val="0.74534175652957557"/>
        </c:manualLayout>
      </c:layout>
      <c:barChart>
        <c:barDir val="col"/>
        <c:grouping val="clustered"/>
        <c:varyColors val="0"/>
        <c:ser>
          <c:idx val="0"/>
          <c:order val="0"/>
          <c:spPr>
            <a:solidFill>
              <a:srgbClr val="D8CDBE"/>
            </a:solidFill>
            <a:ln>
              <a:solidFill>
                <a:srgbClr val="404040"/>
              </a:solidFill>
            </a:ln>
            <a:effectLst/>
          </c:spPr>
          <c:invertIfNegative val="0"/>
          <c:cat>
            <c:strRef>
              <c:f>'Tablas editadas ok'!$C$11:$E$11</c:f>
              <c:strCache>
                <c:ptCount val="3"/>
                <c:pt idx="0">
                  <c:v>60-70</c:v>
                </c:pt>
                <c:pt idx="1">
                  <c:v>71-75</c:v>
                </c:pt>
                <c:pt idx="2">
                  <c:v>76-95</c:v>
                </c:pt>
              </c:strCache>
            </c:strRef>
          </c:cat>
          <c:val>
            <c:numRef>
              <c:f>'Tablas editadas ok'!$C$13:$E$13</c:f>
              <c:numCache>
                <c:formatCode>0.0%</c:formatCode>
                <c:ptCount val="3"/>
                <c:pt idx="0">
                  <c:v>0.37349397590361444</c:v>
                </c:pt>
                <c:pt idx="1">
                  <c:v>0.29333333333333333</c:v>
                </c:pt>
                <c:pt idx="2">
                  <c:v>0.28000000000000003</c:v>
                </c:pt>
              </c:numCache>
            </c:numRef>
          </c:val>
          <c:extLst>
            <c:ext xmlns:c16="http://schemas.microsoft.com/office/drawing/2014/chart" uri="{C3380CC4-5D6E-409C-BE32-E72D297353CC}">
              <c16:uniqueId val="{00000000-E2F8-4661-81E0-7B3C981BF92B}"/>
            </c:ext>
          </c:extLst>
        </c:ser>
        <c:dLbls>
          <c:showLegendKey val="0"/>
          <c:showVal val="0"/>
          <c:showCatName val="0"/>
          <c:showSerName val="0"/>
          <c:showPercent val="0"/>
          <c:showBubbleSize val="0"/>
        </c:dLbls>
        <c:gapWidth val="150"/>
        <c:axId val="75331584"/>
        <c:axId val="101333760"/>
      </c:barChart>
      <c:catAx>
        <c:axId val="753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Rango etario (años)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101333760"/>
        <c:crosses val="autoZero"/>
        <c:auto val="1"/>
        <c:lblAlgn val="ctr"/>
        <c:lblOffset val="100"/>
        <c:noMultiLvlLbl val="0"/>
      </c:catAx>
      <c:valAx>
        <c:axId val="10133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Porcentaje que realizaba Activ. Física</a:t>
                </a:r>
              </a:p>
            </c:rich>
          </c:tx>
          <c:overlay val="0"/>
          <c:spPr>
            <a:noFill/>
            <a:ln>
              <a:noFill/>
            </a:ln>
            <a:effectLst/>
          </c:sp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7533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155314960629922"/>
          <c:y val="0.11342592592592593"/>
          <c:w val="0.5"/>
          <c:h val="0.83333333333333337"/>
        </c:manualLayout>
      </c:layout>
      <c:pieChart>
        <c:varyColors val="1"/>
        <c:ser>
          <c:idx val="0"/>
          <c:order val="0"/>
          <c:dPt>
            <c:idx val="0"/>
            <c:bubble3D val="0"/>
            <c:spPr>
              <a:solidFill>
                <a:schemeClr val="accent2">
                  <a:lumMod val="20000"/>
                  <a:lumOff val="80000"/>
                </a:schemeClr>
              </a:solidFill>
              <a:ln w="9525">
                <a:solidFill>
                  <a:schemeClr val="tx1"/>
                </a:solidFill>
              </a:ln>
              <a:effectLst/>
            </c:spPr>
            <c:extLst>
              <c:ext xmlns:c16="http://schemas.microsoft.com/office/drawing/2014/chart" uri="{C3380CC4-5D6E-409C-BE32-E72D297353CC}">
                <c16:uniqueId val="{00000001-3A90-44EA-9C81-2B81BAFD4717}"/>
              </c:ext>
            </c:extLst>
          </c:dPt>
          <c:dPt>
            <c:idx val="1"/>
            <c:bubble3D val="0"/>
            <c:spPr>
              <a:solidFill>
                <a:schemeClr val="accent2">
                  <a:lumMod val="60000"/>
                  <a:lumOff val="40000"/>
                </a:schemeClr>
              </a:solidFill>
              <a:ln w="9525">
                <a:solidFill>
                  <a:schemeClr val="tx1">
                    <a:lumMod val="95000"/>
                    <a:lumOff val="5000"/>
                  </a:schemeClr>
                </a:solidFill>
              </a:ln>
              <a:effectLst/>
            </c:spPr>
            <c:extLst>
              <c:ext xmlns:c16="http://schemas.microsoft.com/office/drawing/2014/chart" uri="{C3380CC4-5D6E-409C-BE32-E72D297353CC}">
                <c16:uniqueId val="{00000003-3A90-44EA-9C81-2B81BAFD4717}"/>
              </c:ext>
            </c:extLst>
          </c:dPt>
          <c:dPt>
            <c:idx val="2"/>
            <c:bubble3D val="0"/>
            <c:spPr>
              <a:solidFill>
                <a:schemeClr val="accent2">
                  <a:lumMod val="75000"/>
                </a:schemeClr>
              </a:solidFill>
              <a:ln w="9525">
                <a:solidFill>
                  <a:schemeClr val="tx1">
                    <a:lumMod val="95000"/>
                    <a:lumOff val="5000"/>
                  </a:schemeClr>
                </a:solidFill>
              </a:ln>
              <a:effectLst/>
            </c:spPr>
            <c:extLst>
              <c:ext xmlns:c16="http://schemas.microsoft.com/office/drawing/2014/chart" uri="{C3380CC4-5D6E-409C-BE32-E72D297353CC}">
                <c16:uniqueId val="{00000005-3A90-44EA-9C81-2B81BAFD4717}"/>
              </c:ext>
            </c:extLst>
          </c:dPt>
          <c:dLbls>
            <c:spPr>
              <a:solidFill>
                <a:schemeClr val="bg1"/>
              </a:solidFill>
              <a:ln w="6350">
                <a:solidFill>
                  <a:schemeClr val="tx1"/>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s-A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editadas ok'!$J$14:$J$16</c:f>
              <c:strCache>
                <c:ptCount val="3"/>
                <c:pt idx="0">
                  <c:v>0-7,5 %</c:v>
                </c:pt>
                <c:pt idx="1">
                  <c:v>7,6-10 %</c:v>
                </c:pt>
                <c:pt idx="2">
                  <c:v>Más de 10 %</c:v>
                </c:pt>
              </c:strCache>
            </c:strRef>
          </c:cat>
          <c:val>
            <c:numRef>
              <c:f>'Tablas editadas ok'!$L$14:$L$16</c:f>
              <c:numCache>
                <c:formatCode>0.0%</c:formatCode>
                <c:ptCount val="3"/>
                <c:pt idx="0">
                  <c:v>0.21634615384615385</c:v>
                </c:pt>
                <c:pt idx="1">
                  <c:v>0.38461538461538464</c:v>
                </c:pt>
                <c:pt idx="2">
                  <c:v>0.39903846153846156</c:v>
                </c:pt>
              </c:numCache>
            </c:numRef>
          </c:val>
          <c:extLst>
            <c:ext xmlns:c16="http://schemas.microsoft.com/office/drawing/2014/chart" uri="{C3380CC4-5D6E-409C-BE32-E72D297353CC}">
              <c16:uniqueId val="{00000006-3A90-44EA-9C81-2B81BAFD4717}"/>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9921741032370941"/>
          <c:y val="0.38281167979002623"/>
          <c:w val="0.19037379702537183"/>
          <c:h val="0.251151574803149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52A4"/>
            </a:solidFill>
            <a:ln>
              <a:solidFill>
                <a:schemeClr val="tx1">
                  <a:lumMod val="95000"/>
                  <a:lumOff val="5000"/>
                  <a:alpha val="94000"/>
                </a:schemeClr>
              </a:solidFill>
            </a:ln>
            <a:effectLst/>
          </c:spPr>
          <c:invertIfNegative val="0"/>
          <c:cat>
            <c:strRef>
              <c:f>'Tablas editadas ok'!$K$31:$K$32</c:f>
              <c:strCache>
                <c:ptCount val="2"/>
                <c:pt idx="0">
                  <c:v>Análogos</c:v>
                </c:pt>
                <c:pt idx="1">
                  <c:v>NPH</c:v>
                </c:pt>
              </c:strCache>
            </c:strRef>
          </c:cat>
          <c:val>
            <c:numRef>
              <c:f>'Tablas editadas ok'!$O$31:$O$32</c:f>
              <c:numCache>
                <c:formatCode>General</c:formatCode>
                <c:ptCount val="2"/>
                <c:pt idx="0">
                  <c:v>151</c:v>
                </c:pt>
                <c:pt idx="1">
                  <c:v>57</c:v>
                </c:pt>
              </c:numCache>
            </c:numRef>
          </c:val>
          <c:extLst>
            <c:ext xmlns:c16="http://schemas.microsoft.com/office/drawing/2014/chart" uri="{C3380CC4-5D6E-409C-BE32-E72D297353CC}">
              <c16:uniqueId val="{00000000-D986-4B88-ACF0-99DB972D5A95}"/>
            </c:ext>
          </c:extLst>
        </c:ser>
        <c:dLbls>
          <c:showLegendKey val="0"/>
          <c:showVal val="0"/>
          <c:showCatName val="0"/>
          <c:showSerName val="0"/>
          <c:showPercent val="0"/>
          <c:showBubbleSize val="0"/>
        </c:dLbls>
        <c:gapWidth val="130"/>
        <c:overlap val="-24"/>
        <c:axId val="75333120"/>
        <c:axId val="104351424"/>
      </c:barChart>
      <c:catAx>
        <c:axId val="7533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Tipo de tratamiento inyectable</a:t>
                </a:r>
              </a:p>
            </c:rich>
          </c:tx>
          <c:layout>
            <c:manualLayout>
              <c:xMode val="edge"/>
              <c:yMode val="edge"/>
              <c:x val="0.38356822711783056"/>
              <c:y val="0.8859410691182644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s-AR"/>
          </a:p>
        </c:txPr>
        <c:crossAx val="104351424"/>
        <c:crosses val="autoZero"/>
        <c:auto val="1"/>
        <c:lblAlgn val="ctr"/>
        <c:lblOffset val="100"/>
        <c:noMultiLvlLbl val="0"/>
      </c:catAx>
      <c:valAx>
        <c:axId val="10435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n° de pacientes</a:t>
                </a:r>
              </a:p>
            </c:rich>
          </c:tx>
          <c:layout>
            <c:manualLayout>
              <c:xMode val="edge"/>
              <c:yMode val="edge"/>
              <c:x val="1.5382914353013012E-2"/>
              <c:y val="0.25805724236805955"/>
            </c:manualLayout>
          </c:layout>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AR"/>
          </a:p>
        </c:txPr>
        <c:crossAx val="75333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480219</xdr:colOff>
      <xdr:row>5</xdr:row>
      <xdr:rowOff>83611</xdr:rowOff>
    </xdr:from>
    <xdr:to>
      <xdr:col>12</xdr:col>
      <xdr:colOff>754064</xdr:colOff>
      <xdr:row>22</xdr:row>
      <xdr:rowOff>128061</xdr:rowOff>
    </xdr:to>
    <xdr:graphicFrame macro="">
      <xdr:nvGraphicFramePr>
        <xdr:cNvPr id="8" name="Gráfico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563562</xdr:colOff>
      <xdr:row>7</xdr:row>
      <xdr:rowOff>231776</xdr:rowOff>
    </xdr:from>
    <xdr:to>
      <xdr:col>22</xdr:col>
      <xdr:colOff>821530</xdr:colOff>
      <xdr:row>17</xdr:row>
      <xdr:rowOff>254001</xdr:rowOff>
    </xdr:to>
    <xdr:graphicFrame macro="">
      <xdr:nvGraphicFramePr>
        <xdr:cNvPr id="3" name="Gráfico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457200</xdr:colOff>
      <xdr:row>14</xdr:row>
      <xdr:rowOff>261259</xdr:rowOff>
    </xdr:from>
    <xdr:to>
      <xdr:col>5</xdr:col>
      <xdr:colOff>628213</xdr:colOff>
      <xdr:row>29</xdr:row>
      <xdr:rowOff>11634</xdr:rowOff>
    </xdr:to>
    <xdr:graphicFrame macro="">
      <xdr:nvGraphicFramePr>
        <xdr:cNvPr id="5" name="Gráfico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283028</xdr:colOff>
      <xdr:row>10</xdr:row>
      <xdr:rowOff>21772</xdr:rowOff>
    </xdr:from>
    <xdr:to>
      <xdr:col>9</xdr:col>
      <xdr:colOff>39008</xdr:colOff>
      <xdr:row>22</xdr:row>
      <xdr:rowOff>139247</xdr:rowOff>
    </xdr:to>
    <xdr:graphicFrame macro="">
      <xdr:nvGraphicFramePr>
        <xdr:cNvPr id="7" name="Gráfico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127000</xdr:colOff>
      <xdr:row>34</xdr:row>
      <xdr:rowOff>136526</xdr:rowOff>
    </xdr:from>
    <xdr:to>
      <xdr:col>16</xdr:col>
      <xdr:colOff>656167</xdr:colOff>
      <xdr:row>52</xdr:row>
      <xdr:rowOff>22226</xdr:rowOff>
    </xdr:to>
    <xdr:graphicFrame macro="">
      <xdr:nvGraphicFramePr>
        <xdr:cNvPr id="8" name="Gráfico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elo" refreshedDate="44936.541858101853" createdVersion="5" refreshedVersion="5" minRefreshableVersion="3" recordCount="209" xr:uid="{00000000-000A-0000-FFFF-FFFF07000000}">
  <cacheSource type="worksheet">
    <worksheetSource ref="A1:BJ1048576" sheet="base valorizada"/>
  </cacheSource>
  <cacheFields count="64">
    <cacheField name="D_BENE_APE" numFmtId="0">
      <sharedItems containsBlank="1"/>
    </cacheField>
    <cacheField name="D_BENE_NOM" numFmtId="0">
      <sharedItems containsBlank="1"/>
    </cacheField>
    <cacheField name="Dato Control" numFmtId="0">
      <sharedItems containsString="0" containsBlank="1" containsNumber="1" containsInteger="1" minValue="1" maxValue="1"/>
    </cacheField>
    <cacheField name="EDAD" numFmtId="0">
      <sharedItems containsString="0" containsBlank="1" containsNumber="1" containsInteger="1" minValue="55" maxValue="95" count="28">
        <n v="70"/>
        <n v="85"/>
        <n v="76"/>
        <n v="73"/>
        <n v="68"/>
        <n v="66"/>
        <n v="77"/>
        <n v="67"/>
        <n v="65"/>
        <n v="80"/>
        <n v="71"/>
        <n v="69"/>
        <n v="74"/>
        <n v="95"/>
        <n v="72"/>
        <n v="84"/>
        <n v="75"/>
        <n v="81"/>
        <n v="79"/>
        <n v="87"/>
        <n v="78"/>
        <n v="90"/>
        <n v="83"/>
        <n v="62"/>
        <n v="86"/>
        <n v="55"/>
        <n v="82"/>
        <m/>
      </sharedItems>
    </cacheField>
    <cacheField name="rango  edad" numFmtId="0">
      <sharedItems containsBlank="1" count="4">
        <s v="55-70"/>
        <s v="76-95"/>
        <s v="71-75"/>
        <m/>
      </sharedItems>
    </cacheField>
    <cacheField name="no usar rango edad" numFmtId="0">
      <sharedItems containsBlank="1"/>
    </cacheField>
    <cacheField name="SEXO" numFmtId="0">
      <sharedItems containsBlank="1" count="3">
        <s v="M"/>
        <s v="F"/>
        <m/>
      </sharedItems>
    </cacheField>
    <cacheField name="VIVE_SOLO" numFmtId="0">
      <sharedItems containsBlank="1"/>
    </cacheField>
    <cacheField name="MAX_NIV_EDUC_ALCANZADO" numFmtId="0">
      <sharedItems containsString="0" containsBlank="1" containsNumber="1" containsInteger="1" minValue="1" maxValue="5" count="6">
        <n v="3"/>
        <n v="2"/>
        <n v="1"/>
        <n v="4"/>
        <n v="5"/>
        <m/>
      </sharedItems>
    </cacheField>
    <cacheField name="SUELDO" numFmtId="0">
      <sharedItems containsString="0" containsBlank="1" containsNumber="1" containsInteger="1" minValue="1" maxValue="4"/>
    </cacheField>
    <cacheField name="Sueldo MODIF" numFmtId="0">
      <sharedItems containsBlank="1"/>
    </cacheField>
    <cacheField name="AÑO DG " numFmtId="0">
      <sharedItems containsBlank="1" containsMixedTypes="1" containsNumber="1" containsInteger="1" minValue="1970" maxValue="2019"/>
    </cacheField>
    <cacheField name="PROMDIO DE AÑOS DBT" numFmtId="0">
      <sharedItems containsNonDate="0" containsString="0" containsBlank="1"/>
    </cacheField>
    <cacheField name="AÑOS DBT" numFmtId="0">
      <sharedItems containsString="0" containsBlank="1" containsNumber="1" containsInteger="1" minValue="1" maxValue="51"/>
    </cacheField>
    <cacheField name="EDAD DG  DBT" numFmtId="0">
      <sharedItems containsBlank="1" containsMixedTypes="1" containsNumber="1" containsInteger="1" minValue="20" maxValue="85"/>
    </cacheField>
    <cacheField name="PESO" numFmtId="0">
      <sharedItems containsString="0" containsBlank="1" containsNumber="1" minValue="49.5" maxValue="142"/>
    </cacheField>
    <cacheField name="TALLA" numFmtId="0">
      <sharedItems containsString="0" containsBlank="1" containsNumber="1" minValue="1.43" maxValue="1.9"/>
    </cacheField>
    <cacheField name="IMC" numFmtId="164">
      <sharedItems containsString="0" containsBlank="1" containsNumber="1" minValue="20.871985157699445" maxValue="51.612903225806448" count="207">
        <n v="27.620860772135703"/>
        <n v="31.249999999999993"/>
        <n v="35.737491877842757"/>
        <n v="28.621470374642232"/>
        <n v="37.015532007548266"/>
        <n v="34.478096268253111"/>
        <n v="29.744199881023206"/>
        <n v="35.187843562900461"/>
        <n v="38.934802571166209"/>
        <n v="27.744748315497421"/>
        <n v="26.14268848035082"/>
        <n v="31.054973274806649"/>
        <n v="36.172087806441269"/>
        <n v="33.241505968778696"/>
        <n v="40"/>
        <n v="38.766984079190038"/>
        <n v="28.71047932495361"/>
        <n v="27.290448343079923"/>
        <n v="32.211757291411367"/>
        <n v="28.207160787422382"/>
        <n v="26.684560406978559"/>
        <n v="26.010848126232737"/>
        <n v="35.983673469387753"/>
        <n v="30.482939129879661"/>
        <n v="29.130632680928542"/>
        <n v="32.200000000000003"/>
        <n v="28.157111952406709"/>
        <n v="24.297179948247884"/>
        <n v="32.982038444032078"/>
        <n v="39.894416786394466"/>
        <n v="29.382716049382715"/>
        <n v="29.648715343300918"/>
        <n v="24.048442906574397"/>
        <n v="22.571047501795427"/>
        <n v="30.203493029963145"/>
        <n v="41.730944187334359"/>
        <n v="34.190331153513092"/>
        <n v="22.685107100691514"/>
        <n v="32.106718952417637"/>
        <n v="31.147842056932969"/>
        <n v="24.238227146814403"/>
        <n v="28.476261962844816"/>
        <n v="32.769394909312595"/>
        <n v="30.110990511536716"/>
        <n v="24.990871840642622"/>
        <n v="23.3"/>
        <n v="37.669094693028093"/>
        <n v="31.111111111111111"/>
        <n v="33.768626822624576"/>
        <n v="33.333333333333336"/>
        <n v="36.498404954025148"/>
        <n v="30.38710529792575"/>
        <n v="38.525564803804997"/>
        <n v="27.343749999999996"/>
        <n v="25.443185667507244"/>
        <n v="31.750716815651881"/>
        <n v="31.245237006553872"/>
        <n v="37.460978147762745"/>
        <n v="29.069767441860467"/>
        <n v="41.665059218394347"/>
        <n v="38.617376026390332"/>
        <n v="32.699167657550532"/>
        <n v="28.548281316307239"/>
        <n v="49.718147123700156"/>
        <n v="46.339044492322429"/>
        <n v="24.358230823234944"/>
        <n v="36.56509695290859"/>
        <n v="23.529411764705884"/>
        <n v="31.417311124330762"/>
        <n v="39.247065996037179"/>
        <n v="29.238777717685238"/>
        <n v="31.634581999151262"/>
        <n v="41.370300479024536"/>
        <n v="43.98333600384553"/>
        <n v="40.588781847523109"/>
        <n v="23.9"/>
        <n v="36.649820608772806"/>
        <n v="33.987886269819832"/>
        <n v="25.826446280991735"/>
        <n v="30.597469897881414"/>
        <n v="36.935273185892527"/>
        <n v="26.026174895895306"/>
        <n v="25.217358575783809"/>
        <n v="36.15702479338843"/>
        <n v="31.624219935908247"/>
        <n v="34.571417269886474"/>
        <n v="28.124999999999993"/>
        <n v="29.186496133254021"/>
        <n v="36.413290851160681"/>
        <n v="24.156601416076636"/>
        <n v="27.688778133776353"/>
        <n v="33.007812499999993"/>
        <n v="40.562466197944836"/>
        <n v="36.51263742951032"/>
        <n v="34.484157572315304"/>
        <n v="27.519628264701165"/>
        <n v="23.738662131519277"/>
        <n v="31.221303948576679"/>
        <n v="31.37798916633637"/>
        <n v="27.94309769197271"/>
        <n v="31.800208116545264"/>
        <n v="33.425044616299829"/>
        <n v="23.530366343462209"/>
        <n v="30.614821360939274"/>
        <n v="29.49245541838134"/>
        <n v="25.23415977961433"/>
        <n v="34.687005558034805"/>
        <n v="29.759183051364115"/>
        <n v="31.866825208085611"/>
        <n v="30.346074380165291"/>
        <n v="33.168044077134986"/>
        <n v="29.942857142857143"/>
        <n v="28.654168571864041"/>
        <n v="34.293801712875599"/>
        <n v="31.603212373587155"/>
        <n v="36.920415224913498"/>
        <n v="23.21395775941231"/>
        <n v="30.468749999999993"/>
        <n v="32.38835543362292"/>
        <n v="41.707758053911896"/>
        <n v="29.46877101380483"/>
        <n v="34.722222222222221"/>
        <n v="30.5"/>
        <n v="39.377162629757791"/>
        <n v="30.261830621463972"/>
        <n v="38.357445955427842"/>
        <n v="28.048979591836737"/>
        <n v="30.1"/>
        <n v="30.043262297708697"/>
        <n v="36.144578313253014"/>
        <n v="28.345473465140472"/>
        <n v="34.049030604069856"/>
        <n v="33.468364197530867"/>
        <n v="33.685578468588631"/>
        <n v="32.253086419753082"/>
        <n v="20.871985157699445"/>
        <n v="32.343212269036719"/>
        <n v="36.674915818085928"/>
        <n v="26.955950032873105"/>
        <n v="24.428753124862947"/>
        <n v="31.644317867172973"/>
        <n v="32.461936225222637"/>
        <n v="25.348595213319456"/>
        <n v="32.946259789359978"/>
        <n v="30.221957986523979"/>
        <n v="38.085937499999993"/>
        <n v="33.872720685907495"/>
        <n v="33.749455653941069"/>
        <n v="35.587788834542081"/>
        <n v="33.858324865727973"/>
        <n v="35.661168199026505"/>
        <n v="41.555555555555557"/>
        <n v="34.539473684210527"/>
        <n v="30.470521541950117"/>
        <n v="39.91053023990176"/>
        <n v="37.393162393162392"/>
        <n v="27.323363010394278"/>
        <n v="30.724242909790092"/>
        <n v="32.625423207140663"/>
        <n v="27.390918560240728"/>
        <n v="34.175166547480146"/>
        <n v="36.571334648257725"/>
        <n v="30.884495317377731"/>
        <n v="30.238230478799824"/>
        <n v="34.492306475218541"/>
        <n v="33.673257023933402"/>
        <n v="34.804404996712684"/>
        <n v="30.847098252453751"/>
        <n v="40.723772502198159"/>
        <n v="33.922996878251816"/>
        <n v="31.027725359268402"/>
        <n v="35.856430850873103"/>
        <n v="35.185185185185183"/>
        <n v="39.671326591314703"/>
        <n v="25.299375948726599"/>
        <n v="26.305931321540061"/>
        <n v="36.666666666666664"/>
        <n v="32"/>
        <n v="32.378357058338416"/>
        <n v="33.4699176437178"/>
        <n v="30.759870200108171"/>
        <n v="35.18326706538808"/>
        <n v="33.194609591755842"/>
        <n v="26.543209876543209"/>
        <n v="35.798197274552521"/>
        <n v="34.209025919915796"/>
        <n v="31.141868512110729"/>
        <n v="28.344671201814062"/>
        <n v="35.052131932329914"/>
        <n v="36.43664485425343"/>
        <n v="29.636807110160714"/>
        <n v="36.635802469135804"/>
        <n v="32.857841845760099"/>
        <n v="26.619343389529721"/>
        <n v="28.803329864724244"/>
        <n v="40.291363163371479"/>
        <n v="35.677148696618737"/>
        <n v="28.1"/>
        <n v="34.886587771203153"/>
        <n v="36.009445100354192"/>
        <n v="21.773842357381334"/>
        <n v="29.296874999999993"/>
        <n v="51.612903225806448"/>
        <n v="35.492457852706295"/>
        <n v="27.61649005661199"/>
        <n v="24"/>
        <m/>
      </sharedItems>
    </cacheField>
    <cacheField name="ACT FCA" numFmtId="164">
      <sharedItems containsBlank="1" count="3">
        <s v="NO"/>
        <s v="SI"/>
        <m/>
      </sharedItems>
    </cacheField>
    <cacheField name="RANG IMC" numFmtId="164">
      <sharedItems containsBlank="1" count="4">
        <s v="PSN"/>
        <s v="OBESIDAD"/>
        <s v="NORM"/>
        <m/>
      </sharedItems>
    </cacheField>
    <cacheField name="HTA" numFmtId="0">
      <sharedItems containsBlank="1"/>
    </cacheField>
    <cacheField name="FUMA" numFmtId="0">
      <sharedItems containsBlank="1" count="3">
        <s v="NO"/>
        <s v="SI"/>
        <m/>
      </sharedItems>
    </cacheField>
    <cacheField name="PAQ/YEAR" numFmtId="0">
      <sharedItems containsBlank="1" containsMixedTypes="1" containsNumber="1" containsInteger="1" minValue="3" maxValue="96"/>
    </cacheField>
    <cacheField name="FECHA_HbAc1_INICIO" numFmtId="0">
      <sharedItems containsNonDate="0" containsDate="1" containsString="0" containsBlank="1" minDate="2021-06-17T00:00:00" maxDate="2021-10-22T00:00:00"/>
    </cacheField>
    <cacheField name="HbA1c_INICIO" numFmtId="0">
      <sharedItems containsString="0" containsBlank="1" containsNumber="1" minValue="4.5" maxValue="15.8"/>
    </cacheField>
    <cacheField name="Rango4c A1c" numFmtId="0">
      <sharedItems containsBlank="1"/>
    </cacheField>
    <cacheField name="RANGO3ADA" numFmtId="0">
      <sharedItems containsBlank="1"/>
    </cacheField>
    <cacheField name="RANGO3LUCIO" numFmtId="0">
      <sharedItems containsBlank="1" count="4">
        <s v="Mas de 10"/>
        <s v="0-7,5"/>
        <s v="7,6-10"/>
        <m/>
      </sharedItems>
    </cacheField>
    <cacheField name="Rango 12/12" numFmtId="0">
      <sharedItems containsBlank="1"/>
    </cacheField>
    <cacheField name="CÓDLUCIO3c A1c" numFmtId="0">
      <sharedItems containsString="0" containsBlank="1" containsNumber="1" containsInteger="1" minValue="1" maxValue="3"/>
    </cacheField>
    <cacheField name="INSU_BASAL" numFmtId="0">
      <sharedItems containsBlank="1"/>
    </cacheField>
    <cacheField name="TIPO TTO." numFmtId="0">
      <sharedItems containsBlank="1" count="3">
        <s v="NPH"/>
        <s v="AA"/>
        <m/>
      </sharedItems>
    </cacheField>
    <cacheField name="BASAL_DOSIS" numFmtId="0">
      <sharedItems containsString="0" containsBlank="1" containsNumber="1" containsInteger="1" minValue="4" maxValue="120"/>
    </cacheField>
    <cacheField name="prec por unidad" numFmtId="167">
      <sharedItems containsString="0" containsBlank="1" containsNumber="1" minValue="4.4400000000000004" maxValue="15.6"/>
    </cacheField>
    <cacheField name="costo total pac" numFmtId="167">
      <sharedItems containsString="0" containsBlank="1" containsNumber="1" minValue="62.4" maxValue="1451.34"/>
    </cacheField>
    <cacheField name="en dólar sep21" numFmtId="167">
      <sharedItems containsString="0" containsBlank="1" containsNumber="1" minValue="0.61935483870967745" maxValue="14.405359801488833"/>
    </cacheField>
    <cacheField name="INSU_RAPIDA" numFmtId="0">
      <sharedItems containsBlank="1" count="3">
        <s v="NO"/>
        <s v="SI"/>
        <m/>
      </sharedItems>
    </cacheField>
    <cacheField name="RAPIDA_DOSIS POR UNIDAD" numFmtId="0">
      <sharedItems containsDate="1" containsBlank="1" containsMixedTypes="1" minDate="1899-12-31T00:01:04" maxDate="1899-12-31T01:14:04"/>
    </cacheField>
    <cacheField name="BIGUA_NOM" numFmtId="0">
      <sharedItems containsBlank="1"/>
    </cacheField>
    <cacheField name="BIGUA_DOSIS" numFmtId="0">
      <sharedItems containsString="0" containsBlank="1" containsNumber="1" containsInteger="1" minValue="500" maxValue="25000"/>
    </cacheField>
    <cacheField name="valor prom mg metf" numFmtId="44">
      <sharedItems containsString="0" containsBlank="1" containsNumber="1" minValue="3.2199999999999999E-2" maxValue="3.2199999999999999E-2"/>
    </cacheField>
    <cacheField name="valor por pac $ diario" numFmtId="44">
      <sharedItems containsString="0" containsBlank="1" containsNumber="1" minValue="0" maxValue="805"/>
    </cacheField>
    <cacheField name="en dólar bigua" numFmtId="44">
      <sharedItems containsString="0" containsBlank="1" containsNumber="1" minValue="0" maxValue="7.9900744416873453"/>
    </cacheField>
    <cacheField name="BIGUASI" numFmtId="0">
      <sharedItems containsBlank="1" count="3">
        <s v="SI"/>
        <s v="NO"/>
        <m/>
      </sharedItems>
    </cacheField>
    <cacheField name="SULFO_NOM" numFmtId="0">
      <sharedItems containsBlank="1"/>
    </cacheField>
    <cacheField name="prome por mg" numFmtId="167">
      <sharedItems containsString="0" containsBlank="1" containsNumber="1" minValue="1.069" maxValue="13.41"/>
    </cacheField>
    <cacheField name="valor por pac $ diario2" numFmtId="167">
      <sharedItems containsString="0" containsBlank="1" containsNumber="1" minValue="26.82" maxValue="128.28"/>
    </cacheField>
    <cacheField name="en dólar sulfo" numFmtId="167">
      <sharedItems containsString="0" containsBlank="1" containsNumber="1" minValue="0" maxValue="1.2732506203473946"/>
    </cacheField>
    <cacheField name="SULFOSI" numFmtId="0">
      <sharedItems containsBlank="1"/>
    </cacheField>
    <cacheField name="SULFO_DOSIS" numFmtId="0">
      <sharedItems containsString="0" containsBlank="1" containsNumber="1" containsInteger="1" minValue="2" maxValue="120"/>
    </cacheField>
    <cacheField name="GLITAZONAS_NOM" numFmtId="0">
      <sharedItems containsNonDate="0" containsString="0" containsBlank="1"/>
    </cacheField>
    <cacheField name="GLIPTINAS_NOM" numFmtId="0">
      <sharedItems containsBlank="1"/>
    </cacheField>
    <cacheField name="GLIPTINAS_DOSIS" numFmtId="0">
      <sharedItems containsString="0" containsBlank="1" containsNumber="1" containsInteger="1" minValue="5" maxValue="100"/>
    </cacheField>
    <cacheField name="prome por mg2" numFmtId="167">
      <sharedItems containsBlank="1" containsMixedTypes="1" containsNumber="1" minValue="1.84" maxValue="66.150000000000006"/>
    </cacheField>
    <cacheField name="valor por pac $ diario3" numFmtId="167">
      <sharedItems containsString="0" containsBlank="1" containsNumber="1" minValue="92" maxValue="540"/>
    </cacheField>
    <cacheField name="en dólar glipti" numFmtId="167">
      <sharedItems containsString="0" containsBlank="1" containsNumber="1" minValue="0" maxValue="5.3598014888337469"/>
    </cacheField>
    <cacheField name="GLIPTISI" numFmtId="0">
      <sharedItems containsBlank="1" count="3">
        <s v="NO"/>
        <s v="SI"/>
        <m/>
      </sharedItems>
    </cacheField>
    <cacheField name="GLIFLOZINAS_NOM" numFmtId="0">
      <sharedItems containsBlank="1"/>
    </cacheField>
    <cacheField name="GLIFLOZINAS_DOSIS" numFmtId="0">
      <sharedItems containsString="0" containsBlank="1" containsNumber="1" containsInteger="1" minValue="10" maxValue="25"/>
    </cacheField>
    <cacheField name="GLIFLOZINAS SI" numFmtId="0">
      <sharedItems containsBlank="1" count="2">
        <m/>
        <s v="SI"/>
      </sharedItems>
    </cacheField>
    <cacheField name="prome por mg3" numFmtId="167">
      <sharedItems containsString="0" containsBlank="1" containsNumber="1" minValue="26.41" maxValue="26.41"/>
    </cacheField>
    <cacheField name="valor por pac $ diario4" numFmtId="167">
      <sharedItems containsString="0" containsBlank="1" containsNumber="1" minValue="264.10000000000002" maxValue="660.25"/>
    </cacheField>
    <cacheField name="en dólar glifo" numFmtId="167">
      <sharedItems containsString="0" containsBlank="1" containsNumber="1" minValue="0" maxValue="6.5533498759305209"/>
    </cacheField>
    <cacheField name="NDROGASHPO" numFmtId="0">
      <sharedItems containsString="0" containsBlank="1" containsNumber="1" containsInteger="1" minValue="0"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9">
  <r>
    <s v="ACOSTA MONTES DE OCA"/>
    <s v="ARIDES LUIS"/>
    <n v="1"/>
    <x v="0"/>
    <x v="0"/>
    <s v="65-74"/>
    <x v="0"/>
    <s v="Si"/>
    <x v="0"/>
    <n v="1"/>
    <s v="18000a23000"/>
    <n v="2005"/>
    <m/>
    <n v="16"/>
    <n v="54"/>
    <n v="88.5"/>
    <n v="1.79"/>
    <x v="0"/>
    <x v="0"/>
    <x v="0"/>
    <s v="Si"/>
    <x v="0"/>
    <s v="N/A"/>
    <d v="2021-08-05T00:00:00"/>
    <n v="11.9"/>
    <s v="11,1 - o mas"/>
    <s v="&gt;8,1"/>
    <x v="0"/>
    <s v="mas de 8"/>
    <n v="3"/>
    <s v="NPH"/>
    <x v="0"/>
    <n v="80"/>
    <n v="7.21"/>
    <n v="576.79999999999995"/>
    <n v="5.7250620347394534"/>
    <x v="0"/>
    <m/>
    <s v="METFORMINA"/>
    <n v="2000"/>
    <n v="3.2199999999999999E-2"/>
    <n v="64.400000000000006"/>
    <n v="0.6392059553349877"/>
    <x v="0"/>
    <m/>
    <m/>
    <m/>
    <n v="0"/>
    <s v="NO"/>
    <m/>
    <m/>
    <m/>
    <m/>
    <m/>
    <m/>
    <n v="0"/>
    <x v="0"/>
    <m/>
    <m/>
    <x v="0"/>
    <m/>
    <m/>
    <n v="0"/>
    <n v="1"/>
  </r>
  <r>
    <s v="ACROGLIANO"/>
    <s v="MARIO ALBERTO"/>
    <n v="1"/>
    <x v="1"/>
    <x v="1"/>
    <s v="85-o mas"/>
    <x v="0"/>
    <s v="S/D"/>
    <x v="1"/>
    <n v="1"/>
    <s v="18000a23000"/>
    <n v="1981"/>
    <m/>
    <n v="40"/>
    <n v="45"/>
    <n v="80"/>
    <n v="1.6"/>
    <x v="1"/>
    <x v="0"/>
    <x v="1"/>
    <s v="Si"/>
    <x v="0"/>
    <m/>
    <d v="2021-06-17T00:00:00"/>
    <n v="6.1"/>
    <s v="4,5-7"/>
    <s v="&lt;7"/>
    <x v="1"/>
    <s v="Menor a 7"/>
    <n v="1"/>
    <s v="DEGLUDEC"/>
    <x v="1"/>
    <n v="4"/>
    <n v="15.6"/>
    <n v="62.4"/>
    <n v="0.61935483870967745"/>
    <x v="0"/>
    <m/>
    <s v="No"/>
    <m/>
    <n v="3.2199999999999999E-2"/>
    <n v="0"/>
    <n v="0"/>
    <x v="1"/>
    <m/>
    <m/>
    <m/>
    <n v="0"/>
    <s v="NO"/>
    <m/>
    <m/>
    <m/>
    <m/>
    <m/>
    <m/>
    <n v="0"/>
    <x v="0"/>
    <m/>
    <m/>
    <x v="0"/>
    <m/>
    <m/>
    <n v="0"/>
    <n v="0"/>
  </r>
  <r>
    <s v="AGUERO"/>
    <s v="ALBERTO RODOLFO"/>
    <n v="1"/>
    <x v="2"/>
    <x v="1"/>
    <s v="75-84"/>
    <x v="0"/>
    <s v="No"/>
    <x v="1"/>
    <n v="3"/>
    <s v="46001-69000"/>
    <n v="1995"/>
    <m/>
    <n v="26"/>
    <n v="50"/>
    <n v="104.5"/>
    <n v="1.71"/>
    <x v="2"/>
    <x v="0"/>
    <x v="1"/>
    <s v="Si"/>
    <x v="1"/>
    <n v="30"/>
    <d v="2021-08-05T00:00:00"/>
    <n v="10.3"/>
    <s v="9,1-11"/>
    <s v="&gt;8,1"/>
    <x v="0"/>
    <s v="mas de 8"/>
    <n v="2"/>
    <s v="GLARGINA"/>
    <x v="1"/>
    <n v="99"/>
    <n v="14.66"/>
    <n v="1451.34"/>
    <n v="14.405359801488833"/>
    <x v="0"/>
    <m/>
    <s v="METFORMINA"/>
    <n v="2000"/>
    <n v="3.2199999999999999E-2"/>
    <n v="64.400000000000006"/>
    <n v="0.6392059553349877"/>
    <x v="0"/>
    <m/>
    <m/>
    <m/>
    <n v="0"/>
    <s v="NO"/>
    <m/>
    <m/>
    <s v="VILDAGLIPTINA"/>
    <n v="100"/>
    <n v="1.84"/>
    <n v="184"/>
    <n v="1.8263027295285359"/>
    <x v="1"/>
    <m/>
    <m/>
    <x v="0"/>
    <m/>
    <m/>
    <n v="0"/>
    <n v="2"/>
  </r>
  <r>
    <s v="ALDERETE"/>
    <s v="SILVIA"/>
    <n v="1"/>
    <x v="3"/>
    <x v="2"/>
    <s v="65-74"/>
    <x v="1"/>
    <s v="No"/>
    <x v="2"/>
    <n v="2"/>
    <s v="23001-46000"/>
    <n v="1978"/>
    <m/>
    <n v="43"/>
    <n v="30"/>
    <n v="67"/>
    <n v="1.53"/>
    <x v="3"/>
    <x v="1"/>
    <x v="0"/>
    <s v="Si"/>
    <x v="0"/>
    <s v="N/A"/>
    <d v="2021-07-26T00:00:00"/>
    <n v="7.3"/>
    <s v="7,1-9"/>
    <s v="7,1-8"/>
    <x v="1"/>
    <s v="7a7,5"/>
    <n v="1"/>
    <s v="GLARGINA"/>
    <x v="1"/>
    <n v="30"/>
    <n v="14.66"/>
    <n v="439.8"/>
    <n v="4.3652605459057074"/>
    <x v="0"/>
    <m/>
    <s v="METFORMINA"/>
    <n v="2000"/>
    <n v="3.2199999999999999E-2"/>
    <n v="64.400000000000006"/>
    <n v="0.6392059553349877"/>
    <x v="0"/>
    <s v="GLICLAZIDA"/>
    <n v="1.069"/>
    <n v="128.28"/>
    <n v="1.2732506203473946"/>
    <s v="SI"/>
    <n v="120"/>
    <m/>
    <m/>
    <m/>
    <m/>
    <m/>
    <n v="0"/>
    <x v="0"/>
    <m/>
    <m/>
    <x v="0"/>
    <m/>
    <m/>
    <n v="0"/>
    <n v="2"/>
  </r>
  <r>
    <s v="ALEGRIA FARIAS"/>
    <s v="LUIS JORGE"/>
    <n v="1"/>
    <x v="4"/>
    <x v="0"/>
    <s v="65-74"/>
    <x v="0"/>
    <s v="No"/>
    <x v="2"/>
    <n v="1"/>
    <s v="18000a23000"/>
    <n v="2005"/>
    <m/>
    <n v="16"/>
    <n v="52"/>
    <n v="102"/>
    <n v="1.66"/>
    <x v="4"/>
    <x v="0"/>
    <x v="1"/>
    <s v="Si"/>
    <x v="0"/>
    <m/>
    <d v="2021-06-17T00:00:00"/>
    <n v="12"/>
    <s v="11,1 - o mas"/>
    <s v="&gt;8,1"/>
    <x v="0"/>
    <s v="mas de 8"/>
    <n v="3"/>
    <s v="GLARGINA"/>
    <x v="1"/>
    <n v="30"/>
    <n v="14.66"/>
    <n v="439.8"/>
    <n v="4.3652605459057074"/>
    <x v="0"/>
    <m/>
    <s v="No"/>
    <m/>
    <n v="3.2199999999999999E-2"/>
    <n v="0"/>
    <n v="0"/>
    <x v="1"/>
    <m/>
    <m/>
    <m/>
    <n v="0"/>
    <s v="NO"/>
    <m/>
    <m/>
    <m/>
    <m/>
    <m/>
    <m/>
    <n v="0"/>
    <x v="0"/>
    <m/>
    <m/>
    <x v="0"/>
    <m/>
    <m/>
    <n v="0"/>
    <n v="0"/>
  </r>
  <r>
    <s v="ALMIRON"/>
    <s v="HECTOR OSCAR"/>
    <n v="1"/>
    <x v="5"/>
    <x v="0"/>
    <s v="65-74"/>
    <x v="0"/>
    <s v="No"/>
    <x v="1"/>
    <n v="1"/>
    <s v="18000a23000"/>
    <n v="1999"/>
    <m/>
    <n v="22"/>
    <n v="44"/>
    <n v="102"/>
    <n v="1.72"/>
    <x v="5"/>
    <x v="0"/>
    <x v="1"/>
    <s v="No"/>
    <x v="0"/>
    <s v="N/A"/>
    <d v="2021-07-26T00:00:00"/>
    <n v="12.1"/>
    <s v="11,1 - o mas"/>
    <s v="&gt;8,1"/>
    <x v="0"/>
    <s v="mas de 8"/>
    <n v="3"/>
    <s v="GLARGINA"/>
    <x v="1"/>
    <n v="50"/>
    <n v="14.66"/>
    <n v="733"/>
    <n v="7.2754342431761785"/>
    <x v="0"/>
    <m/>
    <s v="METFORMINA"/>
    <n v="1000"/>
    <n v="3.2199999999999999E-2"/>
    <n v="32.200000000000003"/>
    <n v="0.31960297766749385"/>
    <x v="0"/>
    <s v="Glimepirida"/>
    <n v="13.41"/>
    <n v="26.82"/>
    <n v="0.26620347394540944"/>
    <s v="SI"/>
    <n v="2"/>
    <m/>
    <m/>
    <m/>
    <m/>
    <m/>
    <n v="0"/>
    <x v="0"/>
    <m/>
    <m/>
    <x v="0"/>
    <m/>
    <m/>
    <n v="0"/>
    <n v="2"/>
  </r>
  <r>
    <s v="ALONSO"/>
    <s v="DORINDA"/>
    <n v="1"/>
    <x v="6"/>
    <x v="1"/>
    <s v="75-84"/>
    <x v="1"/>
    <s v="Si"/>
    <x v="1"/>
    <n v="2"/>
    <s v="23001-46000"/>
    <n v="2009"/>
    <m/>
    <n v="12"/>
    <n v="65"/>
    <n v="80"/>
    <n v="1.64"/>
    <x v="6"/>
    <x v="1"/>
    <x v="0"/>
    <s v="Si"/>
    <x v="0"/>
    <s v="N/A"/>
    <d v="2021-08-05T00:00:00"/>
    <n v="9.6"/>
    <s v="9,1-11"/>
    <s v="&gt;8,1"/>
    <x v="2"/>
    <s v="mas de 8"/>
    <n v="2"/>
    <s v="NPH"/>
    <x v="0"/>
    <n v="70"/>
    <n v="7.21"/>
    <n v="504.7"/>
    <n v="5.009429280397022"/>
    <x v="1"/>
    <n v="10"/>
    <s v="METFORMINA"/>
    <n v="2000"/>
    <n v="3.2199999999999999E-2"/>
    <n v="64.400000000000006"/>
    <n v="0.6392059553349877"/>
    <x v="0"/>
    <m/>
    <m/>
    <m/>
    <n v="0"/>
    <s v="NO"/>
    <m/>
    <m/>
    <s v="SITAGLIPTINA"/>
    <n v="100"/>
    <n v="5.4"/>
    <n v="540"/>
    <n v="5.3598014888337469"/>
    <x v="1"/>
    <m/>
    <m/>
    <x v="0"/>
    <m/>
    <m/>
    <n v="0"/>
    <n v="2"/>
  </r>
  <r>
    <s v="AMADO"/>
    <s v="RICARDO HORACIO"/>
    <n v="1"/>
    <x v="3"/>
    <x v="2"/>
    <s v="65-74"/>
    <x v="0"/>
    <s v="No"/>
    <x v="3"/>
    <n v="2"/>
    <s v="23001-46000"/>
    <n v="2003"/>
    <m/>
    <n v="18"/>
    <n v="55"/>
    <n v="100.5"/>
    <n v="1.69"/>
    <x v="7"/>
    <x v="0"/>
    <x v="1"/>
    <s v="No"/>
    <x v="1"/>
    <s v="N/A"/>
    <d v="2021-06-24T00:00:00"/>
    <n v="10.7"/>
    <s v="9,1-11"/>
    <s v="&gt;8,1"/>
    <x v="0"/>
    <s v="mas de 8"/>
    <n v="2"/>
    <s v="DETEMIR"/>
    <x v="1"/>
    <n v="50"/>
    <n v="13.54"/>
    <n v="677"/>
    <n v="6.7196029776674937"/>
    <x v="1"/>
    <n v="15"/>
    <s v="METFORMINA"/>
    <n v="2550"/>
    <n v="3.2199999999999999E-2"/>
    <n v="82.11"/>
    <n v="0.81498759305210922"/>
    <x v="0"/>
    <m/>
    <m/>
    <m/>
    <n v="0"/>
    <s v="NO"/>
    <m/>
    <m/>
    <s v="SITAGLIPTINA"/>
    <n v="100"/>
    <n v="5.4"/>
    <n v="540"/>
    <n v="5.3598014888337469"/>
    <x v="1"/>
    <m/>
    <m/>
    <x v="0"/>
    <m/>
    <m/>
    <n v="0"/>
    <n v="2"/>
  </r>
  <r>
    <s v="AMCHITE"/>
    <s v="RICARDO MIGUEL"/>
    <n v="1"/>
    <x v="6"/>
    <x v="1"/>
    <s v="75-84"/>
    <x v="0"/>
    <s v="No"/>
    <x v="3"/>
    <n v="3"/>
    <s v="46001-69000"/>
    <m/>
    <m/>
    <m/>
    <s v="N/S"/>
    <n v="106"/>
    <n v="1.65"/>
    <x v="8"/>
    <x v="0"/>
    <x v="1"/>
    <s v="Si"/>
    <x v="0"/>
    <s v="N/A"/>
    <d v="2021-08-05T00:00:00"/>
    <n v="7.7"/>
    <s v="7,1-9"/>
    <s v="7,1-8"/>
    <x v="2"/>
    <s v="7,6-8"/>
    <n v="2"/>
    <s v="DEGLUDEC"/>
    <x v="1"/>
    <n v="90"/>
    <n v="13.54"/>
    <n v="1218.5999999999999"/>
    <n v="12.095285359801489"/>
    <x v="0"/>
    <m/>
    <s v="METFORMINA"/>
    <n v="1000"/>
    <n v="3.2199999999999999E-2"/>
    <n v="32.200000000000003"/>
    <n v="0.31960297766749385"/>
    <x v="0"/>
    <s v="Glimepirida"/>
    <n v="13.41"/>
    <n v="53.64"/>
    <n v="0.53240694789081888"/>
    <s v="SI"/>
    <n v="4"/>
    <m/>
    <m/>
    <m/>
    <m/>
    <m/>
    <n v="0"/>
    <x v="0"/>
    <m/>
    <m/>
    <x v="0"/>
    <m/>
    <m/>
    <n v="0"/>
    <n v="2"/>
  </r>
  <r>
    <s v="ANGELINI"/>
    <s v="DARIO ENRIQUE"/>
    <n v="1"/>
    <x v="7"/>
    <x v="0"/>
    <s v="65-74"/>
    <x v="0"/>
    <s v="No"/>
    <x v="1"/>
    <n v="1"/>
    <s v="18000a23000"/>
    <n v="1987"/>
    <m/>
    <n v="34"/>
    <n v="33"/>
    <n v="84"/>
    <n v="1.74"/>
    <x v="9"/>
    <x v="0"/>
    <x v="0"/>
    <s v="Si"/>
    <x v="0"/>
    <s v="N/A"/>
    <d v="2021-08-05T00:00:00"/>
    <n v="10.199999999999999"/>
    <s v="9,1-11"/>
    <s v="&gt;8,1"/>
    <x v="0"/>
    <s v="mas de 8"/>
    <n v="2"/>
    <s v="NPH"/>
    <x v="0"/>
    <n v="54"/>
    <n v="7.21"/>
    <n v="389.34"/>
    <n v="3.8644168734491311"/>
    <x v="1"/>
    <n v="14"/>
    <s v="METFORMINA"/>
    <n v="2000"/>
    <n v="3.2199999999999999E-2"/>
    <n v="64.400000000000006"/>
    <n v="0.6392059553349877"/>
    <x v="0"/>
    <m/>
    <m/>
    <m/>
    <n v="0"/>
    <s v="NO"/>
    <m/>
    <m/>
    <m/>
    <m/>
    <m/>
    <m/>
    <n v="0"/>
    <x v="0"/>
    <m/>
    <m/>
    <x v="0"/>
    <m/>
    <m/>
    <n v="0"/>
    <n v="1"/>
  </r>
  <r>
    <s v="ARAUJO"/>
    <s v="MARIA GRACIELA"/>
    <n v="1"/>
    <x v="3"/>
    <x v="2"/>
    <s v="65-74"/>
    <x v="1"/>
    <s v="No"/>
    <x v="0"/>
    <n v="1"/>
    <s v="18000a23000"/>
    <n v="1981"/>
    <m/>
    <n v="40"/>
    <n v="33"/>
    <n v="62"/>
    <n v="1.54"/>
    <x v="10"/>
    <x v="1"/>
    <x v="0"/>
    <s v="Si"/>
    <x v="1"/>
    <n v="13"/>
    <d v="2021-07-08T00:00:00"/>
    <n v="11.2"/>
    <s v="11,1 - o mas"/>
    <s v="&gt;8,1"/>
    <x v="0"/>
    <s v="mas de 8"/>
    <n v="3"/>
    <s v="GLARGINA"/>
    <x v="1"/>
    <n v="21"/>
    <n v="14.66"/>
    <n v="307.86"/>
    <n v="3.0556823821339951"/>
    <x v="1"/>
    <s v="SEGÚN TABLA"/>
    <s v="No"/>
    <m/>
    <n v="3.2199999999999999E-2"/>
    <n v="0"/>
    <n v="0"/>
    <x v="1"/>
    <m/>
    <m/>
    <m/>
    <n v="0"/>
    <s v="NO"/>
    <m/>
    <m/>
    <m/>
    <m/>
    <m/>
    <m/>
    <n v="0"/>
    <x v="0"/>
    <m/>
    <m/>
    <x v="0"/>
    <m/>
    <m/>
    <n v="0"/>
    <n v="0"/>
  </r>
  <r>
    <s v="ARREGUI"/>
    <s v="JOSE LUIS"/>
    <n v="1"/>
    <x v="5"/>
    <x v="0"/>
    <s v="65-74"/>
    <x v="0"/>
    <s v="No"/>
    <x v="0"/>
    <n v="1"/>
    <s v="18000a23000"/>
    <n v="1994"/>
    <m/>
    <n v="27"/>
    <n v="39"/>
    <n v="104"/>
    <n v="1.83"/>
    <x v="11"/>
    <x v="1"/>
    <x v="1"/>
    <s v="No"/>
    <x v="0"/>
    <s v="N/A"/>
    <d v="2021-08-26T00:00:00"/>
    <n v="12.3"/>
    <s v="11,1 - o mas"/>
    <s v="&gt;8,1"/>
    <x v="0"/>
    <s v="mas de 8"/>
    <n v="3"/>
    <s v="GLARGINA"/>
    <x v="1"/>
    <n v="50"/>
    <n v="14.66"/>
    <n v="733"/>
    <n v="7.2754342431761785"/>
    <x v="0"/>
    <m/>
    <s v="No"/>
    <m/>
    <n v="3.2199999999999999E-2"/>
    <n v="0"/>
    <n v="0"/>
    <x v="1"/>
    <m/>
    <m/>
    <m/>
    <n v="0"/>
    <s v="NO"/>
    <m/>
    <m/>
    <s v="LINAGLIPTINA"/>
    <n v="5"/>
    <m/>
    <n v="540"/>
    <n v="5.3598014888337469"/>
    <x v="0"/>
    <m/>
    <m/>
    <x v="0"/>
    <m/>
    <m/>
    <n v="0"/>
    <n v="0"/>
  </r>
  <r>
    <s v="ARTO"/>
    <s v="GRACIELA EDITH"/>
    <n v="1"/>
    <x v="8"/>
    <x v="0"/>
    <s v="65-74"/>
    <x v="1"/>
    <s v="Si"/>
    <x v="0"/>
    <n v="2"/>
    <s v="23001-46000"/>
    <n v="1995"/>
    <m/>
    <n v="26"/>
    <n v="39"/>
    <n v="90.3"/>
    <n v="1.58"/>
    <x v="12"/>
    <x v="0"/>
    <x v="1"/>
    <s v="Si"/>
    <x v="1"/>
    <n v="76"/>
    <d v="2021-08-05T00:00:00"/>
    <n v="14.6"/>
    <s v="11,1 - o mas"/>
    <s v="&gt;8,1"/>
    <x v="0"/>
    <s v="mas de 8"/>
    <n v="3"/>
    <s v="GLARGINA"/>
    <x v="1"/>
    <n v="36"/>
    <n v="14.66"/>
    <n v="527.76"/>
    <n v="5.2383126550868484"/>
    <x v="1"/>
    <s v="SEGÚN TABLA"/>
    <s v="METFORMINA"/>
    <n v="1000"/>
    <n v="3.2199999999999999E-2"/>
    <n v="32.200000000000003"/>
    <n v="0.31960297766749385"/>
    <x v="0"/>
    <m/>
    <m/>
    <m/>
    <n v="0"/>
    <s v="NO"/>
    <m/>
    <m/>
    <m/>
    <m/>
    <m/>
    <m/>
    <n v="0"/>
    <x v="0"/>
    <m/>
    <m/>
    <x v="0"/>
    <m/>
    <m/>
    <n v="0"/>
    <n v="1"/>
  </r>
  <r>
    <s v="AYBAR"/>
    <s v="JUAN CARLOS"/>
    <n v="1"/>
    <x v="0"/>
    <x v="0"/>
    <s v="65-74"/>
    <x v="0"/>
    <s v="No"/>
    <x v="1"/>
    <n v="2"/>
    <s v="23001-46000"/>
    <m/>
    <m/>
    <m/>
    <n v="70"/>
    <n v="90.5"/>
    <n v="1.65"/>
    <x v="13"/>
    <x v="0"/>
    <x v="1"/>
    <s v="Si"/>
    <x v="0"/>
    <s v="N/A"/>
    <d v="2021-07-15T00:00:00"/>
    <n v="5.8"/>
    <s v="4,5-7"/>
    <s v="&lt;7"/>
    <x v="1"/>
    <s v="Menor a 7"/>
    <n v="1"/>
    <s v="GLARGINA"/>
    <x v="1"/>
    <n v="30"/>
    <n v="14.66"/>
    <n v="439.8"/>
    <n v="4.3652605459057074"/>
    <x v="1"/>
    <s v="SEGÚN TABLA"/>
    <s v="METFORMINA"/>
    <n v="1000"/>
    <n v="3.2199999999999999E-2"/>
    <n v="32.200000000000003"/>
    <n v="0.31960297766749385"/>
    <x v="0"/>
    <m/>
    <m/>
    <m/>
    <n v="0"/>
    <s v="NO"/>
    <m/>
    <m/>
    <m/>
    <m/>
    <m/>
    <m/>
    <n v="0"/>
    <x v="0"/>
    <m/>
    <m/>
    <x v="0"/>
    <m/>
    <m/>
    <n v="0"/>
    <n v="1"/>
  </r>
  <r>
    <s v="BARRIENTOS GONZALEZ"/>
    <s v="MARIA NORMA"/>
    <n v="1"/>
    <x v="9"/>
    <x v="1"/>
    <s v="75-84"/>
    <x v="1"/>
    <s v="No"/>
    <x v="1"/>
    <n v="3"/>
    <s v="46001-69000"/>
    <n v="2002"/>
    <m/>
    <n v="19"/>
    <n v="61"/>
    <n v="90"/>
    <n v="1.5"/>
    <x v="14"/>
    <x v="0"/>
    <x v="1"/>
    <s v="Si"/>
    <x v="0"/>
    <s v="N/A"/>
    <d v="2021-08-05T00:00:00"/>
    <n v="9"/>
    <s v="7,1-9"/>
    <s v="&gt;8,1"/>
    <x v="2"/>
    <s v="mas de 8"/>
    <n v="2"/>
    <s v="NPH"/>
    <x v="0"/>
    <n v="52"/>
    <n v="7.21"/>
    <n v="374.92"/>
    <n v="3.7212903225806455"/>
    <x v="1"/>
    <n v="12"/>
    <s v="METFORMINA"/>
    <n v="1000"/>
    <n v="3.2199999999999999E-2"/>
    <n v="32.200000000000003"/>
    <n v="0.31960297766749385"/>
    <x v="0"/>
    <m/>
    <m/>
    <m/>
    <n v="0"/>
    <s v="NO"/>
    <m/>
    <m/>
    <s v="LINAGLIPTINA"/>
    <n v="5"/>
    <n v="66.150000000000006"/>
    <n v="330.75"/>
    <n v="3.2828784119106698"/>
    <x v="1"/>
    <m/>
    <m/>
    <x v="0"/>
    <m/>
    <m/>
    <n v="0"/>
    <n v="2"/>
  </r>
  <r>
    <s v="BARRIONUEVO"/>
    <s v="MARTA INES"/>
    <n v="1"/>
    <x v="10"/>
    <x v="2"/>
    <s v="65-74"/>
    <x v="1"/>
    <s v="No"/>
    <x v="1"/>
    <n v="2"/>
    <s v="23001-46000"/>
    <m/>
    <m/>
    <m/>
    <n v="71"/>
    <n v="103"/>
    <n v="1.63"/>
    <x v="15"/>
    <x v="0"/>
    <x v="1"/>
    <s v="No"/>
    <x v="0"/>
    <s v="N/A"/>
    <d v="2021-07-15T00:00:00"/>
    <n v="13"/>
    <s v="11,1 - o mas"/>
    <s v="&gt;8,1"/>
    <x v="0"/>
    <s v="mas de 8"/>
    <n v="3"/>
    <s v="GLARGINA"/>
    <x v="1"/>
    <n v="20"/>
    <n v="14.66"/>
    <n v="293.2"/>
    <n v="2.9101736972704715"/>
    <x v="0"/>
    <m/>
    <s v="METFORMINA"/>
    <n v="2000"/>
    <n v="3.2199999999999999E-2"/>
    <n v="64.400000000000006"/>
    <n v="0.6392059553349877"/>
    <x v="0"/>
    <m/>
    <m/>
    <m/>
    <n v="0"/>
    <s v="NO"/>
    <m/>
    <m/>
    <s v="VILDAGLIPTINA"/>
    <n v="100"/>
    <n v="5.4"/>
    <n v="184"/>
    <n v="1.8263027295285359"/>
    <x v="1"/>
    <m/>
    <m/>
    <x v="0"/>
    <m/>
    <m/>
    <n v="0"/>
    <n v="2"/>
  </r>
  <r>
    <s v="BASUALDO"/>
    <s v="JUANA LILIANA"/>
    <n v="1"/>
    <x v="5"/>
    <x v="0"/>
    <s v="65-74"/>
    <x v="1"/>
    <s v="No"/>
    <x v="3"/>
    <n v="1"/>
    <s v="18000a23000"/>
    <n v="2004"/>
    <m/>
    <n v="17"/>
    <n v="49"/>
    <n v="82"/>
    <n v="1.69"/>
    <x v="16"/>
    <x v="1"/>
    <x v="0"/>
    <s v="NS/NC"/>
    <x v="0"/>
    <s v="N/A"/>
    <d v="2021-08-05T00:00:00"/>
    <n v="8.6999999999999993"/>
    <s v="7,1-9"/>
    <s v="&gt;8,1"/>
    <x v="2"/>
    <s v="mas de 8"/>
    <n v="2"/>
    <s v="NPH"/>
    <x v="0"/>
    <n v="20"/>
    <n v="7.21"/>
    <n v="144.19999999999999"/>
    <n v="1.4312655086848634"/>
    <x v="0"/>
    <m/>
    <s v="METFORMINA"/>
    <n v="2000"/>
    <n v="3.2199999999999999E-2"/>
    <n v="64.400000000000006"/>
    <n v="0.6392059553349877"/>
    <x v="0"/>
    <m/>
    <m/>
    <m/>
    <n v="0"/>
    <s v="NO"/>
    <m/>
    <m/>
    <m/>
    <m/>
    <m/>
    <m/>
    <n v="0"/>
    <x v="0"/>
    <m/>
    <m/>
    <x v="0"/>
    <m/>
    <m/>
    <n v="0"/>
    <n v="1"/>
  </r>
  <r>
    <s v="BASUALDO"/>
    <s v="JUAN DOMINGO"/>
    <n v="1"/>
    <x v="11"/>
    <x v="0"/>
    <s v="65-74"/>
    <x v="0"/>
    <s v="No"/>
    <x v="1"/>
    <n v="1"/>
    <s v="18000a23000"/>
    <n v="2014"/>
    <m/>
    <n v="7"/>
    <n v="62"/>
    <n v="79.8"/>
    <n v="1.71"/>
    <x v="17"/>
    <x v="1"/>
    <x v="0"/>
    <s v="Si"/>
    <x v="0"/>
    <s v="N/A"/>
    <d v="2021-07-01T00:00:00"/>
    <n v="8.5"/>
    <s v="7,1-9"/>
    <s v="&gt;8,1"/>
    <x v="2"/>
    <s v="mas de 8"/>
    <n v="2"/>
    <s v="NPH"/>
    <x v="0"/>
    <n v="12"/>
    <n v="7.21"/>
    <n v="86.52"/>
    <n v="0.85875930521091803"/>
    <x v="0"/>
    <m/>
    <s v="METFORMINA"/>
    <n v="1000"/>
    <n v="3.2199999999999999E-2"/>
    <n v="32.200000000000003"/>
    <n v="0.31960297766749385"/>
    <x v="0"/>
    <m/>
    <m/>
    <m/>
    <n v="0"/>
    <s v="NO"/>
    <m/>
    <m/>
    <m/>
    <m/>
    <m/>
    <m/>
    <n v="0"/>
    <x v="0"/>
    <m/>
    <m/>
    <x v="0"/>
    <m/>
    <m/>
    <n v="0"/>
    <n v="1"/>
  </r>
  <r>
    <s v="BELEN"/>
    <s v="MIGUEL ANGEL"/>
    <n v="1"/>
    <x v="3"/>
    <x v="2"/>
    <s v="65-74"/>
    <x v="0"/>
    <s v="No"/>
    <x v="1"/>
    <n v="3"/>
    <s v="46001-69000"/>
    <n v="2010"/>
    <m/>
    <n v="11"/>
    <n v="62"/>
    <n v="92"/>
    <n v="1.69"/>
    <x v="18"/>
    <x v="0"/>
    <x v="1"/>
    <s v="Si"/>
    <x v="1"/>
    <n v="6"/>
    <d v="2021-06-24T00:00:00"/>
    <n v="9.4"/>
    <s v="9,1-11"/>
    <s v="&gt;8,1"/>
    <x v="2"/>
    <s v="mas de 8"/>
    <n v="2"/>
    <s v="Glargina T "/>
    <x v="1"/>
    <n v="64"/>
    <n v="4.4400000000000004"/>
    <n v="284.16000000000003"/>
    <n v="2.8204466501240697"/>
    <x v="0"/>
    <m/>
    <s v="METFORMINA"/>
    <n v="2000"/>
    <n v="3.2199999999999999E-2"/>
    <n v="64.400000000000006"/>
    <n v="0.6392059553349877"/>
    <x v="0"/>
    <m/>
    <m/>
    <m/>
    <n v="0"/>
    <s v="NO"/>
    <m/>
    <m/>
    <s v="SITAGLIPTINA"/>
    <n v="100"/>
    <n v="5.4"/>
    <n v="540"/>
    <n v="5.3598014888337469"/>
    <x v="1"/>
    <m/>
    <m/>
    <x v="0"/>
    <m/>
    <m/>
    <n v="0"/>
    <n v="2"/>
  </r>
  <r>
    <s v="BELLOTTI"/>
    <s v="JORGE MIGUEL"/>
    <n v="1"/>
    <x v="11"/>
    <x v="0"/>
    <s v="65-74"/>
    <x v="0"/>
    <s v="No"/>
    <x v="0"/>
    <n v="1"/>
    <s v="18000a23000"/>
    <n v="2000"/>
    <m/>
    <n v="21"/>
    <n v="48"/>
    <n v="85.4"/>
    <n v="1.74"/>
    <x v="19"/>
    <x v="1"/>
    <x v="0"/>
    <s v="Si"/>
    <x v="0"/>
    <s v="N/A"/>
    <d v="2021-08-05T00:00:00"/>
    <n v="11.8"/>
    <s v="11,1 - o mas"/>
    <s v="&gt;8,1"/>
    <x v="0"/>
    <s v="mas de 8"/>
    <n v="3"/>
    <s v="GLARGINA"/>
    <x v="1"/>
    <n v="30"/>
    <n v="14.66"/>
    <n v="439.8"/>
    <n v="4.3652605459057074"/>
    <x v="0"/>
    <m/>
    <s v="METFORMINA"/>
    <n v="2000"/>
    <n v="3.2199999999999999E-2"/>
    <n v="64.400000000000006"/>
    <n v="0.6392059553349877"/>
    <x v="0"/>
    <m/>
    <m/>
    <m/>
    <n v="0"/>
    <s v="NO"/>
    <m/>
    <m/>
    <m/>
    <m/>
    <m/>
    <m/>
    <n v="0"/>
    <x v="0"/>
    <m/>
    <m/>
    <x v="0"/>
    <m/>
    <m/>
    <n v="0"/>
    <n v="1"/>
  </r>
  <r>
    <s v="BELOSO"/>
    <s v="HORACIO CARLOS"/>
    <n v="1"/>
    <x v="12"/>
    <x v="2"/>
    <s v="65-74"/>
    <x v="0"/>
    <s v="No"/>
    <x v="0"/>
    <n v="2"/>
    <s v="23001-46000"/>
    <n v="2008"/>
    <m/>
    <n v="13"/>
    <n v="61"/>
    <n v="85.5"/>
    <n v="1.79"/>
    <x v="20"/>
    <x v="0"/>
    <x v="0"/>
    <s v="Si"/>
    <x v="1"/>
    <n v="14"/>
    <d v="2021-08-05T00:00:00"/>
    <n v="7.7"/>
    <s v="7,1-9"/>
    <s v="7,1-8"/>
    <x v="2"/>
    <s v="7,6-8"/>
    <n v="2"/>
    <s v="NPH"/>
    <x v="0"/>
    <n v="10"/>
    <n v="7.21"/>
    <n v="72.099999999999994"/>
    <n v="0.71563275434243168"/>
    <x v="0"/>
    <m/>
    <s v="METFORMINA"/>
    <n v="1000"/>
    <n v="3.2199999999999999E-2"/>
    <n v="32.200000000000003"/>
    <n v="0.31960297766749385"/>
    <x v="0"/>
    <m/>
    <m/>
    <m/>
    <n v="0"/>
    <s v="NO"/>
    <m/>
    <m/>
    <m/>
    <m/>
    <m/>
    <m/>
    <n v="0"/>
    <x v="0"/>
    <m/>
    <m/>
    <x v="0"/>
    <m/>
    <m/>
    <n v="0"/>
    <n v="1"/>
  </r>
  <r>
    <s v="BOCCIO"/>
    <s v="OTELO"/>
    <n v="1"/>
    <x v="13"/>
    <x v="1"/>
    <s v="85-o mas"/>
    <x v="0"/>
    <s v="No"/>
    <x v="1"/>
    <n v="1"/>
    <s v="18000a23000"/>
    <m/>
    <m/>
    <m/>
    <m/>
    <n v="63.3"/>
    <n v="1.56"/>
    <x v="21"/>
    <x v="1"/>
    <x v="0"/>
    <s v="Si"/>
    <x v="0"/>
    <s v="N/A"/>
    <d v="2021-08-05T00:00:00"/>
    <n v="7.6"/>
    <s v="7,1-9"/>
    <s v="7,1-8"/>
    <x v="2"/>
    <s v="7,6-8"/>
    <n v="2"/>
    <s v="GLARGINA"/>
    <x v="1"/>
    <n v="40"/>
    <n v="14.66"/>
    <n v="586.4"/>
    <n v="5.820347394540943"/>
    <x v="0"/>
    <m/>
    <s v="No"/>
    <m/>
    <n v="3.2199999999999999E-2"/>
    <n v="0"/>
    <n v="0"/>
    <x v="1"/>
    <m/>
    <m/>
    <m/>
    <n v="0"/>
    <s v="NO"/>
    <m/>
    <m/>
    <m/>
    <m/>
    <m/>
    <m/>
    <n v="0"/>
    <x v="0"/>
    <m/>
    <m/>
    <x v="0"/>
    <m/>
    <m/>
    <n v="0"/>
    <n v="0"/>
  </r>
  <r>
    <s v="BRITO"/>
    <s v="JUAN DOMINGO"/>
    <n v="1"/>
    <x v="0"/>
    <x v="0"/>
    <s v="65-74"/>
    <x v="0"/>
    <s v="No"/>
    <x v="1"/>
    <n v="1"/>
    <s v="18000a23000"/>
    <n v="2013"/>
    <m/>
    <n v="8"/>
    <n v="62"/>
    <n v="110.2"/>
    <n v="1.75"/>
    <x v="22"/>
    <x v="1"/>
    <x v="1"/>
    <s v="Si"/>
    <x v="0"/>
    <s v="N/A"/>
    <d v="2021-08-05T00:00:00"/>
    <n v="7.9"/>
    <s v="7,1-9"/>
    <s v="7,1-8"/>
    <x v="2"/>
    <s v="7,6-8"/>
    <n v="2"/>
    <s v="GLARGINA"/>
    <x v="1"/>
    <n v="10"/>
    <n v="14.66"/>
    <n v="146.6"/>
    <n v="1.4550868486352357"/>
    <x v="1"/>
    <n v="20"/>
    <s v="METFORMINA"/>
    <n v="2000"/>
    <n v="3.2199999999999999E-2"/>
    <n v="64.400000000000006"/>
    <n v="0.6392059553349877"/>
    <x v="0"/>
    <m/>
    <m/>
    <m/>
    <n v="0"/>
    <s v="NO"/>
    <m/>
    <m/>
    <m/>
    <m/>
    <m/>
    <m/>
    <n v="0"/>
    <x v="0"/>
    <m/>
    <m/>
    <x v="0"/>
    <m/>
    <m/>
    <n v="0"/>
    <n v="1"/>
  </r>
  <r>
    <s v="BRONDO"/>
    <s v="ROBERTO LUIS"/>
    <n v="1"/>
    <x v="3"/>
    <x v="2"/>
    <s v="65-74"/>
    <x v="0"/>
    <s v="No"/>
    <x v="0"/>
    <n v="2"/>
    <s v="23001-46000"/>
    <n v="1970"/>
    <m/>
    <n v="51"/>
    <n v="22"/>
    <n v="95.5"/>
    <n v="1.77"/>
    <x v="23"/>
    <x v="1"/>
    <x v="1"/>
    <s v="No"/>
    <x v="0"/>
    <s v="N/A"/>
    <d v="2021-08-05T00:00:00"/>
    <n v="5.9"/>
    <s v="4,5-7"/>
    <s v="&lt;7"/>
    <x v="1"/>
    <s v="Menor a 7"/>
    <n v="1"/>
    <s v="NPH"/>
    <x v="0"/>
    <n v="30"/>
    <n v="7.21"/>
    <n v="216.3"/>
    <n v="2.1468982630272953"/>
    <x v="0"/>
    <m/>
    <s v="METFORMINA"/>
    <n v="1700"/>
    <n v="3.2199999999999999E-2"/>
    <n v="54.74"/>
    <n v="0.54332506203473951"/>
    <x v="0"/>
    <m/>
    <m/>
    <m/>
    <n v="0"/>
    <s v="NO"/>
    <m/>
    <m/>
    <m/>
    <m/>
    <m/>
    <m/>
    <n v="0"/>
    <x v="0"/>
    <m/>
    <m/>
    <x v="0"/>
    <m/>
    <m/>
    <n v="0"/>
    <n v="1"/>
  </r>
  <r>
    <s v="BUSTOS"/>
    <s v="MARIA ESTER"/>
    <n v="1"/>
    <x v="2"/>
    <x v="1"/>
    <s v="75-84"/>
    <x v="1"/>
    <s v="No"/>
    <x v="0"/>
    <n v="1"/>
    <s v="18000a23000"/>
    <n v="1998"/>
    <m/>
    <n v="23"/>
    <n v="53"/>
    <n v="83.2"/>
    <n v="1.69"/>
    <x v="24"/>
    <x v="0"/>
    <x v="0"/>
    <s v="No"/>
    <x v="1"/>
    <n v="3"/>
    <d v="2021-06-24T00:00:00"/>
    <n v="11.7"/>
    <s v="11,1 - o mas"/>
    <s v="&gt;8,1"/>
    <x v="0"/>
    <s v="mas de 8"/>
    <n v="3"/>
    <s v="DEGLUDEC"/>
    <x v="1"/>
    <n v="52"/>
    <n v="15.6"/>
    <n v="811.19999999999993"/>
    <n v="8.0516129032258057"/>
    <x v="1"/>
    <n v="18"/>
    <s v="No"/>
    <m/>
    <n v="3.2199999999999999E-2"/>
    <n v="0"/>
    <n v="0"/>
    <x v="1"/>
    <m/>
    <m/>
    <m/>
    <n v="0"/>
    <s v="NO"/>
    <m/>
    <m/>
    <m/>
    <m/>
    <m/>
    <m/>
    <n v="0"/>
    <x v="0"/>
    <s v="EMPAGLIFOZINA"/>
    <n v="10"/>
    <x v="1"/>
    <n v="26.41"/>
    <n v="264.10000000000002"/>
    <n v="2.6213399503722088"/>
    <n v="1"/>
  </r>
  <r>
    <s v="CALLERO"/>
    <s v="MIRTA NOEMI"/>
    <n v="1"/>
    <x v="14"/>
    <x v="2"/>
    <s v="65-74"/>
    <x v="1"/>
    <s v="No"/>
    <x v="2"/>
    <n v="1"/>
    <s v="18000a23000"/>
    <n v="1997"/>
    <m/>
    <n v="24"/>
    <n v="48"/>
    <n v="101"/>
    <n v="1.56"/>
    <x v="25"/>
    <x v="0"/>
    <x v="1"/>
    <s v="Si"/>
    <x v="0"/>
    <s v="N/A"/>
    <d v="2021-08-05T00:00:00"/>
    <n v="9.5"/>
    <s v="9,1-11"/>
    <s v="&gt;8,1"/>
    <x v="2"/>
    <s v="mas de 8"/>
    <n v="2"/>
    <s v="NPH"/>
    <x v="0"/>
    <n v="50"/>
    <n v="7.21"/>
    <n v="360.5"/>
    <n v="3.5781637717121586"/>
    <x v="1"/>
    <s v="SEGÚN TABLA"/>
    <s v="No"/>
    <m/>
    <n v="3.2199999999999999E-2"/>
    <n v="0"/>
    <n v="0"/>
    <x v="1"/>
    <m/>
    <m/>
    <m/>
    <n v="0"/>
    <s v="NO"/>
    <m/>
    <m/>
    <m/>
    <m/>
    <m/>
    <m/>
    <n v="0"/>
    <x v="0"/>
    <m/>
    <m/>
    <x v="0"/>
    <m/>
    <m/>
    <n v="0"/>
    <n v="0"/>
  </r>
  <r>
    <s v="CAMINOS"/>
    <s v="ALBERTO REINALDO"/>
    <n v="1"/>
    <x v="2"/>
    <x v="1"/>
    <s v="75-84"/>
    <x v="0"/>
    <s v="No"/>
    <x v="0"/>
    <n v="1"/>
    <s v="18000a23000"/>
    <n v="1990"/>
    <m/>
    <n v="31"/>
    <n v="45"/>
    <n v="83.3"/>
    <n v="1.72"/>
    <x v="26"/>
    <x v="1"/>
    <x v="0"/>
    <s v="Si"/>
    <x v="0"/>
    <s v="N/A"/>
    <d v="2021-09-02T00:00:00"/>
    <n v="7.8"/>
    <s v="7,1-9"/>
    <s v="7,1-8"/>
    <x v="2"/>
    <s v="7,6-8"/>
    <n v="2"/>
    <s v="DEGLUDEC"/>
    <x v="1"/>
    <n v="40"/>
    <n v="15.6"/>
    <n v="624"/>
    <n v="6.193548387096774"/>
    <x v="1"/>
    <d v="1900-01-02T00:00:00"/>
    <s v="No"/>
    <m/>
    <n v="3.2199999999999999E-2"/>
    <n v="0"/>
    <n v="0"/>
    <x v="1"/>
    <m/>
    <m/>
    <m/>
    <n v="0"/>
    <s v="NO"/>
    <m/>
    <m/>
    <s v="SITAGLIPTINA"/>
    <n v="100"/>
    <n v="5.4"/>
    <n v="540"/>
    <n v="5.3598014888337469"/>
    <x v="1"/>
    <m/>
    <m/>
    <x v="0"/>
    <m/>
    <m/>
    <n v="0"/>
    <n v="1"/>
  </r>
  <r>
    <s v="CAMPOS"/>
    <s v="ELIDA HEBE"/>
    <n v="1"/>
    <x v="15"/>
    <x v="1"/>
    <s v="75-84"/>
    <x v="1"/>
    <s v="No"/>
    <x v="1"/>
    <n v="2"/>
    <s v="23001-46000"/>
    <n v="1993"/>
    <m/>
    <n v="28"/>
    <n v="56"/>
    <n v="55.4"/>
    <n v="1.51"/>
    <x v="27"/>
    <x v="0"/>
    <x v="2"/>
    <s v="Si"/>
    <x v="0"/>
    <s v="N/A"/>
    <d v="2021-06-24T00:00:00"/>
    <n v="8.8000000000000007"/>
    <s v="7,1-9"/>
    <s v="&gt;8,1"/>
    <x v="2"/>
    <s v="mas de 8"/>
    <n v="2"/>
    <s v="DETEMIR"/>
    <x v="1"/>
    <n v="36"/>
    <n v="13.54"/>
    <n v="487.43999999999994"/>
    <n v="4.8381141439205946"/>
    <x v="1"/>
    <s v="SEGÚN TABLA"/>
    <s v="No"/>
    <m/>
    <n v="3.2199999999999999E-2"/>
    <n v="0"/>
    <n v="0"/>
    <x v="1"/>
    <m/>
    <m/>
    <m/>
    <n v="0"/>
    <s v="NO"/>
    <m/>
    <m/>
    <m/>
    <m/>
    <m/>
    <m/>
    <n v="0"/>
    <x v="0"/>
    <m/>
    <m/>
    <x v="0"/>
    <m/>
    <m/>
    <n v="0"/>
    <n v="0"/>
  </r>
  <r>
    <s v="CARABALLO"/>
    <s v="MARIA EVA"/>
    <n v="1"/>
    <x v="5"/>
    <x v="0"/>
    <s v="65-74"/>
    <x v="1"/>
    <s v="No"/>
    <x v="0"/>
    <n v="1"/>
    <s v="18000a23000"/>
    <n v="2015"/>
    <m/>
    <n v="6"/>
    <n v="60"/>
    <n v="94.2"/>
    <n v="1.69"/>
    <x v="28"/>
    <x v="0"/>
    <x v="1"/>
    <s v="No"/>
    <x v="0"/>
    <s v="N/A"/>
    <d v="2021-07-01T00:00:00"/>
    <n v="9.9"/>
    <s v="9,1-11"/>
    <s v="&gt;8,1"/>
    <x v="2"/>
    <s v="mas de 8"/>
    <n v="2"/>
    <s v="GLARGINA"/>
    <x v="1"/>
    <n v="42"/>
    <n v="14.66"/>
    <n v="615.72"/>
    <n v="6.1113647642679902"/>
    <x v="1"/>
    <n v="15"/>
    <s v="No"/>
    <m/>
    <n v="3.2199999999999999E-2"/>
    <n v="0"/>
    <n v="0"/>
    <x v="1"/>
    <m/>
    <m/>
    <m/>
    <n v="0"/>
    <s v="NO"/>
    <m/>
    <m/>
    <s v="SITAGLIPTINA"/>
    <n v="100"/>
    <n v="5.4"/>
    <n v="540"/>
    <n v="5.3598014888337469"/>
    <x v="1"/>
    <m/>
    <m/>
    <x v="0"/>
    <m/>
    <m/>
    <n v="0"/>
    <n v="1"/>
  </r>
  <r>
    <s v="CARBALLO RODRIGUEZ"/>
    <s v="LEOPOLDO"/>
    <n v="1"/>
    <x v="12"/>
    <x v="2"/>
    <s v="65-74"/>
    <x v="0"/>
    <s v="No"/>
    <x v="3"/>
    <n v="1"/>
    <s v="18000a23000"/>
    <n v="2019"/>
    <m/>
    <n v="2"/>
    <n v="72"/>
    <n v="119.4"/>
    <n v="1.73"/>
    <x v="29"/>
    <x v="0"/>
    <x v="1"/>
    <s v="Si"/>
    <x v="0"/>
    <s v="N/A"/>
    <d v="2021-07-15T00:00:00"/>
    <n v="7.2"/>
    <s v="7,1-9"/>
    <s v="7,1-8"/>
    <x v="1"/>
    <s v="7a7,5"/>
    <n v="1"/>
    <s v="GLARGINA"/>
    <x v="1"/>
    <n v="40"/>
    <n v="14.66"/>
    <n v="586.4"/>
    <n v="5.820347394540943"/>
    <x v="0"/>
    <m/>
    <s v="METFORMINA"/>
    <n v="850"/>
    <n v="3.2199999999999999E-2"/>
    <n v="27.37"/>
    <n v="0.27166253101736976"/>
    <x v="0"/>
    <m/>
    <m/>
    <m/>
    <n v="0"/>
    <s v="NO"/>
    <m/>
    <m/>
    <s v="SITAGLIPTINA"/>
    <n v="100"/>
    <n v="5.4"/>
    <n v="540"/>
    <n v="5.3598014888337469"/>
    <x v="1"/>
    <s v="EMPAGLIFOZINA"/>
    <n v="10"/>
    <x v="1"/>
    <n v="26.41"/>
    <n v="264.10000000000002"/>
    <n v="2.6213399503722088"/>
    <n v="3"/>
  </r>
  <r>
    <s v="CARDUCCI"/>
    <s v="ORLANDO ALBERTO"/>
    <n v="1"/>
    <x v="4"/>
    <x v="0"/>
    <s v="65-74"/>
    <x v="0"/>
    <s v="No"/>
    <x v="0"/>
    <n v="1"/>
    <s v="18000a23000"/>
    <n v="2001"/>
    <m/>
    <n v="20"/>
    <n v="48"/>
    <n v="95.2"/>
    <n v="1.8"/>
    <x v="30"/>
    <x v="1"/>
    <x v="0"/>
    <s v="Si"/>
    <x v="0"/>
    <s v="N/A"/>
    <d v="2021-08-05T00:00:00"/>
    <n v="10.4"/>
    <s v="9,1-11"/>
    <s v="&gt;8,1"/>
    <x v="0"/>
    <s v="mas de 8"/>
    <n v="2"/>
    <s v="NPH"/>
    <x v="0"/>
    <n v="84"/>
    <n v="7.21"/>
    <n v="605.64"/>
    <n v="6.0113151364764263"/>
    <x v="1"/>
    <s v="SEGÚN TABLA"/>
    <s v="METFORMINA"/>
    <n v="2000"/>
    <n v="3.2199999999999999E-2"/>
    <n v="64.400000000000006"/>
    <n v="0.6392059553349877"/>
    <x v="0"/>
    <m/>
    <m/>
    <m/>
    <n v="0"/>
    <s v="NO"/>
    <m/>
    <m/>
    <m/>
    <m/>
    <m/>
    <m/>
    <n v="0"/>
    <x v="0"/>
    <m/>
    <m/>
    <x v="0"/>
    <m/>
    <m/>
    <n v="0"/>
    <n v="1"/>
  </r>
  <r>
    <s v="CARREÑO"/>
    <s v="HAYDEE ESTHER"/>
    <n v="1"/>
    <x v="9"/>
    <x v="1"/>
    <s v="75-84"/>
    <x v="1"/>
    <s v="No"/>
    <x v="1"/>
    <n v="2"/>
    <s v="23001-46000"/>
    <n v="2003"/>
    <m/>
    <n v="18"/>
    <n v="62"/>
    <n v="81.7"/>
    <n v="1.66"/>
    <x v="31"/>
    <x v="1"/>
    <x v="0"/>
    <s v="Si"/>
    <x v="0"/>
    <s v="N/A"/>
    <d v="2021-08-26T00:00:00"/>
    <n v="11.3"/>
    <s v="11,1 - o mas"/>
    <s v="&gt;8,1"/>
    <x v="0"/>
    <s v="mas de 8"/>
    <n v="3"/>
    <s v="GLARGINA"/>
    <x v="1"/>
    <n v="20"/>
    <n v="14.66"/>
    <n v="293.2"/>
    <n v="2.9101736972704715"/>
    <x v="1"/>
    <s v="SEGÚN TABLA"/>
    <s v="METFORMINA"/>
    <n v="2550"/>
    <n v="3.2199999999999999E-2"/>
    <n v="82.11"/>
    <n v="0.81498759305210922"/>
    <x v="0"/>
    <m/>
    <m/>
    <m/>
    <n v="0"/>
    <s v="NO"/>
    <m/>
    <m/>
    <m/>
    <m/>
    <m/>
    <m/>
    <n v="0"/>
    <x v="0"/>
    <m/>
    <m/>
    <x v="0"/>
    <m/>
    <m/>
    <n v="0"/>
    <n v="1"/>
  </r>
  <r>
    <s v="CARRERA"/>
    <s v="JOSE AURELIO"/>
    <n v="1"/>
    <x v="16"/>
    <x v="2"/>
    <s v="75-84"/>
    <x v="0"/>
    <s v="No"/>
    <x v="0"/>
    <n v="1"/>
    <s v="18000a23000"/>
    <n v="1997"/>
    <m/>
    <n v="24"/>
    <n v="51"/>
    <n v="69.5"/>
    <n v="1.7"/>
    <x v="32"/>
    <x v="0"/>
    <x v="2"/>
    <s v="Si"/>
    <x v="0"/>
    <s v="N/A"/>
    <d v="2021-07-15T00:00:00"/>
    <n v="4.7"/>
    <s v="4,5-7"/>
    <s v="&lt;7"/>
    <x v="1"/>
    <s v="Menor a 7"/>
    <n v="1"/>
    <s v="DETEMIR"/>
    <x v="1"/>
    <n v="6"/>
    <n v="13.54"/>
    <n v="81.239999999999995"/>
    <n v="0.80635235732009924"/>
    <x v="0"/>
    <m/>
    <s v="METFORMINA"/>
    <n v="1000"/>
    <n v="3.2199999999999999E-2"/>
    <n v="32.200000000000003"/>
    <n v="0.31960297766749385"/>
    <x v="0"/>
    <m/>
    <m/>
    <m/>
    <n v="0"/>
    <s v="NO"/>
    <m/>
    <m/>
    <m/>
    <m/>
    <m/>
    <m/>
    <n v="0"/>
    <x v="0"/>
    <m/>
    <m/>
    <x v="0"/>
    <m/>
    <m/>
    <n v="0"/>
    <n v="1"/>
  </r>
  <r>
    <s v="CARRETERO"/>
    <s v="FERNANDO"/>
    <n v="1"/>
    <x v="16"/>
    <x v="2"/>
    <s v="75-84"/>
    <x v="0"/>
    <s v="No"/>
    <x v="0"/>
    <n v="3"/>
    <s v="46001-69000"/>
    <n v="2005"/>
    <m/>
    <n v="16"/>
    <n v="59"/>
    <n v="66"/>
    <n v="1.71"/>
    <x v="33"/>
    <x v="0"/>
    <x v="2"/>
    <s v="Si"/>
    <x v="0"/>
    <s v="N/A"/>
    <d v="2021-08-05T00:00:00"/>
    <n v="7.3"/>
    <s v="7,1-9"/>
    <s v="7,1-8"/>
    <x v="1"/>
    <s v="7a7,5"/>
    <n v="1"/>
    <s v="GLARGINA"/>
    <x v="1"/>
    <n v="18"/>
    <n v="14.66"/>
    <n v="263.88"/>
    <n v="2.6191563275434242"/>
    <x v="1"/>
    <n v="8"/>
    <s v="METFORMINA"/>
    <n v="1700"/>
    <n v="3.2199999999999999E-2"/>
    <n v="54.74"/>
    <n v="0.54332506203473951"/>
    <x v="0"/>
    <m/>
    <m/>
    <m/>
    <n v="0"/>
    <s v="NO"/>
    <m/>
    <m/>
    <m/>
    <m/>
    <m/>
    <m/>
    <n v="0"/>
    <x v="0"/>
    <m/>
    <m/>
    <x v="0"/>
    <m/>
    <m/>
    <n v="0"/>
    <n v="1"/>
  </r>
  <r>
    <s v="CASTILLO"/>
    <s v="MARTA MARGARITA"/>
    <n v="1"/>
    <x v="11"/>
    <x v="0"/>
    <s v="65-74"/>
    <x v="1"/>
    <s v="Si"/>
    <x v="0"/>
    <n v="2"/>
    <s v="23001-46000"/>
    <n v="1996"/>
    <m/>
    <n v="25"/>
    <n v="44"/>
    <n v="75.400000000000006"/>
    <n v="1.58"/>
    <x v="34"/>
    <x v="0"/>
    <x v="1"/>
    <s v="Si"/>
    <x v="0"/>
    <s v="N/A"/>
    <d v="2021-08-05T00:00:00"/>
    <n v="10.3"/>
    <s v="9,1-11"/>
    <s v="&gt;8,1"/>
    <x v="0"/>
    <s v="mas de 8"/>
    <n v="2"/>
    <s v="Glargina T"/>
    <x v="1"/>
    <n v="85"/>
    <n v="4.4400000000000004"/>
    <n v="377.40000000000003"/>
    <n v="3.7459057071960302"/>
    <x v="0"/>
    <m/>
    <s v="METFORMINA"/>
    <n v="2000"/>
    <n v="3.2199999999999999E-2"/>
    <n v="64.400000000000006"/>
    <n v="0.6392059553349877"/>
    <x v="0"/>
    <m/>
    <m/>
    <m/>
    <n v="0"/>
    <s v="NO"/>
    <m/>
    <m/>
    <s v="SITA"/>
    <n v="100"/>
    <s v="$"/>
    <n v="540"/>
    <n v="5.3598014888337469"/>
    <x v="1"/>
    <m/>
    <m/>
    <x v="0"/>
    <m/>
    <m/>
    <n v="0"/>
    <n v="2"/>
  </r>
  <r>
    <s v="CENTURION"/>
    <s v="MABEL BEATRIZ"/>
    <n v="1"/>
    <x v="10"/>
    <x v="2"/>
    <s v="65-74"/>
    <x v="1"/>
    <s v="No"/>
    <x v="1"/>
    <n v="1"/>
    <s v="18000a23000"/>
    <n v="1995"/>
    <m/>
    <n v="26"/>
    <n v="45"/>
    <n v="105.5"/>
    <n v="1.59"/>
    <x v="35"/>
    <x v="0"/>
    <x v="1"/>
    <s v="Si"/>
    <x v="0"/>
    <s v="N/A"/>
    <d v="2021-06-24T00:00:00"/>
    <n v="13.5"/>
    <s v="11,1 - o mas"/>
    <s v="&gt;8,1"/>
    <x v="0"/>
    <s v="mas de 8"/>
    <n v="3"/>
    <s v="DEGLUDEC"/>
    <x v="1"/>
    <n v="84"/>
    <n v="15.6"/>
    <n v="1310.3999999999999"/>
    <n v="13.006451612903225"/>
    <x v="0"/>
    <m/>
    <s v="METFORMINA"/>
    <n v="25000"/>
    <n v="3.2199999999999999E-2"/>
    <n v="805"/>
    <n v="7.9900744416873453"/>
    <x v="0"/>
    <m/>
    <m/>
    <m/>
    <n v="0"/>
    <s v="NO"/>
    <m/>
    <m/>
    <m/>
    <m/>
    <m/>
    <m/>
    <n v="0"/>
    <x v="0"/>
    <m/>
    <m/>
    <x v="0"/>
    <m/>
    <m/>
    <n v="0"/>
    <n v="1"/>
  </r>
  <r>
    <s v="CHANINE"/>
    <s v="MIGUEL ANGEL"/>
    <n v="1"/>
    <x v="7"/>
    <x v="0"/>
    <s v="65-74"/>
    <x v="0"/>
    <s v="No"/>
    <x v="0"/>
    <n v="1"/>
    <s v="18000a23000"/>
    <n v="2016"/>
    <m/>
    <n v="5"/>
    <n v="62"/>
    <n v="114.5"/>
    <n v="1.83"/>
    <x v="36"/>
    <x v="0"/>
    <x v="1"/>
    <s v="Si"/>
    <x v="0"/>
    <m/>
    <d v="2021-07-15T00:00:00"/>
    <n v="8.6"/>
    <s v="7,1-9"/>
    <s v="&gt;8,1"/>
    <x v="2"/>
    <s v="mas de 8"/>
    <n v="2"/>
    <s v="NPH"/>
    <x v="0"/>
    <n v="40"/>
    <n v="7.21"/>
    <n v="288.39999999999998"/>
    <n v="2.8625310173697267"/>
    <x v="1"/>
    <s v="SEGÚN TABLA"/>
    <s v="METFORMINA"/>
    <n v="2000"/>
    <n v="3.2199999999999999E-2"/>
    <n v="64.400000000000006"/>
    <n v="0.6392059553349877"/>
    <x v="0"/>
    <m/>
    <m/>
    <m/>
    <n v="0"/>
    <s v="NO"/>
    <m/>
    <m/>
    <s v="SITAGLIPTINA"/>
    <n v="100"/>
    <n v="5.4"/>
    <n v="540"/>
    <n v="5.3598014888337469"/>
    <x v="1"/>
    <m/>
    <m/>
    <x v="0"/>
    <m/>
    <m/>
    <n v="0"/>
    <n v="2"/>
  </r>
  <r>
    <s v="CONELIA"/>
    <s v="NELIDA MARGARITA"/>
    <n v="1"/>
    <x v="17"/>
    <x v="1"/>
    <s v="75-84"/>
    <x v="1"/>
    <s v="No"/>
    <x v="1"/>
    <n v="1"/>
    <s v="18000a23000"/>
    <n v="1980"/>
    <m/>
    <n v="41"/>
    <n v="40"/>
    <n v="53.8"/>
    <n v="1.54"/>
    <x v="37"/>
    <x v="0"/>
    <x v="2"/>
    <s v="No"/>
    <x v="0"/>
    <s v="N/A"/>
    <d v="2021-09-02T00:00:00"/>
    <n v="8.6999999999999993"/>
    <s v="7,1-9"/>
    <s v="&gt;8,1"/>
    <x v="2"/>
    <s v="mas de 8"/>
    <n v="2"/>
    <s v="Glargina T"/>
    <x v="1"/>
    <n v="35"/>
    <n v="4.4400000000000004"/>
    <n v="155.4"/>
    <n v="1.5424317617866006"/>
    <x v="1"/>
    <n v="8"/>
    <s v="METFORMINA"/>
    <n v="1700"/>
    <n v="3.2199999999999999E-2"/>
    <n v="54.74"/>
    <n v="0.54332506203473951"/>
    <x v="0"/>
    <m/>
    <m/>
    <m/>
    <n v="0"/>
    <s v="NO"/>
    <m/>
    <m/>
    <s v="VILDAGLIPTINA"/>
    <n v="100"/>
    <n v="1.84"/>
    <n v="540"/>
    <n v="1.83"/>
    <x v="1"/>
    <m/>
    <m/>
    <x v="0"/>
    <m/>
    <m/>
    <n v="0"/>
    <n v="2"/>
  </r>
  <r>
    <s v="CORDOBA"/>
    <s v="JOSE ANGEL"/>
    <n v="1"/>
    <x v="18"/>
    <x v="1"/>
    <s v="75-84"/>
    <x v="0"/>
    <s v="No"/>
    <x v="1"/>
    <n v="2"/>
    <s v="23001-46000"/>
    <n v="2009"/>
    <m/>
    <n v="12"/>
    <n v="67"/>
    <n v="91.7"/>
    <n v="1.69"/>
    <x v="38"/>
    <x v="0"/>
    <x v="1"/>
    <s v="Si"/>
    <x v="0"/>
    <s v="N/A"/>
    <d v="2021-07-08T00:00:00"/>
    <n v="12.4"/>
    <s v="11,1 - o mas"/>
    <s v="&gt;8,1"/>
    <x v="0"/>
    <s v="mas de 8"/>
    <n v="3"/>
    <s v="GLARGINA"/>
    <x v="1"/>
    <n v="40"/>
    <n v="14.66"/>
    <n v="586.4"/>
    <n v="5.820347394540943"/>
    <x v="0"/>
    <m/>
    <s v="METFORMINA"/>
    <n v="2550"/>
    <n v="3.2199999999999999E-2"/>
    <n v="82.11"/>
    <n v="0.81498759305210922"/>
    <x v="0"/>
    <m/>
    <m/>
    <m/>
    <n v="0"/>
    <s v="NO"/>
    <m/>
    <m/>
    <m/>
    <m/>
    <m/>
    <m/>
    <n v="0"/>
    <x v="0"/>
    <m/>
    <m/>
    <x v="0"/>
    <m/>
    <m/>
    <n v="0"/>
    <n v="1"/>
  </r>
  <r>
    <s v="COSENTINO"/>
    <s v="MARTA MABEL"/>
    <n v="1"/>
    <x v="8"/>
    <x v="0"/>
    <s v="65-74"/>
    <x v="1"/>
    <s v="No"/>
    <x v="3"/>
    <n v="1"/>
    <s v="18000a23000"/>
    <n v="1976"/>
    <m/>
    <n v="45"/>
    <n v="20"/>
    <n v="84.8"/>
    <n v="1.65"/>
    <x v="39"/>
    <x v="1"/>
    <x v="1"/>
    <s v="No"/>
    <x v="0"/>
    <s v="N/A"/>
    <d v="2021-08-05T00:00:00"/>
    <n v="9.8000000000000007"/>
    <s v="9,1-11"/>
    <s v="&gt;8,1"/>
    <x v="2"/>
    <s v="mas de 8"/>
    <n v="2"/>
    <s v="GLARGINA"/>
    <x v="1"/>
    <n v="50"/>
    <n v="14.66"/>
    <n v="733"/>
    <n v="7.2754342431761785"/>
    <x v="1"/>
    <s v="SEGÚN TABLA"/>
    <s v="METFORMINA"/>
    <n v="1700"/>
    <n v="3.2199999999999999E-2"/>
    <n v="54.74"/>
    <n v="0.54332506203473951"/>
    <x v="0"/>
    <m/>
    <m/>
    <m/>
    <n v="0"/>
    <s v="NO"/>
    <m/>
    <m/>
    <m/>
    <m/>
    <m/>
    <m/>
    <n v="0"/>
    <x v="0"/>
    <m/>
    <m/>
    <x v="0"/>
    <m/>
    <m/>
    <n v="0"/>
    <n v="1"/>
  </r>
  <r>
    <s v="DALLA"/>
    <s v="VALLE ADRIANA"/>
    <n v="1"/>
    <x v="11"/>
    <x v="0"/>
    <s v="65-74"/>
    <x v="1"/>
    <s v="No"/>
    <x v="1"/>
    <n v="1"/>
    <s v="18000a23000"/>
    <m/>
    <m/>
    <m/>
    <n v="69"/>
    <n v="56"/>
    <n v="1.52"/>
    <x v="40"/>
    <x v="1"/>
    <x v="2"/>
    <s v="Si"/>
    <x v="0"/>
    <m/>
    <d v="2021-06-24T00:00:00"/>
    <n v="10.199999999999999"/>
    <s v="9,1-11"/>
    <s v="&gt;8,1"/>
    <x v="0"/>
    <s v="mas de 8"/>
    <n v="2"/>
    <s v="DEGLUDEC"/>
    <x v="1"/>
    <n v="22"/>
    <n v="15.6"/>
    <n v="343.2"/>
    <n v="3.4064516129032256"/>
    <x v="1"/>
    <n v="35"/>
    <s v="No"/>
    <m/>
    <n v="3.2199999999999999E-2"/>
    <n v="0"/>
    <n v="0"/>
    <x v="1"/>
    <m/>
    <m/>
    <m/>
    <n v="0"/>
    <s v="NO"/>
    <m/>
    <m/>
    <m/>
    <m/>
    <m/>
    <m/>
    <n v="0"/>
    <x v="0"/>
    <m/>
    <m/>
    <x v="0"/>
    <m/>
    <m/>
    <n v="0"/>
    <n v="0"/>
  </r>
  <r>
    <s v="DAMBOREARENA "/>
    <s v="IRMA NOEMI"/>
    <n v="1"/>
    <x v="18"/>
    <x v="1"/>
    <s v="75-84"/>
    <x v="1"/>
    <s v="No"/>
    <x v="1"/>
    <n v="2"/>
    <s v="23001-46000"/>
    <n v="2000"/>
    <m/>
    <n v="21"/>
    <n v="58"/>
    <n v="60.7"/>
    <n v="1.46"/>
    <x v="41"/>
    <x v="0"/>
    <x v="0"/>
    <s v="Si"/>
    <x v="0"/>
    <s v="N/A"/>
    <d v="2021-08-19T00:00:00"/>
    <n v="15.5"/>
    <s v="11,1 - o mas"/>
    <s v="&gt;8,1"/>
    <x v="0"/>
    <s v="mas de 8"/>
    <n v="3"/>
    <s v="Glargina T"/>
    <x v="1"/>
    <n v="30"/>
    <n v="4.4400000000000004"/>
    <n v="133.20000000000002"/>
    <n v="1.3220843672456577"/>
    <x v="0"/>
    <m/>
    <s v="METFORMINA"/>
    <n v="2000"/>
    <n v="3.2199999999999999E-2"/>
    <n v="64.400000000000006"/>
    <n v="0.6392059553349877"/>
    <x v="0"/>
    <m/>
    <m/>
    <m/>
    <n v="0"/>
    <s v="NO"/>
    <m/>
    <m/>
    <s v="VILDAGLIPTINA"/>
    <n v="100"/>
    <n v="1.84"/>
    <n v="184"/>
    <n v="1.8263027295285359"/>
    <x v="1"/>
    <m/>
    <m/>
    <x v="0"/>
    <m/>
    <m/>
    <n v="0"/>
    <n v="2"/>
  </r>
  <r>
    <s v="DE CENSO"/>
    <s v="JOSE"/>
    <n v="1"/>
    <x v="19"/>
    <x v="1"/>
    <s v="85-o mas"/>
    <x v="0"/>
    <s v="No"/>
    <x v="1"/>
    <n v="1"/>
    <s v="18000a23000"/>
    <n v="1970"/>
    <m/>
    <n v="51"/>
    <n v="36"/>
    <n v="86"/>
    <n v="1.62"/>
    <x v="42"/>
    <x v="0"/>
    <x v="1"/>
    <s v="Si"/>
    <x v="0"/>
    <s v="N/A"/>
    <d v="2021-08-05T00:00:00"/>
    <n v="12.5"/>
    <s v="11,1 - o mas"/>
    <s v="&gt;8,1"/>
    <x v="0"/>
    <s v="mas de 8"/>
    <n v="3"/>
    <s v="GLARGINA"/>
    <x v="1"/>
    <n v="70"/>
    <n v="14.66"/>
    <n v="1026.2"/>
    <n v="10.185607940446651"/>
    <x v="1"/>
    <n v="50"/>
    <s v="METFORMINA"/>
    <n v="850"/>
    <n v="3.2199999999999999E-2"/>
    <n v="27.37"/>
    <n v="0.27166253101736976"/>
    <x v="0"/>
    <m/>
    <m/>
    <m/>
    <n v="0"/>
    <s v="NO"/>
    <m/>
    <m/>
    <m/>
    <m/>
    <m/>
    <m/>
    <n v="0"/>
    <x v="0"/>
    <m/>
    <m/>
    <x v="0"/>
    <m/>
    <m/>
    <n v="0"/>
    <n v="1"/>
  </r>
  <r>
    <s v="DE MENDONCA"/>
    <s v="PINA JORGE"/>
    <n v="1"/>
    <x v="14"/>
    <x v="2"/>
    <s v="65-74"/>
    <x v="0"/>
    <s v="No"/>
    <x v="3"/>
    <n v="1"/>
    <s v="18000a23000"/>
    <n v="2001"/>
    <m/>
    <n v="20"/>
    <n v="52"/>
    <n v="86"/>
    <n v="1.69"/>
    <x v="43"/>
    <x v="0"/>
    <x v="1"/>
    <s v="Si"/>
    <x v="0"/>
    <s v="N/A"/>
    <d v="2021-09-02T00:00:00"/>
    <n v="13.3"/>
    <s v="11,1 - o mas"/>
    <s v="&gt;8,1"/>
    <x v="0"/>
    <s v="mas de 8"/>
    <n v="3"/>
    <s v="GLARGINA"/>
    <x v="1"/>
    <n v="30"/>
    <n v="14.66"/>
    <n v="439.8"/>
    <n v="4.3652605459057074"/>
    <x v="1"/>
    <s v="SEGÚN TABLA"/>
    <s v="No"/>
    <m/>
    <n v="3.2199999999999999E-2"/>
    <n v="0"/>
    <n v="0"/>
    <x v="1"/>
    <m/>
    <m/>
    <m/>
    <n v="0"/>
    <s v="NO"/>
    <m/>
    <m/>
    <m/>
    <m/>
    <m/>
    <m/>
    <n v="0"/>
    <x v="0"/>
    <s v="EMPAGLIFOZINA"/>
    <n v="25"/>
    <x v="1"/>
    <n v="26.41"/>
    <n v="660.25"/>
    <n v="6.5533498759305209"/>
    <n v="1"/>
  </r>
  <r>
    <s v="DEL RIO"/>
    <s v="JUAN CARLOS"/>
    <n v="1"/>
    <x v="14"/>
    <x v="2"/>
    <s v="65-74"/>
    <x v="0"/>
    <s v="No"/>
    <x v="3"/>
    <n v="4"/>
    <s v="mas de 69000"/>
    <n v="1980"/>
    <m/>
    <n v="41"/>
    <n v="31"/>
    <n v="61.6"/>
    <n v="1.57"/>
    <x v="44"/>
    <x v="1"/>
    <x v="0"/>
    <s v="Si"/>
    <x v="0"/>
    <s v="N/A"/>
    <d v="2021-07-01T00:00:00"/>
    <n v="7.1"/>
    <s v="7,1-9"/>
    <s v="7,1-8"/>
    <x v="1"/>
    <s v="7a7,5"/>
    <n v="1"/>
    <s v="DEGLUDEC"/>
    <x v="1"/>
    <n v="16"/>
    <n v="15.6"/>
    <n v="249.6"/>
    <n v="2.4774193548387098"/>
    <x v="1"/>
    <s v="SEGÚN TABLA"/>
    <s v="No"/>
    <m/>
    <n v="3.2199999999999999E-2"/>
    <n v="0"/>
    <n v="0"/>
    <x v="1"/>
    <m/>
    <m/>
    <m/>
    <n v="0"/>
    <s v="NO"/>
    <m/>
    <m/>
    <m/>
    <m/>
    <m/>
    <m/>
    <n v="0"/>
    <x v="0"/>
    <m/>
    <m/>
    <x v="0"/>
    <m/>
    <m/>
    <n v="0"/>
    <n v="0"/>
  </r>
  <r>
    <s v="DI GLORIA"/>
    <s v="NORA EDITH"/>
    <n v="1"/>
    <x v="4"/>
    <x v="0"/>
    <s v="65-74"/>
    <x v="1"/>
    <s v="No"/>
    <x v="1"/>
    <n v="1"/>
    <s v="18000a23000"/>
    <n v="2006"/>
    <m/>
    <n v="15"/>
    <n v="53"/>
    <n v="84.5"/>
    <n v="1.6"/>
    <x v="45"/>
    <x v="0"/>
    <x v="2"/>
    <s v="Si"/>
    <x v="0"/>
    <s v="N/A"/>
    <d v="2021-08-05T00:00:00"/>
    <n v="9"/>
    <s v="7,1-9"/>
    <s v="&gt;8,1"/>
    <x v="2"/>
    <s v="mas de 8"/>
    <n v="2"/>
    <s v="NPH"/>
    <x v="0"/>
    <n v="110"/>
    <n v="7.21"/>
    <n v="793.1"/>
    <n v="7.8719602977667495"/>
    <x v="0"/>
    <m/>
    <s v="METFORMINA"/>
    <n v="2000"/>
    <n v="3.2199999999999999E-2"/>
    <n v="64.400000000000006"/>
    <n v="0.6392059553349877"/>
    <x v="0"/>
    <m/>
    <m/>
    <m/>
    <n v="0"/>
    <s v="NO"/>
    <m/>
    <m/>
    <m/>
    <m/>
    <m/>
    <m/>
    <n v="0"/>
    <x v="0"/>
    <m/>
    <m/>
    <x v="0"/>
    <m/>
    <m/>
    <n v="0"/>
    <n v="1"/>
  </r>
  <r>
    <s v="DI PIETRO"/>
    <s v="LUCIA"/>
    <n v="1"/>
    <x v="14"/>
    <x v="2"/>
    <s v="65-74"/>
    <x v="1"/>
    <s v="No"/>
    <x v="1"/>
    <n v="1"/>
    <s v="18000a23000"/>
    <n v="2011"/>
    <m/>
    <n v="10"/>
    <n v="62"/>
    <n v="90.5"/>
    <n v="1.55"/>
    <x v="46"/>
    <x v="1"/>
    <x v="1"/>
    <s v="Si"/>
    <x v="0"/>
    <s v="N/A"/>
    <d v="2021-08-05T00:00:00"/>
    <n v="13.4"/>
    <s v="11,1 - o mas"/>
    <s v="&gt;8,1"/>
    <x v="0"/>
    <s v="mas de 8"/>
    <n v="3"/>
    <s v="GLARGINA"/>
    <x v="1"/>
    <n v="26"/>
    <n v="14.66"/>
    <n v="381.16"/>
    <n v="3.7832258064516133"/>
    <x v="0"/>
    <m/>
    <s v="METFORMINA"/>
    <n v="2000"/>
    <n v="3.2199999999999999E-2"/>
    <n v="64.400000000000006"/>
    <n v="0.6392059553349877"/>
    <x v="0"/>
    <s v="GLICLAZIDA"/>
    <n v="1.069"/>
    <n v="128.28"/>
    <n v="1.2732506203473946"/>
    <s v="SI"/>
    <n v="120"/>
    <m/>
    <m/>
    <m/>
    <m/>
    <m/>
    <n v="0"/>
    <x v="0"/>
    <m/>
    <m/>
    <x v="0"/>
    <m/>
    <m/>
    <n v="0"/>
    <n v="2"/>
  </r>
  <r>
    <s v="DIAZ"/>
    <s v="NELIDA ESTER"/>
    <n v="1"/>
    <x v="0"/>
    <x v="0"/>
    <s v="65-74"/>
    <x v="1"/>
    <s v="No"/>
    <x v="2"/>
    <n v="1"/>
    <s v="18000a23000"/>
    <n v="2000"/>
    <m/>
    <n v="21"/>
    <n v="49"/>
    <n v="70"/>
    <n v="1.5"/>
    <x v="47"/>
    <x v="0"/>
    <x v="1"/>
    <s v="Si"/>
    <x v="0"/>
    <s v="N/A"/>
    <d v="2021-08-05T00:00:00"/>
    <n v="7.3"/>
    <s v="7,1-9"/>
    <s v="7,1-8"/>
    <x v="1"/>
    <s v="7a7,5"/>
    <n v="1"/>
    <s v="DEGLUDEC"/>
    <x v="1"/>
    <n v="38"/>
    <n v="15.6"/>
    <n v="592.79999999999995"/>
    <n v="5.8838709677419354"/>
    <x v="0"/>
    <m/>
    <s v="METFORMINA"/>
    <n v="1700"/>
    <n v="3.2199999999999999E-2"/>
    <n v="54.74"/>
    <n v="0.54332506203473951"/>
    <x v="0"/>
    <m/>
    <m/>
    <m/>
    <n v="0"/>
    <s v="NO"/>
    <m/>
    <m/>
    <m/>
    <m/>
    <m/>
    <m/>
    <n v="0"/>
    <x v="0"/>
    <m/>
    <m/>
    <x v="0"/>
    <m/>
    <m/>
    <n v="0"/>
    <n v="1"/>
  </r>
  <r>
    <s v="DIAZ"/>
    <s v="ROSA MATILDE"/>
    <n v="1"/>
    <x v="7"/>
    <x v="0"/>
    <s v="65-74"/>
    <x v="1"/>
    <s v="No"/>
    <x v="4"/>
    <n v="1"/>
    <s v="18000a23000"/>
    <m/>
    <m/>
    <m/>
    <n v="67"/>
    <n v="84.3"/>
    <n v="1.58"/>
    <x v="48"/>
    <x v="0"/>
    <x v="1"/>
    <s v="Si"/>
    <x v="0"/>
    <s v="N/A"/>
    <d v="2021-06-24T00:00:00"/>
    <n v="8.1"/>
    <s v="7,1-9"/>
    <s v="&gt;8,1"/>
    <x v="2"/>
    <s v="mas de 8"/>
    <n v="2"/>
    <s v="NPH"/>
    <x v="0"/>
    <n v="55"/>
    <n v="7.21"/>
    <n v="396.55"/>
    <n v="3.9359801488833748"/>
    <x v="1"/>
    <n v="6"/>
    <s v="METFORMINA"/>
    <n v="1700"/>
    <n v="3.2199999999999999E-2"/>
    <n v="54.74"/>
    <n v="0.54332506203473951"/>
    <x v="0"/>
    <m/>
    <m/>
    <m/>
    <n v="0"/>
    <s v="NO"/>
    <m/>
    <m/>
    <m/>
    <m/>
    <m/>
    <m/>
    <n v="0"/>
    <x v="0"/>
    <m/>
    <m/>
    <x v="0"/>
    <m/>
    <m/>
    <n v="0"/>
    <n v="1"/>
  </r>
  <r>
    <s v="DOMINGUEZ CASTILLO"/>
    <s v="JUANA NERY"/>
    <n v="1"/>
    <x v="4"/>
    <x v="0"/>
    <s v="65-74"/>
    <x v="1"/>
    <s v="No"/>
    <x v="1"/>
    <n v="1"/>
    <s v="18000a23000"/>
    <n v="2006"/>
    <m/>
    <n v="15"/>
    <n v="53"/>
    <n v="75"/>
    <n v="1.5"/>
    <x v="49"/>
    <x v="0"/>
    <x v="1"/>
    <s v="Si"/>
    <x v="0"/>
    <s v="N/A"/>
    <d v="2021-07-15T00:00:00"/>
    <n v="11"/>
    <s v="9,1-11"/>
    <s v="&gt;8,1"/>
    <x v="0"/>
    <s v="mas de 8"/>
    <n v="2"/>
    <s v="NPH"/>
    <x v="0"/>
    <n v="48"/>
    <n v="7.21"/>
    <n v="346.08"/>
    <n v="3.4350372208436721"/>
    <x v="1"/>
    <n v="8"/>
    <s v="METFORMINA"/>
    <n v="2000"/>
    <n v="3.2199999999999999E-2"/>
    <n v="64.400000000000006"/>
    <n v="0.6392059553349877"/>
    <x v="0"/>
    <m/>
    <m/>
    <m/>
    <n v="0"/>
    <s v="NO"/>
    <m/>
    <m/>
    <m/>
    <m/>
    <m/>
    <m/>
    <n v="0"/>
    <x v="0"/>
    <m/>
    <m/>
    <x v="0"/>
    <m/>
    <m/>
    <n v="0"/>
    <n v="1"/>
  </r>
  <r>
    <s v="DONZINI"/>
    <s v="MARIA ESTHER"/>
    <n v="1"/>
    <x v="17"/>
    <x v="1"/>
    <s v="75-84"/>
    <x v="1"/>
    <s v="No"/>
    <x v="1"/>
    <n v="3"/>
    <s v="46001-69000"/>
    <n v="2003"/>
    <m/>
    <n v="18"/>
    <n v="63"/>
    <n v="77.8"/>
    <n v="1.46"/>
    <x v="50"/>
    <x v="1"/>
    <x v="1"/>
    <s v="Si"/>
    <x v="0"/>
    <s v="N/A"/>
    <d v="2021-08-05T00:00:00"/>
    <n v="10.6"/>
    <s v="9,1-11"/>
    <s v="&gt;8,1"/>
    <x v="0"/>
    <s v="mas de 8"/>
    <n v="2"/>
    <s v="DETEMIR"/>
    <x v="1"/>
    <n v="94"/>
    <n v="13.54"/>
    <n v="1272.76"/>
    <n v="12.632853598014888"/>
    <x v="1"/>
    <n v="10"/>
    <s v="METFORMINA"/>
    <n v="1700"/>
    <n v="3.2199999999999999E-2"/>
    <n v="54.74"/>
    <n v="0.54332506203473951"/>
    <x v="0"/>
    <m/>
    <m/>
    <m/>
    <n v="0"/>
    <s v="NO"/>
    <m/>
    <m/>
    <m/>
    <m/>
    <m/>
    <m/>
    <n v="0"/>
    <x v="0"/>
    <m/>
    <m/>
    <x v="0"/>
    <m/>
    <m/>
    <n v="0"/>
    <n v="1"/>
  </r>
  <r>
    <s v="DUNEZAT"/>
    <s v="HORACIO ENRIQUE"/>
    <n v="1"/>
    <x v="20"/>
    <x v="1"/>
    <s v="75-84"/>
    <x v="0"/>
    <s v="No"/>
    <x v="1"/>
    <n v="1"/>
    <s v="18000a23000"/>
    <m/>
    <m/>
    <m/>
    <m/>
    <n v="92"/>
    <n v="1.74"/>
    <x v="51"/>
    <x v="1"/>
    <x v="1"/>
    <s v="Si"/>
    <x v="1"/>
    <n v="38"/>
    <d v="2021-08-05T00:00:00"/>
    <n v="5.6"/>
    <s v="4,5-7"/>
    <s v="&lt;7"/>
    <x v="1"/>
    <s v="Menor a 7"/>
    <n v="1"/>
    <s v="BIFASICA"/>
    <x v="0"/>
    <n v="42"/>
    <n v="13.87"/>
    <n v="582.54"/>
    <n v="5.7820347394540939"/>
    <x v="0"/>
    <m/>
    <s v="No"/>
    <m/>
    <n v="3.2199999999999999E-2"/>
    <n v="0"/>
    <n v="0"/>
    <x v="1"/>
    <m/>
    <m/>
    <m/>
    <n v="0"/>
    <s v="NO"/>
    <m/>
    <m/>
    <m/>
    <m/>
    <m/>
    <m/>
    <n v="0"/>
    <x v="0"/>
    <m/>
    <m/>
    <x v="0"/>
    <m/>
    <m/>
    <n v="0"/>
    <n v="0"/>
  </r>
  <r>
    <s v="ECHAVARRIA"/>
    <s v="ELSA SUSANA"/>
    <n v="1"/>
    <x v="4"/>
    <x v="0"/>
    <s v="65-74"/>
    <x v="1"/>
    <s v="No"/>
    <x v="2"/>
    <n v="1"/>
    <s v="18000a23000"/>
    <n v="2002"/>
    <m/>
    <n v="19"/>
    <n v="49"/>
    <n v="81"/>
    <n v="1.45"/>
    <x v="52"/>
    <x v="0"/>
    <x v="1"/>
    <s v="Si"/>
    <x v="0"/>
    <s v="N/A"/>
    <d v="2021-07-01T00:00:00"/>
    <n v="10.7"/>
    <s v="9,1-11"/>
    <s v="&gt;8,1"/>
    <x v="0"/>
    <s v="mas de 8"/>
    <n v="2"/>
    <s v="GLARGINA"/>
    <x v="1"/>
    <n v="40"/>
    <n v="14.66"/>
    <n v="586.4"/>
    <n v="5.820347394540943"/>
    <x v="0"/>
    <m/>
    <s v="METFORMINA"/>
    <n v="1700"/>
    <n v="3.2199999999999999E-2"/>
    <n v="54.74"/>
    <n v="0.54332506203473951"/>
    <x v="0"/>
    <m/>
    <m/>
    <m/>
    <n v="0"/>
    <s v="NO"/>
    <m/>
    <m/>
    <s v="VILDAGLIPTINA"/>
    <n v="100"/>
    <n v="1.84"/>
    <n v="184"/>
    <n v="1.8263027295285359"/>
    <x v="1"/>
    <m/>
    <m/>
    <x v="0"/>
    <m/>
    <m/>
    <n v="0"/>
    <n v="2"/>
  </r>
  <r>
    <s v="ESPINDOLA "/>
    <s v="TRANCITO"/>
    <n v="1"/>
    <x v="21"/>
    <x v="1"/>
    <s v="85-o mas"/>
    <x v="0"/>
    <s v="No"/>
    <x v="2"/>
    <n v="1"/>
    <s v="18000a23000"/>
    <n v="2011"/>
    <m/>
    <n v="10"/>
    <n v="80"/>
    <n v="70"/>
    <n v="1.6"/>
    <x v="53"/>
    <x v="0"/>
    <x v="0"/>
    <s v="Si"/>
    <x v="0"/>
    <s v="N/A"/>
    <d v="2021-08-12T00:00:00"/>
    <n v="6.8"/>
    <s v="4,5-7"/>
    <s v="&lt;7"/>
    <x v="1"/>
    <s v="Menor a 7"/>
    <n v="1"/>
    <s v="DETEMIR"/>
    <x v="1"/>
    <n v="28"/>
    <n v="13.54"/>
    <n v="379.12"/>
    <n v="3.7629776674937965"/>
    <x v="0"/>
    <m/>
    <s v="No"/>
    <m/>
    <n v="3.2199999999999999E-2"/>
    <n v="0"/>
    <n v="0"/>
    <x v="1"/>
    <m/>
    <m/>
    <m/>
    <n v="0"/>
    <s v="NO"/>
    <m/>
    <m/>
    <m/>
    <m/>
    <m/>
    <m/>
    <n v="0"/>
    <x v="0"/>
    <m/>
    <m/>
    <x v="0"/>
    <m/>
    <m/>
    <n v="0"/>
    <n v="0"/>
  </r>
  <r>
    <s v="FALLIERI"/>
    <s v="MIGUEL EUGENIO"/>
    <n v="1"/>
    <x v="17"/>
    <x v="1"/>
    <s v="75-84"/>
    <x v="0"/>
    <s v="No"/>
    <x v="1"/>
    <n v="1"/>
    <s v="18000a23000"/>
    <n v="2005"/>
    <m/>
    <n v="16"/>
    <n v="65"/>
    <n v="67.599999999999994"/>
    <n v="1.63"/>
    <x v="54"/>
    <x v="1"/>
    <x v="0"/>
    <s v="Si"/>
    <x v="0"/>
    <s v="N/A"/>
    <d v="2021-08-12T00:00:00"/>
    <n v="12.8"/>
    <s v="11,1 - o mas"/>
    <s v="&gt;8,1"/>
    <x v="0"/>
    <s v="mas de 8"/>
    <n v="3"/>
    <s v="DETEMIR"/>
    <x v="1"/>
    <n v="44"/>
    <n v="13.54"/>
    <n v="595.76"/>
    <n v="5.9132506203473945"/>
    <x v="0"/>
    <m/>
    <s v="METFORMINA"/>
    <n v="1000"/>
    <n v="3.2199999999999999E-2"/>
    <n v="32.200000000000003"/>
    <n v="0.31960297766749385"/>
    <x v="0"/>
    <m/>
    <m/>
    <m/>
    <n v="0"/>
    <s v="NO"/>
    <m/>
    <m/>
    <m/>
    <m/>
    <m/>
    <m/>
    <n v="0"/>
    <x v="0"/>
    <m/>
    <m/>
    <x v="0"/>
    <m/>
    <m/>
    <n v="0"/>
    <n v="1"/>
  </r>
  <r>
    <s v="FARIAS"/>
    <s v="MARTA AMELIA"/>
    <n v="1"/>
    <x v="16"/>
    <x v="2"/>
    <s v="75-84"/>
    <x v="1"/>
    <s v="No"/>
    <x v="1"/>
    <n v="1"/>
    <s v="18000a23000"/>
    <n v="2000"/>
    <m/>
    <n v="21"/>
    <n v="54"/>
    <n v="75.3"/>
    <n v="1.54"/>
    <x v="55"/>
    <x v="1"/>
    <x v="1"/>
    <s v="Si"/>
    <x v="0"/>
    <s v="N/A"/>
    <d v="2021-08-05T00:00:00"/>
    <n v="8.4"/>
    <s v="7,1-9"/>
    <s v="&gt;8,1"/>
    <x v="2"/>
    <s v="mas de 8"/>
    <n v="2"/>
    <s v="NPH"/>
    <x v="0"/>
    <n v="28"/>
    <n v="7.21"/>
    <n v="201.88"/>
    <n v="2.0037717121588088"/>
    <x v="1"/>
    <n v="6"/>
    <s v="No"/>
    <m/>
    <n v="3.2199999999999999E-2"/>
    <n v="0"/>
    <n v="0"/>
    <x v="1"/>
    <m/>
    <m/>
    <m/>
    <n v="0"/>
    <s v="NO"/>
    <m/>
    <m/>
    <m/>
    <m/>
    <m/>
    <m/>
    <n v="0"/>
    <x v="0"/>
    <m/>
    <m/>
    <x v="0"/>
    <m/>
    <m/>
    <n v="0"/>
    <n v="0"/>
  </r>
  <r>
    <s v="FASCE"/>
    <s v="RICARDO OSCAR"/>
    <n v="1"/>
    <x v="12"/>
    <x v="2"/>
    <s v="65-74"/>
    <x v="0"/>
    <s v="No"/>
    <x v="0"/>
    <n v="3"/>
    <s v="46001-69000"/>
    <n v="1998"/>
    <m/>
    <n v="23"/>
    <n v="51"/>
    <n v="82"/>
    <n v="1.62"/>
    <x v="56"/>
    <x v="0"/>
    <x v="1"/>
    <s v="Si"/>
    <x v="0"/>
    <s v="N/A"/>
    <d v="2021-07-15T00:00:00"/>
    <n v="7.3"/>
    <s v="7,1-9"/>
    <s v="7,1-8"/>
    <x v="1"/>
    <s v="7a7,5"/>
    <n v="1"/>
    <s v="GLARGINA"/>
    <x v="1"/>
    <n v="72"/>
    <n v="14.66"/>
    <n v="1055.52"/>
    <n v="10.476625310173697"/>
    <x v="1"/>
    <s v="SEGÚN TABLA"/>
    <s v="METFORMINA"/>
    <n v="2000"/>
    <n v="3.2199999999999999E-2"/>
    <n v="64.400000000000006"/>
    <n v="0.6392059553349877"/>
    <x v="0"/>
    <m/>
    <m/>
    <m/>
    <n v="0"/>
    <s v="NO"/>
    <m/>
    <m/>
    <m/>
    <m/>
    <m/>
    <m/>
    <n v="0"/>
    <x v="0"/>
    <m/>
    <m/>
    <x v="0"/>
    <m/>
    <m/>
    <n v="0"/>
    <n v="1"/>
  </r>
  <r>
    <s v="FERNANDEZ"/>
    <s v="ROSA ELVIRA"/>
    <n v="1"/>
    <x v="8"/>
    <x v="0"/>
    <s v="65-74"/>
    <x v="1"/>
    <s v="No"/>
    <x v="1"/>
    <n v="2"/>
    <s v="23001-46000"/>
    <n v="2014"/>
    <m/>
    <n v="7"/>
    <n v="58"/>
    <n v="90"/>
    <n v="1.55"/>
    <x v="57"/>
    <x v="1"/>
    <x v="1"/>
    <s v="Si"/>
    <x v="0"/>
    <s v="N/A"/>
    <d v="2021-08-12T00:00:00"/>
    <n v="9.4"/>
    <s v="9,1-11"/>
    <s v="&gt;8,1"/>
    <x v="2"/>
    <s v="mas de 8"/>
    <n v="2"/>
    <s v="GLARGINA"/>
    <x v="1"/>
    <n v="32"/>
    <n v="14.66"/>
    <n v="469.12"/>
    <n v="4.6562779156327547"/>
    <x v="1"/>
    <n v="24"/>
    <s v="METFORMINA"/>
    <n v="1700"/>
    <n v="3.2199999999999999E-2"/>
    <n v="54.74"/>
    <n v="0.54332506203473951"/>
    <x v="0"/>
    <m/>
    <m/>
    <m/>
    <n v="0"/>
    <s v="NO"/>
    <m/>
    <m/>
    <s v="SITAGLIPTINA"/>
    <n v="100"/>
    <n v="5.4"/>
    <n v="540"/>
    <n v="5.3598014888337469"/>
    <x v="1"/>
    <s v="EMPAGLIFOZINA"/>
    <n v="10"/>
    <x v="1"/>
    <n v="26.41"/>
    <n v="264.10000000000002"/>
    <n v="2.6213399503722088"/>
    <n v="3"/>
  </r>
  <r>
    <s v="FERNANDEZ"/>
    <s v="MARIO ENRIQUE"/>
    <n v="1"/>
    <x v="14"/>
    <x v="2"/>
    <s v="65-74"/>
    <x v="0"/>
    <s v="No"/>
    <x v="1"/>
    <n v="3"/>
    <s v="46001-69000"/>
    <n v="2005"/>
    <m/>
    <n v="16"/>
    <n v="56"/>
    <n v="86"/>
    <n v="1.72"/>
    <x v="58"/>
    <x v="0"/>
    <x v="0"/>
    <s v="No"/>
    <x v="0"/>
    <s v="N/A"/>
    <d v="2021-08-12T00:00:00"/>
    <n v="9.8000000000000007"/>
    <s v="9,1-11"/>
    <s v="&gt;8,1"/>
    <x v="2"/>
    <s v="mas de 8"/>
    <n v="2"/>
    <s v="GLARGINA"/>
    <x v="1"/>
    <n v="50"/>
    <n v="14.66"/>
    <n v="733"/>
    <n v="7.2754342431761785"/>
    <x v="1"/>
    <n v="30"/>
    <s v="METFORMINA"/>
    <n v="1700"/>
    <n v="3.2199999999999999E-2"/>
    <n v="54.74"/>
    <n v="0.54332506203473951"/>
    <x v="0"/>
    <m/>
    <m/>
    <m/>
    <n v="0"/>
    <s v="NO"/>
    <m/>
    <m/>
    <s v="VILDAGLIPTINA"/>
    <n v="100"/>
    <n v="1.84"/>
    <n v="184"/>
    <n v="1.8263027295285359"/>
    <x v="1"/>
    <m/>
    <m/>
    <x v="0"/>
    <m/>
    <m/>
    <n v="0"/>
    <n v="2"/>
  </r>
  <r>
    <s v="FERNANDEZ"/>
    <s v="MARIA DEL CARMEN"/>
    <n v="1"/>
    <x v="12"/>
    <x v="2"/>
    <s v="65-74"/>
    <x v="1"/>
    <s v="No"/>
    <x v="1"/>
    <n v="1"/>
    <s v="18000a23000"/>
    <n v="2017"/>
    <m/>
    <n v="4"/>
    <n v="70"/>
    <n v="108"/>
    <n v="1.61"/>
    <x v="59"/>
    <x v="0"/>
    <x v="1"/>
    <s v="Si"/>
    <x v="0"/>
    <s v="NO"/>
    <d v="2021-08-12T00:00:00"/>
    <n v="12.6"/>
    <s v="11,1 - o mas"/>
    <s v="&gt;8,1"/>
    <x v="0"/>
    <s v="mas de 8"/>
    <n v="3"/>
    <s v="NPH"/>
    <x v="0"/>
    <n v="40"/>
    <n v="7.21"/>
    <n v="288.39999999999998"/>
    <n v="2.8625310173697267"/>
    <x v="0"/>
    <m/>
    <s v="No"/>
    <m/>
    <n v="3.2199999999999999E-2"/>
    <n v="0"/>
    <n v="0"/>
    <x v="1"/>
    <s v="GLICLAZIDA"/>
    <n v="1.069"/>
    <n v="64.14"/>
    <n v="0.63662531017369728"/>
    <s v="SI"/>
    <n v="60"/>
    <m/>
    <m/>
    <m/>
    <m/>
    <m/>
    <n v="0"/>
    <x v="0"/>
    <m/>
    <m/>
    <x v="0"/>
    <m/>
    <m/>
    <n v="0"/>
    <n v="1"/>
  </r>
  <r>
    <s v="FERNANDEZ"/>
    <s v="EDUARDO NORBERTO"/>
    <n v="1"/>
    <x v="14"/>
    <x v="2"/>
    <s v="65-74"/>
    <x v="0"/>
    <s v="No"/>
    <x v="1"/>
    <n v="1"/>
    <s v="18000a23000"/>
    <n v="2015"/>
    <m/>
    <n v="6"/>
    <n v="66"/>
    <n v="107.7"/>
    <n v="1.67"/>
    <x v="60"/>
    <x v="1"/>
    <x v="1"/>
    <s v="Si"/>
    <x v="0"/>
    <s v="N/A"/>
    <d v="2021-08-26T00:00:00"/>
    <n v="8.4"/>
    <s v="7,1-9"/>
    <s v="&gt;8,1"/>
    <x v="2"/>
    <s v="mas de 8"/>
    <n v="2"/>
    <s v="NPH"/>
    <x v="0"/>
    <n v="60"/>
    <n v="7.21"/>
    <n v="432.6"/>
    <n v="4.2937965260545905"/>
    <x v="0"/>
    <m/>
    <s v="METFORMINA"/>
    <n v="850"/>
    <n v="3.2199999999999999E-2"/>
    <n v="27.37"/>
    <n v="0.27166253101736976"/>
    <x v="0"/>
    <m/>
    <m/>
    <m/>
    <n v="0"/>
    <s v="NO"/>
    <m/>
    <m/>
    <m/>
    <m/>
    <m/>
    <m/>
    <n v="0"/>
    <x v="0"/>
    <m/>
    <m/>
    <x v="0"/>
    <m/>
    <m/>
    <n v="0"/>
    <n v="1"/>
  </r>
  <r>
    <s v="FIEGO"/>
    <s v="JULIO EDUARDO"/>
    <n v="1"/>
    <x v="14"/>
    <x v="2"/>
    <s v="65-74"/>
    <x v="0"/>
    <s v="No"/>
    <x v="1"/>
    <n v="1"/>
    <s v="18000a23000"/>
    <n v="1990"/>
    <m/>
    <n v="31"/>
    <n v="41"/>
    <n v="99"/>
    <n v="1.74"/>
    <x v="61"/>
    <x v="1"/>
    <x v="1"/>
    <s v="Si"/>
    <x v="0"/>
    <s v="N/A"/>
    <d v="2021-08-12T00:00:00"/>
    <n v="8.6999999999999993"/>
    <s v="7,1-9"/>
    <s v="&gt;8,1"/>
    <x v="2"/>
    <s v="mas de 8"/>
    <n v="2"/>
    <s v="DEGLUDEC"/>
    <x v="1"/>
    <n v="48"/>
    <n v="15.6"/>
    <n v="748.8"/>
    <n v="7.4322580645161285"/>
    <x v="1"/>
    <s v="SEGÚN TABLA"/>
    <s v="METFORMINA"/>
    <n v="2000"/>
    <n v="3.2199999999999999E-2"/>
    <n v="64.400000000000006"/>
    <n v="0.6392059553349877"/>
    <x v="0"/>
    <m/>
    <m/>
    <m/>
    <n v="0"/>
    <s v="NO"/>
    <m/>
    <m/>
    <m/>
    <m/>
    <m/>
    <m/>
    <n v="0"/>
    <x v="0"/>
    <m/>
    <m/>
    <x v="0"/>
    <m/>
    <m/>
    <n v="0"/>
    <n v="1"/>
  </r>
  <r>
    <s v="FIEGO"/>
    <s v="MARIA ESTER"/>
    <n v="1"/>
    <x v="5"/>
    <x v="0"/>
    <s v="65-74"/>
    <x v="1"/>
    <s v="Si"/>
    <x v="0"/>
    <n v="1"/>
    <s v="18000a23000"/>
    <n v="2000"/>
    <m/>
    <n v="21"/>
    <n v="45"/>
    <n v="74"/>
    <n v="1.61"/>
    <x v="62"/>
    <x v="1"/>
    <x v="0"/>
    <s v="Si"/>
    <x v="0"/>
    <s v="N/A"/>
    <d v="2021-07-01T00:00:00"/>
    <n v="8.9"/>
    <s v="7,1-9"/>
    <s v="&gt;8,1"/>
    <x v="2"/>
    <s v="mas de 8"/>
    <n v="2"/>
    <s v="DEGLUDEC"/>
    <x v="1"/>
    <n v="14"/>
    <n v="15.6"/>
    <n v="218.4"/>
    <n v="2.1677419354838712"/>
    <x v="0"/>
    <m/>
    <s v="METFORMINA"/>
    <n v="1600"/>
    <n v="3.2199999999999999E-2"/>
    <n v="51.519999999999996"/>
    <n v="0.51136476426799005"/>
    <x v="0"/>
    <s v="Glimepirida"/>
    <n v="13.41"/>
    <n v="26.82"/>
    <n v="0.26620347394540944"/>
    <s v="SI"/>
    <n v="2"/>
    <m/>
    <m/>
    <m/>
    <m/>
    <m/>
    <n v="0"/>
    <x v="0"/>
    <m/>
    <m/>
    <x v="0"/>
    <m/>
    <m/>
    <n v="0"/>
    <n v="2"/>
  </r>
  <r>
    <s v="FLORENCIO"/>
    <s v="JUAN DOMINGO"/>
    <n v="1"/>
    <x v="12"/>
    <x v="2"/>
    <s v="65-74"/>
    <x v="0"/>
    <s v="No"/>
    <x v="0"/>
    <n v="1"/>
    <s v="18000a23000"/>
    <n v="2016"/>
    <m/>
    <n v="5"/>
    <n v="69"/>
    <n v="142"/>
    <n v="1.69"/>
    <x v="63"/>
    <x v="0"/>
    <x v="1"/>
    <s v="No"/>
    <x v="0"/>
    <s v="N/A"/>
    <d v="2021-08-26T00:00:00"/>
    <n v="11.2"/>
    <s v="11,1 - o mas"/>
    <s v="&gt;8,1"/>
    <x v="0"/>
    <s v="mas de 8"/>
    <n v="3"/>
    <s v="NPH"/>
    <x v="0"/>
    <n v="22"/>
    <n v="7.21"/>
    <n v="158.62"/>
    <n v="1.5743920595533498"/>
    <x v="1"/>
    <s v="SEGÚN TABLA"/>
    <s v="METFORMINA"/>
    <n v="1700"/>
    <n v="3.2199999999999999E-2"/>
    <n v="54.74"/>
    <n v="0.54332506203473951"/>
    <x v="0"/>
    <m/>
    <m/>
    <m/>
    <n v="0"/>
    <s v="NO"/>
    <m/>
    <m/>
    <s v="SITAGLIPTINA"/>
    <n v="100"/>
    <n v="5.4"/>
    <n v="540"/>
    <n v="5.3598014888337469"/>
    <x v="1"/>
    <m/>
    <m/>
    <x v="0"/>
    <m/>
    <m/>
    <n v="0"/>
    <n v="2"/>
  </r>
  <r>
    <s v="FLORES MELLA "/>
    <s v="MANUEL JESUS"/>
    <n v="1"/>
    <x v="14"/>
    <x v="2"/>
    <s v="65-74"/>
    <x v="0"/>
    <s v="No"/>
    <x v="1"/>
    <n v="2"/>
    <s v="23001-46000"/>
    <n v="2006"/>
    <m/>
    <n v="15"/>
    <n v="57"/>
    <n v="135.5"/>
    <n v="1.71"/>
    <x v="64"/>
    <x v="0"/>
    <x v="1"/>
    <s v="Si"/>
    <x v="0"/>
    <s v="N/A"/>
    <d v="2021-08-12T00:00:00"/>
    <n v="6.4"/>
    <s v="4,5-7"/>
    <s v="&lt;7"/>
    <x v="1"/>
    <s v="Menor a 7"/>
    <n v="1"/>
    <s v="NPH"/>
    <x v="0"/>
    <n v="54"/>
    <n v="7.21"/>
    <n v="389.34"/>
    <n v="3.8644168734491311"/>
    <x v="0"/>
    <m/>
    <s v="No"/>
    <m/>
    <n v="3.2199999999999999E-2"/>
    <n v="0"/>
    <n v="0"/>
    <x v="1"/>
    <m/>
    <m/>
    <m/>
    <n v="0"/>
    <s v="NO"/>
    <m/>
    <m/>
    <s v="LINAGLIPTINA"/>
    <n v="5"/>
    <n v="66.150000000000006"/>
    <n v="330.75"/>
    <n v="3.2828784119106698"/>
    <x v="1"/>
    <m/>
    <m/>
    <x v="0"/>
    <m/>
    <m/>
    <n v="0"/>
    <n v="1"/>
  </r>
  <r>
    <s v="FRANCIA"/>
    <s v="HUGO ALBERTO"/>
    <n v="1"/>
    <x v="16"/>
    <x v="2"/>
    <s v="75-84"/>
    <x v="0"/>
    <s v="No"/>
    <x v="3"/>
    <n v="1"/>
    <s v="18000a23000"/>
    <n v="2006"/>
    <m/>
    <n v="15"/>
    <n v="60"/>
    <n v="79.8"/>
    <n v="1.81"/>
    <x v="65"/>
    <x v="0"/>
    <x v="2"/>
    <s v="Si"/>
    <x v="0"/>
    <m/>
    <d v="2021-08-12T00:00:00"/>
    <n v="7.3"/>
    <s v="7,1-9"/>
    <s v="7,1-8"/>
    <x v="1"/>
    <s v="7a7,5"/>
    <n v="1"/>
    <s v="DEGLUDEC"/>
    <x v="1"/>
    <n v="36"/>
    <n v="15.6"/>
    <n v="561.6"/>
    <n v="5.5741935483870968"/>
    <x v="0"/>
    <m/>
    <s v="METFORMINA"/>
    <n v="1700"/>
    <n v="3.2199999999999999E-2"/>
    <n v="54.74"/>
    <n v="0.54332506203473951"/>
    <x v="0"/>
    <m/>
    <m/>
    <m/>
    <n v="0"/>
    <s v="NO"/>
    <m/>
    <m/>
    <m/>
    <m/>
    <m/>
    <m/>
    <n v="0"/>
    <x v="0"/>
    <m/>
    <m/>
    <x v="0"/>
    <m/>
    <m/>
    <n v="0"/>
    <n v="1"/>
  </r>
  <r>
    <s v="FUENTES AVILA"/>
    <s v="JAIME"/>
    <n v="1"/>
    <x v="0"/>
    <x v="0"/>
    <s v="65-74"/>
    <x v="0"/>
    <s v="No"/>
    <x v="1"/>
    <n v="1"/>
    <s v="18000a23000"/>
    <n v="1985"/>
    <m/>
    <n v="36"/>
    <n v="34"/>
    <n v="132"/>
    <n v="1.9"/>
    <x v="66"/>
    <x v="0"/>
    <x v="1"/>
    <s v="No"/>
    <x v="0"/>
    <s v="N/A"/>
    <d v="2021-07-26T00:00:00"/>
    <n v="8"/>
    <s v="7,1-9"/>
    <s v="7,1-8"/>
    <x v="2"/>
    <s v="7,6-8"/>
    <n v="2"/>
    <s v="GLARGINA"/>
    <x v="1"/>
    <n v="40"/>
    <n v="14.66"/>
    <n v="586.4"/>
    <n v="5.820347394540943"/>
    <x v="1"/>
    <m/>
    <s v="METFORMINA"/>
    <n v="2000"/>
    <n v="3.2199999999999999E-2"/>
    <n v="64.400000000000006"/>
    <n v="0.6392059553349877"/>
    <x v="0"/>
    <m/>
    <m/>
    <m/>
    <n v="0"/>
    <s v="NO"/>
    <m/>
    <m/>
    <m/>
    <m/>
    <m/>
    <m/>
    <n v="0"/>
    <x v="0"/>
    <m/>
    <m/>
    <x v="0"/>
    <m/>
    <m/>
    <n v="0"/>
    <n v="1"/>
  </r>
  <r>
    <s v="FUENTES VALENZUELA "/>
    <s v="FRANCISCO"/>
    <n v="1"/>
    <x v="5"/>
    <x v="0"/>
    <s v="65-74"/>
    <x v="0"/>
    <s v="No"/>
    <x v="0"/>
    <n v="2"/>
    <s v="23001-46000"/>
    <n v="2014"/>
    <m/>
    <n v="7"/>
    <n v="59"/>
    <n v="68"/>
    <n v="1.7"/>
    <x v="67"/>
    <x v="0"/>
    <x v="2"/>
    <s v="No"/>
    <x v="0"/>
    <s v="N/A"/>
    <d v="2021-08-26T00:00:00"/>
    <n v="10.3"/>
    <s v="9,1-11"/>
    <s v="&gt;8,1"/>
    <x v="0"/>
    <s v="mas de 8"/>
    <n v="2"/>
    <s v="DEGLUDEC"/>
    <x v="1"/>
    <n v="24"/>
    <n v="15.6"/>
    <n v="374.4"/>
    <n v="3.7161290322580642"/>
    <x v="1"/>
    <s v="SEGÚN TABLA"/>
    <s v="METFORMINA"/>
    <n v="2000"/>
    <n v="3.2199999999999999E-2"/>
    <n v="64.400000000000006"/>
    <n v="0.6392059553349877"/>
    <x v="0"/>
    <m/>
    <m/>
    <m/>
    <n v="0"/>
    <s v="NO"/>
    <m/>
    <m/>
    <s v="VILDAGLIPTINA"/>
    <n v="100"/>
    <n v="1.84"/>
    <n v="184"/>
    <n v="1.8263027295285359"/>
    <x v="1"/>
    <m/>
    <m/>
    <x v="0"/>
    <m/>
    <m/>
    <n v="0"/>
    <n v="2"/>
  </r>
  <r>
    <s v="GALERA"/>
    <s v="OSCAR HECTOR"/>
    <n v="1"/>
    <x v="14"/>
    <x v="2"/>
    <s v="65-74"/>
    <x v="0"/>
    <s v="No"/>
    <x v="1"/>
    <n v="4"/>
    <s v="mas de 69000"/>
    <n v="2009"/>
    <m/>
    <n v="12"/>
    <n v="60"/>
    <n v="84.5"/>
    <n v="1.64"/>
    <x v="68"/>
    <x v="1"/>
    <x v="1"/>
    <s v="Si"/>
    <x v="1"/>
    <s v="N/A"/>
    <d v="2021-08-12T00:00:00"/>
    <n v="10"/>
    <s v="9,1-11"/>
    <s v="&gt;8,1"/>
    <x v="2"/>
    <s v="mas de 8"/>
    <n v="2"/>
    <s v="Glargina T"/>
    <x v="1"/>
    <n v="60"/>
    <n v="4.4400000000000004"/>
    <n v="266.40000000000003"/>
    <n v="2.6441687344913154"/>
    <x v="0"/>
    <m/>
    <s v="METFORMINA"/>
    <n v="2000"/>
    <n v="3.2199999999999999E-2"/>
    <n v="64.400000000000006"/>
    <n v="0.6392059553349877"/>
    <x v="0"/>
    <m/>
    <m/>
    <m/>
    <n v="0"/>
    <s v="NO"/>
    <m/>
    <m/>
    <s v="VILDAGLIPTINA"/>
    <n v="100"/>
    <n v="1.84"/>
    <n v="184"/>
    <n v="1.8263027295285359"/>
    <x v="1"/>
    <m/>
    <m/>
    <x v="0"/>
    <m/>
    <m/>
    <n v="0"/>
    <n v="2"/>
  </r>
  <r>
    <s v="GALINDEZ"/>
    <s v="ZULEMA NOEMI"/>
    <n v="1"/>
    <x v="0"/>
    <x v="0"/>
    <s v="65-74"/>
    <x v="1"/>
    <s v="No"/>
    <x v="2"/>
    <n v="1"/>
    <s v="18000a23000"/>
    <n v="1988"/>
    <m/>
    <n v="33"/>
    <n v="37"/>
    <n v="103"/>
    <n v="1.62"/>
    <x v="69"/>
    <x v="0"/>
    <x v="1"/>
    <s v="Si"/>
    <x v="0"/>
    <s v="N/A"/>
    <d v="2021-07-01T00:00:00"/>
    <n v="4.5999999999999996"/>
    <s v="4,5-7"/>
    <s v="&lt;7"/>
    <x v="1"/>
    <s v="Menor a 7"/>
    <n v="1"/>
    <s v="DETEMIR"/>
    <x v="1"/>
    <n v="50"/>
    <n v="13.54"/>
    <n v="677"/>
    <n v="6.7196029776674937"/>
    <x v="1"/>
    <n v="8"/>
    <s v="No"/>
    <m/>
    <n v="3.2199999999999999E-2"/>
    <n v="0"/>
    <n v="0"/>
    <x v="1"/>
    <m/>
    <m/>
    <m/>
    <n v="0"/>
    <s v="NO"/>
    <m/>
    <m/>
    <m/>
    <m/>
    <m/>
    <m/>
    <n v="0"/>
    <x v="0"/>
    <m/>
    <m/>
    <x v="0"/>
    <m/>
    <m/>
    <n v="0"/>
    <n v="0"/>
  </r>
  <r>
    <s v="GALVAN"/>
    <s v="RAUL ELVIDIO"/>
    <n v="1"/>
    <x v="16"/>
    <x v="2"/>
    <s v="75-84"/>
    <x v="0"/>
    <s v="No"/>
    <x v="2"/>
    <n v="1"/>
    <s v="18000a23000"/>
    <n v="2000"/>
    <m/>
    <n v="21"/>
    <n v="54"/>
    <n v="86.5"/>
    <n v="1.72"/>
    <x v="70"/>
    <x v="0"/>
    <x v="0"/>
    <s v="No"/>
    <x v="1"/>
    <n v="90"/>
    <d v="2021-08-12T00:00:00"/>
    <n v="12.8"/>
    <s v="11,1 - o mas"/>
    <s v="&gt;8,1"/>
    <x v="0"/>
    <s v="mas de 8"/>
    <n v="3"/>
    <s v="NPH"/>
    <x v="0"/>
    <n v="35"/>
    <n v="7.21"/>
    <n v="252.35"/>
    <n v="2.504714640198511"/>
    <x v="1"/>
    <s v="SEGÚN TABLA"/>
    <s v="No"/>
    <m/>
    <n v="3.2199999999999999E-2"/>
    <n v="0"/>
    <n v="0"/>
    <x v="1"/>
    <m/>
    <m/>
    <m/>
    <n v="0"/>
    <s v="NO"/>
    <m/>
    <m/>
    <m/>
    <m/>
    <m/>
    <m/>
    <n v="0"/>
    <x v="0"/>
    <m/>
    <m/>
    <x v="0"/>
    <m/>
    <m/>
    <n v="0"/>
    <n v="0"/>
  </r>
  <r>
    <s v="GARAY"/>
    <s v="MARIA DEL VALLE"/>
    <n v="1"/>
    <x v="2"/>
    <x v="1"/>
    <s v="75-84"/>
    <x v="1"/>
    <s v="No"/>
    <x v="3"/>
    <n v="2"/>
    <s v="23001-46000"/>
    <n v="1990"/>
    <m/>
    <n v="31"/>
    <n v="45"/>
    <n v="82"/>
    <n v="1.61"/>
    <x v="71"/>
    <x v="0"/>
    <x v="1"/>
    <s v="Si"/>
    <x v="0"/>
    <s v="N/A"/>
    <d v="2021-08-12T00:00:00"/>
    <n v="7.5"/>
    <s v="7,1-9"/>
    <s v="7,1-8"/>
    <x v="1"/>
    <s v="7a7,5"/>
    <n v="1"/>
    <s v="NPH"/>
    <x v="0"/>
    <n v="20"/>
    <n v="7.21"/>
    <n v="144.19999999999999"/>
    <n v="1.4312655086848634"/>
    <x v="0"/>
    <m/>
    <s v="METFORMINA"/>
    <n v="2000"/>
    <n v="3.2199999999999999E-2"/>
    <n v="64.400000000000006"/>
    <n v="0.6392059553349877"/>
    <x v="0"/>
    <m/>
    <m/>
    <m/>
    <n v="0"/>
    <s v="NO"/>
    <m/>
    <m/>
    <m/>
    <m/>
    <m/>
    <m/>
    <n v="0"/>
    <x v="0"/>
    <m/>
    <m/>
    <x v="0"/>
    <m/>
    <m/>
    <n v="0"/>
    <n v="1"/>
  </r>
  <r>
    <s v="GARCIA"/>
    <s v="RICARDO FELICIANO"/>
    <n v="1"/>
    <x v="11"/>
    <x v="0"/>
    <s v="65-74"/>
    <x v="0"/>
    <s v="No"/>
    <x v="0"/>
    <n v="1"/>
    <s v="18000a23000"/>
    <n v="2018"/>
    <m/>
    <n v="3"/>
    <n v="66"/>
    <n v="114"/>
    <n v="1.66"/>
    <x v="72"/>
    <x v="0"/>
    <x v="1"/>
    <s v="No"/>
    <x v="0"/>
    <s v="N/A"/>
    <d v="2021-07-15T00:00:00"/>
    <n v="8.6999999999999993"/>
    <s v="7,1-9"/>
    <s v="&gt;8,1"/>
    <x v="2"/>
    <s v="mas de 8"/>
    <n v="2"/>
    <s v="DEGLUDEC"/>
    <x v="1"/>
    <n v="16"/>
    <n v="15.6"/>
    <n v="249.6"/>
    <n v="2.4774193548387098"/>
    <x v="0"/>
    <m/>
    <s v="No"/>
    <m/>
    <n v="3.2199999999999999E-2"/>
    <n v="0"/>
    <n v="0"/>
    <x v="1"/>
    <m/>
    <m/>
    <m/>
    <n v="0"/>
    <s v="NO"/>
    <m/>
    <m/>
    <m/>
    <m/>
    <m/>
    <m/>
    <n v="0"/>
    <x v="0"/>
    <m/>
    <m/>
    <x v="0"/>
    <m/>
    <m/>
    <n v="0"/>
    <n v="0"/>
  </r>
  <r>
    <s v="GARCIA"/>
    <s v="ANA"/>
    <n v="1"/>
    <x v="10"/>
    <x v="2"/>
    <s v="65-74"/>
    <x v="1"/>
    <s v="Si"/>
    <x v="1"/>
    <n v="1"/>
    <s v="18000a23000"/>
    <n v="2000"/>
    <m/>
    <n v="21"/>
    <n v="50"/>
    <n v="109.8"/>
    <n v="1.58"/>
    <x v="73"/>
    <x v="0"/>
    <x v="1"/>
    <s v="Si"/>
    <x v="0"/>
    <s v="N/A"/>
    <d v="2021-08-26T00:00:00"/>
    <n v="13.2"/>
    <s v="11,1 - o mas"/>
    <s v="&gt;8,1"/>
    <x v="0"/>
    <s v="mas de 8"/>
    <n v="3"/>
    <s v="NPH"/>
    <x v="0"/>
    <n v="40"/>
    <n v="7.21"/>
    <n v="288.39999999999998"/>
    <n v="2.8625310173697267"/>
    <x v="1"/>
    <s v="SEGÚN TABLA"/>
    <s v="METFORMINA"/>
    <n v="750"/>
    <n v="3.2199999999999999E-2"/>
    <n v="24.15"/>
    <n v="0.23970223325062034"/>
    <x v="0"/>
    <m/>
    <m/>
    <m/>
    <n v="0"/>
    <s v="NO"/>
    <m/>
    <m/>
    <m/>
    <m/>
    <m/>
    <m/>
    <n v="0"/>
    <x v="0"/>
    <m/>
    <m/>
    <x v="0"/>
    <m/>
    <m/>
    <n v="0"/>
    <n v="1"/>
  </r>
  <r>
    <s v="GARCIA"/>
    <s v="BLANCA HAIDEE"/>
    <n v="1"/>
    <x v="11"/>
    <x v="0"/>
    <s v="65-74"/>
    <x v="1"/>
    <s v="No"/>
    <x v="1"/>
    <n v="1"/>
    <s v="18000a23000"/>
    <n v="2007"/>
    <m/>
    <n v="14"/>
    <n v="55"/>
    <n v="83"/>
    <n v="1.43"/>
    <x v="74"/>
    <x v="0"/>
    <x v="1"/>
    <s v="Si"/>
    <x v="0"/>
    <s v="N/A"/>
    <d v="2021-08-12T00:00:00"/>
    <n v="11.9"/>
    <s v="11,1 - o mas"/>
    <s v="&gt;8,1"/>
    <x v="0"/>
    <s v="mas de 8"/>
    <n v="3"/>
    <s v="NPH"/>
    <x v="0"/>
    <n v="26"/>
    <n v="7.21"/>
    <n v="187.46"/>
    <n v="1.8606451612903228"/>
    <x v="1"/>
    <s v="SEGÚN TABLA"/>
    <s v="No"/>
    <m/>
    <n v="3.2199999999999999E-2"/>
    <n v="0"/>
    <n v="0"/>
    <x v="1"/>
    <m/>
    <m/>
    <m/>
    <n v="0"/>
    <s v="NO"/>
    <m/>
    <m/>
    <m/>
    <m/>
    <m/>
    <m/>
    <n v="0"/>
    <x v="0"/>
    <m/>
    <m/>
    <x v="0"/>
    <m/>
    <m/>
    <n v="0"/>
    <n v="0"/>
  </r>
  <r>
    <s v="GARCIA"/>
    <s v="JUANA ROSA"/>
    <n v="1"/>
    <x v="11"/>
    <x v="0"/>
    <s v="65-74"/>
    <x v="1"/>
    <s v="No"/>
    <x v="2"/>
    <n v="1"/>
    <s v="18000a23000"/>
    <n v="2009"/>
    <m/>
    <n v="12"/>
    <n v="57"/>
    <n v="56"/>
    <n v="1.53"/>
    <x v="75"/>
    <x v="0"/>
    <x v="2"/>
    <s v="No"/>
    <x v="0"/>
    <s v="N/H"/>
    <d v="2021-07-01T00:00:00"/>
    <n v="11.2"/>
    <s v="11,1 - o mas"/>
    <s v="&gt;8,1"/>
    <x v="0"/>
    <s v="mas de 8"/>
    <n v="3"/>
    <s v="NPH"/>
    <x v="0"/>
    <n v="34"/>
    <n v="7.21"/>
    <n v="245.14"/>
    <n v="2.4331513647642677"/>
    <x v="0"/>
    <m/>
    <s v="METFORMINA"/>
    <n v="1000"/>
    <n v="3.2199999999999999E-2"/>
    <n v="32.200000000000003"/>
    <n v="0.31960297766749385"/>
    <x v="0"/>
    <m/>
    <m/>
    <m/>
    <n v="0"/>
    <s v="NO"/>
    <m/>
    <m/>
    <m/>
    <m/>
    <m/>
    <m/>
    <n v="0"/>
    <x v="0"/>
    <m/>
    <m/>
    <x v="0"/>
    <m/>
    <m/>
    <n v="0"/>
    <n v="1"/>
  </r>
  <r>
    <s v="GARNICA"/>
    <s v="ISABEL AMANDA"/>
    <n v="1"/>
    <x v="8"/>
    <x v="0"/>
    <s v="65-74"/>
    <x v="1"/>
    <s v="No"/>
    <x v="2"/>
    <n v="1"/>
    <s v="18000a23000"/>
    <n v="1990"/>
    <m/>
    <n v="31"/>
    <n v="34"/>
    <n v="95"/>
    <n v="1.61"/>
    <x v="76"/>
    <x v="0"/>
    <x v="1"/>
    <s v="Si"/>
    <x v="0"/>
    <s v="N/A"/>
    <d v="2021-08-12T00:00:00"/>
    <n v="7.1"/>
    <s v="7,1-9"/>
    <s v="7,1-8"/>
    <x v="1"/>
    <s v="7a7,5"/>
    <n v="1"/>
    <s v="GLARGINA"/>
    <x v="1"/>
    <n v="35"/>
    <n v="14.66"/>
    <n v="513.1"/>
    <n v="5.0928039702233256"/>
    <x v="0"/>
    <m/>
    <s v="METFORMINA"/>
    <n v="1700"/>
    <n v="3.2199999999999999E-2"/>
    <n v="54.74"/>
    <n v="0.54332506203473951"/>
    <x v="0"/>
    <m/>
    <m/>
    <m/>
    <n v="0"/>
    <s v="NO"/>
    <m/>
    <m/>
    <m/>
    <m/>
    <m/>
    <m/>
    <n v="0"/>
    <x v="0"/>
    <m/>
    <m/>
    <x v="0"/>
    <m/>
    <m/>
    <n v="0"/>
    <n v="1"/>
  </r>
  <r>
    <s v="GAUNA"/>
    <s v="OLGA DEL CARMEN"/>
    <n v="1"/>
    <x v="2"/>
    <x v="1"/>
    <s v="75-84"/>
    <x v="1"/>
    <s v="No"/>
    <x v="1"/>
    <n v="1"/>
    <s v="18000a23000"/>
    <n v="1979"/>
    <m/>
    <n v="42"/>
    <n v="34"/>
    <n v="88.1"/>
    <n v="1.61"/>
    <x v="77"/>
    <x v="0"/>
    <x v="1"/>
    <s v="Si"/>
    <x v="1"/>
    <n v="20"/>
    <d v="2021-07-15T00:00:00"/>
    <n v="8.4"/>
    <s v="7,1-9"/>
    <s v="&gt;8,1"/>
    <x v="2"/>
    <s v="mas de 8"/>
    <n v="2"/>
    <s v="GLARGINA"/>
    <x v="1"/>
    <n v="40"/>
    <n v="14.66"/>
    <n v="586.4"/>
    <n v="5.820347394540943"/>
    <x v="1"/>
    <s v="SEGÚN TABLA"/>
    <s v="METFORMINA"/>
    <n v="2550"/>
    <n v="3.2199999999999999E-2"/>
    <n v="82.11"/>
    <n v="0.81498759305210922"/>
    <x v="0"/>
    <m/>
    <m/>
    <m/>
    <n v="0"/>
    <s v="NO"/>
    <m/>
    <m/>
    <m/>
    <m/>
    <m/>
    <m/>
    <n v="0"/>
    <x v="0"/>
    <m/>
    <m/>
    <x v="0"/>
    <m/>
    <m/>
    <n v="0"/>
    <n v="1"/>
  </r>
  <r>
    <s v="GENES"/>
    <s v="EDUARDO CARLOS"/>
    <n v="1"/>
    <x v="11"/>
    <x v="0"/>
    <s v="65-74"/>
    <x v="0"/>
    <s v="S/D"/>
    <x v="1"/>
    <n v="1"/>
    <s v="18000a23000"/>
    <m/>
    <m/>
    <m/>
    <m/>
    <n v="80"/>
    <n v="1.76"/>
    <x v="78"/>
    <x v="1"/>
    <x v="0"/>
    <s v="Si"/>
    <x v="0"/>
    <s v="N/A"/>
    <d v="2021-08-12T00:00:00"/>
    <n v="12.8"/>
    <s v="11,1 - o mas"/>
    <s v="&gt;8,1"/>
    <x v="0"/>
    <s v="mas de 8"/>
    <n v="3"/>
    <s v="DEGLUDEC"/>
    <x v="1"/>
    <n v="70"/>
    <n v="15.6"/>
    <n v="1092"/>
    <n v="10.838709677419354"/>
    <x v="0"/>
    <m/>
    <s v="No"/>
    <m/>
    <n v="3.2199999999999999E-2"/>
    <n v="0"/>
    <n v="0"/>
    <x v="1"/>
    <m/>
    <m/>
    <m/>
    <n v="0"/>
    <s v="NO"/>
    <m/>
    <m/>
    <s v="SITAGLIPTINA"/>
    <n v="100"/>
    <n v="5.4"/>
    <n v="540"/>
    <n v="5.3598014888337469"/>
    <x v="1"/>
    <m/>
    <m/>
    <x v="0"/>
    <m/>
    <m/>
    <n v="0"/>
    <n v="1"/>
  </r>
  <r>
    <s v="GOMEZ"/>
    <s v="ABELARDO ISAAC"/>
    <n v="1"/>
    <x v="7"/>
    <x v="0"/>
    <s v="65-74"/>
    <x v="0"/>
    <s v="No"/>
    <x v="0"/>
    <n v="1"/>
    <s v="18000a23000"/>
    <n v="1982"/>
    <m/>
    <n v="39"/>
    <n v="28"/>
    <n v="80.3"/>
    <n v="1.62"/>
    <x v="79"/>
    <x v="0"/>
    <x v="1"/>
    <s v="Si"/>
    <x v="0"/>
    <s v="N/A"/>
    <d v="2021-09-02T00:00:00"/>
    <n v="12.2"/>
    <s v="11,1 - o mas"/>
    <s v="&gt;8,1"/>
    <x v="0"/>
    <s v="mas de 8"/>
    <n v="3"/>
    <s v="NPH"/>
    <x v="0"/>
    <n v="64"/>
    <n v="7.21"/>
    <n v="461.44"/>
    <n v="4.5800496277915634"/>
    <x v="1"/>
    <s v="SEGÚN TABLA"/>
    <s v="METFORMINA"/>
    <n v="1500"/>
    <n v="3.2199999999999999E-2"/>
    <n v="48.3"/>
    <n v="0.47940446650124069"/>
    <x v="0"/>
    <m/>
    <m/>
    <m/>
    <n v="0"/>
    <s v="NO"/>
    <m/>
    <m/>
    <m/>
    <m/>
    <m/>
    <m/>
    <n v="0"/>
    <x v="0"/>
    <m/>
    <m/>
    <x v="0"/>
    <m/>
    <m/>
    <n v="0"/>
    <n v="1"/>
  </r>
  <r>
    <s v="GONZALEZ"/>
    <s v="CRESCENCIA"/>
    <n v="1"/>
    <x v="2"/>
    <x v="1"/>
    <s v="75-84"/>
    <x v="1"/>
    <s v="Si"/>
    <x v="1"/>
    <n v="2"/>
    <s v="23001-46000"/>
    <n v="2003"/>
    <m/>
    <n v="18"/>
    <n v="58"/>
    <n v="82"/>
    <n v="1.49"/>
    <x v="80"/>
    <x v="0"/>
    <x v="1"/>
    <s v="Si"/>
    <x v="0"/>
    <s v="N/A"/>
    <d v="2021-07-01T00:00:00"/>
    <n v="5.6"/>
    <s v="4,5-7"/>
    <s v="&lt;7"/>
    <x v="1"/>
    <s v="Menor a 7"/>
    <n v="1"/>
    <s v="GLARGINA"/>
    <x v="1"/>
    <n v="20"/>
    <n v="14.66"/>
    <n v="293.2"/>
    <n v="2.9101736972704715"/>
    <x v="1"/>
    <n v="4"/>
    <s v="No"/>
    <m/>
    <n v="3.2199999999999999E-2"/>
    <n v="0"/>
    <n v="0"/>
    <x v="1"/>
    <m/>
    <m/>
    <m/>
    <n v="0"/>
    <s v="NO"/>
    <m/>
    <m/>
    <m/>
    <m/>
    <m/>
    <m/>
    <n v="0"/>
    <x v="0"/>
    <m/>
    <m/>
    <x v="0"/>
    <m/>
    <m/>
    <n v="0"/>
    <n v="0"/>
  </r>
  <r>
    <s v="GONZALEZ"/>
    <s v="POLICAR"/>
    <n v="1"/>
    <x v="4"/>
    <x v="0"/>
    <s v="65-74"/>
    <x v="0"/>
    <s v="No"/>
    <x v="2"/>
    <n v="1"/>
    <s v="18000a23000"/>
    <n v="2015"/>
    <m/>
    <n v="6"/>
    <n v="62"/>
    <n v="70"/>
    <n v="1.64"/>
    <x v="81"/>
    <x v="0"/>
    <x v="0"/>
    <s v="Si"/>
    <x v="0"/>
    <s v="N/A"/>
    <d v="2021-08-19T00:00:00"/>
    <n v="8.1999999999999993"/>
    <s v="7,1-9"/>
    <s v="&gt;8,1"/>
    <x v="2"/>
    <s v="mas de 8"/>
    <n v="2"/>
    <s v="GLARGINA"/>
    <x v="1"/>
    <n v="20"/>
    <n v="14.66"/>
    <n v="293.2"/>
    <n v="2.9101736972704715"/>
    <x v="0"/>
    <m/>
    <s v="METFORMINA"/>
    <n v="1700"/>
    <n v="3.2199999999999999E-2"/>
    <n v="54.74"/>
    <n v="0.54332506203473951"/>
    <x v="0"/>
    <m/>
    <m/>
    <m/>
    <n v="0"/>
    <s v="NO"/>
    <m/>
    <m/>
    <m/>
    <m/>
    <m/>
    <m/>
    <n v="0"/>
    <x v="0"/>
    <m/>
    <m/>
    <x v="0"/>
    <m/>
    <m/>
    <n v="0"/>
    <n v="1"/>
  </r>
  <r>
    <s v="GONZALEZ"/>
    <s v="IRMA MABEL"/>
    <n v="1"/>
    <x v="14"/>
    <x v="2"/>
    <s v="65-74"/>
    <x v="1"/>
    <s v="Si"/>
    <x v="2"/>
    <n v="1"/>
    <s v="18000a23000"/>
    <n v="2005"/>
    <m/>
    <n v="16"/>
    <n v="56"/>
    <n v="67"/>
    <n v="1.63"/>
    <x v="82"/>
    <x v="0"/>
    <x v="0"/>
    <s v="Si"/>
    <x v="0"/>
    <s v="N/A"/>
    <d v="2021-08-12T00:00:00"/>
    <n v="13.4"/>
    <s v="11,1 - o mas"/>
    <s v="&gt;8,1"/>
    <x v="0"/>
    <s v="mas de 8"/>
    <n v="3"/>
    <s v="GLARGINA"/>
    <x v="1"/>
    <n v="22"/>
    <n v="14.66"/>
    <n v="322.52"/>
    <n v="3.2011910669975183"/>
    <x v="0"/>
    <m/>
    <s v="METFORMINA"/>
    <n v="1000"/>
    <n v="3.2199999999999999E-2"/>
    <n v="32.200000000000003"/>
    <n v="0.31960297766749385"/>
    <x v="0"/>
    <m/>
    <m/>
    <m/>
    <n v="0"/>
    <s v="NO"/>
    <m/>
    <m/>
    <m/>
    <m/>
    <m/>
    <m/>
    <n v="0"/>
    <x v="0"/>
    <m/>
    <m/>
    <x v="0"/>
    <m/>
    <m/>
    <n v="0"/>
    <n v="1"/>
  </r>
  <r>
    <s v="GONZALEZ LIDORO"/>
    <s v="APARICIO"/>
    <n v="1"/>
    <x v="5"/>
    <x v="0"/>
    <s v="65-74"/>
    <x v="0"/>
    <s v="No"/>
    <x v="1"/>
    <n v="2"/>
    <s v="23001-46000"/>
    <m/>
    <m/>
    <m/>
    <n v="66"/>
    <n v="112"/>
    <n v="1.76"/>
    <x v="83"/>
    <x v="1"/>
    <x v="1"/>
    <s v="Si"/>
    <x v="0"/>
    <s v="N/A"/>
    <d v="2021-08-12T00:00:00"/>
    <n v="6.9"/>
    <s v="4,5-7"/>
    <s v="&lt;7"/>
    <x v="1"/>
    <s v="Menor a 7"/>
    <n v="1"/>
    <s v="NPH"/>
    <x v="0"/>
    <n v="30"/>
    <n v="7.21"/>
    <n v="216.3"/>
    <n v="2.1468982630272953"/>
    <x v="0"/>
    <m/>
    <s v="METFORMINA"/>
    <n v="2000"/>
    <n v="3.2199999999999999E-2"/>
    <n v="64.400000000000006"/>
    <n v="0.6392059553349877"/>
    <x v="0"/>
    <s v="GLICLAZIDA"/>
    <n v="1.069"/>
    <n v="64.14"/>
    <n v="0.63662531017369728"/>
    <s v="SI"/>
    <n v="60"/>
    <m/>
    <m/>
    <m/>
    <m/>
    <m/>
    <n v="0"/>
    <x v="0"/>
    <m/>
    <m/>
    <x v="0"/>
    <m/>
    <m/>
    <n v="0"/>
    <n v="2"/>
  </r>
  <r>
    <s v="GOROSITO"/>
    <s v="YRMA MERCEDES"/>
    <n v="1"/>
    <x v="7"/>
    <x v="0"/>
    <s v="65-74"/>
    <x v="1"/>
    <s v="No"/>
    <x v="1"/>
    <n v="1"/>
    <s v="18000a23000"/>
    <n v="1999"/>
    <m/>
    <n v="22"/>
    <n v="45"/>
    <n v="75"/>
    <n v="1.54"/>
    <x v="84"/>
    <x v="0"/>
    <x v="1"/>
    <s v="Si"/>
    <x v="0"/>
    <s v="N/A"/>
    <d v="2021-08-12T00:00:00"/>
    <n v="14.6"/>
    <s v="11,1 - o mas"/>
    <s v="&gt;8,1"/>
    <x v="0"/>
    <s v="mas de 8"/>
    <n v="3"/>
    <s v="NPH"/>
    <x v="0"/>
    <n v="30"/>
    <n v="7.21"/>
    <n v="216.3"/>
    <n v="2.1468982630272953"/>
    <x v="1"/>
    <s v="SEGÚN TABLA"/>
    <s v="No"/>
    <m/>
    <n v="3.2199999999999999E-2"/>
    <n v="0"/>
    <n v="0"/>
    <x v="1"/>
    <s v="GLICLAZIDA"/>
    <n v="1.069"/>
    <n v="64.14"/>
    <n v="0.63662531017369728"/>
    <s v="SI"/>
    <n v="60"/>
    <m/>
    <s v="VILDAGLIPTINA"/>
    <n v="100"/>
    <n v="1.84"/>
    <n v="184"/>
    <n v="1.8263027295285359"/>
    <x v="1"/>
    <m/>
    <m/>
    <x v="0"/>
    <m/>
    <m/>
    <n v="0"/>
    <n v="2"/>
  </r>
  <r>
    <s v="GORRIA"/>
    <s v="MARIA ISABEL"/>
    <n v="1"/>
    <x v="12"/>
    <x v="2"/>
    <s v="65-74"/>
    <x v="1"/>
    <s v="No"/>
    <x v="3"/>
    <n v="1"/>
    <s v="18000a23000"/>
    <n v="2010"/>
    <m/>
    <n v="11"/>
    <n v="63"/>
    <n v="87.4"/>
    <n v="1.59"/>
    <x v="85"/>
    <x v="0"/>
    <x v="1"/>
    <s v="Si"/>
    <x v="0"/>
    <s v="N/A"/>
    <d v="2021-08-12T00:00:00"/>
    <n v="9.6"/>
    <s v="9,1-11"/>
    <s v="&gt;8,1"/>
    <x v="2"/>
    <s v="mas de 8"/>
    <n v="2"/>
    <s v="DEGLUDEC"/>
    <x v="1"/>
    <n v="34"/>
    <n v="15.6"/>
    <n v="530.4"/>
    <n v="5.2645161290322582"/>
    <x v="0"/>
    <m/>
    <s v="METFORMINA"/>
    <n v="2000"/>
    <n v="3.2199999999999999E-2"/>
    <n v="64.400000000000006"/>
    <n v="0.6392059553349877"/>
    <x v="0"/>
    <m/>
    <m/>
    <m/>
    <n v="0"/>
    <s v="NO"/>
    <m/>
    <m/>
    <s v="VILDAGLIPTINA"/>
    <n v="100"/>
    <n v="1.84"/>
    <n v="184"/>
    <n v="1.8263027295285359"/>
    <x v="1"/>
    <m/>
    <m/>
    <x v="0"/>
    <m/>
    <m/>
    <n v="0"/>
    <n v="2"/>
  </r>
  <r>
    <s v="GRAZIANI"/>
    <s v="MARTA"/>
    <n v="1"/>
    <x v="16"/>
    <x v="2"/>
    <s v="75-84"/>
    <x v="1"/>
    <s v="No"/>
    <x v="0"/>
    <n v="2"/>
    <s v="23001-46000"/>
    <n v="2009"/>
    <m/>
    <n v="12"/>
    <n v="63"/>
    <n v="72"/>
    <n v="1.6"/>
    <x v="86"/>
    <x v="0"/>
    <x v="0"/>
    <s v="Si"/>
    <x v="0"/>
    <s v="N/A"/>
    <d v="2021-08-19T00:00:00"/>
    <n v="8.5"/>
    <s v="7,1-9"/>
    <s v="&gt;8,1"/>
    <x v="2"/>
    <s v="mas de 8"/>
    <n v="2"/>
    <s v="BIFASICA"/>
    <x v="0"/>
    <n v="26"/>
    <n v="13.87"/>
    <n v="360.62"/>
    <n v="3.5793548387096776"/>
    <x v="1"/>
    <n v="26"/>
    <s v="No"/>
    <m/>
    <n v="3.2199999999999999E-2"/>
    <n v="0"/>
    <n v="0"/>
    <x v="1"/>
    <m/>
    <m/>
    <m/>
    <n v="0"/>
    <s v="NO"/>
    <m/>
    <m/>
    <m/>
    <m/>
    <m/>
    <m/>
    <n v="0"/>
    <x v="0"/>
    <m/>
    <m/>
    <x v="0"/>
    <m/>
    <m/>
    <n v="0"/>
    <n v="0"/>
  </r>
  <r>
    <s v="GUILLEN"/>
    <s v="ROSA MARIA"/>
    <n v="1"/>
    <x v="0"/>
    <x v="0"/>
    <s v="65-74"/>
    <x v="1"/>
    <s v="No"/>
    <x v="1"/>
    <n v="1"/>
    <s v="18000a23000"/>
    <n v="2003"/>
    <m/>
    <n v="18"/>
    <n v="52"/>
    <n v="78.5"/>
    <n v="1.64"/>
    <x v="87"/>
    <x v="0"/>
    <x v="0"/>
    <s v="Si"/>
    <x v="0"/>
    <s v="N/A"/>
    <d v="2021-08-19T00:00:00"/>
    <n v="10.9"/>
    <s v="9,1-11"/>
    <s v="&gt;8,1"/>
    <x v="0"/>
    <s v="mas de 8"/>
    <n v="2"/>
    <s v="DEGLUDEC"/>
    <x v="1"/>
    <n v="76"/>
    <n v="15.6"/>
    <n v="1185.5999999999999"/>
    <n v="11.767741935483871"/>
    <x v="1"/>
    <n v="16"/>
    <s v="No"/>
    <m/>
    <n v="3.2199999999999999E-2"/>
    <n v="0"/>
    <n v="0"/>
    <x v="1"/>
    <m/>
    <m/>
    <m/>
    <n v="0"/>
    <s v="NO"/>
    <m/>
    <m/>
    <m/>
    <m/>
    <m/>
    <m/>
    <n v="0"/>
    <x v="0"/>
    <m/>
    <m/>
    <x v="0"/>
    <m/>
    <m/>
    <n v="0"/>
    <n v="0"/>
  </r>
  <r>
    <s v="GUTIERREZ"/>
    <s v="MANUEL ROBERTO"/>
    <n v="1"/>
    <x v="12"/>
    <x v="2"/>
    <s v="65-74"/>
    <x v="0"/>
    <s v="No"/>
    <x v="2"/>
    <n v="1"/>
    <s v="18000a23000"/>
    <n v="2004"/>
    <m/>
    <n v="17"/>
    <n v="57"/>
    <n v="104"/>
    <n v="1.69"/>
    <x v="88"/>
    <x v="0"/>
    <x v="1"/>
    <s v="Si"/>
    <x v="0"/>
    <s v="N/A"/>
    <d v="2021-07-01T00:00:00"/>
    <n v="4.5"/>
    <s v="4,5-7"/>
    <s v="&lt;7"/>
    <x v="1"/>
    <s v="Menor a 7"/>
    <n v="1"/>
    <s v="Glargina T"/>
    <x v="1"/>
    <n v="48"/>
    <n v="4.4400000000000004"/>
    <n v="213.12"/>
    <n v="2.1153349875930521"/>
    <x v="1"/>
    <n v="15"/>
    <s v="METFORMINA"/>
    <n v="2000"/>
    <n v="3.2199999999999999E-2"/>
    <n v="64.400000000000006"/>
    <n v="0.6392059553349877"/>
    <x v="0"/>
    <m/>
    <m/>
    <m/>
    <n v="0"/>
    <s v="NO"/>
    <m/>
    <m/>
    <m/>
    <m/>
    <m/>
    <m/>
    <n v="0"/>
    <x v="0"/>
    <m/>
    <m/>
    <x v="0"/>
    <m/>
    <m/>
    <n v="0"/>
    <n v="1"/>
  </r>
  <r>
    <s v="HERRERA"/>
    <s v="MARIA ERNESTINA"/>
    <n v="1"/>
    <x v="16"/>
    <x v="2"/>
    <s v="75-84"/>
    <x v="1"/>
    <s v="No"/>
    <x v="1"/>
    <n v="2"/>
    <s v="23001-46000"/>
    <n v="1997"/>
    <m/>
    <n v="24"/>
    <n v="51"/>
    <n v="52.2"/>
    <n v="1.47"/>
    <x v="89"/>
    <x v="1"/>
    <x v="2"/>
    <s v="No"/>
    <x v="0"/>
    <s v="N/A"/>
    <d v="2021-07-08T00:00:00"/>
    <n v="13.4"/>
    <s v="11,1 - o mas"/>
    <s v="&gt;8,1"/>
    <x v="0"/>
    <s v="mas de 8"/>
    <n v="3"/>
    <s v="DEGLUDEC"/>
    <x v="1"/>
    <n v="30"/>
    <n v="15.6"/>
    <n v="468"/>
    <n v="4.645161290322581"/>
    <x v="0"/>
    <m/>
    <s v="No"/>
    <m/>
    <n v="3.2199999999999999E-2"/>
    <n v="0"/>
    <n v="0"/>
    <x v="1"/>
    <m/>
    <m/>
    <m/>
    <n v="0"/>
    <s v="NO"/>
    <m/>
    <m/>
    <s v="SITAGLIPTINA"/>
    <n v="100"/>
    <n v="5.4"/>
    <n v="540"/>
    <n v="5.3598014888337469"/>
    <x v="1"/>
    <m/>
    <m/>
    <x v="0"/>
    <m/>
    <m/>
    <n v="0"/>
    <n v="1"/>
  </r>
  <r>
    <s v="HERRERA HERRERA"/>
    <s v="EDUARDO"/>
    <n v="1"/>
    <x v="14"/>
    <x v="2"/>
    <s v="65-74"/>
    <x v="0"/>
    <s v="No"/>
    <x v="1"/>
    <n v="1"/>
    <s v="18000a23000"/>
    <n v="2001"/>
    <m/>
    <n v="20"/>
    <n v="52"/>
    <n v="70"/>
    <n v="1.59"/>
    <x v="90"/>
    <x v="0"/>
    <x v="0"/>
    <s v="Si"/>
    <x v="0"/>
    <s v="N/A"/>
    <d v="2021-07-01T00:00:00"/>
    <n v="7.3"/>
    <s v="7,1-9"/>
    <s v="7,1-8"/>
    <x v="1"/>
    <s v="7a7,5"/>
    <n v="1"/>
    <s v="GLARGINA"/>
    <x v="1"/>
    <n v="16"/>
    <n v="14.66"/>
    <n v="234.56"/>
    <n v="2.3281389578163774"/>
    <x v="1"/>
    <n v="10"/>
    <s v="No"/>
    <m/>
    <n v="3.2199999999999999E-2"/>
    <n v="0"/>
    <n v="0"/>
    <x v="1"/>
    <m/>
    <m/>
    <m/>
    <n v="0"/>
    <s v="NO"/>
    <m/>
    <m/>
    <m/>
    <m/>
    <m/>
    <m/>
    <n v="0"/>
    <x v="0"/>
    <m/>
    <m/>
    <x v="0"/>
    <m/>
    <m/>
    <n v="0"/>
    <n v="0"/>
  </r>
  <r>
    <s v="HUERTAS"/>
    <s v="IRIS NANCY"/>
    <n v="1"/>
    <x v="8"/>
    <x v="0"/>
    <s v="65-74"/>
    <x v="1"/>
    <s v="No"/>
    <x v="3"/>
    <n v="1"/>
    <s v="18000a23000"/>
    <n v="1990"/>
    <m/>
    <n v="31"/>
    <n v="34"/>
    <n v="84.5"/>
    <n v="1.6"/>
    <x v="91"/>
    <x v="1"/>
    <x v="1"/>
    <s v="Si"/>
    <x v="0"/>
    <s v="N/A"/>
    <d v="2021-07-26T00:00:00"/>
    <n v="8.1999999999999993"/>
    <s v="7,1-9"/>
    <s v="&gt;8,1"/>
    <x v="2"/>
    <s v="mas de 8"/>
    <n v="2"/>
    <s v="GLARGINA"/>
    <x v="1"/>
    <n v="31"/>
    <n v="14.66"/>
    <n v="454.46"/>
    <n v="4.5107692307692302"/>
    <x v="0"/>
    <m/>
    <s v="METFORMINA"/>
    <n v="1000"/>
    <n v="3.2199999999999999E-2"/>
    <n v="32.200000000000003"/>
    <n v="0.31960297766749385"/>
    <x v="0"/>
    <m/>
    <m/>
    <m/>
    <n v="0"/>
    <s v="NO"/>
    <m/>
    <m/>
    <m/>
    <m/>
    <m/>
    <m/>
    <n v="0"/>
    <x v="0"/>
    <m/>
    <m/>
    <x v="0"/>
    <m/>
    <m/>
    <n v="0"/>
    <n v="1"/>
  </r>
  <r>
    <s v="IRIBARNE"/>
    <s v="DANIEL ALFREDO"/>
    <n v="1"/>
    <x v="5"/>
    <x v="0"/>
    <s v="65-74"/>
    <x v="0"/>
    <s v="No"/>
    <x v="1"/>
    <n v="2"/>
    <s v="23001-46000"/>
    <n v="1996"/>
    <m/>
    <n v="25"/>
    <n v="41"/>
    <n v="120"/>
    <n v="1.72"/>
    <x v="92"/>
    <x v="1"/>
    <x v="1"/>
    <s v="Si"/>
    <x v="0"/>
    <s v="N/A"/>
    <d v="2021-08-26T00:00:00"/>
    <n v="6.3"/>
    <s v="4,5-7"/>
    <s v="&lt;7"/>
    <x v="1"/>
    <s v="Menor a 7"/>
    <n v="1"/>
    <s v="DEGLUDEC"/>
    <x v="1"/>
    <n v="52"/>
    <n v="15.6"/>
    <n v="811.19999999999993"/>
    <n v="8.0516129032258057"/>
    <x v="0"/>
    <m/>
    <s v="METFORMINA"/>
    <n v="1700"/>
    <n v="3.2199999999999999E-2"/>
    <n v="54.74"/>
    <n v="0.54332506203473951"/>
    <x v="0"/>
    <m/>
    <m/>
    <m/>
    <n v="0"/>
    <s v="NO"/>
    <m/>
    <m/>
    <s v="SITAGLIPTINA"/>
    <n v="100"/>
    <n v="5.4"/>
    <n v="540"/>
    <n v="5.3598014888337469"/>
    <x v="1"/>
    <m/>
    <m/>
    <x v="0"/>
    <m/>
    <m/>
    <n v="0"/>
    <n v="2"/>
  </r>
  <r>
    <s v="ISLAS"/>
    <s v="IRMA BEATRIZ"/>
    <n v="1"/>
    <x v="2"/>
    <x v="1"/>
    <s v="75-84"/>
    <x v="1"/>
    <s v="No"/>
    <x v="1"/>
    <n v="1"/>
    <s v="18000a23000"/>
    <n v="2005"/>
    <m/>
    <n v="16"/>
    <n v="60"/>
    <n v="90"/>
    <n v="1.57"/>
    <x v="93"/>
    <x v="1"/>
    <x v="1"/>
    <s v="Si"/>
    <x v="0"/>
    <s v="N/A"/>
    <d v="2021-08-26T00:00:00"/>
    <n v="9.1"/>
    <s v="9,1-11"/>
    <s v="&gt;8,1"/>
    <x v="2"/>
    <s v="mas de 8"/>
    <n v="2"/>
    <s v="GLARGINA"/>
    <x v="1"/>
    <n v="50"/>
    <n v="14.66"/>
    <n v="733"/>
    <n v="7.2754342431761785"/>
    <x v="0"/>
    <m/>
    <s v="METFORMINA"/>
    <n v="2000"/>
    <n v="3.2199999999999999E-2"/>
    <n v="64.400000000000006"/>
    <n v="0.6392059553349877"/>
    <x v="0"/>
    <m/>
    <m/>
    <m/>
    <n v="0"/>
    <s v="NO"/>
    <m/>
    <m/>
    <m/>
    <m/>
    <m/>
    <m/>
    <n v="0"/>
    <x v="0"/>
    <m/>
    <m/>
    <x v="0"/>
    <m/>
    <m/>
    <n v="0"/>
    <n v="1"/>
  </r>
  <r>
    <s v="JIMENEZ"/>
    <s v="BAUDILIA PASCACIA"/>
    <n v="1"/>
    <x v="2"/>
    <x v="1"/>
    <s v="75-84"/>
    <x v="1"/>
    <s v="Si"/>
    <x v="2"/>
    <n v="2"/>
    <s v="23001-46000"/>
    <n v="1990"/>
    <m/>
    <n v="31"/>
    <n v="45"/>
    <n v="85"/>
    <n v="1.57"/>
    <x v="94"/>
    <x v="0"/>
    <x v="1"/>
    <s v="Si"/>
    <x v="0"/>
    <s v="N/A"/>
    <d v="2021-07-01T00:00:00"/>
    <n v="13.3"/>
    <s v="11,1 - o mas"/>
    <s v="&gt;8,1"/>
    <x v="0"/>
    <s v="mas de 8"/>
    <n v="3"/>
    <s v="GLARGINA"/>
    <x v="1"/>
    <n v="20"/>
    <n v="14.66"/>
    <n v="293.2"/>
    <n v="2.9101736972704715"/>
    <x v="1"/>
    <n v="20"/>
    <s v="No"/>
    <m/>
    <n v="3.2199999999999999E-2"/>
    <n v="0"/>
    <n v="0"/>
    <x v="1"/>
    <m/>
    <m/>
    <m/>
    <n v="0"/>
    <s v="NO"/>
    <m/>
    <m/>
    <s v="SITAGLIPTINA"/>
    <n v="100"/>
    <n v="5.4"/>
    <n v="540"/>
    <n v="5.3598014888337469"/>
    <x v="1"/>
    <m/>
    <m/>
    <x v="0"/>
    <m/>
    <m/>
    <n v="0"/>
    <n v="1"/>
  </r>
  <r>
    <s v="JIMENEZ ARIAS"/>
    <s v="GUIDO"/>
    <n v="1"/>
    <x v="7"/>
    <x v="0"/>
    <s v="65-74"/>
    <x v="0"/>
    <s v="No"/>
    <x v="0"/>
    <n v="1"/>
    <s v="18000a23000"/>
    <n v="1993"/>
    <m/>
    <n v="28"/>
    <n v="39"/>
    <n v="68.7"/>
    <n v="1.58"/>
    <x v="95"/>
    <x v="0"/>
    <x v="0"/>
    <s v="Si"/>
    <x v="0"/>
    <s v="N/A"/>
    <d v="2021-09-02T00:00:00"/>
    <n v="7.3"/>
    <s v="7,1-9"/>
    <s v="7,1-8"/>
    <x v="1"/>
    <s v="7a7,5"/>
    <n v="1"/>
    <s v="NPH"/>
    <x v="0"/>
    <n v="31"/>
    <n v="7.21"/>
    <n v="223.51"/>
    <n v="2.2184615384615385"/>
    <x v="0"/>
    <m/>
    <s v="METFORMINA"/>
    <n v="1700"/>
    <n v="3.2199999999999999E-2"/>
    <n v="54.74"/>
    <n v="0.54332506203473951"/>
    <x v="0"/>
    <m/>
    <m/>
    <m/>
    <n v="0"/>
    <s v="NO"/>
    <m/>
    <m/>
    <m/>
    <m/>
    <m/>
    <m/>
    <n v="0"/>
    <x v="0"/>
    <m/>
    <m/>
    <x v="0"/>
    <m/>
    <m/>
    <n v="0"/>
    <n v="1"/>
  </r>
  <r>
    <s v="JUAREZ"/>
    <s v="MAURO FERNANDO"/>
    <n v="1"/>
    <x v="10"/>
    <x v="2"/>
    <s v="65-74"/>
    <x v="0"/>
    <s v="Si"/>
    <x v="2"/>
    <n v="1"/>
    <s v="18000a23000"/>
    <n v="1995"/>
    <m/>
    <n v="26"/>
    <n v="45"/>
    <n v="67"/>
    <n v="1.68"/>
    <x v="96"/>
    <x v="0"/>
    <x v="2"/>
    <s v="No"/>
    <x v="0"/>
    <s v="N/A"/>
    <d v="2021-07-01T00:00:00"/>
    <n v="10.4"/>
    <s v="9,1-11"/>
    <s v="&gt;8,1"/>
    <x v="0"/>
    <s v="mas de 8"/>
    <n v="2"/>
    <s v="DEGLUDEC"/>
    <x v="1"/>
    <n v="40"/>
    <n v="15.6"/>
    <n v="624"/>
    <n v="6.193548387096774"/>
    <x v="1"/>
    <n v="6"/>
    <s v="METFORMINA"/>
    <n v="1700"/>
    <n v="3.2199999999999999E-2"/>
    <n v="54.74"/>
    <n v="0.54332506203473951"/>
    <x v="0"/>
    <m/>
    <m/>
    <m/>
    <n v="0"/>
    <s v="NO"/>
    <m/>
    <m/>
    <m/>
    <m/>
    <m/>
    <m/>
    <n v="0"/>
    <x v="0"/>
    <m/>
    <m/>
    <x v="0"/>
    <m/>
    <m/>
    <n v="0"/>
    <n v="1"/>
  </r>
  <r>
    <s v="JUAREZ"/>
    <s v="ABEL ANTONIO"/>
    <n v="1"/>
    <x v="22"/>
    <x v="1"/>
    <s v="75-84"/>
    <x v="0"/>
    <s v="No"/>
    <x v="2"/>
    <n v="2"/>
    <s v="23001-46000"/>
    <n v="2014"/>
    <m/>
    <n v="7"/>
    <n v="76"/>
    <n v="85"/>
    <n v="1.65"/>
    <x v="97"/>
    <x v="1"/>
    <x v="1"/>
    <s v="No"/>
    <x v="0"/>
    <s v="N/A"/>
    <d v="2021-07-01T00:00:00"/>
    <n v="5.5"/>
    <s v="4,5-7"/>
    <s v="&lt;7"/>
    <x v="1"/>
    <s v="Menor a 7"/>
    <n v="1"/>
    <s v="DETEMIR"/>
    <x v="1"/>
    <n v="10"/>
    <n v="13.54"/>
    <n v="135.39999999999998"/>
    <n v="1.3439205955334985"/>
    <x v="1"/>
    <n v="6"/>
    <s v="METFORMINA"/>
    <n v="1000"/>
    <n v="3.2199999999999999E-2"/>
    <n v="32.200000000000003"/>
    <n v="0.31960297766749385"/>
    <x v="0"/>
    <m/>
    <m/>
    <m/>
    <n v="0"/>
    <s v="NO"/>
    <m/>
    <m/>
    <m/>
    <m/>
    <m/>
    <m/>
    <n v="0"/>
    <x v="0"/>
    <m/>
    <m/>
    <x v="0"/>
    <m/>
    <m/>
    <n v="0"/>
    <n v="1"/>
  </r>
  <r>
    <s v="JUAREZ"/>
    <s v="MARIO OSCAR"/>
    <n v="1"/>
    <x v="10"/>
    <x v="2"/>
    <s v="65-74"/>
    <x v="0"/>
    <s v="S/D"/>
    <x v="2"/>
    <n v="2"/>
    <s v="23001-46000"/>
    <m/>
    <m/>
    <m/>
    <m/>
    <n v="95"/>
    <n v="1.74"/>
    <x v="98"/>
    <x v="0"/>
    <x v="1"/>
    <s v="Si"/>
    <x v="0"/>
    <m/>
    <d v="2021-07-01T00:00:00"/>
    <n v="6.7"/>
    <s v="4,5-7"/>
    <s v="&lt;7"/>
    <x v="1"/>
    <s v="Menor a 7"/>
    <n v="1"/>
    <s v="DEGLUDEC"/>
    <x v="1"/>
    <n v="70"/>
    <n v="15.6"/>
    <n v="1092"/>
    <n v="10.838709677419354"/>
    <x v="0"/>
    <m/>
    <s v="METFORMINA"/>
    <n v="2000"/>
    <n v="3.2199999999999999E-2"/>
    <n v="64.400000000000006"/>
    <n v="0.6392059553349877"/>
    <x v="0"/>
    <m/>
    <m/>
    <m/>
    <n v="0"/>
    <s v="NO"/>
    <m/>
    <m/>
    <m/>
    <m/>
    <m/>
    <m/>
    <n v="0"/>
    <x v="0"/>
    <m/>
    <m/>
    <x v="0"/>
    <m/>
    <m/>
    <n v="0"/>
    <n v="1"/>
  </r>
  <r>
    <s v="JUNCOS"/>
    <s v="GRISELDA INES"/>
    <n v="1"/>
    <x v="0"/>
    <x v="0"/>
    <s v="65-74"/>
    <x v="1"/>
    <s v="No"/>
    <x v="1"/>
    <n v="1"/>
    <s v="18000a23000"/>
    <n v="2006"/>
    <m/>
    <n v="15"/>
    <n v="55"/>
    <n v="77"/>
    <n v="1.66"/>
    <x v="99"/>
    <x v="1"/>
    <x v="0"/>
    <s v="Si"/>
    <x v="0"/>
    <s v="N/A"/>
    <d v="2021-07-01T00:00:00"/>
    <n v="9"/>
    <s v="7,1-9"/>
    <s v="&gt;8,1"/>
    <x v="2"/>
    <s v="mas de 8"/>
    <n v="2"/>
    <s v="GLARGINA"/>
    <x v="1"/>
    <n v="24"/>
    <n v="14.66"/>
    <n v="351.84000000000003"/>
    <n v="3.492208436724566"/>
    <x v="1"/>
    <n v="30"/>
    <s v="No"/>
    <m/>
    <n v="3.2199999999999999E-2"/>
    <n v="0"/>
    <n v="0"/>
    <x v="1"/>
    <m/>
    <m/>
    <m/>
    <n v="0"/>
    <s v="NO"/>
    <m/>
    <m/>
    <m/>
    <m/>
    <m/>
    <m/>
    <n v="0"/>
    <x v="0"/>
    <m/>
    <m/>
    <x v="0"/>
    <m/>
    <m/>
    <n v="0"/>
    <n v="0"/>
  </r>
  <r>
    <s v="LAZZARINI"/>
    <s v="TERESA ELENA DEL VALLE"/>
    <n v="1"/>
    <x v="2"/>
    <x v="1"/>
    <s v="75-84"/>
    <x v="1"/>
    <s v="No"/>
    <x v="1"/>
    <n v="1"/>
    <s v="18000a23000"/>
    <n v="2000"/>
    <m/>
    <n v="21"/>
    <n v="55"/>
    <n v="76.400000000000006"/>
    <n v="1.55"/>
    <x v="100"/>
    <x v="0"/>
    <x v="1"/>
    <s v="Si"/>
    <x v="1"/>
    <s v="N/A"/>
    <d v="2021-07-15T00:00:00"/>
    <n v="9.1"/>
    <s v="9,1-11"/>
    <s v="&gt;8,1"/>
    <x v="2"/>
    <s v="mas de 8"/>
    <n v="2"/>
    <s v="DEGLUDEC"/>
    <x v="1"/>
    <n v="26"/>
    <n v="15.6"/>
    <n v="405.59999999999997"/>
    <n v="4.0258064516129028"/>
    <x v="1"/>
    <n v="7"/>
    <s v="METFORMINA"/>
    <n v="2000"/>
    <n v="3.2199999999999999E-2"/>
    <n v="64.400000000000006"/>
    <n v="0.6392059553349877"/>
    <x v="0"/>
    <m/>
    <m/>
    <m/>
    <n v="0"/>
    <s v="NO"/>
    <m/>
    <m/>
    <m/>
    <m/>
    <m/>
    <m/>
    <n v="0"/>
    <x v="0"/>
    <m/>
    <m/>
    <x v="0"/>
    <m/>
    <m/>
    <n v="0"/>
    <n v="1"/>
  </r>
  <r>
    <s v="LEIRO GARCIA"/>
    <s v="RAIMUNDO"/>
    <n v="1"/>
    <x v="16"/>
    <x v="2"/>
    <s v="75-84"/>
    <x v="0"/>
    <s v="No"/>
    <x v="0"/>
    <n v="1"/>
    <s v="18000a23000"/>
    <n v="2014"/>
    <m/>
    <n v="7"/>
    <n v="68"/>
    <n v="89.9"/>
    <n v="1.64"/>
    <x v="101"/>
    <x v="0"/>
    <x v="1"/>
    <s v="Si"/>
    <x v="0"/>
    <s v="N/A"/>
    <d v="2021-07-01T00:00:00"/>
    <n v="9.5"/>
    <s v="9,1-11"/>
    <s v="&gt;8,1"/>
    <x v="2"/>
    <s v="mas de 8"/>
    <n v="2"/>
    <s v="Glargina T"/>
    <x v="1"/>
    <n v="48"/>
    <n v="4.4400000000000004"/>
    <n v="213.12"/>
    <n v="2.1153349875930521"/>
    <x v="1"/>
    <n v="8"/>
    <s v="No"/>
    <m/>
    <n v="3.2199999999999999E-2"/>
    <n v="0"/>
    <n v="0"/>
    <x v="1"/>
    <m/>
    <m/>
    <m/>
    <n v="0"/>
    <s v="NO"/>
    <m/>
    <m/>
    <m/>
    <m/>
    <m/>
    <m/>
    <n v="0"/>
    <x v="0"/>
    <m/>
    <m/>
    <x v="0"/>
    <m/>
    <m/>
    <n v="0"/>
    <n v="0"/>
  </r>
  <r>
    <s v="LEMA"/>
    <s v="GLADIS"/>
    <n v="1"/>
    <x v="20"/>
    <x v="1"/>
    <s v="75-84"/>
    <x v="1"/>
    <s v="No"/>
    <x v="2"/>
    <n v="1"/>
    <s v="18000a23000"/>
    <n v="2008"/>
    <m/>
    <n v="13"/>
    <n v="65"/>
    <n v="58"/>
    <n v="1.57"/>
    <x v="102"/>
    <x v="0"/>
    <x v="2"/>
    <s v="Si"/>
    <x v="0"/>
    <s v="N/A"/>
    <d v="2021-07-01T00:00:00"/>
    <n v="9.1"/>
    <s v="9,1-11"/>
    <s v="&gt;8,1"/>
    <x v="2"/>
    <s v="mas de 8"/>
    <n v="2"/>
    <s v="DETEMIR"/>
    <x v="1"/>
    <n v="26"/>
    <n v="13.54"/>
    <n v="352.03999999999996"/>
    <n v="3.4941935483870963"/>
    <x v="1"/>
    <s v="SEGÚN TABLA"/>
    <s v="METFORMINA"/>
    <n v="2000"/>
    <n v="3.2199999999999999E-2"/>
    <n v="64.400000000000006"/>
    <n v="0.6392059553349877"/>
    <x v="0"/>
    <m/>
    <m/>
    <m/>
    <n v="0"/>
    <s v="NO"/>
    <m/>
    <m/>
    <s v="VILDAGLIPTINA"/>
    <n v="100"/>
    <n v="5.4"/>
    <n v="540"/>
    <n v="5.3598014888337469"/>
    <x v="1"/>
    <m/>
    <m/>
    <x v="0"/>
    <m/>
    <m/>
    <n v="0"/>
    <n v="2"/>
  </r>
  <r>
    <s v="LESCANO"/>
    <s v="ESTANISLAO MIGUEL"/>
    <n v="1"/>
    <x v="3"/>
    <x v="2"/>
    <s v="65-74"/>
    <x v="0"/>
    <s v="No"/>
    <x v="1"/>
    <n v="1"/>
    <s v="18000a23000"/>
    <n v="2005"/>
    <m/>
    <n v="16"/>
    <n v="57"/>
    <n v="97"/>
    <n v="1.78"/>
    <x v="103"/>
    <x v="0"/>
    <x v="1"/>
    <s v="Si"/>
    <x v="0"/>
    <s v="N/A"/>
    <d v="2021-07-15T00:00:00"/>
    <n v="12.4"/>
    <s v="11,1 - o mas"/>
    <s v="&gt;8,1"/>
    <x v="0"/>
    <s v="mas de 8"/>
    <n v="3"/>
    <s v="NPH"/>
    <x v="0"/>
    <n v="50"/>
    <n v="7.21"/>
    <n v="360.5"/>
    <n v="3.5781637717121586"/>
    <x v="0"/>
    <m/>
    <s v="METFORMINA"/>
    <n v="2550"/>
    <n v="3.2199999999999999E-2"/>
    <n v="82.11"/>
    <n v="0.81498759305210922"/>
    <x v="0"/>
    <m/>
    <m/>
    <m/>
    <n v="0"/>
    <s v="NO"/>
    <m/>
    <m/>
    <m/>
    <m/>
    <m/>
    <m/>
    <n v="0"/>
    <x v="0"/>
    <m/>
    <m/>
    <x v="0"/>
    <m/>
    <m/>
    <n v="0"/>
    <n v="1"/>
  </r>
  <r>
    <s v="LIENDRO"/>
    <s v="YOLANDA ESTER"/>
    <n v="1"/>
    <x v="14"/>
    <x v="2"/>
    <s v="65-74"/>
    <x v="1"/>
    <s v="No"/>
    <x v="1"/>
    <n v="1"/>
    <s v="18000a23000"/>
    <n v="2000"/>
    <m/>
    <n v="21"/>
    <n v="51"/>
    <n v="77.400000000000006"/>
    <n v="1.62"/>
    <x v="104"/>
    <x v="0"/>
    <x v="0"/>
    <s v="Si"/>
    <x v="0"/>
    <s v="N/A"/>
    <d v="2021-08-26T00:00:00"/>
    <n v="8.5"/>
    <s v="7,1-9"/>
    <s v="&gt;8,1"/>
    <x v="2"/>
    <s v="mas de 8"/>
    <n v="2"/>
    <s v="NPH"/>
    <x v="0"/>
    <n v="50"/>
    <n v="7.21"/>
    <n v="360.5"/>
    <n v="3.5781637717121586"/>
    <x v="0"/>
    <m/>
    <s v="METFORMINA"/>
    <n v="2550"/>
    <n v="3.2199999999999999E-2"/>
    <n v="82.11"/>
    <n v="0.81498759305210922"/>
    <x v="0"/>
    <m/>
    <m/>
    <m/>
    <n v="0"/>
    <s v="NO"/>
    <m/>
    <m/>
    <m/>
    <m/>
    <m/>
    <m/>
    <n v="0"/>
    <x v="0"/>
    <m/>
    <m/>
    <x v="0"/>
    <m/>
    <m/>
    <n v="0"/>
    <n v="1"/>
  </r>
  <r>
    <s v="LOMBARDO"/>
    <s v="CAMILO NAZARENO"/>
    <n v="1"/>
    <x v="12"/>
    <x v="2"/>
    <s v="65-74"/>
    <x v="0"/>
    <s v="No"/>
    <x v="0"/>
    <n v="3"/>
    <s v="46001-69000"/>
    <n v="1990"/>
    <m/>
    <n v="31"/>
    <n v="43"/>
    <n v="68.7"/>
    <n v="1.65"/>
    <x v="105"/>
    <x v="0"/>
    <x v="0"/>
    <s v="Si"/>
    <x v="0"/>
    <s v="N/A"/>
    <d v="2021-08-26T00:00:00"/>
    <n v="12.6"/>
    <s v="11,1 - o mas"/>
    <s v="&gt;8,1"/>
    <x v="0"/>
    <s v="mas de 8"/>
    <n v="3"/>
    <s v="GLARGINA"/>
    <x v="1"/>
    <n v="32"/>
    <n v="14.66"/>
    <n v="469.12"/>
    <n v="4.6562779156327547"/>
    <x v="1"/>
    <n v="16"/>
    <s v="METFORMINA"/>
    <n v="1600"/>
    <n v="3.2199999999999999E-2"/>
    <n v="51.519999999999996"/>
    <n v="0.51136476426799005"/>
    <x v="0"/>
    <m/>
    <m/>
    <m/>
    <n v="0"/>
    <s v="NO"/>
    <m/>
    <m/>
    <m/>
    <m/>
    <m/>
    <m/>
    <n v="0"/>
    <x v="0"/>
    <m/>
    <m/>
    <x v="0"/>
    <m/>
    <m/>
    <n v="0"/>
    <n v="1"/>
  </r>
  <r>
    <s v="LORENZINI"/>
    <s v="SILVIO JOSE"/>
    <n v="1"/>
    <x v="7"/>
    <x v="0"/>
    <s v="65-74"/>
    <x v="0"/>
    <s v="No"/>
    <x v="1"/>
    <n v="2"/>
    <s v="23001-46000"/>
    <n v="2009"/>
    <m/>
    <n v="12"/>
    <n v="55"/>
    <n v="86"/>
    <n v="1.72"/>
    <x v="58"/>
    <x v="1"/>
    <x v="0"/>
    <s v="Si"/>
    <x v="0"/>
    <s v="N/A"/>
    <d v="2021-07-01T00:00:00"/>
    <n v="8"/>
    <s v="7,1-9"/>
    <s v="7,1-8"/>
    <x v="2"/>
    <s v="7,6-8"/>
    <n v="2"/>
    <s v="DEGLUDEC"/>
    <x v="1"/>
    <n v="26"/>
    <n v="15.6"/>
    <n v="405.59999999999997"/>
    <n v="4.0258064516129028"/>
    <x v="1"/>
    <s v="SEGÚN TABLA"/>
    <s v="No"/>
    <m/>
    <n v="3.2199999999999999E-2"/>
    <n v="0"/>
    <n v="0"/>
    <x v="1"/>
    <m/>
    <m/>
    <m/>
    <n v="0"/>
    <s v="NO"/>
    <m/>
    <m/>
    <m/>
    <m/>
    <m/>
    <m/>
    <n v="0"/>
    <x v="0"/>
    <m/>
    <m/>
    <x v="0"/>
    <m/>
    <m/>
    <n v="0"/>
    <n v="0"/>
  </r>
  <r>
    <s v="LORENZO"/>
    <s v="MARTHA SUSANA"/>
    <n v="1"/>
    <x v="18"/>
    <x v="1"/>
    <s v="75-84"/>
    <x v="1"/>
    <s v="No"/>
    <x v="3"/>
    <n v="1"/>
    <s v="18000a23000"/>
    <n v="2011"/>
    <m/>
    <n v="10"/>
    <n v="69"/>
    <n v="85.5"/>
    <n v="1.57"/>
    <x v="106"/>
    <x v="0"/>
    <x v="1"/>
    <s v="Si"/>
    <x v="0"/>
    <s v="N/A"/>
    <d v="2021-07-15T00:00:00"/>
    <n v="9.3000000000000007"/>
    <s v="9,1-11"/>
    <s v="&gt;8,1"/>
    <x v="2"/>
    <s v="mas de 8"/>
    <n v="2"/>
    <s v="DEGLUDEC"/>
    <x v="1"/>
    <n v="60"/>
    <n v="15.6"/>
    <n v="936"/>
    <n v="9.2903225806451619"/>
    <x v="1"/>
    <s v="SEGÚN TABLA"/>
    <s v="No"/>
    <m/>
    <n v="3.2199999999999999E-2"/>
    <n v="0"/>
    <n v="0"/>
    <x v="1"/>
    <m/>
    <m/>
    <m/>
    <n v="0"/>
    <s v="NO"/>
    <m/>
    <m/>
    <m/>
    <m/>
    <m/>
    <m/>
    <n v="0"/>
    <x v="0"/>
    <s v="EMPAGLIFOZINA"/>
    <n v="25"/>
    <x v="1"/>
    <n v="26.41"/>
    <n v="660.25"/>
    <n v="6.5533498759305209"/>
    <n v="1"/>
  </r>
  <r>
    <s v="LUCIANO"/>
    <s v="HUGO RAUL"/>
    <n v="1"/>
    <x v="10"/>
    <x v="2"/>
    <s v="65-74"/>
    <x v="0"/>
    <s v="No"/>
    <x v="1"/>
    <n v="1"/>
    <s v="18000a23000"/>
    <n v="2000"/>
    <m/>
    <n v="21"/>
    <n v="50"/>
    <n v="78.099999999999994"/>
    <n v="1.62"/>
    <x v="107"/>
    <x v="0"/>
    <x v="0"/>
    <s v="Si"/>
    <x v="0"/>
    <s v="N/A"/>
    <d v="2021-09-02T00:00:00"/>
    <n v="8.5"/>
    <s v="7,1-9"/>
    <s v="&gt;8,1"/>
    <x v="2"/>
    <s v="mas de 8"/>
    <n v="2"/>
    <s v="NPH"/>
    <x v="0"/>
    <n v="10"/>
    <n v="7.21"/>
    <n v="72.099999999999994"/>
    <n v="0.71563275434243168"/>
    <x v="0"/>
    <m/>
    <s v="METFORMINA"/>
    <n v="2000"/>
    <n v="3.2199999999999999E-2"/>
    <n v="64.400000000000006"/>
    <n v="0.6392059553349877"/>
    <x v="0"/>
    <m/>
    <m/>
    <m/>
    <n v="0"/>
    <s v="NO"/>
    <m/>
    <m/>
    <m/>
    <m/>
    <m/>
    <m/>
    <n v="0"/>
    <x v="0"/>
    <m/>
    <m/>
    <x v="0"/>
    <m/>
    <m/>
    <n v="0"/>
    <n v="1"/>
  </r>
  <r>
    <s v="MACEIRA"/>
    <s v="CARMEN LUJAN"/>
    <n v="1"/>
    <x v="5"/>
    <x v="0"/>
    <s v="65-74"/>
    <x v="1"/>
    <s v="No"/>
    <x v="0"/>
    <n v="1"/>
    <s v="18000a23000"/>
    <n v="1990"/>
    <m/>
    <n v="31"/>
    <n v="35"/>
    <n v="67"/>
    <n v="1.45"/>
    <x v="108"/>
    <x v="1"/>
    <x v="1"/>
    <s v="Si"/>
    <x v="0"/>
    <s v="N/A"/>
    <d v="2021-08-12T00:00:00"/>
    <n v="9.5"/>
    <s v="9,1-11"/>
    <s v="&gt;8,1"/>
    <x v="2"/>
    <s v="mas de 8"/>
    <n v="2"/>
    <s v="GLARGINA"/>
    <x v="1"/>
    <n v="56"/>
    <n v="14.66"/>
    <n v="820.96"/>
    <n v="8.1484863523573203"/>
    <x v="1"/>
    <n v="30"/>
    <s v="METFORMINA"/>
    <n v="2550"/>
    <n v="3.2199999999999999E-2"/>
    <n v="82.11"/>
    <n v="0.81498759305210922"/>
    <x v="0"/>
    <m/>
    <m/>
    <m/>
    <n v="0"/>
    <s v="NO"/>
    <m/>
    <m/>
    <m/>
    <m/>
    <m/>
    <m/>
    <n v="0"/>
    <x v="0"/>
    <m/>
    <m/>
    <x v="0"/>
    <m/>
    <m/>
    <n v="0"/>
    <n v="1"/>
  </r>
  <r>
    <s v="MALONE"/>
    <s v="OMAR DANIEL"/>
    <n v="1"/>
    <x v="4"/>
    <x v="0"/>
    <s v="65-74"/>
    <x v="0"/>
    <s v="No"/>
    <x v="0"/>
    <n v="2"/>
    <s v="23001-46000"/>
    <n v="2003"/>
    <m/>
    <n v="18"/>
    <n v="50"/>
    <n v="94"/>
    <n v="1.76"/>
    <x v="109"/>
    <x v="1"/>
    <x v="1"/>
    <s v="Si"/>
    <x v="0"/>
    <s v="N/A"/>
    <d v="2021-07-01T00:00:00"/>
    <n v="6.5"/>
    <s v="4,5-7"/>
    <s v="&lt;7"/>
    <x v="1"/>
    <s v="Menor a 7"/>
    <n v="1"/>
    <s v="GLARGINA"/>
    <x v="1"/>
    <n v="12"/>
    <n v="14.66"/>
    <n v="175.92000000000002"/>
    <n v="1.746104218362283"/>
    <x v="0"/>
    <m/>
    <s v="METFORMINA"/>
    <n v="1700"/>
    <n v="3.2199999999999999E-2"/>
    <n v="54.74"/>
    <n v="0.54332506203473951"/>
    <x v="0"/>
    <m/>
    <m/>
    <m/>
    <n v="0"/>
    <s v="NO"/>
    <m/>
    <m/>
    <s v="SITAGLIPTINA"/>
    <n v="100"/>
    <n v="5.4"/>
    <n v="540"/>
    <n v="5.3598014888337469"/>
    <x v="1"/>
    <m/>
    <m/>
    <x v="0"/>
    <m/>
    <m/>
    <n v="0"/>
    <n v="2"/>
  </r>
  <r>
    <s v="MANNARINO"/>
    <s v="VICENTE"/>
    <n v="1"/>
    <x v="3"/>
    <x v="2"/>
    <s v="65-74"/>
    <x v="0"/>
    <s v="Si"/>
    <x v="1"/>
    <n v="3"/>
    <s v="46001-69000"/>
    <n v="1997"/>
    <m/>
    <n v="24"/>
    <n v="49"/>
    <n v="90.3"/>
    <n v="1.65"/>
    <x v="110"/>
    <x v="0"/>
    <x v="1"/>
    <s v="Si"/>
    <x v="0"/>
    <s v="N/A"/>
    <d v="2021-07-15T00:00:00"/>
    <n v="13.3"/>
    <s v="11,1 - o mas"/>
    <s v="&gt;8,1"/>
    <x v="0"/>
    <s v="mas de 8"/>
    <n v="3"/>
    <s v="GLARGINA"/>
    <x v="1"/>
    <n v="65"/>
    <n v="14.66"/>
    <n v="952.9"/>
    <n v="9.4580645161290313"/>
    <x v="1"/>
    <s v="SEGÚN TABLA"/>
    <s v="No"/>
    <m/>
    <n v="3.2199999999999999E-2"/>
    <n v="0"/>
    <n v="0"/>
    <x v="1"/>
    <m/>
    <m/>
    <m/>
    <n v="0"/>
    <s v="NO"/>
    <m/>
    <m/>
    <s v="LINAGLIPTINA"/>
    <n v="5"/>
    <n v="66.150000000000006"/>
    <n v="330.75"/>
    <n v="3.2828784119106698"/>
    <x v="0"/>
    <m/>
    <m/>
    <x v="0"/>
    <m/>
    <m/>
    <n v="0"/>
    <n v="0"/>
  </r>
  <r>
    <s v="MANSILLA"/>
    <s v="HUGO OSCAR"/>
    <n v="1"/>
    <x v="5"/>
    <x v="0"/>
    <s v="65-74"/>
    <x v="0"/>
    <s v="No"/>
    <x v="1"/>
    <n v="4"/>
    <s v="mas de 69000"/>
    <n v="2000"/>
    <m/>
    <n v="21"/>
    <n v="45"/>
    <n v="91.7"/>
    <n v="1.75"/>
    <x v="111"/>
    <x v="0"/>
    <x v="0"/>
    <s v="Si"/>
    <x v="0"/>
    <s v="N/A"/>
    <d v="2021-07-08T00:00:00"/>
    <n v="14.4"/>
    <s v="11,1 - o mas"/>
    <s v="&gt;8,1"/>
    <x v="0"/>
    <s v="mas de 8"/>
    <n v="3"/>
    <s v="DEGLUDEC"/>
    <x v="1"/>
    <n v="50"/>
    <n v="15.6"/>
    <n v="780"/>
    <n v="7.741935483870968"/>
    <x v="1"/>
    <s v="SEGÚN TABLA"/>
    <s v="No"/>
    <m/>
    <n v="3.2199999999999999E-2"/>
    <n v="0"/>
    <n v="0"/>
    <x v="1"/>
    <m/>
    <m/>
    <m/>
    <n v="0"/>
    <s v="NO"/>
    <m/>
    <m/>
    <m/>
    <m/>
    <m/>
    <m/>
    <n v="0"/>
    <x v="0"/>
    <m/>
    <m/>
    <x v="0"/>
    <m/>
    <m/>
    <n v="0"/>
    <n v="0"/>
  </r>
  <r>
    <s v="MANSILLA"/>
    <s v="MARCELINA ROSA"/>
    <n v="1"/>
    <x v="5"/>
    <x v="0"/>
    <s v="65-74"/>
    <x v="1"/>
    <s v="No"/>
    <x v="1"/>
    <n v="1"/>
    <s v="18000a23000"/>
    <n v="2000"/>
    <m/>
    <n v="21"/>
    <n v="45"/>
    <n v="75.2"/>
    <n v="1.62"/>
    <x v="112"/>
    <x v="1"/>
    <x v="0"/>
    <s v="Si"/>
    <x v="0"/>
    <s v="N/A"/>
    <d v="2021-07-26T00:00:00"/>
    <n v="12"/>
    <s v="11,1 - o mas"/>
    <s v="&gt;8,1"/>
    <x v="0"/>
    <s v="mas de 8"/>
    <n v="3"/>
    <s v="NPH"/>
    <x v="0"/>
    <n v="75"/>
    <n v="7.21"/>
    <n v="540.75"/>
    <n v="5.3672456575682386"/>
    <x v="1"/>
    <m/>
    <s v="METFORMINA"/>
    <n v="2000"/>
    <n v="3.2199999999999999E-2"/>
    <n v="64.400000000000006"/>
    <n v="0.6392059553349877"/>
    <x v="0"/>
    <m/>
    <m/>
    <m/>
    <n v="0"/>
    <s v="NO"/>
    <m/>
    <m/>
    <m/>
    <m/>
    <m/>
    <m/>
    <n v="0"/>
    <x v="0"/>
    <m/>
    <m/>
    <x v="0"/>
    <m/>
    <m/>
    <n v="0"/>
    <n v="1"/>
  </r>
  <r>
    <s v="MARCHESINI"/>
    <s v="OMAR DANIEL"/>
    <n v="1"/>
    <x v="10"/>
    <x v="2"/>
    <s v="65-74"/>
    <x v="0"/>
    <s v="No"/>
    <x v="1"/>
    <n v="1"/>
    <s v="18000a23000"/>
    <n v="1998"/>
    <m/>
    <n v="23"/>
    <n v="48"/>
    <n v="94.5"/>
    <n v="1.66"/>
    <x v="113"/>
    <x v="1"/>
    <x v="1"/>
    <s v="Si"/>
    <x v="0"/>
    <s v="N/A"/>
    <d v="2021-08-26T00:00:00"/>
    <n v="7.8"/>
    <s v="7,1-9"/>
    <s v="7,1-8"/>
    <x v="2"/>
    <s v="7,6-8"/>
    <n v="2"/>
    <s v="DEGLUDEC"/>
    <x v="1"/>
    <n v="32"/>
    <n v="15.6"/>
    <n v="499.2"/>
    <n v="4.9548387096774196"/>
    <x v="0"/>
    <m/>
    <s v="METFORMINA"/>
    <n v="2000"/>
    <n v="3.2199999999999999E-2"/>
    <n v="64.400000000000006"/>
    <n v="0.6392059553349877"/>
    <x v="0"/>
    <m/>
    <m/>
    <m/>
    <n v="0"/>
    <s v="NO"/>
    <m/>
    <m/>
    <s v="VILDAGLIPTINA"/>
    <n v="100"/>
    <n v="1.84"/>
    <n v="184"/>
    <n v="1.8263027295285359"/>
    <x v="1"/>
    <m/>
    <m/>
    <x v="0"/>
    <m/>
    <m/>
    <n v="0"/>
    <n v="2"/>
  </r>
  <r>
    <s v="MARCHIANE"/>
    <s v="EDELBERTO JORGE"/>
    <n v="1"/>
    <x v="5"/>
    <x v="0"/>
    <s v="65-74"/>
    <x v="0"/>
    <s v="No"/>
    <x v="1"/>
    <n v="1"/>
    <s v="18000a23000"/>
    <n v="2015"/>
    <m/>
    <n v="6"/>
    <n v="60"/>
    <n v="85"/>
    <n v="1.64"/>
    <x v="114"/>
    <x v="0"/>
    <x v="1"/>
    <s v="Si"/>
    <x v="0"/>
    <s v="N/A"/>
    <d v="2021-07-15T00:00:00"/>
    <n v="11.8"/>
    <s v="11,1 - o mas"/>
    <s v="&gt;8,1"/>
    <x v="0"/>
    <s v="mas de 8"/>
    <n v="3"/>
    <s v="GLARGINA"/>
    <x v="1"/>
    <n v="48"/>
    <n v="14.66"/>
    <n v="703.68000000000006"/>
    <n v="6.9844168734491321"/>
    <x v="1"/>
    <s v="SEGÚN TABLA"/>
    <s v="METFORMINA"/>
    <n v="1000"/>
    <n v="3.2199999999999999E-2"/>
    <n v="32.200000000000003"/>
    <n v="0.31960297766749385"/>
    <x v="0"/>
    <m/>
    <m/>
    <m/>
    <n v="0"/>
    <s v="NO"/>
    <m/>
    <m/>
    <m/>
    <m/>
    <m/>
    <m/>
    <n v="0"/>
    <x v="0"/>
    <m/>
    <m/>
    <x v="0"/>
    <m/>
    <m/>
    <n v="0"/>
    <n v="1"/>
  </r>
  <r>
    <s v="MARINO"/>
    <s v="ROBERTO ANIBAL"/>
    <n v="1"/>
    <x v="11"/>
    <x v="0"/>
    <s v="65-74"/>
    <x v="0"/>
    <s v="No"/>
    <x v="0"/>
    <n v="1"/>
    <s v="18000a23000"/>
    <n v="2005"/>
    <m/>
    <n v="16"/>
    <n v="53"/>
    <n v="106.7"/>
    <n v="1.7"/>
    <x v="115"/>
    <x v="1"/>
    <x v="1"/>
    <s v="Si"/>
    <x v="0"/>
    <s v="N/A"/>
    <d v="2021-08-12T00:00:00"/>
    <n v="11"/>
    <s v="9,1-11"/>
    <s v="&gt;8,1"/>
    <x v="0"/>
    <s v="mas de 8"/>
    <n v="2"/>
    <s v="GLARGINA"/>
    <x v="1"/>
    <n v="60"/>
    <n v="14.66"/>
    <n v="879.6"/>
    <n v="8.7305210918114149"/>
    <x v="1"/>
    <s v="SEGÚN TABLA"/>
    <s v="No"/>
    <m/>
    <n v="3.2199999999999999E-2"/>
    <n v="0"/>
    <n v="0"/>
    <x v="1"/>
    <m/>
    <m/>
    <m/>
    <n v="0"/>
    <s v="NO"/>
    <m/>
    <m/>
    <m/>
    <m/>
    <m/>
    <m/>
    <n v="0"/>
    <x v="0"/>
    <m/>
    <m/>
    <x v="0"/>
    <m/>
    <m/>
    <n v="0"/>
    <n v="0"/>
  </r>
  <r>
    <s v="MARSIGLIO"/>
    <s v="OLGA NOEMI"/>
    <n v="1"/>
    <x v="10"/>
    <x v="2"/>
    <s v="65-74"/>
    <x v="1"/>
    <s v="Si"/>
    <x v="0"/>
    <n v="1"/>
    <s v="18000a23000"/>
    <n v="1995"/>
    <m/>
    <n v="26"/>
    <n v="45"/>
    <n v="63.2"/>
    <n v="1.65"/>
    <x v="116"/>
    <x v="1"/>
    <x v="2"/>
    <s v="No"/>
    <x v="0"/>
    <s v="N/A"/>
    <d v="2021-07-15T00:00:00"/>
    <n v="13.2"/>
    <s v="11,1 - o mas"/>
    <s v="&gt;8,1"/>
    <x v="0"/>
    <s v="mas de 8"/>
    <n v="3"/>
    <s v="NPH"/>
    <x v="0"/>
    <n v="40"/>
    <n v="7.21"/>
    <n v="288.39999999999998"/>
    <n v="2.8625310173697267"/>
    <x v="0"/>
    <m/>
    <s v="METFORMINA"/>
    <n v="2000"/>
    <n v="3.2199999999999999E-2"/>
    <n v="64.400000000000006"/>
    <n v="0.6392059553349877"/>
    <x v="0"/>
    <m/>
    <m/>
    <m/>
    <n v="0"/>
    <s v="NO"/>
    <m/>
    <m/>
    <m/>
    <m/>
    <m/>
    <m/>
    <n v="0"/>
    <x v="0"/>
    <m/>
    <m/>
    <x v="0"/>
    <m/>
    <m/>
    <n v="0"/>
    <n v="1"/>
  </r>
  <r>
    <s v="MARTINENA"/>
    <s v="OMAR ANGEL"/>
    <n v="1"/>
    <x v="17"/>
    <x v="1"/>
    <s v="75-84"/>
    <x v="0"/>
    <s v="No"/>
    <x v="1"/>
    <n v="2"/>
    <s v="23001-46000"/>
    <n v="1986"/>
    <m/>
    <n v="35"/>
    <n v="46"/>
    <n v="78"/>
    <n v="1.6"/>
    <x v="117"/>
    <x v="1"/>
    <x v="1"/>
    <s v="Si"/>
    <x v="0"/>
    <s v="N/A"/>
    <d v="2021-07-26T00:00:00"/>
    <n v="9"/>
    <s v="7,1-9"/>
    <s v="&gt;8,1"/>
    <x v="2"/>
    <s v="mas de 8"/>
    <n v="2"/>
    <s v="Glargina T"/>
    <x v="1"/>
    <n v="70"/>
    <n v="4.4400000000000004"/>
    <n v="310.8"/>
    <n v="3.0848635235732011"/>
    <x v="0"/>
    <m/>
    <s v="METFORMINA"/>
    <n v="1000"/>
    <n v="3.2199999999999999E-2"/>
    <n v="32.200000000000003"/>
    <n v="0.31960297766749385"/>
    <x v="0"/>
    <m/>
    <m/>
    <m/>
    <n v="0"/>
    <s v="NO"/>
    <m/>
    <m/>
    <s v="SITAGLIPTINA"/>
    <n v="100"/>
    <n v="5.4"/>
    <n v="540"/>
    <n v="5.3598014888337469"/>
    <x v="1"/>
    <m/>
    <m/>
    <x v="0"/>
    <m/>
    <m/>
    <n v="0"/>
    <n v="2"/>
  </r>
  <r>
    <s v="MARTINEZ"/>
    <s v="ANIBAL JACINTO"/>
    <n v="1"/>
    <x v="20"/>
    <x v="1"/>
    <s v="75-84"/>
    <x v="0"/>
    <s v="No"/>
    <x v="0"/>
    <n v="1"/>
    <s v="18000a23000"/>
    <n v="2013"/>
    <m/>
    <n v="8"/>
    <n v="70"/>
    <n v="85"/>
    <n v="1.62"/>
    <x v="118"/>
    <x v="1"/>
    <x v="1"/>
    <s v="Si"/>
    <x v="0"/>
    <s v="N/A"/>
    <d v="2021-07-15T00:00:00"/>
    <n v="8.9"/>
    <s v="7,1-9"/>
    <s v="&gt;8,1"/>
    <x v="2"/>
    <s v="mas de 8"/>
    <n v="2"/>
    <s v="GLARGINA"/>
    <x v="1"/>
    <n v="13"/>
    <n v="14.66"/>
    <n v="190.58"/>
    <n v="1.8916129032258067"/>
    <x v="0"/>
    <m/>
    <s v="METFORMINA"/>
    <n v="2000"/>
    <n v="3.2199999999999999E-2"/>
    <n v="64.400000000000006"/>
    <n v="0.6392059553349877"/>
    <x v="0"/>
    <m/>
    <m/>
    <m/>
    <n v="0"/>
    <s v="NO"/>
    <m/>
    <m/>
    <m/>
    <m/>
    <m/>
    <m/>
    <n v="0"/>
    <x v="0"/>
    <m/>
    <m/>
    <x v="0"/>
    <m/>
    <m/>
    <n v="0"/>
    <n v="1"/>
  </r>
  <r>
    <s v="MASSARI"/>
    <s v="FRANCO"/>
    <n v="1"/>
    <x v="12"/>
    <x v="2"/>
    <s v="65-74"/>
    <x v="0"/>
    <s v="No"/>
    <x v="0"/>
    <n v="1"/>
    <s v="18000a23000"/>
    <n v="2001"/>
    <m/>
    <n v="20"/>
    <n v="54"/>
    <n v="101.5"/>
    <n v="1.56"/>
    <x v="119"/>
    <x v="1"/>
    <x v="1"/>
    <s v="Si"/>
    <x v="0"/>
    <s v="N/A"/>
    <d v="2021-08-19T00:00:00"/>
    <n v="10.4"/>
    <s v="9,1-11"/>
    <s v="&gt;8,1"/>
    <x v="0"/>
    <s v="mas de 8"/>
    <n v="2"/>
    <s v="Glargina T"/>
    <x v="1"/>
    <n v="60"/>
    <n v="4.4400000000000004"/>
    <n v="266.40000000000003"/>
    <n v="2.6441687344913154"/>
    <x v="1"/>
    <s v="SEGÚN TABLA"/>
    <s v="METFORMINA"/>
    <n v="2000"/>
    <n v="3.2199999999999999E-2"/>
    <n v="64.400000000000006"/>
    <n v="0.6392059553349877"/>
    <x v="0"/>
    <s v="Glimepirida"/>
    <n v="13.41"/>
    <n v="26.82"/>
    <n v="0.26620347394540944"/>
    <s v="SI"/>
    <n v="2"/>
    <m/>
    <m/>
    <m/>
    <m/>
    <m/>
    <n v="0"/>
    <x v="0"/>
    <m/>
    <m/>
    <x v="0"/>
    <m/>
    <m/>
    <n v="0"/>
    <n v="2"/>
  </r>
  <r>
    <s v="MAYER"/>
    <s v="MARIA ESTER"/>
    <n v="1"/>
    <x v="12"/>
    <x v="2"/>
    <s v="65-74"/>
    <x v="1"/>
    <s v="No"/>
    <x v="1"/>
    <n v="2"/>
    <s v="23001-46000"/>
    <n v="1990"/>
    <m/>
    <n v="31"/>
    <n v="43"/>
    <n v="74.5"/>
    <n v="1.59"/>
    <x v="120"/>
    <x v="1"/>
    <x v="0"/>
    <s v="Si"/>
    <x v="0"/>
    <s v="N/A"/>
    <d v="2021-07-15T00:00:00"/>
    <n v="5.8"/>
    <s v="4,5-7"/>
    <s v="&lt;7"/>
    <x v="1"/>
    <s v="Menor a 7"/>
    <n v="1"/>
    <s v="GLARGINA"/>
    <x v="1"/>
    <n v="12"/>
    <n v="14.66"/>
    <n v="175.92000000000002"/>
    <n v="1.746104218362283"/>
    <x v="1"/>
    <n v="6"/>
    <s v="No"/>
    <m/>
    <n v="3.2199999999999999E-2"/>
    <n v="0"/>
    <n v="0"/>
    <x v="1"/>
    <m/>
    <m/>
    <m/>
    <n v="0"/>
    <s v="NO"/>
    <m/>
    <m/>
    <m/>
    <m/>
    <m/>
    <m/>
    <n v="0"/>
    <x v="0"/>
    <m/>
    <m/>
    <x v="0"/>
    <m/>
    <m/>
    <n v="0"/>
    <n v="0"/>
  </r>
  <r>
    <s v="MAZZUTTI"/>
    <s v="ANA MARIA"/>
    <n v="1"/>
    <x v="2"/>
    <x v="1"/>
    <s v="75-84"/>
    <x v="1"/>
    <s v="No"/>
    <x v="0"/>
    <n v="1"/>
    <s v="18000a23000"/>
    <n v="2011"/>
    <m/>
    <n v="10"/>
    <n v="66"/>
    <n v="84.5"/>
    <n v="1.56"/>
    <x v="121"/>
    <x v="1"/>
    <x v="1"/>
    <s v="Si"/>
    <x v="0"/>
    <s v="N/A"/>
    <d v="2021-08-12T00:00:00"/>
    <n v="9.4"/>
    <s v="9,1-11"/>
    <s v="&gt;8,1"/>
    <x v="2"/>
    <s v="mas de 8"/>
    <n v="2"/>
    <s v="GLARGINA"/>
    <x v="1"/>
    <n v="60"/>
    <n v="14.66"/>
    <n v="879.6"/>
    <n v="8.7305210918114149"/>
    <x v="1"/>
    <s v="SEGÚN TABLA"/>
    <s v="No"/>
    <m/>
    <n v="3.2199999999999999E-2"/>
    <n v="0"/>
    <n v="0"/>
    <x v="1"/>
    <m/>
    <m/>
    <m/>
    <n v="0"/>
    <s v="NO"/>
    <m/>
    <m/>
    <m/>
    <m/>
    <m/>
    <m/>
    <n v="0"/>
    <x v="0"/>
    <s v="EMPAGLIFOZINA"/>
    <n v="25"/>
    <x v="1"/>
    <n v="26.41"/>
    <n v="660.25"/>
    <n v="6.5533498759305209"/>
    <n v="1"/>
  </r>
  <r>
    <s v="MEDINA"/>
    <s v="SANTOS ESTEBAN"/>
    <n v="1"/>
    <x v="12"/>
    <x v="2"/>
    <s v="65-74"/>
    <x v="0"/>
    <s v="S/D"/>
    <x v="2"/>
    <n v="1"/>
    <s v="18000a23000"/>
    <n v="2007"/>
    <m/>
    <n v="14"/>
    <n v="60"/>
    <n v="78"/>
    <n v="1.6"/>
    <x v="122"/>
    <x v="1"/>
    <x v="1"/>
    <s v="No"/>
    <x v="0"/>
    <s v="N/A"/>
    <d v="2021-08-12T00:00:00"/>
    <n v="7.2"/>
    <s v="7,1-9"/>
    <s v="7,1-8"/>
    <x v="1"/>
    <s v="7a7,5"/>
    <n v="1"/>
    <s v="NPH"/>
    <x v="0"/>
    <n v="30"/>
    <n v="7.21"/>
    <n v="216.3"/>
    <n v="2.1468982630272953"/>
    <x v="1"/>
    <s v="SEGÚN TABLA"/>
    <s v="METFORMINA"/>
    <n v="2000"/>
    <n v="3.2199999999999999E-2"/>
    <n v="64.400000000000006"/>
    <n v="0.6392059553349877"/>
    <x v="0"/>
    <m/>
    <m/>
    <m/>
    <n v="0"/>
    <s v="NO"/>
    <m/>
    <m/>
    <s v="VILDAGLIPTINA"/>
    <n v="100"/>
    <n v="1.84"/>
    <n v="184"/>
    <n v="1.8263027295285359"/>
    <x v="1"/>
    <m/>
    <m/>
    <x v="0"/>
    <m/>
    <m/>
    <n v="0"/>
    <n v="2"/>
  </r>
  <r>
    <s v="MELE"/>
    <s v="DANIEL"/>
    <n v="1"/>
    <x v="10"/>
    <x v="2"/>
    <s v="65-74"/>
    <x v="0"/>
    <s v="No"/>
    <x v="1"/>
    <n v="1"/>
    <s v="18000a23000"/>
    <n v="1999"/>
    <m/>
    <n v="22"/>
    <n v="49"/>
    <n v="113.8"/>
    <n v="1.7"/>
    <x v="123"/>
    <x v="0"/>
    <x v="1"/>
    <s v="Si"/>
    <x v="0"/>
    <s v="N/A"/>
    <d v="2021-08-12T00:00:00"/>
    <n v="9.9"/>
    <s v="9,1-11"/>
    <s v="&gt;8,1"/>
    <x v="2"/>
    <s v="mas de 8"/>
    <n v="2"/>
    <s v="DEGLUDEC"/>
    <x v="1"/>
    <n v="10"/>
    <n v="15.6"/>
    <n v="156"/>
    <n v="1.5483870967741935"/>
    <x v="1"/>
    <s v="SEGÚN TABLA"/>
    <s v="METFORMINA"/>
    <n v="2000"/>
    <n v="3.2199999999999999E-2"/>
    <n v="64.400000000000006"/>
    <n v="0.6392059553349877"/>
    <x v="0"/>
    <m/>
    <m/>
    <m/>
    <n v="0"/>
    <s v="NO"/>
    <m/>
    <m/>
    <s v="SITAGLIPTINA"/>
    <n v="100"/>
    <n v="5.4"/>
    <n v="184"/>
    <n v="1.8263027295285359"/>
    <x v="1"/>
    <m/>
    <m/>
    <x v="0"/>
    <m/>
    <m/>
    <n v="0"/>
    <n v="2"/>
  </r>
  <r>
    <s v="MELO"/>
    <s v="DE LA CRUZ"/>
    <n v="1"/>
    <x v="20"/>
    <x v="1"/>
    <s v="75-84"/>
    <x v="1"/>
    <s v="Si"/>
    <x v="2"/>
    <n v="1"/>
    <s v="18000a23000"/>
    <n v="1990"/>
    <m/>
    <n v="31"/>
    <n v="47"/>
    <n v="69"/>
    <n v="1.51"/>
    <x v="124"/>
    <x v="0"/>
    <x v="1"/>
    <s v="Si"/>
    <x v="0"/>
    <s v="NO"/>
    <d v="2021-08-12T00:00:00"/>
    <n v="6.6"/>
    <s v="4,5-7"/>
    <s v="&lt;7"/>
    <x v="1"/>
    <s v="Menor a 7"/>
    <n v="1"/>
    <s v="DETEMIR"/>
    <x v="1"/>
    <n v="40"/>
    <n v="13.54"/>
    <n v="541.59999999999991"/>
    <n v="5.3756823821339941"/>
    <x v="0"/>
    <m/>
    <s v="METFORMINA"/>
    <n v="1700"/>
    <n v="3.2199999999999999E-2"/>
    <n v="54.74"/>
    <n v="0.54332506203473951"/>
    <x v="0"/>
    <m/>
    <m/>
    <m/>
    <n v="0"/>
    <s v="NO"/>
    <m/>
    <m/>
    <s v="VILDAGLIPTINA"/>
    <n v="100"/>
    <n v="1.84"/>
    <n v="184"/>
    <n v="1.8263027295285359"/>
    <x v="1"/>
    <m/>
    <m/>
    <x v="0"/>
    <m/>
    <m/>
    <n v="0"/>
    <n v="2"/>
  </r>
  <r>
    <s v="MELVERN"/>
    <s v="RAUL FEDERICO"/>
    <n v="1"/>
    <x v="16"/>
    <x v="2"/>
    <s v="75-84"/>
    <x v="0"/>
    <s v="No"/>
    <x v="3"/>
    <n v="4"/>
    <s v="mas de 69000"/>
    <n v="2006"/>
    <m/>
    <n v="15"/>
    <n v="60"/>
    <n v="114.8"/>
    <n v="1.73"/>
    <x v="125"/>
    <x v="0"/>
    <x v="1"/>
    <s v="Si"/>
    <x v="0"/>
    <s v="N/A"/>
    <d v="2021-07-08T00:00:00"/>
    <n v="15.2"/>
    <s v="11,1 - o mas"/>
    <s v="&gt;8,1"/>
    <x v="0"/>
    <s v="mas de 8"/>
    <n v="3"/>
    <s v="DEGLUDEC"/>
    <x v="1"/>
    <n v="30"/>
    <n v="15.6"/>
    <n v="468"/>
    <n v="4.645161290322581"/>
    <x v="0"/>
    <m/>
    <s v="METFORMINA"/>
    <n v="2000"/>
    <n v="3.2199999999999999E-2"/>
    <n v="64.400000000000006"/>
    <n v="0.6392059553349877"/>
    <x v="0"/>
    <m/>
    <m/>
    <m/>
    <n v="0"/>
    <s v="NO"/>
    <m/>
    <m/>
    <m/>
    <m/>
    <m/>
    <m/>
    <n v="0"/>
    <x v="0"/>
    <m/>
    <m/>
    <x v="0"/>
    <m/>
    <m/>
    <n v="0"/>
    <n v="1"/>
  </r>
  <r>
    <s v="MESA"/>
    <s v="JUAN RAMON"/>
    <n v="1"/>
    <x v="14"/>
    <x v="2"/>
    <s v="65-74"/>
    <x v="0"/>
    <s v="No"/>
    <x v="1"/>
    <n v="1"/>
    <s v="18000a23000"/>
    <n v="2000"/>
    <m/>
    <n v="21"/>
    <n v="51"/>
    <n v="85.9"/>
    <n v="1.75"/>
    <x v="126"/>
    <x v="1"/>
    <x v="0"/>
    <s v="Si"/>
    <x v="0"/>
    <s v="N/A"/>
    <d v="2021-07-08T00:00:00"/>
    <n v="6.6"/>
    <s v="4,5-7"/>
    <s v="&lt;7"/>
    <x v="1"/>
    <s v="Menor a 7"/>
    <n v="1"/>
    <s v="NPH"/>
    <x v="0"/>
    <n v="44"/>
    <n v="7.21"/>
    <n v="317.24"/>
    <n v="3.1487841191066996"/>
    <x v="0"/>
    <m/>
    <s v="METFORMINA"/>
    <n v="2000"/>
    <n v="3.2199999999999999E-2"/>
    <n v="64.400000000000006"/>
    <n v="0.6392059553349877"/>
    <x v="0"/>
    <m/>
    <m/>
    <m/>
    <n v="0"/>
    <s v="NO"/>
    <m/>
    <m/>
    <m/>
    <m/>
    <m/>
    <m/>
    <n v="0"/>
    <x v="0"/>
    <m/>
    <m/>
    <x v="0"/>
    <m/>
    <m/>
    <n v="0"/>
    <n v="1"/>
  </r>
  <r>
    <s v="MIGUEL"/>
    <s v="OSCAR"/>
    <n v="1"/>
    <x v="1"/>
    <x v="1"/>
    <s v="85-o mas"/>
    <x v="0"/>
    <s v="No"/>
    <x v="1"/>
    <n v="2"/>
    <s v="23001-46000"/>
    <m/>
    <m/>
    <m/>
    <n v="85"/>
    <n v="76"/>
    <n v="1.59"/>
    <x v="127"/>
    <x v="0"/>
    <x v="1"/>
    <s v="No"/>
    <x v="0"/>
    <s v="N/A"/>
    <d v="2021-07-08T00:00:00"/>
    <n v="10.8"/>
    <s v="9,1-11"/>
    <s v="&gt;8,1"/>
    <x v="0"/>
    <s v="mas de 8"/>
    <n v="2"/>
    <s v="BIFASICA"/>
    <x v="0"/>
    <n v="90"/>
    <n v="13.87"/>
    <n v="1248.3"/>
    <n v="12.390074441687345"/>
    <x v="0"/>
    <m/>
    <s v="METFORMINA"/>
    <n v="1000"/>
    <n v="3.2199999999999999E-2"/>
    <n v="32.200000000000003"/>
    <n v="0.31960297766749385"/>
    <x v="0"/>
    <m/>
    <m/>
    <m/>
    <n v="0"/>
    <s v="NO"/>
    <m/>
    <m/>
    <m/>
    <m/>
    <m/>
    <m/>
    <n v="0"/>
    <x v="0"/>
    <m/>
    <m/>
    <x v="0"/>
    <m/>
    <m/>
    <n v="0"/>
    <n v="1"/>
  </r>
  <r>
    <s v="MOGABRE"/>
    <s v="DELIA ESTER"/>
    <n v="1"/>
    <x v="0"/>
    <x v="0"/>
    <s v="65-74"/>
    <x v="1"/>
    <s v="No"/>
    <x v="1"/>
    <n v="1"/>
    <s v="18000a23000"/>
    <n v="2011"/>
    <m/>
    <n v="10"/>
    <n v="60"/>
    <n v="75"/>
    <n v="1.58"/>
    <x v="128"/>
    <x v="1"/>
    <x v="1"/>
    <s v="Si"/>
    <x v="0"/>
    <s v="N/A"/>
    <d v="2021-08-26T00:00:00"/>
    <n v="10.199999999999999"/>
    <s v="9,1-11"/>
    <s v="&gt;8,1"/>
    <x v="0"/>
    <s v="mas de 8"/>
    <n v="2"/>
    <s v="DEGLUDEC"/>
    <x v="1"/>
    <n v="60"/>
    <n v="15.6"/>
    <n v="936"/>
    <n v="9.2903225806451619"/>
    <x v="0"/>
    <m/>
    <s v="METFORMINA"/>
    <n v="2000"/>
    <n v="3.2199999999999999E-2"/>
    <n v="64.400000000000006"/>
    <n v="0.6392059553349877"/>
    <x v="0"/>
    <m/>
    <m/>
    <m/>
    <n v="0"/>
    <s v="NO"/>
    <m/>
    <m/>
    <m/>
    <m/>
    <m/>
    <m/>
    <n v="0"/>
    <x v="0"/>
    <m/>
    <m/>
    <x v="0"/>
    <m/>
    <m/>
    <n v="0"/>
    <n v="1"/>
  </r>
  <r>
    <s v="MOLINERO"/>
    <s v="JOSE LUIS"/>
    <n v="1"/>
    <x v="0"/>
    <x v="0"/>
    <s v="65-74"/>
    <x v="0"/>
    <s v="No"/>
    <x v="3"/>
    <n v="1"/>
    <s v="18000a23000"/>
    <n v="2016"/>
    <m/>
    <n v="5"/>
    <n v="65"/>
    <n v="99.6"/>
    <n v="1.66"/>
    <x v="129"/>
    <x v="0"/>
    <x v="1"/>
    <s v="Si"/>
    <x v="1"/>
    <s v="N/A"/>
    <d v="2021-07-08T00:00:00"/>
    <n v="9.6999999999999993"/>
    <s v="9,1-11"/>
    <s v="&gt;8,1"/>
    <x v="2"/>
    <s v="mas de 8"/>
    <n v="2"/>
    <s v="DEGLUDEC"/>
    <x v="1"/>
    <n v="44"/>
    <n v="15.6"/>
    <n v="686.4"/>
    <n v="6.8129032258064512"/>
    <x v="0"/>
    <m/>
    <s v="METFORMINA"/>
    <n v="2000"/>
    <n v="3.2199999999999999E-2"/>
    <n v="64.400000000000006"/>
    <n v="0.6392059553349877"/>
    <x v="0"/>
    <m/>
    <m/>
    <m/>
    <n v="0"/>
    <s v="NO"/>
    <m/>
    <m/>
    <m/>
    <m/>
    <m/>
    <m/>
    <n v="0"/>
    <x v="0"/>
    <m/>
    <m/>
    <x v="0"/>
    <m/>
    <m/>
    <n v="0"/>
    <n v="1"/>
  </r>
  <r>
    <s v="MONGELLI"/>
    <s v="ROSA"/>
    <n v="1"/>
    <x v="3"/>
    <x v="2"/>
    <s v="65-74"/>
    <x v="1"/>
    <s v="No"/>
    <x v="1"/>
    <n v="1"/>
    <s v="18000a23000"/>
    <n v="2000"/>
    <m/>
    <n v="21"/>
    <n v="52"/>
    <n v="68.099999999999994"/>
    <n v="1.55"/>
    <x v="130"/>
    <x v="0"/>
    <x v="0"/>
    <s v="Si"/>
    <x v="0"/>
    <s v="N/A"/>
    <d v="2021-07-08T00:00:00"/>
    <n v="8.5"/>
    <s v="7,1-9"/>
    <s v="&gt;8,1"/>
    <x v="2"/>
    <s v="mas de 8"/>
    <n v="2"/>
    <s v="GLARGINA"/>
    <x v="1"/>
    <n v="22"/>
    <n v="14.66"/>
    <n v="322.52"/>
    <n v="3.2011910669975183"/>
    <x v="1"/>
    <s v="SEGÚN TABLA"/>
    <s v="METFORMINA"/>
    <n v="2550"/>
    <n v="3.2199999999999999E-2"/>
    <n v="82.11"/>
    <n v="0.81498759305210922"/>
    <x v="0"/>
    <m/>
    <m/>
    <m/>
    <n v="0"/>
    <s v="NO"/>
    <m/>
    <m/>
    <m/>
    <m/>
    <m/>
    <m/>
    <n v="0"/>
    <x v="0"/>
    <m/>
    <m/>
    <x v="0"/>
    <m/>
    <m/>
    <n v="0"/>
    <n v="1"/>
  </r>
  <r>
    <s v="MORALES"/>
    <s v="MIGUEL ANTONIO"/>
    <n v="1"/>
    <x v="20"/>
    <x v="1"/>
    <s v="75-84"/>
    <x v="0"/>
    <s v="No"/>
    <x v="1"/>
    <n v="1"/>
    <s v="18000a23000"/>
    <n v="1997"/>
    <m/>
    <n v="24"/>
    <n v="54"/>
    <n v="85"/>
    <n v="1.58"/>
    <x v="131"/>
    <x v="0"/>
    <x v="1"/>
    <s v="Si"/>
    <x v="0"/>
    <s v="N/A"/>
    <d v="2021-09-02T00:00:00"/>
    <n v="9.1999999999999993"/>
    <s v="9,1-11"/>
    <s v="&gt;8,1"/>
    <x v="2"/>
    <s v="mas de 8"/>
    <n v="2"/>
    <s v="GLARGINA"/>
    <x v="1"/>
    <n v="50"/>
    <n v="14.66"/>
    <n v="733"/>
    <n v="7.2754342431761785"/>
    <x v="1"/>
    <s v="SEGÚN TABLA"/>
    <s v="METFORMINA"/>
    <n v="1700"/>
    <n v="3.2199999999999999E-2"/>
    <n v="54.74"/>
    <n v="0.54332506203473951"/>
    <x v="0"/>
    <m/>
    <m/>
    <m/>
    <n v="0"/>
    <s v="NO"/>
    <m/>
    <m/>
    <m/>
    <m/>
    <m/>
    <m/>
    <n v="0"/>
    <x v="0"/>
    <m/>
    <m/>
    <x v="0"/>
    <m/>
    <m/>
    <n v="0"/>
    <n v="1"/>
  </r>
  <r>
    <s v="MORAN"/>
    <s v="GRACIELA MARIA"/>
    <n v="1"/>
    <x v="10"/>
    <x v="2"/>
    <s v="65-74"/>
    <x v="1"/>
    <s v="No"/>
    <x v="0"/>
    <n v="1"/>
    <s v="18000a23000"/>
    <n v="2010"/>
    <m/>
    <n v="11"/>
    <n v="60"/>
    <n v="69.400000000000006"/>
    <n v="1.44"/>
    <x v="132"/>
    <x v="0"/>
    <x v="1"/>
    <s v="Si"/>
    <x v="0"/>
    <s v="N/A"/>
    <d v="2021-08-26T00:00:00"/>
    <n v="7.9"/>
    <s v="7,1-9"/>
    <s v="7,1-8"/>
    <x v="2"/>
    <s v="7,6-8"/>
    <n v="2"/>
    <s v="GLARGINA"/>
    <x v="1"/>
    <n v="10"/>
    <n v="14.66"/>
    <n v="146.6"/>
    <n v="1.4550868486352357"/>
    <x v="0"/>
    <m/>
    <s v="No"/>
    <m/>
    <n v="3.2199999999999999E-2"/>
    <n v="0"/>
    <n v="0"/>
    <x v="1"/>
    <s v="GLICLAZIDA"/>
    <n v="1.069"/>
    <n v="64.14"/>
    <n v="0.63662531017369728"/>
    <s v="SI"/>
    <n v="60"/>
    <m/>
    <m/>
    <m/>
    <m/>
    <m/>
    <n v="0"/>
    <x v="0"/>
    <m/>
    <m/>
    <x v="0"/>
    <m/>
    <m/>
    <n v="0"/>
    <n v="1"/>
  </r>
  <r>
    <s v="MORENO"/>
    <s v="CARLOS ALBERTO"/>
    <n v="1"/>
    <x v="2"/>
    <x v="1"/>
    <s v="75-84"/>
    <x v="0"/>
    <s v="No"/>
    <x v="1"/>
    <n v="1"/>
    <s v="18000a23000"/>
    <n v="2010"/>
    <m/>
    <n v="11"/>
    <n v="65"/>
    <n v="98.5"/>
    <n v="1.71"/>
    <x v="133"/>
    <x v="0"/>
    <x v="1"/>
    <s v="Si"/>
    <x v="0"/>
    <s v="N/A"/>
    <d v="2021-08-12T00:00:00"/>
    <n v="8.6"/>
    <s v="7,1-9"/>
    <s v="&gt;8,1"/>
    <x v="2"/>
    <s v="mas de 8"/>
    <n v="2"/>
    <s v="GLARGINA"/>
    <x v="1"/>
    <n v="36"/>
    <n v="14.66"/>
    <n v="527.76"/>
    <n v="5.2383126550868484"/>
    <x v="1"/>
    <n v="8"/>
    <s v="METFORMINA"/>
    <n v="1000"/>
    <n v="3.2199999999999999E-2"/>
    <n v="32.200000000000003"/>
    <n v="0.31960297766749385"/>
    <x v="0"/>
    <m/>
    <m/>
    <m/>
    <n v="0"/>
    <s v="NO"/>
    <m/>
    <m/>
    <m/>
    <m/>
    <m/>
    <m/>
    <n v="0"/>
    <x v="0"/>
    <m/>
    <m/>
    <x v="0"/>
    <m/>
    <m/>
    <n v="0"/>
    <n v="1"/>
  </r>
  <r>
    <s v="MUSICARELLI"/>
    <s v="FRANCO"/>
    <n v="1"/>
    <x v="2"/>
    <x v="1"/>
    <s v="75-84"/>
    <x v="0"/>
    <s v="No"/>
    <x v="1"/>
    <n v="1"/>
    <s v="18000a23000"/>
    <n v="2009"/>
    <m/>
    <n v="12"/>
    <n v="64"/>
    <n v="104.5"/>
    <n v="1.8"/>
    <x v="134"/>
    <x v="0"/>
    <x v="1"/>
    <s v="Si"/>
    <x v="1"/>
    <n v="96"/>
    <d v="2021-07-08T00:00:00"/>
    <n v="8.1"/>
    <s v="7,1-9"/>
    <s v="&gt;8,1"/>
    <x v="2"/>
    <s v="mas de 8"/>
    <n v="2"/>
    <s v="DETEMIR"/>
    <x v="1"/>
    <n v="25"/>
    <n v="13.54"/>
    <n v="338.5"/>
    <n v="3.3598014888337469"/>
    <x v="1"/>
    <s v="SEGÚN TABLA"/>
    <s v="METFORMINA"/>
    <n v="3000"/>
    <n v="3.2199999999999999E-2"/>
    <n v="96.6"/>
    <n v="0.95880893300248138"/>
    <x v="0"/>
    <m/>
    <m/>
    <m/>
    <n v="0"/>
    <s v="NO"/>
    <m/>
    <m/>
    <m/>
    <m/>
    <m/>
    <m/>
    <n v="0"/>
    <x v="0"/>
    <m/>
    <m/>
    <x v="0"/>
    <m/>
    <m/>
    <n v="0"/>
    <n v="1"/>
  </r>
  <r>
    <s v="NAVARRO"/>
    <s v="MARIA DEL CARMEN"/>
    <n v="1"/>
    <x v="12"/>
    <x v="2"/>
    <s v="65-74"/>
    <x v="1"/>
    <s v="No"/>
    <x v="0"/>
    <n v="1"/>
    <s v="18000a23000"/>
    <n v="2000"/>
    <m/>
    <n v="21"/>
    <n v="53"/>
    <n v="49.5"/>
    <n v="1.54"/>
    <x v="135"/>
    <x v="0"/>
    <x v="2"/>
    <s v="Si"/>
    <x v="0"/>
    <s v="N/A"/>
    <d v="2021-07-08T00:00:00"/>
    <n v="8.3000000000000007"/>
    <s v="7,1-9"/>
    <s v="&gt;8,1"/>
    <x v="2"/>
    <s v="mas de 8"/>
    <n v="2"/>
    <s v="DEGLUDEC"/>
    <x v="1"/>
    <n v="16"/>
    <n v="15.6"/>
    <n v="249.6"/>
    <n v="2.4774193548387098"/>
    <x v="1"/>
    <s v="SEGÚN TABLA"/>
    <s v="METFORMINA"/>
    <n v="1700"/>
    <n v="3.2199999999999999E-2"/>
    <n v="54.74"/>
    <n v="0.54332506203473951"/>
    <x v="0"/>
    <m/>
    <m/>
    <m/>
    <n v="0"/>
    <s v="NO"/>
    <m/>
    <m/>
    <s v="SITAGLIPTINA"/>
    <n v="100"/>
    <n v="5.4"/>
    <n v="540"/>
    <n v="5.3598014888337469"/>
    <x v="1"/>
    <m/>
    <m/>
    <x v="0"/>
    <m/>
    <m/>
    <n v="0"/>
    <n v="2"/>
  </r>
  <r>
    <s v="OBERTI"/>
    <s v="FLORENCIO VICTOR"/>
    <n v="1"/>
    <x v="23"/>
    <x v="0"/>
    <s v="55-64"/>
    <x v="0"/>
    <s v="No"/>
    <x v="0"/>
    <n v="1"/>
    <s v="18000a23000"/>
    <n v="2009"/>
    <m/>
    <n v="12"/>
    <n v="50"/>
    <n v="96.8"/>
    <n v="1.73"/>
    <x v="136"/>
    <x v="0"/>
    <x v="1"/>
    <s v="Si"/>
    <x v="0"/>
    <s v="N/A"/>
    <d v="2021-08-26T00:00:00"/>
    <n v="13.5"/>
    <s v="11,1 - o mas"/>
    <s v="&gt;8,1"/>
    <x v="0"/>
    <s v="mas de 8"/>
    <n v="3"/>
    <s v="NPH"/>
    <x v="0"/>
    <n v="64"/>
    <n v="7.21"/>
    <n v="461.44"/>
    <n v="4.5800496277915634"/>
    <x v="1"/>
    <s v="SEGÚN TABLA"/>
    <s v="METFORMINA"/>
    <n v="2000"/>
    <n v="3.2199999999999999E-2"/>
    <n v="64.400000000000006"/>
    <n v="0.6392059553349877"/>
    <x v="0"/>
    <m/>
    <m/>
    <m/>
    <n v="0"/>
    <s v="NO"/>
    <m/>
    <m/>
    <s v="SITAGLIPTINA"/>
    <n v="100"/>
    <n v="5.4"/>
    <n v="540"/>
    <n v="5.3598014888337469"/>
    <x v="1"/>
    <m/>
    <m/>
    <x v="0"/>
    <m/>
    <m/>
    <n v="0"/>
    <n v="2"/>
  </r>
  <r>
    <s v="OLARTICOCHEA"/>
    <s v="HECTOR DOMINGO"/>
    <n v="1"/>
    <x v="16"/>
    <x v="2"/>
    <s v="75-84"/>
    <x v="0"/>
    <s v="No"/>
    <x v="1"/>
    <n v="1"/>
    <s v="18000a23000"/>
    <n v="2004"/>
    <m/>
    <n v="17"/>
    <n v="58"/>
    <n v="90.4"/>
    <n v="1.57"/>
    <x v="137"/>
    <x v="0"/>
    <x v="1"/>
    <s v="Si"/>
    <x v="0"/>
    <s v="N/A"/>
    <d v="2021-09-02T00:00:00"/>
    <n v="9"/>
    <s v="7,1-9"/>
    <s v="&gt;8,1"/>
    <x v="2"/>
    <s v="mas de 8"/>
    <n v="2"/>
    <s v="GLARGINA"/>
    <x v="1"/>
    <n v="45"/>
    <n v="14.66"/>
    <n v="659.7"/>
    <n v="6.5478908188585612"/>
    <x v="0"/>
    <m/>
    <s v="METFORMINA"/>
    <n v="1700"/>
    <n v="3.2199999999999999E-2"/>
    <n v="54.74"/>
    <n v="0.54332506203473951"/>
    <x v="0"/>
    <m/>
    <m/>
    <m/>
    <n v="0"/>
    <s v="NO"/>
    <m/>
    <m/>
    <m/>
    <m/>
    <m/>
    <m/>
    <n v="0"/>
    <x v="0"/>
    <m/>
    <m/>
    <x v="0"/>
    <m/>
    <m/>
    <n v="0"/>
    <n v="1"/>
  </r>
  <r>
    <s v="OLIVERA"/>
    <s v="MARIA DELIA"/>
    <n v="1"/>
    <x v="7"/>
    <x v="0"/>
    <s v="65-74"/>
    <x v="1"/>
    <s v="No"/>
    <x v="2"/>
    <n v="1"/>
    <s v="18000a23000"/>
    <n v="2000"/>
    <m/>
    <n v="21"/>
    <n v="46"/>
    <n v="65.599999999999994"/>
    <n v="1.56"/>
    <x v="138"/>
    <x v="0"/>
    <x v="0"/>
    <s v="Si"/>
    <x v="0"/>
    <s v="N/A"/>
    <d v="2021-09-02T00:00:00"/>
    <n v="8.4"/>
    <s v="7,1-9"/>
    <s v="&gt;8,1"/>
    <x v="2"/>
    <s v="mas de 8"/>
    <n v="2"/>
    <s v="GLARGINA"/>
    <x v="1"/>
    <n v="44"/>
    <n v="14.66"/>
    <n v="645.04"/>
    <n v="6.4023821339950366"/>
    <x v="1"/>
    <s v="SEGÚN TABLA"/>
    <s v="METFORMINA"/>
    <n v="1000"/>
    <n v="3.2199999999999999E-2"/>
    <n v="32.200000000000003"/>
    <n v="0.31960297766749385"/>
    <x v="0"/>
    <m/>
    <m/>
    <m/>
    <n v="0"/>
    <s v="NO"/>
    <m/>
    <m/>
    <m/>
    <m/>
    <m/>
    <m/>
    <n v="0"/>
    <x v="0"/>
    <m/>
    <m/>
    <x v="0"/>
    <m/>
    <m/>
    <n v="0"/>
    <n v="1"/>
  </r>
  <r>
    <s v="OUVRARD "/>
    <s v="MABEL HAYDEE"/>
    <n v="1"/>
    <x v="1"/>
    <x v="1"/>
    <s v="85-o mas"/>
    <x v="1"/>
    <s v="No"/>
    <x v="3"/>
    <n v="1"/>
    <s v="18000a23000"/>
    <n v="1995"/>
    <m/>
    <n v="26"/>
    <n v="59"/>
    <n v="55.7"/>
    <n v="1.51"/>
    <x v="139"/>
    <x v="0"/>
    <x v="2"/>
    <s v="Si"/>
    <x v="0"/>
    <s v="N/A"/>
    <d v="2021-08-12T00:00:00"/>
    <n v="9.3000000000000007"/>
    <s v="9,1-11"/>
    <s v="&gt;8,1"/>
    <x v="2"/>
    <s v="mas de 8"/>
    <n v="2"/>
    <s v="GLARGINA"/>
    <x v="1"/>
    <n v="38"/>
    <n v="14.66"/>
    <n v="557.08000000000004"/>
    <n v="5.5293300248138966"/>
    <x v="0"/>
    <m/>
    <s v="METFORMINA"/>
    <n v="500"/>
    <n v="3.2199999999999999E-2"/>
    <n v="16.100000000000001"/>
    <n v="0.15980148883374692"/>
    <x v="0"/>
    <m/>
    <m/>
    <m/>
    <n v="0"/>
    <s v="NO"/>
    <m/>
    <m/>
    <m/>
    <m/>
    <m/>
    <m/>
    <n v="0"/>
    <x v="0"/>
    <m/>
    <m/>
    <x v="0"/>
    <m/>
    <m/>
    <n v="0"/>
    <n v="1"/>
  </r>
  <r>
    <s v="OVIEDO"/>
    <s v="ANA MARIA"/>
    <n v="1"/>
    <x v="4"/>
    <x v="0"/>
    <s v="65-74"/>
    <x v="1"/>
    <s v="No"/>
    <x v="3"/>
    <n v="2"/>
    <s v="23001-46000"/>
    <n v="1998"/>
    <m/>
    <n v="23"/>
    <n v="45"/>
    <n v="80"/>
    <n v="1.59"/>
    <x v="140"/>
    <x v="1"/>
    <x v="1"/>
    <s v="No"/>
    <x v="0"/>
    <s v="N/A"/>
    <d v="2021-09-02T00:00:00"/>
    <n v="8.3000000000000007"/>
    <s v="7,1-9"/>
    <s v="&gt;8,1"/>
    <x v="2"/>
    <s v="mas de 8"/>
    <n v="2"/>
    <s v="Glargina T"/>
    <x v="1"/>
    <n v="80"/>
    <n v="4.4400000000000004"/>
    <n v="355.20000000000005"/>
    <n v="3.5255583126550873"/>
    <x v="1"/>
    <s v="SEGÚN TABLA"/>
    <s v="METFORMINA"/>
    <n v="2000"/>
    <n v="3.2199999999999999E-2"/>
    <n v="64.400000000000006"/>
    <n v="0.6392059553349877"/>
    <x v="0"/>
    <m/>
    <m/>
    <m/>
    <n v="0"/>
    <s v="NO"/>
    <m/>
    <m/>
    <m/>
    <m/>
    <m/>
    <m/>
    <n v="0"/>
    <x v="0"/>
    <m/>
    <m/>
    <x v="0"/>
    <m/>
    <m/>
    <n v="0"/>
    <n v="1"/>
  </r>
  <r>
    <s v="PAEZ"/>
    <s v="JUAN CARLOS"/>
    <n v="1"/>
    <x v="4"/>
    <x v="0"/>
    <s v="65-74"/>
    <x v="0"/>
    <s v="No"/>
    <x v="1"/>
    <n v="2"/>
    <s v="23001-46000"/>
    <n v="1994"/>
    <m/>
    <n v="27"/>
    <n v="41"/>
    <n v="101.7"/>
    <n v="1.77"/>
    <x v="141"/>
    <x v="0"/>
    <x v="1"/>
    <s v="Si"/>
    <x v="0"/>
    <s v="N/A"/>
    <d v="2021-08-12T00:00:00"/>
    <n v="10.1"/>
    <s v="9,1-11"/>
    <s v="&gt;8,1"/>
    <x v="0"/>
    <s v="mas de 8"/>
    <n v="2"/>
    <s v="GLARGINA"/>
    <x v="1"/>
    <n v="25"/>
    <n v="14.66"/>
    <n v="366.5"/>
    <n v="3.6377171215880892"/>
    <x v="0"/>
    <m/>
    <s v="METFORMINA"/>
    <n v="2000"/>
    <n v="3.2199999999999999E-2"/>
    <n v="64.400000000000006"/>
    <n v="0.6392059553349877"/>
    <x v="0"/>
    <s v="GLICLAZIDA"/>
    <n v="1.07"/>
    <n v="64.14"/>
    <n v="0.63662531017369728"/>
    <s v="SI"/>
    <m/>
    <m/>
    <m/>
    <m/>
    <m/>
    <m/>
    <n v="0"/>
    <x v="0"/>
    <m/>
    <m/>
    <x v="0"/>
    <m/>
    <m/>
    <n v="0"/>
    <n v="2"/>
  </r>
  <r>
    <s v="PAGLIARELLA "/>
    <s v="SILVIA CRISTINA"/>
    <n v="1"/>
    <x v="5"/>
    <x v="0"/>
    <s v="65-74"/>
    <x v="1"/>
    <s v="No"/>
    <x v="0"/>
    <n v="1"/>
    <s v="18000a23000"/>
    <n v="1980"/>
    <m/>
    <n v="21"/>
    <n v="45"/>
    <n v="60.9"/>
    <n v="1.55"/>
    <x v="142"/>
    <x v="0"/>
    <x v="0"/>
    <s v="Si"/>
    <x v="0"/>
    <s v="N/A"/>
    <d v="2021-07-08T00:00:00"/>
    <n v="11.6"/>
    <s v="11,1 - o mas"/>
    <s v="&gt;8,1"/>
    <x v="0"/>
    <s v="mas de 8"/>
    <n v="3"/>
    <s v="GLARGINA"/>
    <x v="1"/>
    <n v="34"/>
    <n v="14.66"/>
    <n v="498.44"/>
    <n v="4.9472952853598011"/>
    <x v="1"/>
    <n v="8"/>
    <s v="METFORMINA"/>
    <n v="850"/>
    <n v="3.2199999999999999E-2"/>
    <n v="27.37"/>
    <n v="0.27166253101736976"/>
    <x v="0"/>
    <m/>
    <m/>
    <m/>
    <n v="0"/>
    <s v="NO"/>
    <m/>
    <m/>
    <m/>
    <m/>
    <m/>
    <m/>
    <n v="0"/>
    <x v="0"/>
    <m/>
    <m/>
    <x v="0"/>
    <m/>
    <m/>
    <n v="0"/>
    <n v="1"/>
  </r>
  <r>
    <s v="PEDERNERA"/>
    <s v="ELBA ALICIA"/>
    <n v="1"/>
    <x v="5"/>
    <x v="0"/>
    <s v="65-74"/>
    <x v="1"/>
    <s v="No"/>
    <x v="2"/>
    <n v="2"/>
    <s v="23001-46000"/>
    <n v="1980"/>
    <m/>
    <n v="41"/>
    <n v="25"/>
    <n v="82"/>
    <n v="1.61"/>
    <x v="71"/>
    <x v="0"/>
    <x v="1"/>
    <s v="Si"/>
    <x v="0"/>
    <s v="N/A"/>
    <d v="2021-07-15T00:00:00"/>
    <n v="13.4"/>
    <s v="11,1 - o mas"/>
    <s v="&gt;8,1"/>
    <x v="0"/>
    <s v="mas de 8"/>
    <n v="3"/>
    <s v="DETEMIR"/>
    <x v="1"/>
    <n v="70"/>
    <n v="13.54"/>
    <n v="947.8"/>
    <n v="9.4074441687344912"/>
    <x v="1"/>
    <n v="18"/>
    <s v="No"/>
    <m/>
    <n v="3.2199999999999999E-2"/>
    <n v="0"/>
    <n v="0"/>
    <x v="1"/>
    <m/>
    <m/>
    <m/>
    <n v="0"/>
    <s v="NO"/>
    <m/>
    <m/>
    <m/>
    <m/>
    <m/>
    <m/>
    <n v="0"/>
    <x v="0"/>
    <m/>
    <m/>
    <x v="0"/>
    <m/>
    <m/>
    <n v="0"/>
    <n v="0"/>
  </r>
  <r>
    <s v="PENDONES FERNANDEZ "/>
    <s v="CANDIDA"/>
    <n v="1"/>
    <x v="3"/>
    <x v="2"/>
    <s v="65-74"/>
    <x v="1"/>
    <s v="No"/>
    <x v="1"/>
    <n v="2"/>
    <s v="23001-46000"/>
    <n v="2014"/>
    <m/>
    <n v="7"/>
    <n v="66"/>
    <n v="85.4"/>
    <n v="1.61"/>
    <x v="143"/>
    <x v="0"/>
    <x v="1"/>
    <s v="Si"/>
    <x v="0"/>
    <s v="N/A"/>
    <d v="2021-07-26T00:00:00"/>
    <n v="6.3"/>
    <s v="4,5-7"/>
    <s v="&lt;7"/>
    <x v="1"/>
    <s v="Menor a 7"/>
    <n v="1"/>
    <s v="NPH"/>
    <x v="0"/>
    <n v="60"/>
    <n v="7.21"/>
    <n v="432.6"/>
    <n v="4.2937965260545905"/>
    <x v="1"/>
    <s v="SEGÚN TABLA"/>
    <s v="METFORMINA"/>
    <n v="850"/>
    <n v="3.2199999999999999E-2"/>
    <n v="27.37"/>
    <n v="0.27166253101736976"/>
    <x v="0"/>
    <m/>
    <m/>
    <m/>
    <n v="0"/>
    <s v="NO"/>
    <m/>
    <m/>
    <m/>
    <m/>
    <m/>
    <m/>
    <n v="0"/>
    <x v="0"/>
    <m/>
    <m/>
    <x v="0"/>
    <m/>
    <m/>
    <n v="0"/>
    <n v="1"/>
  </r>
  <r>
    <s v="PEÑALVA"/>
    <s v="JUAN CARLOS"/>
    <n v="1"/>
    <x v="12"/>
    <x v="2"/>
    <s v="65-74"/>
    <x v="0"/>
    <s v="No"/>
    <x v="1"/>
    <n v="4"/>
    <s v="mas de 69000"/>
    <n v="1998"/>
    <m/>
    <n v="23"/>
    <n v="51"/>
    <n v="91.5"/>
    <n v="1.74"/>
    <x v="144"/>
    <x v="0"/>
    <x v="1"/>
    <s v="Si"/>
    <x v="1"/>
    <s v="N/A"/>
    <d v="2021-07-08T00:00:00"/>
    <n v="12.4"/>
    <s v="11,1 - o mas"/>
    <s v="&gt;8,1"/>
    <x v="0"/>
    <s v="mas de 8"/>
    <n v="3"/>
    <s v="NPH"/>
    <x v="0"/>
    <n v="60"/>
    <n v="7.21"/>
    <n v="432.6"/>
    <n v="4.2937965260545905"/>
    <x v="1"/>
    <s v="SEGÚN TABLA"/>
    <s v="METFORMINA"/>
    <n v="2000"/>
    <n v="3.2199999999999999E-2"/>
    <n v="64.400000000000006"/>
    <n v="0.6392059553349877"/>
    <x v="0"/>
    <s v="GLICLAZIDA"/>
    <n v="1.069"/>
    <n v="64.14"/>
    <n v="0.63662531017369728"/>
    <s v="SI"/>
    <n v="60"/>
    <m/>
    <s v="SITAGLIPTINA"/>
    <n v="100"/>
    <n v="5.4"/>
    <n v="540"/>
    <n v="5.3598014888337469"/>
    <x v="1"/>
    <m/>
    <m/>
    <x v="0"/>
    <m/>
    <m/>
    <n v="0"/>
    <n v="3"/>
  </r>
  <r>
    <s v="PEREYRA"/>
    <s v="HUMBERTO ERNESTO"/>
    <n v="1"/>
    <x v="11"/>
    <x v="0"/>
    <s v="65-74"/>
    <x v="0"/>
    <s v="No"/>
    <x v="1"/>
    <n v="1"/>
    <s v="18000a23000"/>
    <n v="2019"/>
    <m/>
    <n v="2"/>
    <n v="67"/>
    <n v="97.5"/>
    <n v="1.6"/>
    <x v="145"/>
    <x v="1"/>
    <x v="1"/>
    <s v="Si"/>
    <x v="0"/>
    <s v="N/A"/>
    <d v="2021-09-02T00:00:00"/>
    <n v="6.6"/>
    <s v="4,5-7"/>
    <s v="&lt;7"/>
    <x v="1"/>
    <s v="Menor a 7"/>
    <n v="1"/>
    <s v="NPH"/>
    <x v="0"/>
    <n v="20"/>
    <n v="7.21"/>
    <n v="144.19999999999999"/>
    <n v="1.4312655086848634"/>
    <x v="0"/>
    <m/>
    <s v="METFORMINA"/>
    <n v="1700"/>
    <n v="3.2199999999999999E-2"/>
    <n v="54.74"/>
    <n v="0.54332506203473951"/>
    <x v="0"/>
    <m/>
    <m/>
    <m/>
    <n v="0"/>
    <s v="NO"/>
    <m/>
    <m/>
    <m/>
    <m/>
    <m/>
    <m/>
    <n v="0"/>
    <x v="0"/>
    <m/>
    <m/>
    <x v="0"/>
    <m/>
    <m/>
    <n v="0"/>
    <n v="1"/>
  </r>
  <r>
    <s v="PEREZ"/>
    <s v="ROBERTO HUGO"/>
    <n v="1"/>
    <x v="20"/>
    <x v="1"/>
    <s v="75-84"/>
    <x v="0"/>
    <s v="No"/>
    <x v="1"/>
    <n v="1"/>
    <s v="18000a23000"/>
    <n v="1996"/>
    <m/>
    <n v="25"/>
    <n v="53"/>
    <n v="112.2"/>
    <n v="1.82"/>
    <x v="146"/>
    <x v="1"/>
    <x v="1"/>
    <s v="Si"/>
    <x v="0"/>
    <s v="N/A"/>
    <d v="2021-09-02T00:00:00"/>
    <n v="9.6999999999999993"/>
    <s v="9,1-11"/>
    <s v="&gt;8,1"/>
    <x v="2"/>
    <s v="mas de 8"/>
    <n v="2"/>
    <s v="DETEMIR"/>
    <x v="1"/>
    <n v="100"/>
    <n v="13.54"/>
    <n v="1354"/>
    <n v="13.439205955334987"/>
    <x v="0"/>
    <m/>
    <s v="METFORMINA"/>
    <n v="850"/>
    <n v="3.2199999999999999E-2"/>
    <n v="27.37"/>
    <n v="0.27166253101736976"/>
    <x v="0"/>
    <m/>
    <m/>
    <m/>
    <n v="0"/>
    <s v="NO"/>
    <m/>
    <m/>
    <m/>
    <m/>
    <m/>
    <m/>
    <n v="0"/>
    <x v="0"/>
    <m/>
    <m/>
    <x v="0"/>
    <m/>
    <m/>
    <n v="0"/>
    <n v="1"/>
  </r>
  <r>
    <s v="PEREZ"/>
    <s v="AGUSTIN"/>
    <n v="1"/>
    <x v="17"/>
    <x v="1"/>
    <s v="75-84"/>
    <x v="0"/>
    <s v="No"/>
    <x v="2"/>
    <n v="1"/>
    <s v="18000a23000"/>
    <m/>
    <m/>
    <m/>
    <n v="81"/>
    <n v="93"/>
    <n v="1.66"/>
    <x v="147"/>
    <x v="0"/>
    <x v="1"/>
    <s v="Si"/>
    <x v="0"/>
    <s v="N/A"/>
    <d v="2021-07-15T00:00:00"/>
    <n v="7"/>
    <s v="4,5-7"/>
    <s v="&lt;7"/>
    <x v="1"/>
    <s v="7a7,5"/>
    <n v="1"/>
    <s v="NPH"/>
    <x v="0"/>
    <n v="30"/>
    <n v="7.21"/>
    <n v="216.3"/>
    <n v="2.1468982630272953"/>
    <x v="1"/>
    <n v="6"/>
    <s v="No"/>
    <m/>
    <n v="3.2199999999999999E-2"/>
    <n v="0"/>
    <n v="0"/>
    <x v="1"/>
    <m/>
    <m/>
    <m/>
    <n v="0"/>
    <s v="NO"/>
    <m/>
    <m/>
    <m/>
    <m/>
    <m/>
    <m/>
    <n v="0"/>
    <x v="0"/>
    <m/>
    <m/>
    <x v="0"/>
    <m/>
    <m/>
    <n v="0"/>
    <n v="0"/>
  </r>
  <r>
    <s v="PINTO SANCHEZ"/>
    <s v="ERNESTO"/>
    <n v="1"/>
    <x v="4"/>
    <x v="0"/>
    <s v="65-74"/>
    <x v="0"/>
    <s v="No"/>
    <x v="1"/>
    <n v="1"/>
    <s v="18000a23000"/>
    <n v="2013"/>
    <m/>
    <n v="8"/>
    <n v="60"/>
    <n v="84.4"/>
    <n v="1.54"/>
    <x v="148"/>
    <x v="1"/>
    <x v="1"/>
    <s v="Si"/>
    <x v="0"/>
    <s v="N/A"/>
    <d v="2021-07-15T00:00:00"/>
    <n v="12.3"/>
    <s v="11,1 - o mas"/>
    <s v="&gt;8,1"/>
    <x v="0"/>
    <s v="mas de 8"/>
    <n v="3"/>
    <s v="GLARGINA"/>
    <x v="1"/>
    <n v="40"/>
    <n v="14.66"/>
    <n v="586.4"/>
    <n v="5.820347394540943"/>
    <x v="1"/>
    <s v="SEGÚN TABLA"/>
    <s v="METFORMINA"/>
    <n v="1000"/>
    <n v="3.2199999999999999E-2"/>
    <n v="32.200000000000003"/>
    <n v="0.31960297766749385"/>
    <x v="0"/>
    <m/>
    <m/>
    <m/>
    <n v="0"/>
    <s v="NO"/>
    <m/>
    <m/>
    <m/>
    <m/>
    <m/>
    <m/>
    <n v="0"/>
    <x v="0"/>
    <m/>
    <m/>
    <x v="0"/>
    <m/>
    <m/>
    <n v="0"/>
    <n v="1"/>
  </r>
  <r>
    <s v="PORZIO"/>
    <s v="PASCUAL JOSE"/>
    <n v="1"/>
    <x v="5"/>
    <x v="0"/>
    <s v="65-74"/>
    <x v="0"/>
    <s v="No"/>
    <x v="1"/>
    <n v="1"/>
    <s v="18000a23000"/>
    <n v="2009"/>
    <m/>
    <n v="12"/>
    <n v="54"/>
    <n v="93.3"/>
    <n v="1.66"/>
    <x v="149"/>
    <x v="1"/>
    <x v="1"/>
    <s v="Si"/>
    <x v="0"/>
    <s v="N/A"/>
    <d v="2021-08-19T00:00:00"/>
    <n v="11.4"/>
    <s v="11,1 - o mas"/>
    <s v="&gt;8,1"/>
    <x v="0"/>
    <s v="mas de 8"/>
    <n v="3"/>
    <s v="DEGLUDEC"/>
    <x v="1"/>
    <n v="76"/>
    <n v="15.6"/>
    <n v="1185.5999999999999"/>
    <n v="11.767741935483871"/>
    <x v="1"/>
    <s v="SEGÚN TABLA"/>
    <s v="No"/>
    <m/>
    <n v="3.2199999999999999E-2"/>
    <n v="0"/>
    <n v="0"/>
    <x v="1"/>
    <m/>
    <m/>
    <m/>
    <n v="0"/>
    <s v="NO"/>
    <m/>
    <m/>
    <m/>
    <m/>
    <m/>
    <m/>
    <n v="0"/>
    <x v="0"/>
    <m/>
    <m/>
    <x v="0"/>
    <m/>
    <m/>
    <n v="0"/>
    <n v="0"/>
  </r>
  <r>
    <s v="PRIETO"/>
    <s v="HERIBERTO FELIX"/>
    <n v="1"/>
    <x v="8"/>
    <x v="0"/>
    <s v="65-74"/>
    <x v="0"/>
    <s v="No"/>
    <x v="3"/>
    <n v="1"/>
    <s v="18000a23000"/>
    <n v="1997"/>
    <m/>
    <n v="24"/>
    <n v="41"/>
    <n v="105.5"/>
    <n v="1.72"/>
    <x v="150"/>
    <x v="0"/>
    <x v="1"/>
    <s v="Si"/>
    <x v="0"/>
    <s v="N/A"/>
    <d v="2021-07-08T00:00:00"/>
    <n v="5.6"/>
    <s v="4,5-7"/>
    <s v="&lt;7"/>
    <x v="1"/>
    <s v="Menor a 7"/>
    <n v="1"/>
    <s v="DEGLUDEC"/>
    <x v="1"/>
    <n v="70"/>
    <n v="15.6"/>
    <n v="1092"/>
    <n v="10.838709677419354"/>
    <x v="0"/>
    <m/>
    <s v="METFORMINA"/>
    <n v="1700"/>
    <n v="3.2199999999999999E-2"/>
    <n v="54.74"/>
    <n v="0.54332506203473951"/>
    <x v="0"/>
    <m/>
    <m/>
    <m/>
    <n v="0"/>
    <s v="NO"/>
    <m/>
    <m/>
    <s v="VILDAGLIPTINA"/>
    <n v="100"/>
    <n v="1.84"/>
    <n v="184"/>
    <n v="1.8263027295285359"/>
    <x v="1"/>
    <m/>
    <m/>
    <x v="0"/>
    <m/>
    <m/>
    <n v="0"/>
    <n v="2"/>
  </r>
  <r>
    <s v="PUCHI"/>
    <s v="VALERIO ROSA VERONICA"/>
    <n v="1"/>
    <x v="14"/>
    <x v="2"/>
    <s v="65-74"/>
    <x v="1"/>
    <s v="No"/>
    <x v="1"/>
    <n v="1"/>
    <s v="18000a23000"/>
    <n v="2010"/>
    <m/>
    <n v="11"/>
    <n v="61"/>
    <n v="93.5"/>
    <n v="1.5"/>
    <x v="151"/>
    <x v="0"/>
    <x v="1"/>
    <s v="Si"/>
    <x v="0"/>
    <s v="N/A"/>
    <d v="2021-07-26T00:00:00"/>
    <n v="8.8000000000000007"/>
    <s v="7,1-9"/>
    <s v="&gt;8,1"/>
    <x v="2"/>
    <s v="mas de 8"/>
    <n v="2"/>
    <s v="DEGLUDEC"/>
    <x v="1"/>
    <n v="12"/>
    <n v="15.6"/>
    <n v="187.2"/>
    <n v="1.8580645161290321"/>
    <x v="1"/>
    <s v="SEGÚN TABLA"/>
    <s v="METFORMINA"/>
    <n v="2000"/>
    <n v="3.2199999999999999E-2"/>
    <n v="64.400000000000006"/>
    <n v="0.6392059553349877"/>
    <x v="0"/>
    <m/>
    <m/>
    <m/>
    <n v="0"/>
    <s v="NO"/>
    <m/>
    <m/>
    <m/>
    <m/>
    <m/>
    <m/>
    <n v="0"/>
    <x v="0"/>
    <m/>
    <m/>
    <x v="0"/>
    <m/>
    <m/>
    <n v="0"/>
    <n v="1"/>
  </r>
  <r>
    <s v="QUINTEROS"/>
    <s v="CRISTINA DEL CARMEN"/>
    <n v="1"/>
    <x v="4"/>
    <x v="0"/>
    <s v="65-74"/>
    <x v="1"/>
    <s v="No"/>
    <x v="1"/>
    <n v="1"/>
    <s v="18000a23000"/>
    <n v="2001"/>
    <m/>
    <n v="20"/>
    <n v="48"/>
    <n v="79.8"/>
    <n v="1.52"/>
    <x v="152"/>
    <x v="1"/>
    <x v="1"/>
    <s v="Si"/>
    <x v="0"/>
    <s v="N/A"/>
    <d v="2021-07-26T00:00:00"/>
    <n v="10.6"/>
    <s v="9,1-11"/>
    <s v="&gt;8,1"/>
    <x v="0"/>
    <s v="mas de 8"/>
    <n v="2"/>
    <s v="GLARGINA"/>
    <x v="1"/>
    <n v="30"/>
    <n v="14.66"/>
    <n v="439.8"/>
    <n v="4.3652605459057074"/>
    <x v="1"/>
    <n v="10"/>
    <s v="METFORMINA"/>
    <n v="1700"/>
    <n v="3.2199999999999999E-2"/>
    <n v="54.74"/>
    <n v="0.54332506203473951"/>
    <x v="0"/>
    <m/>
    <m/>
    <m/>
    <n v="0"/>
    <s v="NO"/>
    <m/>
    <m/>
    <m/>
    <m/>
    <m/>
    <m/>
    <n v="0"/>
    <x v="0"/>
    <m/>
    <m/>
    <x v="0"/>
    <m/>
    <m/>
    <n v="0"/>
    <n v="1"/>
  </r>
  <r>
    <s v="RAMALLO"/>
    <s v="ALBERTO MARIA PIO"/>
    <n v="1"/>
    <x v="17"/>
    <x v="1"/>
    <s v="75-84"/>
    <x v="0"/>
    <s v="No"/>
    <x v="3"/>
    <n v="1"/>
    <s v="18000a23000"/>
    <n v="2010"/>
    <m/>
    <n v="11"/>
    <n v="70"/>
    <n v="86"/>
    <n v="1.68"/>
    <x v="153"/>
    <x v="1"/>
    <x v="1"/>
    <s v="Si"/>
    <x v="0"/>
    <s v="N/A"/>
    <d v="2021-08-05T00:00:00"/>
    <n v="13.5"/>
    <s v="11,1 - o mas"/>
    <s v="&gt;8,1"/>
    <x v="0"/>
    <s v="mas de 8"/>
    <n v="3"/>
    <s v="DEGLUDEC"/>
    <x v="1"/>
    <n v="80"/>
    <n v="15.6"/>
    <n v="1248"/>
    <n v="12.387096774193548"/>
    <x v="1"/>
    <s v="SEGÚN TABLA"/>
    <s v="No"/>
    <m/>
    <n v="3.2199999999999999E-2"/>
    <n v="0"/>
    <n v="0"/>
    <x v="1"/>
    <s v="GLICLAZIDA"/>
    <n v="1.069"/>
    <n v="64.14"/>
    <n v="0.63662531017369728"/>
    <s v="SI"/>
    <n v="60"/>
    <m/>
    <m/>
    <m/>
    <m/>
    <m/>
    <n v="0"/>
    <x v="0"/>
    <m/>
    <m/>
    <x v="0"/>
    <m/>
    <m/>
    <n v="0"/>
    <n v="1"/>
  </r>
  <r>
    <s v="RASICH"/>
    <s v="NORMA ESTER"/>
    <n v="1"/>
    <x v="4"/>
    <x v="0"/>
    <s v="65-74"/>
    <x v="1"/>
    <s v="No"/>
    <x v="1"/>
    <n v="1"/>
    <s v="18000a23000"/>
    <n v="1991"/>
    <m/>
    <n v="30"/>
    <n v="38"/>
    <n v="91"/>
    <n v="1.51"/>
    <x v="154"/>
    <x v="0"/>
    <x v="1"/>
    <s v="Si"/>
    <x v="0"/>
    <s v="N/A"/>
    <d v="2021-07-08T00:00:00"/>
    <n v="7.6"/>
    <s v="7,1-9"/>
    <s v="7,1-8"/>
    <x v="2"/>
    <s v="7,6-8"/>
    <n v="2"/>
    <s v="BIFASICA"/>
    <x v="0"/>
    <n v="81"/>
    <n v="13.87"/>
    <n v="1123.47"/>
    <n v="11.15106699751861"/>
    <x v="1"/>
    <s v="SEGÚN TABLA"/>
    <s v="METFORMINA"/>
    <n v="1000"/>
    <n v="3.2199999999999999E-2"/>
    <n v="32.200000000000003"/>
    <n v="0.31960297766749385"/>
    <x v="0"/>
    <m/>
    <m/>
    <m/>
    <n v="0"/>
    <s v="NO"/>
    <m/>
    <m/>
    <m/>
    <m/>
    <m/>
    <m/>
    <n v="0"/>
    <x v="0"/>
    <m/>
    <m/>
    <x v="0"/>
    <m/>
    <m/>
    <n v="0"/>
    <n v="1"/>
  </r>
  <r>
    <s v="REINOZO"/>
    <s v="NELIDA DEL VALLE"/>
    <n v="1"/>
    <x v="10"/>
    <x v="2"/>
    <s v="65-74"/>
    <x v="1"/>
    <s v="Si"/>
    <x v="2"/>
    <n v="2"/>
    <s v="23001-46000"/>
    <n v="2000"/>
    <m/>
    <n v="21"/>
    <n v="50"/>
    <n v="91"/>
    <n v="1.56"/>
    <x v="155"/>
    <x v="1"/>
    <x v="1"/>
    <s v="Si"/>
    <x v="0"/>
    <s v="N/A"/>
    <d v="2021-07-15T00:00:00"/>
    <n v="10.1"/>
    <s v="9,1-11"/>
    <s v="&gt;8,1"/>
    <x v="0"/>
    <s v="mas de 8"/>
    <n v="2"/>
    <s v="DEGLUDEC"/>
    <x v="1"/>
    <n v="65"/>
    <n v="15.6"/>
    <n v="1014"/>
    <n v="10.064516129032258"/>
    <x v="1"/>
    <n v="7"/>
    <s v="METFORMINA"/>
    <n v="1000"/>
    <n v="3.2199999999999999E-2"/>
    <n v="32.200000000000003"/>
    <n v="0.31960297766749385"/>
    <x v="0"/>
    <m/>
    <m/>
    <m/>
    <n v="0"/>
    <s v="NO"/>
    <m/>
    <m/>
    <m/>
    <m/>
    <m/>
    <m/>
    <n v="0"/>
    <x v="0"/>
    <m/>
    <m/>
    <x v="0"/>
    <m/>
    <m/>
    <n v="0"/>
    <n v="1"/>
  </r>
  <r>
    <s v="REQUIERE"/>
    <s v="STELLA MARIS"/>
    <n v="1"/>
    <x v="10"/>
    <x v="2"/>
    <s v="65-74"/>
    <x v="1"/>
    <s v="No"/>
    <x v="3"/>
    <n v="1"/>
    <s v="18000a23000"/>
    <n v="1992"/>
    <m/>
    <n v="29"/>
    <n v="42"/>
    <n v="62.3"/>
    <n v="1.51"/>
    <x v="156"/>
    <x v="0"/>
    <x v="0"/>
    <s v="Si"/>
    <x v="0"/>
    <n v="10"/>
    <d v="2021-08-19T00:00:00"/>
    <n v="14.3"/>
    <s v="11,1 - o mas"/>
    <s v="&gt;8,1"/>
    <x v="0"/>
    <s v="mas de 8"/>
    <n v="3"/>
    <s v="GLARGINA"/>
    <x v="1"/>
    <n v="14"/>
    <n v="14.66"/>
    <n v="205.24"/>
    <n v="2.0371215880893301"/>
    <x v="1"/>
    <s v="SEGÚN TABLA"/>
    <s v="METFORMINA"/>
    <n v="1000"/>
    <n v="3.2199999999999999E-2"/>
    <n v="32.200000000000003"/>
    <n v="0.31960297766749385"/>
    <x v="0"/>
    <m/>
    <m/>
    <m/>
    <n v="0"/>
    <s v="NO"/>
    <m/>
    <m/>
    <m/>
    <m/>
    <m/>
    <m/>
    <n v="0"/>
    <x v="0"/>
    <m/>
    <m/>
    <x v="0"/>
    <m/>
    <m/>
    <n v="0"/>
    <n v="1"/>
  </r>
  <r>
    <s v="REYNOSO"/>
    <s v="NELIDA LORETA"/>
    <n v="1"/>
    <x v="16"/>
    <x v="2"/>
    <s v="75-84"/>
    <x v="1"/>
    <s v="No"/>
    <x v="1"/>
    <n v="1"/>
    <s v="18000a23000"/>
    <n v="1980"/>
    <m/>
    <n v="41"/>
    <n v="34"/>
    <n v="76.7"/>
    <n v="1.58"/>
    <x v="157"/>
    <x v="0"/>
    <x v="1"/>
    <s v="Si"/>
    <x v="0"/>
    <s v="N/A"/>
    <d v="2021-07-08T00:00:00"/>
    <n v="8.8000000000000007"/>
    <s v="7,1-9"/>
    <s v="&gt;8,1"/>
    <x v="2"/>
    <s v="mas de 8"/>
    <n v="2"/>
    <s v="DEGLUDEC"/>
    <x v="1"/>
    <n v="30"/>
    <n v="15.6"/>
    <n v="468"/>
    <n v="4.645161290322581"/>
    <x v="1"/>
    <n v="10"/>
    <s v="METFORMINA"/>
    <n v="1700"/>
    <n v="3.2199999999999999E-2"/>
    <n v="54.74"/>
    <n v="0.54332506203473951"/>
    <x v="0"/>
    <m/>
    <m/>
    <m/>
    <n v="0"/>
    <s v="NO"/>
    <m/>
    <m/>
    <s v="SITAGLIPTINA"/>
    <n v="100"/>
    <n v="5.4"/>
    <n v="540"/>
    <n v="5.3598014888337469"/>
    <x v="1"/>
    <m/>
    <m/>
    <x v="0"/>
    <m/>
    <m/>
    <n v="0"/>
    <n v="2"/>
  </r>
  <r>
    <s v="RICARDO"/>
    <s v="ABEL"/>
    <n v="1"/>
    <x v="10"/>
    <x v="2"/>
    <s v="65-74"/>
    <x v="0"/>
    <s v="No"/>
    <x v="0"/>
    <n v="3"/>
    <s v="46001-69000"/>
    <n v="2011"/>
    <m/>
    <n v="10"/>
    <n v="61"/>
    <n v="95.4"/>
    <n v="1.71"/>
    <x v="158"/>
    <x v="1"/>
    <x v="1"/>
    <s v="No"/>
    <x v="0"/>
    <s v="N/A"/>
    <d v="2021-07-15T00:00:00"/>
    <n v="10.5"/>
    <s v="9,1-11"/>
    <s v="&gt;8,1"/>
    <x v="0"/>
    <s v="mas de 8"/>
    <n v="2"/>
    <s v="GLARGINA"/>
    <x v="1"/>
    <n v="48"/>
    <n v="14.66"/>
    <n v="703.68000000000006"/>
    <n v="6.9844168734491321"/>
    <x v="0"/>
    <m/>
    <s v="METFORMINA"/>
    <n v="2000"/>
    <n v="3.2199999999999999E-2"/>
    <n v="64.400000000000006"/>
    <n v="0.6392059553349877"/>
    <x v="0"/>
    <m/>
    <m/>
    <m/>
    <n v="0"/>
    <s v="NO"/>
    <m/>
    <m/>
    <m/>
    <m/>
    <m/>
    <m/>
    <n v="0"/>
    <x v="0"/>
    <m/>
    <m/>
    <x v="0"/>
    <m/>
    <m/>
    <n v="0"/>
    <n v="1"/>
  </r>
  <r>
    <s v="ROBERTS"/>
    <s v="OLGA AURORA"/>
    <n v="1"/>
    <x v="10"/>
    <x v="2"/>
    <s v="65-74"/>
    <x v="1"/>
    <s v="No"/>
    <x v="2"/>
    <n v="1"/>
    <s v="18000a23000"/>
    <n v="1995"/>
    <m/>
    <n v="26"/>
    <n v="45"/>
    <n v="71"/>
    <n v="1.61"/>
    <x v="159"/>
    <x v="1"/>
    <x v="0"/>
    <s v="Si"/>
    <x v="0"/>
    <s v="N/A"/>
    <d v="2021-08-19T00:00:00"/>
    <n v="8.1"/>
    <s v="7,1-9"/>
    <s v="&gt;8,1"/>
    <x v="2"/>
    <s v="mas de 8"/>
    <n v="2"/>
    <s v="GLARGINA"/>
    <x v="1"/>
    <n v="40"/>
    <n v="14.66"/>
    <n v="586.4"/>
    <n v="5.820347394540943"/>
    <x v="0"/>
    <m/>
    <s v="METFORMINA"/>
    <n v="1000"/>
    <n v="3.2199999999999999E-2"/>
    <n v="32.200000000000003"/>
    <n v="0.31960297766749385"/>
    <x v="0"/>
    <m/>
    <m/>
    <m/>
    <n v="0"/>
    <s v="NO"/>
    <m/>
    <m/>
    <m/>
    <m/>
    <m/>
    <m/>
    <n v="0"/>
    <x v="0"/>
    <m/>
    <m/>
    <x v="0"/>
    <m/>
    <m/>
    <n v="0"/>
    <n v="1"/>
  </r>
  <r>
    <s v="RODRIGUEZ"/>
    <s v="MARIA CRISTINA"/>
    <n v="1"/>
    <x v="7"/>
    <x v="0"/>
    <s v="65-74"/>
    <x v="1"/>
    <s v="No"/>
    <x v="0"/>
    <n v="2"/>
    <s v="23001-46000"/>
    <n v="2009"/>
    <m/>
    <n v="12"/>
    <n v="55"/>
    <n v="90.8"/>
    <n v="1.63"/>
    <x v="160"/>
    <x v="0"/>
    <x v="1"/>
    <s v="Si"/>
    <x v="0"/>
    <m/>
    <d v="2021-07-08T00:00:00"/>
    <n v="14.4"/>
    <s v="11,1 - o mas"/>
    <s v="&gt;8,1"/>
    <x v="0"/>
    <s v="mas de 8"/>
    <n v="3"/>
    <s v="GLARGINA"/>
    <x v="1"/>
    <n v="80"/>
    <n v="14.66"/>
    <n v="1172.8"/>
    <n v="11.640694789081886"/>
    <x v="1"/>
    <n v="4"/>
    <s v="METFORMINA"/>
    <n v="1700"/>
    <n v="3.2199999999999999E-2"/>
    <n v="54.74"/>
    <n v="0.54332506203473951"/>
    <x v="0"/>
    <m/>
    <m/>
    <m/>
    <n v="0"/>
    <s v="NO"/>
    <m/>
    <m/>
    <s v="SITAGLIPTINA"/>
    <n v="100"/>
    <n v="5.4"/>
    <n v="540"/>
    <n v="5.3598014888337469"/>
    <x v="1"/>
    <m/>
    <m/>
    <x v="0"/>
    <m/>
    <m/>
    <n v="0"/>
    <n v="2"/>
  </r>
  <r>
    <s v="RODRIGUEZ"/>
    <s v="DELIA ALICIA"/>
    <n v="1"/>
    <x v="16"/>
    <x v="2"/>
    <s v="75-84"/>
    <x v="1"/>
    <s v="No"/>
    <x v="1"/>
    <n v="1"/>
    <s v="18000a23000"/>
    <n v="1990"/>
    <m/>
    <n v="31"/>
    <n v="44"/>
    <n v="89"/>
    <n v="1.56"/>
    <x v="161"/>
    <x v="0"/>
    <x v="1"/>
    <s v="Si"/>
    <x v="1"/>
    <n v="43"/>
    <d v="2021-07-15T00:00:00"/>
    <n v="7.5"/>
    <s v="7,1-9"/>
    <s v="7,1-8"/>
    <x v="1"/>
    <s v="7a7,5"/>
    <n v="1"/>
    <s v="GLARGINA"/>
    <x v="1"/>
    <n v="52"/>
    <n v="14.66"/>
    <n v="762.32"/>
    <n v="7.5664516129032267"/>
    <x v="1"/>
    <s v="SEGÚN TABLA"/>
    <s v="METFORMINA"/>
    <n v="3000"/>
    <n v="3.2199999999999999E-2"/>
    <n v="96.6"/>
    <n v="0.95880893300248138"/>
    <x v="0"/>
    <m/>
    <m/>
    <m/>
    <n v="0"/>
    <s v="NO"/>
    <m/>
    <m/>
    <m/>
    <m/>
    <m/>
    <m/>
    <n v="0"/>
    <x v="0"/>
    <m/>
    <m/>
    <x v="0"/>
    <m/>
    <m/>
    <n v="0"/>
    <n v="1"/>
  </r>
  <r>
    <s v="RODRIGUEZ"/>
    <s v="TERESA MARGARITA"/>
    <n v="1"/>
    <x v="12"/>
    <x v="2"/>
    <s v="65-74"/>
    <x v="1"/>
    <s v="No"/>
    <x v="1"/>
    <n v="1"/>
    <s v="18000a23000"/>
    <n v="2003"/>
    <m/>
    <n v="18"/>
    <n v="56"/>
    <n v="74.2"/>
    <n v="1.55"/>
    <x v="162"/>
    <x v="0"/>
    <x v="1"/>
    <s v="Si"/>
    <x v="0"/>
    <s v="N/A"/>
    <d v="2021-08-19T00:00:00"/>
    <n v="10.1"/>
    <s v="9,1-11"/>
    <s v="&gt;8,1"/>
    <x v="0"/>
    <s v="mas de 8"/>
    <n v="2"/>
    <s v="GLARGINA"/>
    <x v="1"/>
    <n v="18"/>
    <n v="14.66"/>
    <n v="263.88"/>
    <n v="2.6191563275434242"/>
    <x v="0"/>
    <m/>
    <s v="METFORMINA"/>
    <n v="2000"/>
    <n v="3.2199999999999999E-2"/>
    <n v="64.400000000000006"/>
    <n v="0.6392059553349877"/>
    <x v="0"/>
    <s v="GLICLAZIDA"/>
    <n v="1.069"/>
    <n v="128.28"/>
    <n v="1.2732506203473946"/>
    <s v="SI"/>
    <n v="120"/>
    <m/>
    <m/>
    <m/>
    <m/>
    <m/>
    <n v="0"/>
    <x v="0"/>
    <m/>
    <m/>
    <x v="0"/>
    <m/>
    <m/>
    <n v="0"/>
    <n v="2"/>
  </r>
  <r>
    <s v="ROLON"/>
    <s v="FRANCISCO ESPERANZA"/>
    <n v="1"/>
    <x v="12"/>
    <x v="2"/>
    <s v="65-74"/>
    <x v="0"/>
    <s v="No"/>
    <x v="1"/>
    <n v="1"/>
    <s v="18000a23000"/>
    <n v="1994"/>
    <m/>
    <n v="27"/>
    <n v="47"/>
    <n v="90.5"/>
    <n v="1.73"/>
    <x v="163"/>
    <x v="0"/>
    <x v="1"/>
    <s v="Si"/>
    <x v="0"/>
    <s v="N/A"/>
    <d v="2021-08-19T00:00:00"/>
    <n v="10.7"/>
    <s v="9,1-11"/>
    <s v="&gt;8,1"/>
    <x v="0"/>
    <s v="mas de 8"/>
    <n v="2"/>
    <s v="NPH"/>
    <x v="0"/>
    <n v="118"/>
    <n v="7.21"/>
    <n v="850.78"/>
    <n v="8.4444665012406936"/>
    <x v="1"/>
    <s v="SEGÚN TABLA"/>
    <s v="METFORMINA"/>
    <n v="2000"/>
    <n v="3.2199999999999999E-2"/>
    <n v="64.400000000000006"/>
    <n v="0.6392059553349877"/>
    <x v="0"/>
    <m/>
    <m/>
    <m/>
    <n v="0"/>
    <s v="NO"/>
    <m/>
    <m/>
    <m/>
    <m/>
    <m/>
    <m/>
    <n v="0"/>
    <x v="0"/>
    <m/>
    <m/>
    <x v="0"/>
    <m/>
    <m/>
    <n v="0"/>
    <n v="1"/>
  </r>
  <r>
    <s v="ROMAN"/>
    <s v="HUGO LUIS"/>
    <n v="1"/>
    <x v="6"/>
    <x v="1"/>
    <s v="75-84"/>
    <x v="0"/>
    <s v="No"/>
    <x v="3"/>
    <n v="3"/>
    <s v="46001-69000"/>
    <n v="2000"/>
    <m/>
    <n v="21"/>
    <n v="56"/>
    <n v="87.2"/>
    <n v="1.59"/>
    <x v="164"/>
    <x v="0"/>
    <x v="1"/>
    <s v="Si"/>
    <x v="0"/>
    <s v="N/A"/>
    <m/>
    <n v="11.2"/>
    <s v="11,1 - o mas"/>
    <s v="&gt;8,1"/>
    <x v="0"/>
    <s v="mas de 8"/>
    <n v="3"/>
    <s v="GLARGINA"/>
    <x v="1"/>
    <n v="45"/>
    <n v="14.66"/>
    <n v="659.7"/>
    <n v="6.5478908188585612"/>
    <x v="1"/>
    <s v="SEGÚN TABLA"/>
    <s v="No"/>
    <m/>
    <n v="3.2199999999999999E-2"/>
    <n v="0"/>
    <n v="0"/>
    <x v="1"/>
    <m/>
    <m/>
    <m/>
    <n v="0"/>
    <s v="NO"/>
    <m/>
    <m/>
    <m/>
    <m/>
    <m/>
    <m/>
    <n v="0"/>
    <x v="0"/>
    <m/>
    <m/>
    <x v="0"/>
    <m/>
    <m/>
    <n v="0"/>
    <n v="0"/>
  </r>
  <r>
    <s v="ROMERO"/>
    <s v="ESTELA RAMONA"/>
    <n v="1"/>
    <x v="17"/>
    <x v="1"/>
    <s v="75-84"/>
    <x v="1"/>
    <s v="No"/>
    <x v="1"/>
    <n v="1"/>
    <s v="18000a23000"/>
    <n v="2009"/>
    <m/>
    <n v="12"/>
    <n v="69"/>
    <n v="80.900000000000006"/>
    <n v="1.55"/>
    <x v="165"/>
    <x v="0"/>
    <x v="1"/>
    <s v="Si"/>
    <x v="0"/>
    <s v="N/A"/>
    <d v="2021-07-08T00:00:00"/>
    <n v="10.7"/>
    <s v="9,1-11"/>
    <s v="&gt;8,1"/>
    <x v="0"/>
    <s v="mas de 8"/>
    <n v="2"/>
    <s v="DEGLUDEC"/>
    <x v="1"/>
    <n v="36"/>
    <n v="15.6"/>
    <n v="561.6"/>
    <n v="5.5741935483870968"/>
    <x v="0"/>
    <m/>
    <s v="METFORMINA"/>
    <n v="1000"/>
    <n v="3.2199999999999999E-2"/>
    <n v="32.200000000000003"/>
    <n v="0.31960297766749385"/>
    <x v="0"/>
    <m/>
    <m/>
    <m/>
    <n v="0"/>
    <s v="NO"/>
    <m/>
    <m/>
    <m/>
    <m/>
    <m/>
    <m/>
    <n v="0"/>
    <x v="0"/>
    <m/>
    <m/>
    <x v="0"/>
    <m/>
    <m/>
    <n v="0"/>
    <n v="1"/>
  </r>
  <r>
    <s v="ROMERO"/>
    <s v="ANA"/>
    <n v="1"/>
    <x v="24"/>
    <x v="1"/>
    <s v="85-o mas"/>
    <x v="1"/>
    <s v="No"/>
    <x v="0"/>
    <n v="2"/>
    <s v="23001-46000"/>
    <n v="2017"/>
    <m/>
    <n v="4"/>
    <n v="82"/>
    <n v="84.7"/>
    <n v="1.56"/>
    <x v="166"/>
    <x v="0"/>
    <x v="1"/>
    <s v="Si"/>
    <x v="0"/>
    <s v="N/A"/>
    <d v="2021-07-15T00:00:00"/>
    <n v="9.1"/>
    <s v="9,1-11"/>
    <s v="&gt;8,1"/>
    <x v="2"/>
    <s v="mas de 8"/>
    <n v="2"/>
    <s v="GLARGINA"/>
    <x v="1"/>
    <n v="40"/>
    <n v="14.66"/>
    <n v="586.4"/>
    <n v="5.820347394540943"/>
    <x v="0"/>
    <m/>
    <s v="METFORMINA"/>
    <n v="2000"/>
    <n v="3.2199999999999999E-2"/>
    <n v="64.400000000000006"/>
    <n v="0.6392059553349877"/>
    <x v="0"/>
    <m/>
    <m/>
    <m/>
    <n v="0"/>
    <s v="NO"/>
    <m/>
    <m/>
    <m/>
    <m/>
    <m/>
    <m/>
    <n v="0"/>
    <x v="0"/>
    <m/>
    <m/>
    <x v="0"/>
    <m/>
    <m/>
    <n v="0"/>
    <n v="1"/>
  </r>
  <r>
    <s v="ROMERO LOPEZ"/>
    <s v="FRANCISCO ANTONIO"/>
    <n v="1"/>
    <x v="14"/>
    <x v="2"/>
    <s v="65-74"/>
    <x v="0"/>
    <s v="No"/>
    <x v="1"/>
    <n v="1"/>
    <s v="18000a23000"/>
    <n v="1986"/>
    <m/>
    <n v="35"/>
    <n v="37"/>
    <n v="90.2"/>
    <n v="1.71"/>
    <x v="167"/>
    <x v="1"/>
    <x v="1"/>
    <s v="Si"/>
    <x v="0"/>
    <s v="N/A"/>
    <d v="2021-07-08T00:00:00"/>
    <n v="8.6999999999999993"/>
    <s v="7,1-9"/>
    <s v="&gt;8,1"/>
    <x v="2"/>
    <s v="mas de 8"/>
    <n v="2"/>
    <s v="GLARGINA"/>
    <x v="1"/>
    <n v="40"/>
    <n v="14.66"/>
    <n v="586.4"/>
    <n v="5.820347394540943"/>
    <x v="1"/>
    <n v="5"/>
    <s v="No"/>
    <m/>
    <n v="3.2199999999999999E-2"/>
    <n v="0"/>
    <n v="0"/>
    <x v="1"/>
    <m/>
    <m/>
    <m/>
    <n v="0"/>
    <s v="NO"/>
    <m/>
    <m/>
    <m/>
    <m/>
    <m/>
    <m/>
    <n v="0"/>
    <x v="0"/>
    <m/>
    <m/>
    <x v="0"/>
    <m/>
    <m/>
    <n v="0"/>
    <n v="0"/>
  </r>
  <r>
    <s v="RONDON"/>
    <s v="MIRTA SUSANA"/>
    <n v="1"/>
    <x v="0"/>
    <x v="0"/>
    <s v="65-74"/>
    <x v="1"/>
    <s v="No"/>
    <x v="1"/>
    <n v="1"/>
    <s v="18000a23000"/>
    <n v="1996"/>
    <m/>
    <n v="25"/>
    <n v="45"/>
    <n v="88"/>
    <n v="1.47"/>
    <x v="168"/>
    <x v="0"/>
    <x v="1"/>
    <s v="Si"/>
    <x v="1"/>
    <n v="12"/>
    <d v="2021-07-08T00:00:00"/>
    <n v="7.4"/>
    <s v="7,1-9"/>
    <s v="7,1-8"/>
    <x v="1"/>
    <s v="7a7,5"/>
    <n v="1"/>
    <s v="GLARGINA"/>
    <x v="1"/>
    <n v="16"/>
    <n v="14.66"/>
    <n v="234.56"/>
    <n v="2.3281389578163774"/>
    <x v="0"/>
    <m/>
    <s v="METFORMINA"/>
    <n v="1000"/>
    <n v="3.2199999999999999E-2"/>
    <n v="32.200000000000003"/>
    <n v="0.31960297766749385"/>
    <x v="0"/>
    <m/>
    <m/>
    <m/>
    <n v="0"/>
    <s v="NO"/>
    <m/>
    <m/>
    <m/>
    <m/>
    <m/>
    <m/>
    <n v="0"/>
    <x v="0"/>
    <m/>
    <m/>
    <x v="0"/>
    <m/>
    <m/>
    <n v="0"/>
    <n v="1"/>
  </r>
  <r>
    <s v="SAAVEDRA"/>
    <s v="OMAR ALBERTO"/>
    <n v="1"/>
    <x v="16"/>
    <x v="2"/>
    <s v="75-84"/>
    <x v="0"/>
    <s v="No"/>
    <x v="3"/>
    <n v="1"/>
    <s v="18000a23000"/>
    <s v="X"/>
    <m/>
    <m/>
    <n v="75"/>
    <n v="81.5"/>
    <n v="1.55"/>
    <x v="169"/>
    <x v="0"/>
    <x v="1"/>
    <s v="Si"/>
    <x v="0"/>
    <s v="N/A"/>
    <d v="2021-07-26T00:00:00"/>
    <n v="8.6999999999999993"/>
    <s v="7,1-9"/>
    <s v="&gt;8,1"/>
    <x v="2"/>
    <s v="mas de 8"/>
    <n v="2"/>
    <s v="DEGLUDEC"/>
    <x v="1"/>
    <n v="40"/>
    <n v="15.6"/>
    <n v="624"/>
    <n v="6.193548387096774"/>
    <x v="0"/>
    <m/>
    <s v="No"/>
    <m/>
    <n v="3.2199999999999999E-2"/>
    <n v="0"/>
    <n v="0"/>
    <x v="1"/>
    <m/>
    <m/>
    <m/>
    <n v="0"/>
    <s v="NO"/>
    <m/>
    <m/>
    <m/>
    <m/>
    <m/>
    <m/>
    <n v="0"/>
    <x v="0"/>
    <m/>
    <m/>
    <x v="0"/>
    <m/>
    <m/>
    <n v="0"/>
    <n v="0"/>
  </r>
  <r>
    <s v="SAIZ"/>
    <s v="EDUARDO DANIEL"/>
    <n v="1"/>
    <x v="10"/>
    <x v="2"/>
    <s v="65-74"/>
    <x v="0"/>
    <s v="Si"/>
    <x v="3"/>
    <n v="4"/>
    <s v="mas de 69000"/>
    <n v="1999"/>
    <m/>
    <n v="22"/>
    <n v="49"/>
    <n v="85.5"/>
    <n v="1.66"/>
    <x v="170"/>
    <x v="0"/>
    <x v="1"/>
    <s v="Si"/>
    <x v="1"/>
    <n v="60"/>
    <d v="2021-07-08T00:00:00"/>
    <n v="12.5"/>
    <s v="11,1 - o mas"/>
    <s v="&gt;8,1"/>
    <x v="0"/>
    <s v="mas de 8"/>
    <n v="3"/>
    <s v="DEGLUDEC"/>
    <x v="1"/>
    <n v="50"/>
    <n v="15.6"/>
    <n v="780"/>
    <n v="7.741935483870968"/>
    <x v="1"/>
    <s v="SEGÚN TABLA"/>
    <s v="METFORMINA"/>
    <n v="500"/>
    <n v="3.2199999999999999E-2"/>
    <n v="16.100000000000001"/>
    <n v="0.15980148883374692"/>
    <x v="0"/>
    <m/>
    <m/>
    <m/>
    <n v="0"/>
    <s v="NO"/>
    <m/>
    <m/>
    <m/>
    <m/>
    <m/>
    <m/>
    <n v="0"/>
    <x v="0"/>
    <m/>
    <m/>
    <x v="0"/>
    <m/>
    <m/>
    <n v="0"/>
    <n v="1"/>
  </r>
  <r>
    <s v="SALINAS"/>
    <s v="NESTOR"/>
    <n v="1"/>
    <x v="18"/>
    <x v="1"/>
    <s v="75-84"/>
    <x v="0"/>
    <s v="No"/>
    <x v="1"/>
    <n v="4"/>
    <s v="mas de 69000"/>
    <n v="2008"/>
    <m/>
    <n v="13"/>
    <n v="66"/>
    <n v="100"/>
    <n v="1.67"/>
    <x v="171"/>
    <x v="0"/>
    <x v="1"/>
    <s v="Si"/>
    <x v="0"/>
    <n v="14"/>
    <d v="2021-07-08T00:00:00"/>
    <n v="6.8"/>
    <s v="4,5-7"/>
    <s v="&lt;7"/>
    <x v="1"/>
    <s v="Menor a 7"/>
    <n v="1"/>
    <s v="GLARGINA"/>
    <x v="1"/>
    <n v="70"/>
    <n v="14.66"/>
    <n v="1026.2"/>
    <n v="10.185607940446651"/>
    <x v="1"/>
    <n v="20"/>
    <s v="No"/>
    <m/>
    <n v="3.2199999999999999E-2"/>
    <n v="0"/>
    <n v="0"/>
    <x v="1"/>
    <m/>
    <m/>
    <m/>
    <n v="0"/>
    <s v="NO"/>
    <m/>
    <m/>
    <m/>
    <m/>
    <m/>
    <m/>
    <n v="0"/>
    <x v="0"/>
    <m/>
    <m/>
    <x v="0"/>
    <m/>
    <m/>
    <n v="0"/>
    <n v="0"/>
  </r>
  <r>
    <s v="SALVADOR"/>
    <s v="FRANCISCO EDUARDO"/>
    <n v="1"/>
    <x v="10"/>
    <x v="2"/>
    <s v="65-74"/>
    <x v="0"/>
    <s v="No"/>
    <x v="1"/>
    <n v="1"/>
    <s v="18000a23000"/>
    <n v="2010"/>
    <m/>
    <n v="11"/>
    <n v="60"/>
    <n v="114"/>
    <n v="1.8"/>
    <x v="172"/>
    <x v="0"/>
    <x v="1"/>
    <s v="No"/>
    <x v="0"/>
    <s v="N/A"/>
    <d v="2021-08-05T00:00:00"/>
    <n v="9.3000000000000007"/>
    <s v="9,1-11"/>
    <s v="&gt;8,1"/>
    <x v="2"/>
    <s v="mas de 8"/>
    <n v="2"/>
    <s v="DEGLUDEC"/>
    <x v="1"/>
    <n v="70"/>
    <n v="15.6"/>
    <n v="1092"/>
    <n v="10.838709677419354"/>
    <x v="0"/>
    <m/>
    <s v="No"/>
    <m/>
    <n v="3.2199999999999999E-2"/>
    <n v="0"/>
    <n v="0"/>
    <x v="1"/>
    <m/>
    <m/>
    <m/>
    <n v="0"/>
    <s v="NO"/>
    <m/>
    <m/>
    <m/>
    <m/>
    <m/>
    <m/>
    <n v="0"/>
    <x v="0"/>
    <m/>
    <m/>
    <x v="0"/>
    <m/>
    <m/>
    <n v="0"/>
    <n v="0"/>
  </r>
  <r>
    <s v="SIEIRA"/>
    <s v="JOSE"/>
    <n v="1"/>
    <x v="12"/>
    <x v="2"/>
    <s v="65-74"/>
    <x v="0"/>
    <s v="No"/>
    <x v="0"/>
    <n v="1"/>
    <s v="18000a23000"/>
    <n v="1990"/>
    <m/>
    <n v="31"/>
    <n v="43"/>
    <n v="106.7"/>
    <n v="1.64"/>
    <x v="173"/>
    <x v="0"/>
    <x v="1"/>
    <s v="Si"/>
    <x v="0"/>
    <s v="N/A"/>
    <d v="2021-07-08T00:00:00"/>
    <n v="11.7"/>
    <s v="11,1 - o mas"/>
    <s v="&gt;8,1"/>
    <x v="0"/>
    <s v="mas de 8"/>
    <n v="3"/>
    <s v="DEGLUDEC"/>
    <x v="1"/>
    <n v="65"/>
    <n v="15.6"/>
    <n v="1014"/>
    <n v="10.064516129032258"/>
    <x v="1"/>
    <n v="34"/>
    <s v="METFORMINA"/>
    <n v="1700"/>
    <n v="3.2199999999999999E-2"/>
    <n v="54.74"/>
    <n v="0.54332506203473951"/>
    <x v="0"/>
    <m/>
    <m/>
    <m/>
    <n v="0"/>
    <s v="NO"/>
    <m/>
    <m/>
    <m/>
    <m/>
    <m/>
    <m/>
    <n v="0"/>
    <x v="0"/>
    <m/>
    <m/>
    <x v="0"/>
    <m/>
    <m/>
    <n v="0"/>
    <n v="1"/>
  </r>
  <r>
    <s v="SILVA"/>
    <s v="NELIDA"/>
    <n v="1"/>
    <x v="25"/>
    <x v="0"/>
    <s v="55-64"/>
    <x v="1"/>
    <s v="No"/>
    <x v="1"/>
    <n v="2"/>
    <s v="23001-46000"/>
    <n v="2012"/>
    <m/>
    <n v="9"/>
    <n v="46"/>
    <n v="60"/>
    <n v="1.54"/>
    <x v="174"/>
    <x v="1"/>
    <x v="0"/>
    <s v="Si"/>
    <x v="1"/>
    <n v="18"/>
    <d v="2021-08-26T00:00:00"/>
    <n v="10.1"/>
    <s v="9,1-11"/>
    <s v="&gt;8,1"/>
    <x v="0"/>
    <s v="mas de 8"/>
    <n v="2"/>
    <s v="GLARGINA"/>
    <x v="1"/>
    <n v="50"/>
    <n v="14.66"/>
    <n v="733"/>
    <n v="7.2754342431761785"/>
    <x v="0"/>
    <m/>
    <s v="No"/>
    <m/>
    <n v="3.2199999999999999E-2"/>
    <n v="0"/>
    <n v="0"/>
    <x v="1"/>
    <m/>
    <m/>
    <m/>
    <n v="0"/>
    <s v="NO"/>
    <m/>
    <m/>
    <s v="SITAGLIPTINA"/>
    <n v="100"/>
    <n v="5.4"/>
    <n v="540"/>
    <n v="5.3598014888337469"/>
    <x v="1"/>
    <s v="EMPAGLIFOZINA"/>
    <n v="25"/>
    <x v="1"/>
    <m/>
    <m/>
    <n v="0"/>
    <n v="2"/>
  </r>
  <r>
    <s v="SORIA"/>
    <s v="AIDA LUCIA"/>
    <n v="1"/>
    <x v="26"/>
    <x v="1"/>
    <s v="75-84"/>
    <x v="1"/>
    <s v="No"/>
    <x v="1"/>
    <n v="1"/>
    <s v="18000a23000"/>
    <n v="1976"/>
    <m/>
    <n v="45"/>
    <n v="37"/>
    <n v="63.2"/>
    <n v="1.55"/>
    <x v="175"/>
    <x v="0"/>
    <x v="0"/>
    <s v="No"/>
    <x v="0"/>
    <s v="N/A"/>
    <d v="2021-08-26T00:00:00"/>
    <n v="9.9"/>
    <s v="9,1-11"/>
    <s v="&gt;8,1"/>
    <x v="2"/>
    <s v="mas de 8"/>
    <n v="2"/>
    <s v="GLARGINA"/>
    <x v="1"/>
    <n v="54"/>
    <n v="14.66"/>
    <n v="791.64"/>
    <n v="7.857468982630273"/>
    <x v="1"/>
    <n v="15"/>
    <s v="METFORMINA"/>
    <n v="1700"/>
    <n v="3.2199999999999999E-2"/>
    <n v="54.74"/>
    <n v="0.54332506203473951"/>
    <x v="0"/>
    <m/>
    <m/>
    <m/>
    <n v="0"/>
    <s v="NO"/>
    <m/>
    <m/>
    <s v="VILDAGLIPTINA"/>
    <m/>
    <n v="1.84"/>
    <n v="92"/>
    <n v="0.91315136476426795"/>
    <x v="1"/>
    <m/>
    <m/>
    <x v="0"/>
    <m/>
    <m/>
    <n v="0"/>
    <n v="2"/>
  </r>
  <r>
    <s v="SOSA"/>
    <s v="MARIA ANGELICA"/>
    <n v="1"/>
    <x v="12"/>
    <x v="2"/>
    <s v="65-74"/>
    <x v="1"/>
    <s v="Si"/>
    <x v="1"/>
    <n v="1"/>
    <s v="18000a23000"/>
    <n v="1997"/>
    <m/>
    <n v="24"/>
    <n v="50"/>
    <n v="82.5"/>
    <n v="1.5"/>
    <x v="176"/>
    <x v="0"/>
    <x v="1"/>
    <s v="Si"/>
    <x v="0"/>
    <s v="N/A"/>
    <d v="2021-08-26T00:00:00"/>
    <n v="8.1999999999999993"/>
    <s v="7,1-9"/>
    <s v="&gt;8,1"/>
    <x v="2"/>
    <s v="mas de 8"/>
    <n v="2"/>
    <s v="GLARGINA"/>
    <x v="1"/>
    <n v="60"/>
    <n v="14.66"/>
    <n v="879.6"/>
    <n v="8.7305210918114149"/>
    <x v="0"/>
    <m/>
    <s v="METFORMINA"/>
    <n v="2000"/>
    <n v="3.2199999999999999E-2"/>
    <n v="64.400000000000006"/>
    <n v="0.6392059553349877"/>
    <x v="0"/>
    <m/>
    <m/>
    <m/>
    <n v="0"/>
    <s v="NO"/>
    <m/>
    <m/>
    <m/>
    <m/>
    <m/>
    <m/>
    <n v="0"/>
    <x v="0"/>
    <m/>
    <m/>
    <x v="0"/>
    <m/>
    <m/>
    <n v="0"/>
    <n v="1"/>
  </r>
  <r>
    <s v="SOSA"/>
    <s v="MARIA GREGORIA"/>
    <n v="1"/>
    <x v="20"/>
    <x v="1"/>
    <s v="75-84"/>
    <x v="1"/>
    <s v="No"/>
    <x v="1"/>
    <n v="2"/>
    <s v="23001-46000"/>
    <n v="2009"/>
    <m/>
    <n v="12"/>
    <n v="66"/>
    <n v="72"/>
    <n v="1.5"/>
    <x v="177"/>
    <x v="0"/>
    <x v="1"/>
    <s v="Si"/>
    <x v="0"/>
    <s v="N/A"/>
    <d v="2021-09-02T00:00:00"/>
    <n v="7.9"/>
    <s v="7,1-9"/>
    <s v="7,1-8"/>
    <x v="2"/>
    <s v="7,6-8"/>
    <n v="2"/>
    <s v="NPH"/>
    <x v="0"/>
    <n v="28"/>
    <n v="7.21"/>
    <n v="201.88"/>
    <n v="2.0037717121588088"/>
    <x v="1"/>
    <n v="20"/>
    <s v="METFORMINA"/>
    <n v="2000"/>
    <n v="3.2199999999999999E-2"/>
    <n v="64.400000000000006"/>
    <n v="0.6392059553349877"/>
    <x v="0"/>
    <m/>
    <m/>
    <m/>
    <n v="0"/>
    <s v="NO"/>
    <m/>
    <m/>
    <m/>
    <m/>
    <m/>
    <m/>
    <n v="0"/>
    <x v="0"/>
    <m/>
    <m/>
    <x v="0"/>
    <m/>
    <m/>
    <n v="0"/>
    <n v="1"/>
  </r>
  <r>
    <s v="SOVAK"/>
    <s v="BLANCA ITATI"/>
    <n v="1"/>
    <x v="11"/>
    <x v="0"/>
    <s v="65-74"/>
    <x v="1"/>
    <s v="No"/>
    <x v="1"/>
    <n v="1"/>
    <s v="18000a23000"/>
    <m/>
    <m/>
    <n v="1"/>
    <n v="68"/>
    <n v="90.3"/>
    <n v="1.67"/>
    <x v="178"/>
    <x v="0"/>
    <x v="1"/>
    <s v="No"/>
    <x v="0"/>
    <s v="N/A"/>
    <d v="2021-07-08T00:00:00"/>
    <n v="9.4"/>
    <s v="9,1-11"/>
    <s v="&gt;8,1"/>
    <x v="2"/>
    <s v="mas de 8"/>
    <n v="2"/>
    <s v="NPH"/>
    <x v="0"/>
    <n v="40"/>
    <n v="7.21"/>
    <n v="288.39999999999998"/>
    <n v="2.8625310173697267"/>
    <x v="0"/>
    <m/>
    <s v="METFORMINA"/>
    <n v="750"/>
    <n v="3.2199999999999999E-2"/>
    <n v="24.15"/>
    <n v="0.23970223325062034"/>
    <x v="0"/>
    <m/>
    <m/>
    <m/>
    <n v="0"/>
    <s v="NO"/>
    <m/>
    <m/>
    <m/>
    <m/>
    <m/>
    <m/>
    <n v="0"/>
    <x v="0"/>
    <m/>
    <m/>
    <x v="0"/>
    <m/>
    <m/>
    <n v="0"/>
    <n v="1"/>
  </r>
  <r>
    <s v="SPINA"/>
    <s v="LILIANA ISABEL"/>
    <n v="1"/>
    <x v="18"/>
    <x v="1"/>
    <s v="75-84"/>
    <x v="1"/>
    <s v="No"/>
    <x v="1"/>
    <n v="1"/>
    <s v="18000a23000"/>
    <n v="1997"/>
    <m/>
    <n v="24"/>
    <n v="55"/>
    <n v="82.5"/>
    <n v="1.57"/>
    <x v="179"/>
    <x v="0"/>
    <x v="1"/>
    <s v="Si"/>
    <x v="0"/>
    <s v="N/A"/>
    <d v="2021-09-02T00:00:00"/>
    <n v="12.4"/>
    <s v="11,1 - o mas"/>
    <s v="&gt;8,1"/>
    <x v="0"/>
    <s v="mas de 8"/>
    <n v="3"/>
    <s v="GLARGINA"/>
    <x v="1"/>
    <n v="34"/>
    <n v="14.66"/>
    <n v="498.44"/>
    <n v="4.9472952853598011"/>
    <x v="1"/>
    <s v="SEGÚN TABLA"/>
    <s v="METFORMINA"/>
    <n v="2000"/>
    <n v="3.2199999999999999E-2"/>
    <n v="64.400000000000006"/>
    <n v="0.6392059553349877"/>
    <x v="0"/>
    <m/>
    <m/>
    <m/>
    <n v="0"/>
    <s v="NO"/>
    <m/>
    <m/>
    <m/>
    <m/>
    <m/>
    <m/>
    <n v="0"/>
    <x v="0"/>
    <m/>
    <m/>
    <x v="0"/>
    <m/>
    <m/>
    <n v="0"/>
    <n v="1"/>
  </r>
  <r>
    <s v="STAFFA"/>
    <s v="OSCAR RODOLFO MARIO"/>
    <n v="1"/>
    <x v="8"/>
    <x v="0"/>
    <s v="65-74"/>
    <x v="0"/>
    <s v="No"/>
    <x v="0"/>
    <n v="1"/>
    <s v="18000a23000"/>
    <n v="2005"/>
    <m/>
    <n v="16"/>
    <n v="49"/>
    <n v="91"/>
    <n v="1.72"/>
    <x v="180"/>
    <x v="0"/>
    <x v="1"/>
    <s v="Si"/>
    <x v="0"/>
    <s v="N/A"/>
    <d v="2021-08-26T00:00:00"/>
    <n v="9.9"/>
    <s v="9,1-11"/>
    <s v="&gt;8,1"/>
    <x v="2"/>
    <s v="mas de 8"/>
    <n v="2"/>
    <s v="DEGLUDEC"/>
    <x v="1"/>
    <n v="48"/>
    <n v="15.6"/>
    <n v="748.8"/>
    <n v="7.4322580645161285"/>
    <x v="0"/>
    <m/>
    <s v="METFORMINA"/>
    <n v="2000"/>
    <n v="3.2199999999999999E-2"/>
    <n v="64.400000000000006"/>
    <n v="0.6392059553349877"/>
    <x v="0"/>
    <m/>
    <m/>
    <m/>
    <n v="0"/>
    <s v="NO"/>
    <m/>
    <m/>
    <m/>
    <m/>
    <m/>
    <m/>
    <n v="0"/>
    <x v="0"/>
    <m/>
    <m/>
    <x v="0"/>
    <m/>
    <m/>
    <n v="0"/>
    <n v="1"/>
  </r>
  <r>
    <s v="STAHL"/>
    <s v="NORBERTO CARLOS"/>
    <n v="1"/>
    <x v="18"/>
    <x v="1"/>
    <s v="75-84"/>
    <x v="0"/>
    <s v="Si"/>
    <x v="0"/>
    <n v="3"/>
    <s v="46001-69000"/>
    <n v="2015"/>
    <m/>
    <n v="6"/>
    <n v="73"/>
    <n v="105.3"/>
    <n v="1.73"/>
    <x v="181"/>
    <x v="0"/>
    <x v="1"/>
    <s v="Si"/>
    <x v="0"/>
    <s v="N/A"/>
    <d v="2021-08-26T00:00:00"/>
    <n v="9.6"/>
    <s v="9,1-11"/>
    <s v="&gt;8,1"/>
    <x v="2"/>
    <s v="mas de 8"/>
    <n v="2"/>
    <s v="GLARGINA"/>
    <x v="1"/>
    <n v="50"/>
    <n v="14.66"/>
    <n v="733"/>
    <n v="7.2754342431761785"/>
    <x v="1"/>
    <s v="SEGÚN TABLA"/>
    <s v="No"/>
    <m/>
    <n v="3.2199999999999999E-2"/>
    <n v="0"/>
    <n v="0"/>
    <x v="1"/>
    <m/>
    <m/>
    <m/>
    <n v="0"/>
    <s v="NO"/>
    <m/>
    <m/>
    <m/>
    <m/>
    <m/>
    <m/>
    <n v="0"/>
    <x v="0"/>
    <m/>
    <m/>
    <x v="0"/>
    <m/>
    <m/>
    <n v="0"/>
    <n v="0"/>
  </r>
  <r>
    <s v="SUAREZ"/>
    <s v="JUAN CARLOS"/>
    <n v="1"/>
    <x v="7"/>
    <x v="0"/>
    <s v="65-74"/>
    <x v="0"/>
    <s v="No"/>
    <x v="0"/>
    <n v="1"/>
    <s v="18000a23000"/>
    <n v="2000"/>
    <m/>
    <n v="21"/>
    <n v="46"/>
    <n v="100.5"/>
    <n v="1.74"/>
    <x v="182"/>
    <x v="0"/>
    <x v="1"/>
    <s v="Si"/>
    <x v="0"/>
    <s v="N/A"/>
    <d v="2021-08-26T00:00:00"/>
    <n v="7.7"/>
    <s v="7,1-9"/>
    <s v="7,1-8"/>
    <x v="2"/>
    <s v="7,6-8"/>
    <n v="2"/>
    <s v="NPH"/>
    <x v="0"/>
    <n v="40"/>
    <n v="7.21"/>
    <n v="288.39999999999998"/>
    <n v="2.8625310173697267"/>
    <x v="1"/>
    <n v="6"/>
    <s v="METFORMINA"/>
    <n v="1700"/>
    <n v="3.2199999999999999E-2"/>
    <n v="54.74"/>
    <n v="0.54332506203473951"/>
    <x v="0"/>
    <m/>
    <m/>
    <m/>
    <n v="0"/>
    <s v="NO"/>
    <m/>
    <m/>
    <s v="VILDAGLIPTINA"/>
    <n v="100"/>
    <n v="1.84"/>
    <n v="184"/>
    <n v="1.8263027295285359"/>
    <x v="1"/>
    <m/>
    <m/>
    <x v="0"/>
    <m/>
    <m/>
    <n v="0"/>
    <n v="2"/>
  </r>
  <r>
    <s v="TARANTOLA"/>
    <s v="LUIS CESAR"/>
    <n v="1"/>
    <x v="7"/>
    <x v="0"/>
    <s v="65-74"/>
    <x v="0"/>
    <s v="No"/>
    <x v="3"/>
    <n v="3"/>
    <s v="46001-69000"/>
    <n v="1997"/>
    <m/>
    <n v="24"/>
    <n v="43"/>
    <n v="86"/>
    <n v="1.8"/>
    <x v="183"/>
    <x v="1"/>
    <x v="0"/>
    <s v="Si"/>
    <x v="0"/>
    <s v="N/A"/>
    <d v="2021-06-24T00:00:00"/>
    <n v="9.6"/>
    <s v="9,1-11"/>
    <s v="&gt;8,1"/>
    <x v="2"/>
    <s v="mas de 8"/>
    <n v="2"/>
    <s v="GLARGINA"/>
    <x v="1"/>
    <n v="38"/>
    <n v="14.66"/>
    <n v="557.08000000000004"/>
    <n v="5.5293300248138966"/>
    <x v="1"/>
    <n v="2"/>
    <s v="METFORMINA"/>
    <n v="2000"/>
    <n v="3.2199999999999999E-2"/>
    <n v="64.400000000000006"/>
    <n v="0.6392059553349877"/>
    <x v="0"/>
    <m/>
    <m/>
    <m/>
    <n v="0"/>
    <s v="NO"/>
    <m/>
    <m/>
    <m/>
    <m/>
    <m/>
    <m/>
    <n v="0"/>
    <x v="0"/>
    <m/>
    <m/>
    <x v="0"/>
    <m/>
    <m/>
    <n v="0"/>
    <n v="1"/>
  </r>
  <r>
    <s v="TELLO"/>
    <s v="ROSA DEL VALLE"/>
    <n v="1"/>
    <x v="5"/>
    <x v="0"/>
    <s v="65-74"/>
    <x v="1"/>
    <s v="No"/>
    <x v="0"/>
    <n v="1"/>
    <s v="18000a23000"/>
    <m/>
    <m/>
    <m/>
    <n v="66"/>
    <n v="83.8"/>
    <n v="1.53"/>
    <x v="184"/>
    <x v="0"/>
    <x v="1"/>
    <s v="Si"/>
    <x v="0"/>
    <s v="N/A"/>
    <d v="2021-07-15T00:00:00"/>
    <n v="6.2"/>
    <s v="4,5-7"/>
    <s v="&lt;7"/>
    <x v="1"/>
    <s v="Menor a 7"/>
    <n v="1"/>
    <s v="GLARGINA"/>
    <x v="1"/>
    <n v="80"/>
    <n v="14.66"/>
    <n v="1172.8"/>
    <n v="11.640694789081886"/>
    <x v="1"/>
    <s v="SEGÚN TABLA"/>
    <s v="METFORMINA"/>
    <n v="2000"/>
    <n v="3.2199999999999999E-2"/>
    <n v="64.400000000000006"/>
    <n v="0.6392059553349877"/>
    <x v="0"/>
    <m/>
    <m/>
    <m/>
    <n v="0"/>
    <s v="NO"/>
    <m/>
    <m/>
    <s v="SITAGLIPTINA"/>
    <n v="50"/>
    <n v="5.4"/>
    <n v="270"/>
    <n v="2.6799007444168734"/>
    <x v="1"/>
    <m/>
    <m/>
    <x v="0"/>
    <m/>
    <m/>
    <n v="0"/>
    <n v="2"/>
  </r>
  <r>
    <s v="TELLO"/>
    <s v="ELIDA EDITH"/>
    <n v="1"/>
    <x v="4"/>
    <x v="0"/>
    <s v="65-74"/>
    <x v="1"/>
    <s v="No"/>
    <x v="0"/>
    <n v="1"/>
    <s v="18000a23000"/>
    <n v="2018"/>
    <m/>
    <n v="3"/>
    <n v="65"/>
    <n v="78"/>
    <n v="1.51"/>
    <x v="185"/>
    <x v="1"/>
    <x v="1"/>
    <s v="Si"/>
    <x v="0"/>
    <s v="N/A"/>
    <d v="2021-09-02T00:00:00"/>
    <n v="9.6999999999999993"/>
    <s v="9,1-11"/>
    <s v="&gt;8,1"/>
    <x v="2"/>
    <s v="mas de 8"/>
    <n v="2"/>
    <s v="NPH"/>
    <x v="0"/>
    <n v="68"/>
    <n v="7.21"/>
    <n v="490.28"/>
    <n v="4.8663027295285355"/>
    <x v="1"/>
    <n v="18"/>
    <s v="No"/>
    <m/>
    <n v="3.2199999999999999E-2"/>
    <n v="0"/>
    <n v="0"/>
    <x v="1"/>
    <m/>
    <m/>
    <m/>
    <n v="0"/>
    <s v="NO"/>
    <m/>
    <m/>
    <m/>
    <m/>
    <m/>
    <m/>
    <n v="0"/>
    <x v="0"/>
    <m/>
    <m/>
    <x v="0"/>
    <m/>
    <m/>
    <n v="0"/>
    <n v="0"/>
  </r>
  <r>
    <s v="TOMAS"/>
    <s v="JORGE ALBERTO"/>
    <n v="1"/>
    <x v="11"/>
    <x v="0"/>
    <s v="65-74"/>
    <x v="0"/>
    <s v="No"/>
    <x v="0"/>
    <n v="1"/>
    <s v="18000a23000"/>
    <n v="2007"/>
    <m/>
    <n v="14"/>
    <n v="55"/>
    <n v="90"/>
    <n v="1.7"/>
    <x v="186"/>
    <x v="0"/>
    <x v="1"/>
    <s v="No"/>
    <x v="0"/>
    <s v="N/A"/>
    <d v="2021-07-15T00:00:00"/>
    <n v="10.3"/>
    <s v="9,1-11"/>
    <s v="&gt;8,1"/>
    <x v="0"/>
    <s v="mas de 8"/>
    <n v="2"/>
    <s v="DETEMIR"/>
    <x v="1"/>
    <n v="90"/>
    <n v="13.54"/>
    <n v="1218.5999999999999"/>
    <n v="12.095285359801489"/>
    <x v="0"/>
    <m/>
    <s v="METFORMINA"/>
    <n v="1700"/>
    <n v="3.2199999999999999E-2"/>
    <n v="54.74"/>
    <n v="0.54332506203473951"/>
    <x v="0"/>
    <m/>
    <m/>
    <m/>
    <n v="0"/>
    <s v="NO"/>
    <m/>
    <m/>
    <m/>
    <m/>
    <m/>
    <m/>
    <n v="0"/>
    <x v="0"/>
    <m/>
    <m/>
    <x v="0"/>
    <m/>
    <m/>
    <n v="0"/>
    <n v="1"/>
  </r>
  <r>
    <s v="TORO"/>
    <s v="HECTOR JAIME"/>
    <n v="1"/>
    <x v="4"/>
    <x v="0"/>
    <s v="65-74"/>
    <x v="0"/>
    <s v="No"/>
    <x v="1"/>
    <n v="1"/>
    <s v="18000a23000"/>
    <n v="2018"/>
    <m/>
    <n v="3"/>
    <n v="65"/>
    <n v="80"/>
    <n v="1.68"/>
    <x v="187"/>
    <x v="1"/>
    <x v="0"/>
    <s v="Si"/>
    <x v="0"/>
    <s v="N/A"/>
    <d v="2021-07-15T00:00:00"/>
    <n v="15.4"/>
    <s v="11,1 - o mas"/>
    <s v="&gt;8,1"/>
    <x v="0"/>
    <s v="mas de 8"/>
    <n v="3"/>
    <s v="NPH"/>
    <x v="0"/>
    <n v="52"/>
    <n v="7.21"/>
    <n v="374.92"/>
    <n v="3.7212903225806455"/>
    <x v="1"/>
    <s v="SEGÚN TABLA"/>
    <s v="METFORMINA"/>
    <n v="2000"/>
    <n v="3.2199999999999999E-2"/>
    <n v="64.400000000000006"/>
    <n v="0.6392059553349877"/>
    <x v="0"/>
    <m/>
    <m/>
    <m/>
    <n v="0"/>
    <s v="NO"/>
    <m/>
    <m/>
    <m/>
    <m/>
    <m/>
    <m/>
    <n v="0"/>
    <x v="0"/>
    <m/>
    <m/>
    <x v="0"/>
    <m/>
    <m/>
    <n v="0"/>
    <n v="1"/>
  </r>
  <r>
    <s v="TORRES"/>
    <s v="ELDA JUANA"/>
    <n v="1"/>
    <x v="5"/>
    <x v="0"/>
    <s v="65-74"/>
    <x v="1"/>
    <s v="No"/>
    <x v="1"/>
    <n v="1"/>
    <s v="18000a23000"/>
    <n v="1997"/>
    <m/>
    <n v="24"/>
    <n v="42"/>
    <n v="86.4"/>
    <n v="1.57"/>
    <x v="188"/>
    <x v="0"/>
    <x v="1"/>
    <s v="Si"/>
    <x v="0"/>
    <s v="N/A"/>
    <d v="2021-07-26T00:00:00"/>
    <n v="11.7"/>
    <s v="11,1 - o mas"/>
    <s v="&gt;8,1"/>
    <x v="0"/>
    <s v="mas de 8"/>
    <n v="3"/>
    <s v="GLARGINA"/>
    <x v="1"/>
    <n v="62"/>
    <n v="14.66"/>
    <n v="908.92"/>
    <n v="9.0215384615384604"/>
    <x v="1"/>
    <s v="SEGÚN TABLA"/>
    <s v="METFORMINA"/>
    <n v="1700"/>
    <n v="3.2199999999999999E-2"/>
    <n v="54.74"/>
    <n v="0.54332506203473951"/>
    <x v="0"/>
    <m/>
    <m/>
    <m/>
    <n v="0"/>
    <s v="NO"/>
    <m/>
    <m/>
    <m/>
    <m/>
    <m/>
    <m/>
    <n v="0"/>
    <x v="0"/>
    <m/>
    <m/>
    <x v="0"/>
    <m/>
    <m/>
    <n v="0"/>
    <n v="1"/>
  </r>
  <r>
    <s v="TRACNEC"/>
    <s v="JUAN CARLOS"/>
    <n v="1"/>
    <x v="17"/>
    <x v="1"/>
    <s v="75-84"/>
    <x v="0"/>
    <s v="No"/>
    <x v="1"/>
    <n v="1"/>
    <s v="18000a23000"/>
    <n v="2006"/>
    <m/>
    <n v="15"/>
    <n v="66"/>
    <n v="98"/>
    <n v="1.64"/>
    <x v="189"/>
    <x v="0"/>
    <x v="1"/>
    <s v="Si"/>
    <x v="0"/>
    <s v="N/A"/>
    <d v="2021-08-26T00:00:00"/>
    <n v="6.5"/>
    <s v="4,5-7"/>
    <s v="&lt;7"/>
    <x v="1"/>
    <s v="Menor a 7"/>
    <n v="1"/>
    <s v="GLARGINA"/>
    <x v="1"/>
    <n v="40"/>
    <n v="14.66"/>
    <n v="586.4"/>
    <n v="5.820347394540943"/>
    <x v="0"/>
    <m/>
    <s v="METFORMINA"/>
    <n v="2550"/>
    <n v="3.2199999999999999E-2"/>
    <n v="82.11"/>
    <n v="0.81498759305210922"/>
    <x v="0"/>
    <m/>
    <m/>
    <m/>
    <n v="0"/>
    <s v="NO"/>
    <m/>
    <m/>
    <s v="VILDAGLIPTINA"/>
    <n v="100"/>
    <n v="1.84"/>
    <n v="184"/>
    <n v="1.8263027295285359"/>
    <x v="1"/>
    <m/>
    <m/>
    <x v="0"/>
    <m/>
    <m/>
    <n v="0"/>
    <n v="2"/>
  </r>
  <r>
    <s v="VALENCIA"/>
    <s v="CARLOS ENRIQUE"/>
    <n v="1"/>
    <x v="14"/>
    <x v="2"/>
    <s v="65-74"/>
    <x v="0"/>
    <s v="No"/>
    <x v="0"/>
    <n v="1"/>
    <s v="18000a23000"/>
    <n v="2009"/>
    <m/>
    <n v="12"/>
    <n v="60"/>
    <n v="88.7"/>
    <n v="1.73"/>
    <x v="190"/>
    <x v="1"/>
    <x v="0"/>
    <s v="Si"/>
    <x v="0"/>
    <s v="N/A"/>
    <d v="2021-07-15T00:00:00"/>
    <n v="8.1"/>
    <s v="7,1-9"/>
    <s v="&gt;8,1"/>
    <x v="2"/>
    <s v="mas de 8"/>
    <n v="2"/>
    <s v="DETEMIR"/>
    <x v="1"/>
    <n v="35"/>
    <n v="13.54"/>
    <n v="473.9"/>
    <n v="4.7037220843672456"/>
    <x v="1"/>
    <s v="SEGÚN TABLA"/>
    <s v="No"/>
    <m/>
    <n v="3.2199999999999999E-2"/>
    <n v="0"/>
    <n v="0"/>
    <x v="1"/>
    <m/>
    <m/>
    <m/>
    <n v="0"/>
    <s v="NO"/>
    <m/>
    <m/>
    <m/>
    <m/>
    <m/>
    <m/>
    <n v="0"/>
    <x v="0"/>
    <m/>
    <m/>
    <x v="0"/>
    <m/>
    <m/>
    <n v="0"/>
    <n v="0"/>
  </r>
  <r>
    <s v="VALENCIA"/>
    <s v="ALBERTO HUGO"/>
    <n v="1"/>
    <x v="11"/>
    <x v="0"/>
    <s v="65-74"/>
    <x v="0"/>
    <s v="No"/>
    <x v="1"/>
    <n v="1"/>
    <s v="18000a23000"/>
    <n v="1990"/>
    <m/>
    <n v="31"/>
    <n v="38"/>
    <n v="118.7"/>
    <n v="1.8"/>
    <x v="191"/>
    <x v="0"/>
    <x v="1"/>
    <s v="Si"/>
    <x v="0"/>
    <s v="N/A"/>
    <d v="2021-07-26T00:00:00"/>
    <n v="9.8000000000000007"/>
    <s v="9,1-11"/>
    <s v="&gt;8,1"/>
    <x v="2"/>
    <s v="mas de 8"/>
    <n v="2"/>
    <s v="NPH"/>
    <x v="0"/>
    <n v="120"/>
    <n v="7.21"/>
    <n v="865.2"/>
    <n v="8.587593052109181"/>
    <x v="0"/>
    <m/>
    <s v="METFORMINA"/>
    <n v="2000"/>
    <n v="3.2199999999999999E-2"/>
    <n v="64.400000000000006"/>
    <n v="0.6392059553349877"/>
    <x v="0"/>
    <m/>
    <m/>
    <m/>
    <n v="0"/>
    <s v="NO"/>
    <m/>
    <m/>
    <m/>
    <m/>
    <m/>
    <m/>
    <n v="0"/>
    <x v="0"/>
    <m/>
    <m/>
    <x v="0"/>
    <m/>
    <m/>
    <n v="0"/>
    <n v="1"/>
  </r>
  <r>
    <s v="VELASCO"/>
    <s v="ENRIQUE SANTOS"/>
    <n v="1"/>
    <x v="4"/>
    <x v="0"/>
    <s v="65-74"/>
    <x v="0"/>
    <s v="No"/>
    <x v="3"/>
    <n v="1"/>
    <s v="18000a23000"/>
    <n v="2015"/>
    <m/>
    <n v="6"/>
    <n v="62"/>
    <n v="87.3"/>
    <n v="1.63"/>
    <x v="192"/>
    <x v="1"/>
    <x v="1"/>
    <s v="Si"/>
    <x v="0"/>
    <s v="N/A"/>
    <d v="2021-09-02T00:00:00"/>
    <n v="5.8"/>
    <s v="4,5-7"/>
    <s v="&lt;7"/>
    <x v="1"/>
    <s v="Menor a 7"/>
    <n v="1"/>
    <s v="NPH"/>
    <x v="0"/>
    <n v="36"/>
    <n v="7.21"/>
    <n v="259.56"/>
    <n v="2.5762779156327542"/>
    <x v="1"/>
    <s v="SEGÚN TABLA"/>
    <s v="METFORMINA"/>
    <n v="850"/>
    <n v="3.2199999999999999E-2"/>
    <n v="27.37"/>
    <n v="0.27166253101736976"/>
    <x v="0"/>
    <m/>
    <m/>
    <m/>
    <n v="0"/>
    <s v="NO"/>
    <m/>
    <m/>
    <m/>
    <m/>
    <m/>
    <m/>
    <n v="0"/>
    <x v="0"/>
    <m/>
    <m/>
    <x v="0"/>
    <m/>
    <m/>
    <n v="0"/>
    <n v="1"/>
  </r>
  <r>
    <s v="VENTURA"/>
    <s v="EDUARDO GENARO"/>
    <n v="1"/>
    <x v="0"/>
    <x v="0"/>
    <s v="65-74"/>
    <x v="0"/>
    <s v="No"/>
    <x v="0"/>
    <n v="1"/>
    <s v="18000a23000"/>
    <n v="2014"/>
    <m/>
    <n v="7"/>
    <n v="63"/>
    <n v="69"/>
    <n v="1.61"/>
    <x v="193"/>
    <x v="0"/>
    <x v="0"/>
    <s v="Si"/>
    <x v="0"/>
    <s v="N/A"/>
    <d v="2021-08-26T00:00:00"/>
    <n v="8.3000000000000007"/>
    <s v="7,1-9"/>
    <s v="&gt;8,1"/>
    <x v="2"/>
    <s v="mas de 8"/>
    <n v="2"/>
    <s v="NPH"/>
    <x v="0"/>
    <n v="30"/>
    <n v="7.21"/>
    <n v="216.3"/>
    <n v="2.1468982630272953"/>
    <x v="0"/>
    <m/>
    <s v="METFORMINA"/>
    <n v="2000"/>
    <n v="3.2199999999999999E-2"/>
    <n v="64.400000000000006"/>
    <n v="0.6392059553349877"/>
    <x v="0"/>
    <m/>
    <m/>
    <m/>
    <n v="0"/>
    <s v="NO"/>
    <m/>
    <m/>
    <m/>
    <m/>
    <m/>
    <m/>
    <n v="0"/>
    <x v="0"/>
    <m/>
    <m/>
    <x v="0"/>
    <m/>
    <m/>
    <n v="0"/>
    <n v="1"/>
  </r>
  <r>
    <s v="VERA"/>
    <s v="CLEMENCIA CATALINA"/>
    <n v="1"/>
    <x v="16"/>
    <x v="2"/>
    <s v="75-84"/>
    <x v="1"/>
    <s v="No"/>
    <x v="1"/>
    <n v="1"/>
    <s v="18000a23000"/>
    <n v="2000"/>
    <m/>
    <n v="21"/>
    <n v="54"/>
    <n v="69.2"/>
    <n v="1.55"/>
    <x v="194"/>
    <x v="0"/>
    <x v="0"/>
    <s v="Si"/>
    <x v="0"/>
    <s v="N/A"/>
    <d v="2021-09-02T00:00:00"/>
    <n v="10.1"/>
    <s v="9,1-11"/>
    <s v="&gt;8,1"/>
    <x v="0"/>
    <s v="mas de 8"/>
    <n v="2"/>
    <s v="DETEMIR"/>
    <x v="1"/>
    <n v="26"/>
    <n v="13.54"/>
    <n v="352.03999999999996"/>
    <n v="3.4941935483870963"/>
    <x v="1"/>
    <n v="6"/>
    <s v="METFORMINA"/>
    <n v="1700"/>
    <n v="3.2199999999999999E-2"/>
    <n v="54.74"/>
    <n v="0.54332506203473951"/>
    <x v="0"/>
    <m/>
    <m/>
    <m/>
    <n v="0"/>
    <s v="NO"/>
    <m/>
    <m/>
    <m/>
    <m/>
    <m/>
    <m/>
    <n v="0"/>
    <x v="0"/>
    <m/>
    <m/>
    <x v="0"/>
    <m/>
    <m/>
    <n v="0"/>
    <n v="1"/>
  </r>
  <r>
    <s v="VICARIO"/>
    <s v="MARIA DEL CARMEN"/>
    <n v="1"/>
    <x v="0"/>
    <x v="0"/>
    <s v="65-74"/>
    <x v="1"/>
    <s v="No"/>
    <x v="0"/>
    <n v="2"/>
    <s v="23001-46000"/>
    <n v="1998"/>
    <m/>
    <n v="23"/>
    <n v="47"/>
    <n v="96.8"/>
    <n v="1.55"/>
    <x v="195"/>
    <x v="0"/>
    <x v="1"/>
    <s v="Si"/>
    <x v="0"/>
    <s v="N/A"/>
    <d v="2021-09-02T00:00:00"/>
    <n v="7.8"/>
    <s v="7,1-9"/>
    <s v="7,1-8"/>
    <x v="2"/>
    <s v="7,6-8"/>
    <n v="2"/>
    <s v="GLARGINA"/>
    <x v="1"/>
    <n v="50"/>
    <n v="14.66"/>
    <n v="733"/>
    <n v="7.2754342431761785"/>
    <x v="0"/>
    <m/>
    <s v="METFORMINA"/>
    <n v="2000"/>
    <n v="3.2199999999999999E-2"/>
    <n v="64.400000000000006"/>
    <n v="0.6392059553349877"/>
    <x v="0"/>
    <m/>
    <m/>
    <m/>
    <n v="0"/>
    <s v="NO"/>
    <m/>
    <m/>
    <m/>
    <m/>
    <m/>
    <m/>
    <n v="0"/>
    <x v="0"/>
    <m/>
    <m/>
    <x v="0"/>
    <m/>
    <m/>
    <n v="0"/>
    <n v="1"/>
  </r>
  <r>
    <s v="VIDAL"/>
    <s v="HORACIO MANUEL"/>
    <n v="1"/>
    <x v="11"/>
    <x v="0"/>
    <s v="65-74"/>
    <x v="0"/>
    <s v="No"/>
    <x v="1"/>
    <n v="2"/>
    <s v="23001-46000"/>
    <n v="1991"/>
    <m/>
    <n v="30"/>
    <n v="39"/>
    <n v="99.5"/>
    <n v="1.67"/>
    <x v="196"/>
    <x v="0"/>
    <x v="1"/>
    <s v="Si"/>
    <x v="0"/>
    <s v="N/A"/>
    <d v="2021-09-02T00:00:00"/>
    <n v="6.6"/>
    <s v="4,5-7"/>
    <s v="&lt;7"/>
    <x v="1"/>
    <s v="Menor a 7"/>
    <n v="1"/>
    <s v="GLARGINA"/>
    <x v="1"/>
    <n v="38"/>
    <n v="14.66"/>
    <n v="557.08000000000004"/>
    <n v="5.5293300248138966"/>
    <x v="0"/>
    <m/>
    <s v="METFORMINA"/>
    <n v="2550"/>
    <n v="3.2199999999999999E-2"/>
    <n v="82.11"/>
    <n v="0.81498759305210922"/>
    <x v="0"/>
    <m/>
    <m/>
    <m/>
    <n v="0"/>
    <s v="NO"/>
    <m/>
    <m/>
    <m/>
    <m/>
    <m/>
    <m/>
    <n v="0"/>
    <x v="0"/>
    <m/>
    <m/>
    <x v="0"/>
    <m/>
    <m/>
    <n v="0"/>
    <n v="1"/>
  </r>
  <r>
    <s v="VIDAL"/>
    <s v="JUAN JOSE"/>
    <n v="1"/>
    <x v="10"/>
    <x v="2"/>
    <s v="65-74"/>
    <x v="0"/>
    <s v="No"/>
    <x v="1"/>
    <n v="1"/>
    <s v="18000a23000"/>
    <n v="2013"/>
    <m/>
    <n v="8"/>
    <n v="63"/>
    <n v="83"/>
    <n v="1.72"/>
    <x v="197"/>
    <x v="0"/>
    <x v="0"/>
    <s v="Si"/>
    <x v="0"/>
    <s v="N/A"/>
    <d v="2021-07-26T00:00:00"/>
    <n v="11.8"/>
    <s v="11,1 - o mas"/>
    <s v="&gt;8,1"/>
    <x v="0"/>
    <s v="mas de 8"/>
    <n v="3"/>
    <s v="NPH"/>
    <x v="0"/>
    <n v="20"/>
    <n v="7.21"/>
    <n v="144.19999999999999"/>
    <n v="1.4312655086848634"/>
    <x v="1"/>
    <n v="24"/>
    <s v="METFORMINA"/>
    <n v="1700"/>
    <n v="3.2199999999999999E-2"/>
    <n v="54.74"/>
    <n v="0.54332506203473951"/>
    <x v="0"/>
    <m/>
    <m/>
    <m/>
    <n v="0"/>
    <s v="NO"/>
    <m/>
    <m/>
    <m/>
    <m/>
    <m/>
    <m/>
    <n v="0"/>
    <x v="0"/>
    <m/>
    <m/>
    <x v="0"/>
    <m/>
    <m/>
    <n v="0"/>
    <n v="1"/>
  </r>
  <r>
    <s v="VIDELA"/>
    <s v="MARIA DEL CARMEN"/>
    <n v="1"/>
    <x v="0"/>
    <x v="0"/>
    <s v="65-74"/>
    <x v="1"/>
    <s v="No"/>
    <x v="1"/>
    <n v="1"/>
    <s v="18000a23000"/>
    <n v="2001"/>
    <m/>
    <n v="20"/>
    <n v="50"/>
    <n v="84.9"/>
    <n v="1.56"/>
    <x v="198"/>
    <x v="0"/>
    <x v="1"/>
    <s v="Si"/>
    <x v="0"/>
    <s v="N/A"/>
    <d v="2021-07-26T00:00:00"/>
    <n v="11.3"/>
    <s v="11,1 - o mas"/>
    <s v="&gt;8,1"/>
    <x v="0"/>
    <s v="mas de 8"/>
    <n v="3"/>
    <s v="GLARGINA"/>
    <x v="1"/>
    <n v="60"/>
    <n v="14.66"/>
    <n v="879.6"/>
    <n v="8.7305210918114149"/>
    <x v="1"/>
    <s v="SEGÚN TABLA"/>
    <s v="METFORMINA"/>
    <n v="1700"/>
    <n v="3.2199999999999999E-2"/>
    <n v="54.74"/>
    <n v="0.54332506203473951"/>
    <x v="0"/>
    <m/>
    <m/>
    <m/>
    <n v="0"/>
    <s v="NO"/>
    <m/>
    <m/>
    <m/>
    <m/>
    <m/>
    <m/>
    <n v="0"/>
    <x v="0"/>
    <m/>
    <m/>
    <x v="0"/>
    <m/>
    <m/>
    <n v="0"/>
    <n v="1"/>
  </r>
  <r>
    <s v="VILLAGRA"/>
    <s v="MARIA SUSANA"/>
    <n v="1"/>
    <x v="5"/>
    <x v="0"/>
    <s v="65-74"/>
    <x v="1"/>
    <s v="No"/>
    <x v="0"/>
    <n v="1"/>
    <s v="18000a23000"/>
    <n v="1983"/>
    <m/>
    <n v="38"/>
    <n v="28"/>
    <n v="85.4"/>
    <n v="1.54"/>
    <x v="199"/>
    <x v="0"/>
    <x v="1"/>
    <s v="Si"/>
    <x v="0"/>
    <s v="N/A"/>
    <d v="2021-07-26T00:00:00"/>
    <n v="15.8"/>
    <s v="11,1 - o mas"/>
    <s v="&gt;8,1"/>
    <x v="0"/>
    <s v="mas de 8"/>
    <n v="3"/>
    <s v="GLARGINA"/>
    <x v="1"/>
    <n v="67"/>
    <n v="14.66"/>
    <n v="982.22"/>
    <n v="9.7490818858560804"/>
    <x v="1"/>
    <s v="SEGÚN TABLA"/>
    <s v="METFORMINA"/>
    <n v="2000"/>
    <n v="3.2199999999999999E-2"/>
    <n v="64.400000000000006"/>
    <n v="0.6392059553349877"/>
    <x v="0"/>
    <m/>
    <m/>
    <m/>
    <n v="0"/>
    <s v="NO"/>
    <m/>
    <m/>
    <m/>
    <m/>
    <m/>
    <m/>
    <n v="0"/>
    <x v="0"/>
    <m/>
    <m/>
    <x v="0"/>
    <m/>
    <m/>
    <n v="0"/>
    <n v="1"/>
  </r>
  <r>
    <s v="WARD"/>
    <s v="MYRIAM STELLA"/>
    <n v="1"/>
    <x v="12"/>
    <x v="2"/>
    <s v="65-74"/>
    <x v="1"/>
    <s v="No"/>
    <x v="0"/>
    <n v="1"/>
    <s v="18000a23000"/>
    <n v="2006"/>
    <m/>
    <n v="15"/>
    <n v="59"/>
    <n v="60"/>
    <n v="1.66"/>
    <x v="200"/>
    <x v="1"/>
    <x v="2"/>
    <s v="Si"/>
    <x v="1"/>
    <n v="17"/>
    <d v="2021-08-26T00:00:00"/>
    <n v="6.5"/>
    <s v="4,5-7"/>
    <s v="&lt;7"/>
    <x v="1"/>
    <s v="Menor a 7"/>
    <n v="1"/>
    <s v="GLARGINA"/>
    <x v="1"/>
    <n v="20"/>
    <n v="14.66"/>
    <n v="293.2"/>
    <n v="2.9101736972704715"/>
    <x v="1"/>
    <s v="SEGÚN TABLA"/>
    <s v="METFORMINA"/>
    <n v="850"/>
    <n v="3.2199999999999999E-2"/>
    <n v="27.37"/>
    <n v="0.27166253101736976"/>
    <x v="0"/>
    <m/>
    <m/>
    <m/>
    <n v="0"/>
    <s v="NO"/>
    <m/>
    <m/>
    <m/>
    <m/>
    <m/>
    <m/>
    <n v="0"/>
    <x v="0"/>
    <m/>
    <m/>
    <x v="0"/>
    <m/>
    <m/>
    <n v="0"/>
    <n v="1"/>
  </r>
  <r>
    <s v="ZALAZAR"/>
    <s v="CLEMENTINA LIDIA"/>
    <n v="1"/>
    <x v="18"/>
    <x v="1"/>
    <s v="75-84"/>
    <x v="1"/>
    <s v="No"/>
    <x v="1"/>
    <n v="1"/>
    <s v="18000a23000"/>
    <n v="1980"/>
    <m/>
    <n v="41"/>
    <n v="38"/>
    <n v="75"/>
    <n v="1.6"/>
    <x v="201"/>
    <x v="0"/>
    <x v="0"/>
    <s v="No"/>
    <x v="0"/>
    <s v="N/A"/>
    <d v="2021-10-21T00:00:00"/>
    <n v="5.8"/>
    <s v="4,5-7"/>
    <s v="&lt;7"/>
    <x v="1"/>
    <s v="Menor a 7"/>
    <n v="1"/>
    <s v="NPH"/>
    <x v="0"/>
    <n v="54"/>
    <n v="7.21"/>
    <n v="389.34"/>
    <n v="3.8644168734491311"/>
    <x v="0"/>
    <m/>
    <s v="METFORMINA"/>
    <n v="2000"/>
    <n v="3.2199999999999999E-2"/>
    <n v="64.400000000000006"/>
    <n v="0.6392059553349877"/>
    <x v="0"/>
    <m/>
    <m/>
    <m/>
    <n v="0"/>
    <s v="NO"/>
    <m/>
    <m/>
    <m/>
    <m/>
    <m/>
    <m/>
    <n v="0"/>
    <x v="0"/>
    <m/>
    <m/>
    <x v="0"/>
    <m/>
    <m/>
    <n v="0"/>
    <n v="1"/>
  </r>
  <r>
    <s v="ZAMPARO"/>
    <s v="MARTA GRACIELA"/>
    <n v="1"/>
    <x v="0"/>
    <x v="0"/>
    <s v="65-74"/>
    <x v="1"/>
    <s v="No"/>
    <x v="0"/>
    <n v="2"/>
    <s v="23001-46000"/>
    <n v="2009"/>
    <m/>
    <n v="12"/>
    <n v="58"/>
    <n v="124"/>
    <n v="1.55"/>
    <x v="202"/>
    <x v="0"/>
    <x v="1"/>
    <s v="Si"/>
    <x v="0"/>
    <s v="N/A"/>
    <d v="2021-09-02T00:00:00"/>
    <n v="6.5"/>
    <s v="4,5-7"/>
    <s v="&lt;7"/>
    <x v="1"/>
    <s v="Menor a 7"/>
    <n v="1"/>
    <s v="DEGLUDEC"/>
    <x v="1"/>
    <n v="40"/>
    <n v="15.6"/>
    <n v="624"/>
    <n v="6.193548387096774"/>
    <x v="1"/>
    <s v="SEGÚN TABLA"/>
    <s v="METFORMINA"/>
    <n v="1700"/>
    <n v="3.2199999999999999E-2"/>
    <n v="54.74"/>
    <n v="0.54332506203473951"/>
    <x v="0"/>
    <m/>
    <m/>
    <m/>
    <n v="0"/>
    <s v="NO"/>
    <m/>
    <m/>
    <m/>
    <m/>
    <m/>
    <m/>
    <n v="0"/>
    <x v="0"/>
    <m/>
    <m/>
    <x v="0"/>
    <m/>
    <m/>
    <n v="0"/>
    <n v="1"/>
  </r>
  <r>
    <s v="ZUAZO"/>
    <s v="NORMA LILIANA"/>
    <n v="1"/>
    <x v="11"/>
    <x v="0"/>
    <s v="65-74"/>
    <x v="1"/>
    <s v="Si"/>
    <x v="3"/>
    <n v="3"/>
    <s v="46001-69000"/>
    <n v="2009"/>
    <m/>
    <n v="12"/>
    <n v="57"/>
    <n v="92"/>
    <n v="1.61"/>
    <x v="203"/>
    <x v="0"/>
    <x v="1"/>
    <s v="Si"/>
    <x v="0"/>
    <s v="N/A"/>
    <d v="2021-07-15T00:00:00"/>
    <n v="6.3"/>
    <s v="4,5-7"/>
    <s v="&lt;7"/>
    <x v="1"/>
    <s v="Menor a 7"/>
    <n v="1"/>
    <s v="NPH"/>
    <x v="0"/>
    <n v="97"/>
    <n v="7.21"/>
    <n v="699.37"/>
    <n v="6.9416377171215879"/>
    <x v="1"/>
    <n v="6"/>
    <s v="No"/>
    <m/>
    <n v="3.2199999999999999E-2"/>
    <n v="0"/>
    <n v="0"/>
    <x v="1"/>
    <m/>
    <m/>
    <m/>
    <n v="0"/>
    <s v="NO"/>
    <m/>
    <m/>
    <s v="LINAGLIPTINA"/>
    <n v="5"/>
    <n v="66.150000000000006"/>
    <n v="330.75"/>
    <n v="3.2828784119106698"/>
    <x v="1"/>
    <s v="DAPAGLIFOZINA"/>
    <n v="10"/>
    <x v="1"/>
    <n v="26.41"/>
    <n v="264.10000000000002"/>
    <n v="2.6213399503722088"/>
    <n v="2"/>
  </r>
  <r>
    <s v="ZUMINO"/>
    <s v="SERGIO NICOLAS"/>
    <n v="1"/>
    <x v="3"/>
    <x v="2"/>
    <s v="65-74"/>
    <x v="0"/>
    <s v="No"/>
    <x v="1"/>
    <n v="3"/>
    <s v="46001-69000"/>
    <m/>
    <m/>
    <m/>
    <n v="73"/>
    <n v="76.099999999999994"/>
    <n v="1.66"/>
    <x v="204"/>
    <x v="0"/>
    <x v="0"/>
    <s v="No"/>
    <x v="0"/>
    <s v="N/A"/>
    <d v="2021-06-24T00:00:00"/>
    <n v="11.8"/>
    <s v="11,1 - o mas"/>
    <s v="&gt;8,1"/>
    <x v="0"/>
    <s v="mas de 8"/>
    <n v="3"/>
    <s v="DEGLUDEC"/>
    <x v="1"/>
    <n v="36"/>
    <n v="15.6"/>
    <n v="561.6"/>
    <n v="5.5741935483870968"/>
    <x v="0"/>
    <m/>
    <s v="No"/>
    <m/>
    <n v="3.2199999999999999E-2"/>
    <n v="0"/>
    <n v="0"/>
    <x v="1"/>
    <m/>
    <m/>
    <m/>
    <n v="0"/>
    <s v="NO"/>
    <m/>
    <m/>
    <m/>
    <m/>
    <m/>
    <m/>
    <n v="0"/>
    <x v="0"/>
    <m/>
    <m/>
    <x v="0"/>
    <m/>
    <m/>
    <n v="0"/>
    <n v="0"/>
  </r>
  <r>
    <s v="ZUMINO"/>
    <s v="MIRTA MARIA ANTONIA"/>
    <n v="1"/>
    <x v="18"/>
    <x v="1"/>
    <s v="75-84"/>
    <x v="1"/>
    <s v="No"/>
    <x v="1"/>
    <n v="1"/>
    <s v="18000a23000"/>
    <n v="1980"/>
    <m/>
    <n v="41"/>
    <n v="38"/>
    <n v="66"/>
    <n v="1.66"/>
    <x v="205"/>
    <x v="0"/>
    <x v="2"/>
    <s v="Si"/>
    <x v="0"/>
    <s v="N/A"/>
    <d v="2021-08-05T00:00:00"/>
    <n v="10.5"/>
    <s v="9,1-11"/>
    <s v="&gt;8,1"/>
    <x v="0"/>
    <s v="mas de 8"/>
    <n v="2"/>
    <s v="NPH"/>
    <x v="0"/>
    <n v="20"/>
    <n v="7.21"/>
    <n v="144.19999999999999"/>
    <n v="1.4312655086848634"/>
    <x v="1"/>
    <n v="4"/>
    <s v="METFORMINA"/>
    <n v="1700"/>
    <n v="3.2199999999999999E-2"/>
    <n v="54.74"/>
    <n v="0.54332506203473951"/>
    <x v="0"/>
    <m/>
    <m/>
    <m/>
    <n v="0"/>
    <s v="NO"/>
    <m/>
    <m/>
    <m/>
    <m/>
    <m/>
    <m/>
    <n v="0"/>
    <x v="0"/>
    <m/>
    <m/>
    <x v="0"/>
    <m/>
    <m/>
    <n v="0"/>
    <n v="1"/>
  </r>
  <r>
    <m/>
    <m/>
    <m/>
    <x v="27"/>
    <x v="3"/>
    <m/>
    <x v="2"/>
    <m/>
    <x v="5"/>
    <m/>
    <m/>
    <m/>
    <m/>
    <m/>
    <m/>
    <m/>
    <m/>
    <x v="206"/>
    <x v="2"/>
    <x v="3"/>
    <m/>
    <x v="2"/>
    <m/>
    <m/>
    <m/>
    <m/>
    <m/>
    <x v="3"/>
    <m/>
    <m/>
    <m/>
    <x v="2"/>
    <m/>
    <m/>
    <m/>
    <m/>
    <x v="2"/>
    <m/>
    <m/>
    <m/>
    <m/>
    <m/>
    <m/>
    <x v="2"/>
    <m/>
    <m/>
    <m/>
    <m/>
    <m/>
    <m/>
    <m/>
    <m/>
    <m/>
    <m/>
    <m/>
    <m/>
    <x v="2"/>
    <m/>
    <m/>
    <x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 diná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E8" firstHeaderRow="1" firstDataRow="2" firstDataCol="1"/>
  <pivotFields count="64">
    <pivotField showAll="0"/>
    <pivotField showAll="0"/>
    <pivotField showAll="0"/>
    <pivotField showAll="0">
      <items count="29">
        <item x="25"/>
        <item x="23"/>
        <item x="8"/>
        <item x="5"/>
        <item x="7"/>
        <item x="4"/>
        <item x="11"/>
        <item x="0"/>
        <item x="10"/>
        <item x="14"/>
        <item x="3"/>
        <item x="12"/>
        <item x="16"/>
        <item x="2"/>
        <item x="6"/>
        <item x="20"/>
        <item x="18"/>
        <item x="9"/>
        <item x="17"/>
        <item x="26"/>
        <item x="22"/>
        <item x="15"/>
        <item x="1"/>
        <item x="24"/>
        <item x="19"/>
        <item x="21"/>
        <item x="13"/>
        <item x="27"/>
        <item t="default"/>
      </items>
    </pivotField>
    <pivotField showAll="0">
      <items count="5">
        <item x="0"/>
        <item x="2"/>
        <item x="1"/>
        <item x="3"/>
        <item t="default"/>
      </items>
    </pivotField>
    <pivotField showAll="0"/>
    <pivotField axis="axisCol" showAll="0">
      <items count="4">
        <item x="1"/>
        <item x="0"/>
        <item x="2"/>
        <item t="default"/>
      </items>
    </pivotField>
    <pivotField showAll="0"/>
    <pivotField showAll="0">
      <items count="7">
        <item x="2"/>
        <item x="1"/>
        <item x="0"/>
        <item x="3"/>
        <item x="4"/>
        <item x="5"/>
        <item t="default"/>
      </items>
    </pivotField>
    <pivotField showAll="0"/>
    <pivotField showAll="0"/>
    <pivotField showAll="0" defaultSubtotal="0"/>
    <pivotField showAll="0" defaultSubtotal="0"/>
    <pivotField showAll="0" defaultSubtotal="0"/>
    <pivotField showAll="0" defaultSubtotal="0"/>
    <pivotField showAll="0"/>
    <pivotField showAll="0"/>
    <pivotField showAll="0">
      <items count="208">
        <item x="135"/>
        <item x="200"/>
        <item x="33"/>
        <item x="37"/>
        <item x="116"/>
        <item x="45"/>
        <item x="67"/>
        <item x="102"/>
        <item x="96"/>
        <item x="75"/>
        <item x="205"/>
        <item x="32"/>
        <item x="89"/>
        <item x="40"/>
        <item x="27"/>
        <item x="65"/>
        <item x="139"/>
        <item x="44"/>
        <item x="82"/>
        <item x="105"/>
        <item x="174"/>
        <item x="142"/>
        <item x="54"/>
        <item x="78"/>
        <item x="21"/>
        <item x="81"/>
        <item x="10"/>
        <item x="175"/>
        <item x="183"/>
        <item x="193"/>
        <item x="20"/>
        <item x="138"/>
        <item x="17"/>
        <item x="156"/>
        <item x="53"/>
        <item x="159"/>
        <item x="95"/>
        <item x="204"/>
        <item x="0"/>
        <item x="90"/>
        <item x="9"/>
        <item x="99"/>
        <item x="126"/>
        <item x="197"/>
        <item x="86"/>
        <item x="26"/>
        <item x="19"/>
        <item x="187"/>
        <item x="130"/>
        <item x="41"/>
        <item x="62"/>
        <item x="3"/>
        <item x="112"/>
        <item x="16"/>
        <item x="194"/>
        <item x="58"/>
        <item x="24"/>
        <item x="87"/>
        <item x="70"/>
        <item x="201"/>
        <item x="30"/>
        <item x="120"/>
        <item x="104"/>
        <item x="190"/>
        <item x="31"/>
        <item x="6"/>
        <item x="107"/>
        <item x="111"/>
        <item x="128"/>
        <item x="127"/>
        <item x="43"/>
        <item x="34"/>
        <item x="144"/>
        <item x="163"/>
        <item x="124"/>
        <item x="109"/>
        <item x="51"/>
        <item x="117"/>
        <item x="153"/>
        <item x="23"/>
        <item x="122"/>
        <item x="79"/>
        <item x="103"/>
        <item x="157"/>
        <item x="180"/>
        <item x="167"/>
        <item x="162"/>
        <item x="170"/>
        <item x="11"/>
        <item x="47"/>
        <item x="186"/>
        <item x="39"/>
        <item x="97"/>
        <item x="56"/>
        <item x="1"/>
        <item x="98"/>
        <item x="68"/>
        <item x="114"/>
        <item x="84"/>
        <item x="71"/>
        <item x="140"/>
        <item x="55"/>
        <item x="100"/>
        <item x="108"/>
        <item x="177"/>
        <item x="38"/>
        <item x="25"/>
        <item x="18"/>
        <item x="134"/>
        <item x="136"/>
        <item x="178"/>
        <item x="118"/>
        <item x="141"/>
        <item x="158"/>
        <item x="61"/>
        <item x="42"/>
        <item x="192"/>
        <item x="143"/>
        <item x="28"/>
        <item x="91"/>
        <item x="110"/>
        <item x="182"/>
        <item x="13"/>
        <item x="49"/>
        <item x="101"/>
        <item x="132"/>
        <item x="179"/>
        <item x="165"/>
        <item x="133"/>
        <item x="147"/>
        <item x="48"/>
        <item x="149"/>
        <item x="146"/>
        <item x="169"/>
        <item x="77"/>
        <item x="131"/>
        <item x="160"/>
        <item x="36"/>
        <item x="185"/>
        <item x="113"/>
        <item x="5"/>
        <item x="94"/>
        <item x="164"/>
        <item x="152"/>
        <item x="85"/>
        <item x="106"/>
        <item x="121"/>
        <item x="166"/>
        <item x="198"/>
        <item x="188"/>
        <item x="181"/>
        <item x="172"/>
        <item x="7"/>
        <item x="203"/>
        <item x="148"/>
        <item x="150"/>
        <item x="196"/>
        <item x="2"/>
        <item x="184"/>
        <item x="171"/>
        <item x="22"/>
        <item x="199"/>
        <item x="129"/>
        <item x="83"/>
        <item x="12"/>
        <item x="88"/>
        <item x="189"/>
        <item x="50"/>
        <item x="93"/>
        <item x="66"/>
        <item x="161"/>
        <item x="191"/>
        <item x="76"/>
        <item x="176"/>
        <item x="137"/>
        <item x="115"/>
        <item x="80"/>
        <item x="4"/>
        <item x="155"/>
        <item x="57"/>
        <item x="46"/>
        <item x="145"/>
        <item x="125"/>
        <item x="52"/>
        <item x="60"/>
        <item x="15"/>
        <item x="8"/>
        <item x="69"/>
        <item x="123"/>
        <item x="173"/>
        <item x="29"/>
        <item x="154"/>
        <item x="14"/>
        <item x="195"/>
        <item x="92"/>
        <item x="74"/>
        <item x="168"/>
        <item x="72"/>
        <item x="151"/>
        <item x="59"/>
        <item x="119"/>
        <item x="35"/>
        <item x="73"/>
        <item x="64"/>
        <item x="63"/>
        <item x="202"/>
        <item x="206"/>
        <item t="default"/>
      </items>
    </pivotField>
    <pivotField showAll="0" defaultSubtotal="0">
      <items count="3">
        <item x="0"/>
        <item x="1"/>
        <item x="2"/>
      </items>
    </pivotField>
    <pivotField showAll="0">
      <items count="5">
        <item x="2"/>
        <item x="1"/>
        <item x="0"/>
        <item x="3"/>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5">
        <item x="1"/>
        <item x="2"/>
        <item x="0"/>
        <item x="3"/>
        <item t="default"/>
      </items>
    </pivotField>
    <pivotField showAll="0"/>
    <pivotField showAll="0"/>
    <pivotField showAll="0" sortType="ascending"/>
    <pivotField multipleItemSelectionAllowed="1" showAll="0" defaultSubtotal="0">
      <items count="3">
        <item x="0"/>
        <item x="1"/>
        <item x="2"/>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defaultSubtotal="0"/>
    <pivotField showAll="0">
      <items count="4">
        <item x="1"/>
        <item x="0"/>
        <item x="2"/>
        <item t="default"/>
      </items>
    </pivotField>
    <pivotField showAll="0"/>
    <pivotField showAll="0"/>
    <pivotField showAll="0"/>
    <pivotField showAll="0" defaultSubtotal="0"/>
    <pivotField showAll="0"/>
    <pivotField showAll="0"/>
    <pivotField showAll="0"/>
    <pivotField showAll="0"/>
    <pivotField showAll="0"/>
    <pivotField showAll="0"/>
    <pivotField showAll="0"/>
    <pivotField showAll="0" defaultSubtotal="0"/>
    <pivotField showAll="0">
      <items count="4">
        <item x="0"/>
        <item x="1"/>
        <item x="2"/>
        <item t="default"/>
      </items>
    </pivotField>
    <pivotField showAll="0"/>
    <pivotField showAll="0"/>
    <pivotField showAll="0">
      <items count="3">
        <item x="1"/>
        <item x="0"/>
        <item t="default"/>
      </items>
    </pivotField>
    <pivotField showAll="0"/>
    <pivotField showAll="0"/>
    <pivotField showAll="0" defaultSubtotal="0"/>
    <pivotField showAll="0"/>
  </pivotFields>
  <rowFields count="1">
    <field x="21"/>
  </rowFields>
  <rowItems count="4">
    <i>
      <x/>
    </i>
    <i>
      <x v="1"/>
    </i>
    <i>
      <x v="2"/>
    </i>
    <i t="grand">
      <x/>
    </i>
  </rowItems>
  <colFields count="1">
    <field x="6"/>
  </colFields>
  <colItems count="4">
    <i>
      <x/>
    </i>
    <i>
      <x v="1"/>
    </i>
    <i>
      <x v="2"/>
    </i>
    <i t="grand">
      <x/>
    </i>
  </colItems>
  <dataFields count="1">
    <dataField name="Cuenta de FUMA"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4"/>
  <sheetViews>
    <sheetView workbookViewId="0">
      <selection activeCell="C2" sqref="C2:C6"/>
    </sheetView>
  </sheetViews>
  <sheetFormatPr defaultColWidth="10.7109375" defaultRowHeight="12.75" x14ac:dyDescent="0.2"/>
  <cols>
    <col min="2" max="2" width="27" customWidth="1"/>
    <col min="3" max="3" width="33.140625" customWidth="1"/>
    <col min="4" max="4" width="16" customWidth="1"/>
    <col min="5" max="5" width="16.5703125" customWidth="1"/>
    <col min="6" max="6" width="17.140625" customWidth="1"/>
    <col min="7" max="7" width="15.5703125" customWidth="1"/>
  </cols>
  <sheetData>
    <row r="1" spans="2:7" x14ac:dyDescent="0.2">
      <c r="B1" s="1" t="s">
        <v>168</v>
      </c>
      <c r="C1" s="2"/>
      <c r="E1" s="3" t="s">
        <v>178</v>
      </c>
    </row>
    <row r="2" spans="2:7" x14ac:dyDescent="0.2">
      <c r="B2" s="2">
        <v>1</v>
      </c>
      <c r="C2" s="2" t="s">
        <v>174</v>
      </c>
      <c r="E2" s="3" t="s">
        <v>181</v>
      </c>
    </row>
    <row r="3" spans="2:7" x14ac:dyDescent="0.2">
      <c r="B3" s="2">
        <v>2</v>
      </c>
      <c r="C3" s="12" t="s">
        <v>232</v>
      </c>
    </row>
    <row r="4" spans="2:7" x14ac:dyDescent="0.2">
      <c r="B4" s="2">
        <v>3</v>
      </c>
      <c r="C4" s="12" t="s">
        <v>230</v>
      </c>
      <c r="E4" s="9" t="s">
        <v>169</v>
      </c>
      <c r="F4" s="10" t="s">
        <v>215</v>
      </c>
      <c r="G4" s="8" t="s">
        <v>213</v>
      </c>
    </row>
    <row r="5" spans="2:7" ht="25.5" x14ac:dyDescent="0.2">
      <c r="B5" s="2">
        <v>4</v>
      </c>
      <c r="C5" s="12" t="s">
        <v>231</v>
      </c>
      <c r="E5" s="11"/>
      <c r="F5" s="11">
        <v>23000</v>
      </c>
      <c r="G5" s="8" t="s">
        <v>214</v>
      </c>
    </row>
    <row r="6" spans="2:7" x14ac:dyDescent="0.2">
      <c r="B6" s="2">
        <v>5</v>
      </c>
      <c r="C6" s="1" t="s">
        <v>221</v>
      </c>
      <c r="G6" s="6">
        <v>18000</v>
      </c>
    </row>
    <row r="10" spans="2:7" x14ac:dyDescent="0.2">
      <c r="B10" s="4" t="s">
        <v>175</v>
      </c>
    </row>
    <row r="11" spans="2:7" x14ac:dyDescent="0.2">
      <c r="B11" s="4" t="s">
        <v>241</v>
      </c>
      <c r="C11" s="5" t="s">
        <v>228</v>
      </c>
      <c r="D11" s="5"/>
      <c r="E11" s="5"/>
    </row>
    <row r="12" spans="2:7" x14ac:dyDescent="0.2">
      <c r="B12" s="13" t="s">
        <v>190</v>
      </c>
      <c r="C12" s="13" t="s">
        <v>183</v>
      </c>
      <c r="D12" s="13" t="s">
        <v>224</v>
      </c>
      <c r="E12" s="13" t="s">
        <v>185</v>
      </c>
      <c r="F12" s="13" t="s">
        <v>184</v>
      </c>
    </row>
    <row r="13" spans="2:7" x14ac:dyDescent="0.2">
      <c r="B13" s="14" t="s">
        <v>191</v>
      </c>
      <c r="C13" s="14" t="s">
        <v>186</v>
      </c>
      <c r="D13" s="14" t="s">
        <v>187</v>
      </c>
      <c r="E13" s="14" t="s">
        <v>188</v>
      </c>
    </row>
    <row r="15" spans="2:7" x14ac:dyDescent="0.2">
      <c r="B15" s="7" t="s">
        <v>176</v>
      </c>
    </row>
    <row r="16" spans="2:7" x14ac:dyDescent="0.2">
      <c r="B16" s="7" t="s">
        <v>192</v>
      </c>
      <c r="C16" s="7" t="s">
        <v>189</v>
      </c>
      <c r="D16" s="7" t="s">
        <v>196</v>
      </c>
      <c r="E16" s="7" t="s">
        <v>199</v>
      </c>
      <c r="F16" s="7" t="s">
        <v>201</v>
      </c>
      <c r="G16" s="7" t="s">
        <v>203</v>
      </c>
    </row>
    <row r="17" spans="2:7" x14ac:dyDescent="0.2">
      <c r="B17" s="3" t="s">
        <v>180</v>
      </c>
      <c r="C17" s="3" t="s">
        <v>193</v>
      </c>
      <c r="D17" s="3" t="s">
        <v>197</v>
      </c>
      <c r="E17" s="3" t="s">
        <v>200</v>
      </c>
      <c r="F17" s="3" t="s">
        <v>202</v>
      </c>
      <c r="G17" s="3" t="s">
        <v>204</v>
      </c>
    </row>
    <row r="18" spans="2:7" x14ac:dyDescent="0.2">
      <c r="C18" s="3" t="s">
        <v>194</v>
      </c>
      <c r="D18" s="3" t="s">
        <v>198</v>
      </c>
    </row>
    <row r="19" spans="2:7" x14ac:dyDescent="0.2">
      <c r="C19" s="3" t="s">
        <v>195</v>
      </c>
    </row>
    <row r="20" spans="2:7" x14ac:dyDescent="0.2">
      <c r="C20" s="3" t="s">
        <v>227</v>
      </c>
    </row>
    <row r="22" spans="2:7" x14ac:dyDescent="0.2">
      <c r="B22" s="1" t="s">
        <v>576</v>
      </c>
      <c r="C22" s="1" t="s">
        <v>577</v>
      </c>
      <c r="D22" s="3" t="s">
        <v>578</v>
      </c>
    </row>
    <row r="23" spans="2:7" x14ac:dyDescent="0.2">
      <c r="B23" s="2">
        <v>1</v>
      </c>
      <c r="C23" s="1" t="s">
        <v>459</v>
      </c>
      <c r="D23" s="3" t="s">
        <v>572</v>
      </c>
      <c r="E23" s="100">
        <f>18000/101</f>
        <v>178.21782178217822</v>
      </c>
      <c r="F23" s="100">
        <f>25000/101</f>
        <v>247.52475247524754</v>
      </c>
    </row>
    <row r="24" spans="2:7" x14ac:dyDescent="0.2">
      <c r="B24" s="2">
        <v>2</v>
      </c>
      <c r="C24" s="12" t="s">
        <v>460</v>
      </c>
      <c r="D24" s="3" t="s">
        <v>573</v>
      </c>
      <c r="E24" s="100">
        <f>25000/101</f>
        <v>247.52475247524754</v>
      </c>
      <c r="F24" s="100">
        <f>50000/101</f>
        <v>495.04950495049508</v>
      </c>
    </row>
    <row r="25" spans="2:7" x14ac:dyDescent="0.2">
      <c r="B25" s="2">
        <v>3</v>
      </c>
      <c r="C25" s="12" t="s">
        <v>461</v>
      </c>
      <c r="D25" s="3" t="s">
        <v>574</v>
      </c>
      <c r="E25" s="100">
        <f>50000/101</f>
        <v>495.04950495049508</v>
      </c>
      <c r="F25" s="100">
        <f>80000/101</f>
        <v>792.0792079207921</v>
      </c>
    </row>
    <row r="26" spans="2:7" x14ac:dyDescent="0.2">
      <c r="B26" s="2">
        <v>4</v>
      </c>
      <c r="C26" s="12" t="s">
        <v>462</v>
      </c>
      <c r="D26" s="3" t="s">
        <v>575</v>
      </c>
      <c r="E26" s="100">
        <f>80000/101</f>
        <v>792.0792079207921</v>
      </c>
      <c r="F26" s="100"/>
    </row>
    <row r="28" spans="2:7" x14ac:dyDescent="0.2">
      <c r="B28" s="9" t="s">
        <v>493</v>
      </c>
      <c r="C28" s="50" t="s">
        <v>494</v>
      </c>
      <c r="D28" s="11">
        <v>1</v>
      </c>
    </row>
    <row r="29" spans="2:7" x14ac:dyDescent="0.2">
      <c r="B29" s="11"/>
      <c r="C29" s="50" t="s">
        <v>495</v>
      </c>
      <c r="D29" s="11">
        <v>2</v>
      </c>
    </row>
    <row r="30" spans="2:7" x14ac:dyDescent="0.2">
      <c r="B30" s="11"/>
      <c r="C30" s="50" t="s">
        <v>496</v>
      </c>
      <c r="D30" s="11">
        <v>3</v>
      </c>
    </row>
    <row r="33" spans="2:6" x14ac:dyDescent="0.2">
      <c r="D33" t="s">
        <v>562</v>
      </c>
      <c r="E33" t="s">
        <v>563</v>
      </c>
      <c r="F33" t="s">
        <v>564</v>
      </c>
    </row>
    <row r="34" spans="2:6" x14ac:dyDescent="0.2">
      <c r="B34" s="86">
        <v>44440</v>
      </c>
      <c r="C34" t="s">
        <v>561</v>
      </c>
      <c r="D34">
        <v>97.75</v>
      </c>
      <c r="E34">
        <v>103.75</v>
      </c>
      <c r="F34">
        <f>(E34+D34)/2</f>
        <v>100.75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8"/>
  <sheetViews>
    <sheetView zoomScale="80" zoomScaleNormal="80" workbookViewId="0">
      <selection activeCell="A3" sqref="A3:E8"/>
    </sheetView>
  </sheetViews>
  <sheetFormatPr defaultColWidth="11.42578125" defaultRowHeight="12.75" x14ac:dyDescent="0.2"/>
  <cols>
    <col min="1" max="1" width="17.7109375" customWidth="1"/>
    <col min="2" max="2" width="22.7109375" customWidth="1"/>
    <col min="3" max="3" width="4.140625" customWidth="1"/>
    <col min="4" max="4" width="10.7109375" customWidth="1"/>
    <col min="5" max="6" width="12.28515625" customWidth="1"/>
    <col min="7" max="20" width="3.140625" customWidth="1"/>
    <col min="21" max="23" width="7.5703125" customWidth="1"/>
    <col min="24" max="24" width="3.140625" customWidth="1"/>
    <col min="25" max="28" width="7.5703125" customWidth="1"/>
    <col min="29" max="29" width="10.7109375" customWidth="1"/>
    <col min="30" max="30" width="12.28515625" customWidth="1"/>
    <col min="31" max="51" width="3" customWidth="1"/>
    <col min="52" max="55" width="4" customWidth="1"/>
    <col min="56" max="56" width="10.7109375" customWidth="1"/>
    <col min="57" max="57" width="12.7109375" customWidth="1"/>
    <col min="58" max="106" width="22.85546875" customWidth="1"/>
    <col min="107" max="107" width="22.85546875" bestFit="1" customWidth="1"/>
    <col min="108" max="108" width="22.85546875" customWidth="1"/>
    <col min="109" max="118" width="22.85546875" bestFit="1" customWidth="1"/>
    <col min="119" max="119" width="22.85546875" customWidth="1"/>
    <col min="120" max="120" width="22.85546875" bestFit="1" customWidth="1"/>
    <col min="121" max="122" width="22.85546875" customWidth="1"/>
    <col min="123" max="124" width="22.85546875" bestFit="1" customWidth="1"/>
    <col min="125" max="128" width="22.85546875" customWidth="1"/>
    <col min="129" max="129" width="22.85546875" bestFit="1" customWidth="1"/>
    <col min="130" max="133" width="22.85546875" customWidth="1"/>
    <col min="134" max="134" width="22.85546875" bestFit="1" customWidth="1"/>
    <col min="135" max="135" width="22.85546875" customWidth="1"/>
    <col min="136" max="136" width="22.85546875" bestFit="1" customWidth="1"/>
    <col min="137" max="137" width="22.85546875" customWidth="1"/>
    <col min="138" max="140" width="22.85546875" bestFit="1" customWidth="1"/>
    <col min="141" max="141" width="22.85546875" customWidth="1"/>
    <col min="142" max="143" width="22.85546875" bestFit="1" customWidth="1"/>
    <col min="144" max="144" width="22.85546875" customWidth="1"/>
    <col min="145" max="148" width="22.85546875" bestFit="1" customWidth="1"/>
    <col min="149" max="149" width="22.85546875" customWidth="1"/>
    <col min="150" max="151" width="22.85546875" bestFit="1" customWidth="1"/>
    <col min="152" max="152" width="22.85546875" customWidth="1"/>
    <col min="153" max="156" width="22.85546875" bestFit="1" customWidth="1"/>
    <col min="157" max="163" width="22.85546875" customWidth="1"/>
    <col min="164" max="166" width="22.85546875" bestFit="1" customWidth="1"/>
    <col min="167" max="167" width="22.85546875" customWidth="1"/>
    <col min="168" max="168" width="22.85546875" bestFit="1" customWidth="1"/>
    <col min="169" max="169" width="22.85546875" customWidth="1"/>
    <col min="170" max="172" width="22.85546875" bestFit="1" customWidth="1"/>
    <col min="173" max="173" width="22.85546875" customWidth="1"/>
    <col min="174" max="175" width="22.85546875" bestFit="1" customWidth="1"/>
    <col min="176" max="178" width="22.85546875" customWidth="1"/>
    <col min="179" max="179" width="22.85546875" bestFit="1" customWidth="1"/>
    <col min="180" max="183" width="22.85546875" customWidth="1"/>
    <col min="184" max="184" width="22.85546875" bestFit="1" customWidth="1"/>
    <col min="185" max="185" width="22.85546875" customWidth="1"/>
    <col min="186" max="191" width="22.85546875" bestFit="1" customWidth="1"/>
    <col min="192" max="193" width="22.85546875" customWidth="1"/>
    <col min="194" max="194" width="22.85546875" bestFit="1" customWidth="1"/>
    <col min="195" max="196" width="22.85546875" customWidth="1"/>
    <col min="197" max="197" width="22.85546875" bestFit="1" customWidth="1"/>
    <col min="198" max="198" width="22.85546875" customWidth="1"/>
    <col min="199" max="200" width="22.85546875" bestFit="1" customWidth="1"/>
    <col min="201" max="202" width="22.85546875" customWidth="1"/>
    <col min="203" max="205" width="22.85546875" bestFit="1" customWidth="1"/>
    <col min="206" max="206" width="22.85546875" customWidth="1"/>
    <col min="207" max="207" width="22.85546875" bestFit="1" customWidth="1"/>
    <col min="208" max="208" width="12.7109375" customWidth="1"/>
    <col min="209" max="209" width="12" bestFit="1" customWidth="1"/>
    <col min="210" max="210" width="3" customWidth="1"/>
    <col min="211" max="211" width="10.5703125" customWidth="1"/>
    <col min="212" max="212" width="12.7109375" bestFit="1" customWidth="1"/>
    <col min="213" max="213" width="15.7109375" bestFit="1" customWidth="1"/>
    <col min="214" max="214" width="12.28515625" bestFit="1" customWidth="1"/>
  </cols>
  <sheetData>
    <row r="2" spans="1:5" x14ac:dyDescent="0.2">
      <c r="B2" s="3"/>
    </row>
    <row r="3" spans="1:5" x14ac:dyDescent="0.2">
      <c r="A3" s="150" t="s">
        <v>814</v>
      </c>
      <c r="B3" s="150" t="s">
        <v>491</v>
      </c>
    </row>
    <row r="4" spans="1:5" x14ac:dyDescent="0.2">
      <c r="A4" s="150" t="s">
        <v>489</v>
      </c>
      <c r="B4" t="s">
        <v>164</v>
      </c>
      <c r="C4" t="s">
        <v>163</v>
      </c>
      <c r="D4" t="s">
        <v>473</v>
      </c>
      <c r="E4" t="s">
        <v>472</v>
      </c>
    </row>
    <row r="5" spans="1:5" x14ac:dyDescent="0.2">
      <c r="A5" s="47" t="s">
        <v>242</v>
      </c>
      <c r="B5">
        <v>89</v>
      </c>
      <c r="C5">
        <v>99</v>
      </c>
      <c r="E5">
        <v>188</v>
      </c>
    </row>
    <row r="6" spans="1:5" x14ac:dyDescent="0.2">
      <c r="A6" s="47" t="s">
        <v>243</v>
      </c>
      <c r="B6">
        <v>9</v>
      </c>
      <c r="C6">
        <v>11</v>
      </c>
      <c r="E6">
        <v>20</v>
      </c>
    </row>
    <row r="7" spans="1:5" x14ac:dyDescent="0.2">
      <c r="A7" s="47" t="s">
        <v>473</v>
      </c>
    </row>
    <row r="8" spans="1:5" x14ac:dyDescent="0.2">
      <c r="A8" s="47" t="s">
        <v>472</v>
      </c>
      <c r="B8">
        <v>98</v>
      </c>
      <c r="C8">
        <v>110</v>
      </c>
      <c r="E8">
        <v>208</v>
      </c>
    </row>
  </sheetData>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592"/>
  <sheetViews>
    <sheetView topLeftCell="A68" zoomScale="70" zoomScaleNormal="70" workbookViewId="0">
      <selection activeCell="A78" sqref="A78:H83"/>
    </sheetView>
  </sheetViews>
  <sheetFormatPr defaultColWidth="11.42578125" defaultRowHeight="12.75" x14ac:dyDescent="0.2"/>
  <cols>
    <col min="1" max="1" width="14.28515625" customWidth="1"/>
    <col min="17" max="17" width="8.28515625" customWidth="1"/>
    <col min="18" max="18" width="9.28515625" customWidth="1"/>
    <col min="19" max="19" width="10.85546875" customWidth="1"/>
    <col min="23" max="23" width="7.140625" customWidth="1"/>
  </cols>
  <sheetData>
    <row r="1" spans="1:28" ht="13.15" customHeight="1" x14ac:dyDescent="0.2">
      <c r="A1" s="239" t="s">
        <v>601</v>
      </c>
      <c r="B1" s="239"/>
      <c r="C1" s="239"/>
      <c r="D1" s="239"/>
      <c r="E1" s="239"/>
      <c r="F1" s="105"/>
      <c r="G1" s="240" t="s">
        <v>602</v>
      </c>
      <c r="H1" s="240"/>
      <c r="I1" s="240"/>
      <c r="J1" s="240"/>
      <c r="K1" s="240"/>
      <c r="L1" s="105"/>
      <c r="M1" s="251" t="s">
        <v>603</v>
      </c>
      <c r="N1" s="251"/>
      <c r="O1" s="251"/>
      <c r="P1" s="251"/>
      <c r="Q1" s="251"/>
    </row>
    <row r="2" spans="1:28" x14ac:dyDescent="0.2">
      <c r="A2" s="239"/>
      <c r="B2" s="239"/>
      <c r="C2" s="239"/>
      <c r="D2" s="239"/>
      <c r="E2" s="239"/>
      <c r="F2" s="105"/>
      <c r="G2" s="240"/>
      <c r="H2" s="240"/>
      <c r="I2" s="240"/>
      <c r="J2" s="240"/>
      <c r="K2" s="240"/>
      <c r="L2" s="105"/>
      <c r="M2" s="251"/>
      <c r="N2" s="251"/>
      <c r="O2" s="251"/>
      <c r="P2" s="251"/>
      <c r="Q2" s="251"/>
    </row>
    <row r="3" spans="1:28" x14ac:dyDescent="0.2">
      <c r="A3" s="244" t="s">
        <v>0</v>
      </c>
      <c r="B3" s="244"/>
      <c r="C3" s="244"/>
      <c r="D3" t="s">
        <v>708</v>
      </c>
      <c r="E3" t="s">
        <v>707</v>
      </c>
    </row>
    <row r="4" spans="1:28" x14ac:dyDescent="0.2">
      <c r="A4" t="s">
        <v>164</v>
      </c>
      <c r="B4">
        <v>98</v>
      </c>
      <c r="C4" s="143">
        <v>0.47115384615384615</v>
      </c>
      <c r="D4" s="161">
        <v>72.142857142857139</v>
      </c>
      <c r="E4" s="161">
        <v>5.347704006798609</v>
      </c>
      <c r="G4" s="3" t="s">
        <v>597</v>
      </c>
      <c r="H4" s="244" t="s">
        <v>0</v>
      </c>
      <c r="I4" s="249"/>
      <c r="M4" s="3" t="s">
        <v>597</v>
      </c>
      <c r="N4" s="244" t="s">
        <v>0</v>
      </c>
      <c r="O4" s="244"/>
      <c r="S4" t="s">
        <v>479</v>
      </c>
      <c r="T4" t="s">
        <v>480</v>
      </c>
      <c r="U4" t="s">
        <v>482</v>
      </c>
      <c r="V4" s="3" t="s">
        <v>678</v>
      </c>
      <c r="Y4" t="s">
        <v>479</v>
      </c>
      <c r="Z4" t="s">
        <v>480</v>
      </c>
      <c r="AA4" t="s">
        <v>482</v>
      </c>
      <c r="AB4" t="s">
        <v>472</v>
      </c>
    </row>
    <row r="5" spans="1:28" x14ac:dyDescent="0.2">
      <c r="A5" t="s">
        <v>163</v>
      </c>
      <c r="B5">
        <v>110</v>
      </c>
      <c r="C5" s="143">
        <v>0.52884615384615385</v>
      </c>
      <c r="D5" s="161">
        <v>72.672727272727272</v>
      </c>
      <c r="E5" s="161">
        <v>5.5207848978419571</v>
      </c>
      <c r="G5" s="3"/>
      <c r="H5" t="s">
        <v>164</v>
      </c>
      <c r="I5" t="s">
        <v>163</v>
      </c>
      <c r="J5" t="s">
        <v>472</v>
      </c>
      <c r="M5" s="3"/>
      <c r="N5" t="s">
        <v>164</v>
      </c>
      <c r="O5" t="s">
        <v>163</v>
      </c>
      <c r="P5" t="s">
        <v>472</v>
      </c>
      <c r="R5" s="3" t="s">
        <v>710</v>
      </c>
      <c r="S5" s="3" t="s">
        <v>712</v>
      </c>
      <c r="T5" s="3" t="s">
        <v>713</v>
      </c>
      <c r="U5" s="3" t="s">
        <v>714</v>
      </c>
      <c r="V5" s="3" t="s">
        <v>715</v>
      </c>
      <c r="W5" s="3"/>
      <c r="X5" s="3" t="s">
        <v>710</v>
      </c>
      <c r="Y5" s="52">
        <v>0.42857142857142855</v>
      </c>
      <c r="Z5" s="52">
        <v>0.30612244897959184</v>
      </c>
      <c r="AA5" s="52">
        <v>0.26530612244897961</v>
      </c>
      <c r="AB5" s="52">
        <v>1</v>
      </c>
    </row>
    <row r="6" spans="1:28" x14ac:dyDescent="0.2">
      <c r="A6" t="s">
        <v>472</v>
      </c>
      <c r="B6">
        <v>208</v>
      </c>
      <c r="C6" s="144" t="s">
        <v>644</v>
      </c>
      <c r="D6" s="166">
        <v>72.42307692307692</v>
      </c>
      <c r="E6" s="166">
        <v>5.4332885348776649</v>
      </c>
      <c r="G6" t="s">
        <v>479</v>
      </c>
      <c r="H6">
        <v>42</v>
      </c>
      <c r="I6">
        <v>41</v>
      </c>
      <c r="J6">
        <v>83</v>
      </c>
      <c r="M6" t="s">
        <v>479</v>
      </c>
      <c r="N6" s="104">
        <f>42/P9</f>
        <v>0.20192307692307693</v>
      </c>
      <c r="O6" s="104">
        <f>41/P9</f>
        <v>0.19711538461538461</v>
      </c>
      <c r="P6" s="104">
        <f>83/208</f>
        <v>0.39903846153846156</v>
      </c>
      <c r="R6" s="3" t="s">
        <v>711</v>
      </c>
      <c r="S6" s="3" t="s">
        <v>716</v>
      </c>
      <c r="T6" s="3" t="s">
        <v>717</v>
      </c>
      <c r="U6" s="3" t="s">
        <v>718</v>
      </c>
      <c r="V6" s="3" t="s">
        <v>719</v>
      </c>
      <c r="W6" s="3"/>
      <c r="X6" s="3" t="s">
        <v>711</v>
      </c>
      <c r="Y6" s="52">
        <v>0.37272727272727274</v>
      </c>
      <c r="Z6" s="52">
        <v>0.40909090909090912</v>
      </c>
      <c r="AA6" s="52">
        <v>0.21818181818181817</v>
      </c>
      <c r="AB6" s="52">
        <v>1</v>
      </c>
    </row>
    <row r="7" spans="1:28" x14ac:dyDescent="0.2">
      <c r="G7" t="s">
        <v>480</v>
      </c>
      <c r="H7">
        <v>30</v>
      </c>
      <c r="I7">
        <v>45</v>
      </c>
      <c r="J7">
        <v>75</v>
      </c>
      <c r="M7" t="s">
        <v>480</v>
      </c>
      <c r="N7" s="104">
        <f>30/P9</f>
        <v>0.14423076923076922</v>
      </c>
      <c r="O7" s="104">
        <f>45/P9</f>
        <v>0.21634615384615385</v>
      </c>
      <c r="P7" s="104">
        <f>75/208</f>
        <v>0.36057692307692307</v>
      </c>
      <c r="R7" s="3" t="s">
        <v>678</v>
      </c>
      <c r="S7" s="3" t="s">
        <v>720</v>
      </c>
      <c r="T7" s="3" t="s">
        <v>721</v>
      </c>
      <c r="U7" s="3" t="s">
        <v>722</v>
      </c>
      <c r="V7" s="3" t="s">
        <v>723</v>
      </c>
      <c r="W7" s="3"/>
      <c r="X7" s="3" t="s">
        <v>678</v>
      </c>
      <c r="Y7" s="52">
        <v>0.39903846153846156</v>
      </c>
      <c r="Z7" s="52">
        <v>0.36057692307692307</v>
      </c>
      <c r="AA7" s="52">
        <v>0.24038461538461539</v>
      </c>
      <c r="AB7" s="52">
        <v>1</v>
      </c>
    </row>
    <row r="8" spans="1:28" ht="14.65" customHeight="1" x14ac:dyDescent="0.2">
      <c r="A8" s="248" t="s">
        <v>709</v>
      </c>
      <c r="B8" s="248"/>
      <c r="C8" s="248"/>
      <c r="D8" s="248"/>
      <c r="E8" s="248"/>
      <c r="G8" t="s">
        <v>482</v>
      </c>
      <c r="H8">
        <v>26</v>
      </c>
      <c r="I8">
        <v>24</v>
      </c>
      <c r="J8">
        <v>50</v>
      </c>
      <c r="M8" t="s">
        <v>482</v>
      </c>
      <c r="N8" s="104">
        <f>26/P9</f>
        <v>0.125</v>
      </c>
      <c r="O8" s="104">
        <f>24/P9</f>
        <v>0.11538461538461539</v>
      </c>
      <c r="P8" s="104">
        <f>50/208</f>
        <v>0.24038461538461539</v>
      </c>
      <c r="T8" s="3"/>
      <c r="U8" s="3"/>
    </row>
    <row r="9" spans="1:28" x14ac:dyDescent="0.2">
      <c r="A9" s="248"/>
      <c r="B9" s="248"/>
      <c r="C9" s="248"/>
      <c r="D9" s="248"/>
      <c r="E9" s="248"/>
      <c r="G9" t="s">
        <v>472</v>
      </c>
      <c r="H9">
        <v>98</v>
      </c>
      <c r="I9">
        <v>110</v>
      </c>
      <c r="J9">
        <v>208</v>
      </c>
      <c r="M9" s="3" t="s">
        <v>640</v>
      </c>
      <c r="N9">
        <v>98</v>
      </c>
      <c r="O9">
        <v>110</v>
      </c>
      <c r="P9">
        <v>208</v>
      </c>
      <c r="R9" s="103" t="s">
        <v>724</v>
      </c>
    </row>
    <row r="10" spans="1:28" x14ac:dyDescent="0.2">
      <c r="A10" s="248"/>
      <c r="B10" s="248"/>
      <c r="C10" s="248"/>
      <c r="D10" s="248"/>
      <c r="E10" s="248"/>
      <c r="N10" s="104"/>
      <c r="O10" s="104"/>
      <c r="R10" s="103" t="s">
        <v>725</v>
      </c>
      <c r="Y10" s="3"/>
    </row>
    <row r="11" spans="1:28" x14ac:dyDescent="0.2">
      <c r="A11" s="248"/>
      <c r="B11" s="248"/>
      <c r="C11" s="248"/>
      <c r="D11" s="248"/>
      <c r="E11" s="248"/>
      <c r="X11" s="104"/>
      <c r="Y11" s="104"/>
    </row>
    <row r="12" spans="1:28" x14ac:dyDescent="0.2">
      <c r="A12" s="3">
        <f>100-53</f>
        <v>47</v>
      </c>
      <c r="B12" s="107"/>
      <c r="C12" s="107"/>
      <c r="X12" s="104"/>
      <c r="Y12" s="104"/>
    </row>
    <row r="13" spans="1:28" x14ac:dyDescent="0.2">
      <c r="A13" s="250"/>
      <c r="B13" s="250"/>
      <c r="C13" s="250"/>
      <c r="D13" s="250"/>
      <c r="E13" s="250"/>
      <c r="V13" s="104"/>
      <c r="W13" s="104"/>
      <c r="X13" s="104"/>
      <c r="Y13" s="104"/>
    </row>
    <row r="14" spans="1:28" x14ac:dyDescent="0.2">
      <c r="A14" s="250"/>
      <c r="B14" s="250"/>
      <c r="C14" s="250"/>
      <c r="D14" s="250"/>
      <c r="E14" s="250"/>
    </row>
    <row r="15" spans="1:28" x14ac:dyDescent="0.2">
      <c r="A15" s="3"/>
      <c r="B15" s="107"/>
      <c r="C15" s="107"/>
    </row>
    <row r="16" spans="1:28" x14ac:dyDescent="0.2">
      <c r="A16" s="120"/>
      <c r="B16" s="120"/>
      <c r="C16" s="120"/>
      <c r="D16" s="120"/>
      <c r="E16" s="120"/>
      <c r="G16" s="242" t="s">
        <v>173</v>
      </c>
      <c r="H16" s="242"/>
      <c r="I16" s="242"/>
      <c r="J16" s="242"/>
      <c r="K16" s="242"/>
    </row>
    <row r="17" spans="1:22" x14ac:dyDescent="0.2">
      <c r="A17" s="120"/>
      <c r="B17" s="120" t="s">
        <v>613</v>
      </c>
      <c r="C17" s="120"/>
      <c r="D17" s="120"/>
      <c r="E17" s="120"/>
      <c r="G17" s="242"/>
      <c r="H17" s="242"/>
      <c r="I17" s="242"/>
      <c r="J17" s="242"/>
      <c r="K17" s="242"/>
      <c r="M17" s="147" t="s">
        <v>596</v>
      </c>
      <c r="N17" s="148" t="s">
        <v>627</v>
      </c>
      <c r="O17" s="148"/>
      <c r="P17" s="147"/>
      <c r="R17" s="252" t="s">
        <v>730</v>
      </c>
      <c r="S17" s="252"/>
      <c r="T17" s="252"/>
      <c r="U17" s="252"/>
      <c r="V17" s="252"/>
    </row>
    <row r="18" spans="1:22" x14ac:dyDescent="0.2">
      <c r="A18" s="3"/>
      <c r="B18" s="107"/>
      <c r="C18" s="107"/>
      <c r="G18" t="s">
        <v>489</v>
      </c>
      <c r="H18" t="s">
        <v>179</v>
      </c>
      <c r="I18" t="s">
        <v>219</v>
      </c>
      <c r="J18" t="s">
        <v>177</v>
      </c>
      <c r="K18" t="s">
        <v>472</v>
      </c>
      <c r="M18" s="147"/>
      <c r="N18" s="147" t="s">
        <v>242</v>
      </c>
      <c r="O18" s="147" t="s">
        <v>243</v>
      </c>
      <c r="P18" s="147" t="s">
        <v>472</v>
      </c>
      <c r="S18" t="s">
        <v>479</v>
      </c>
      <c r="T18" t="s">
        <v>480</v>
      </c>
      <c r="U18" t="s">
        <v>482</v>
      </c>
      <c r="V18" t="s">
        <v>472</v>
      </c>
    </row>
    <row r="19" spans="1:22" x14ac:dyDescent="0.2">
      <c r="A19" s="3"/>
      <c r="B19" s="3"/>
      <c r="C19" s="3" t="s">
        <v>614</v>
      </c>
      <c r="G19" s="47" t="s">
        <v>164</v>
      </c>
      <c r="H19">
        <v>12</v>
      </c>
      <c r="I19">
        <v>1</v>
      </c>
      <c r="J19">
        <v>85</v>
      </c>
      <c r="K19">
        <v>98</v>
      </c>
      <c r="M19" s="5" t="s">
        <v>505</v>
      </c>
      <c r="N19">
        <v>31</v>
      </c>
      <c r="O19">
        <v>14</v>
      </c>
      <c r="P19">
        <v>45</v>
      </c>
      <c r="R19" s="47" t="s">
        <v>243</v>
      </c>
      <c r="S19">
        <v>31</v>
      </c>
      <c r="T19">
        <v>22</v>
      </c>
      <c r="U19">
        <v>14</v>
      </c>
      <c r="V19">
        <v>67</v>
      </c>
    </row>
    <row r="20" spans="1:22" x14ac:dyDescent="0.2">
      <c r="A20" s="3" t="s">
        <v>0</v>
      </c>
      <c r="B20" s="107" t="s">
        <v>242</v>
      </c>
      <c r="C20" s="107" t="s">
        <v>243</v>
      </c>
      <c r="D20" t="s">
        <v>472</v>
      </c>
      <c r="G20" s="47" t="s">
        <v>163</v>
      </c>
      <c r="H20">
        <v>16</v>
      </c>
      <c r="J20">
        <v>90</v>
      </c>
      <c r="K20">
        <v>110</v>
      </c>
      <c r="M20" s="5" t="s">
        <v>506</v>
      </c>
      <c r="N20">
        <v>51</v>
      </c>
      <c r="O20">
        <v>29</v>
      </c>
      <c r="P20">
        <v>80</v>
      </c>
      <c r="S20" s="168">
        <f>S19/S21</f>
        <v>0.37349397590361444</v>
      </c>
      <c r="T20" s="168">
        <f>T19/T21</f>
        <v>0.29333333333333333</v>
      </c>
      <c r="U20" s="168">
        <f>U19/U21</f>
        <v>0.28000000000000003</v>
      </c>
      <c r="V20" s="168">
        <f>V19/V21</f>
        <v>0.32211538461538464</v>
      </c>
    </row>
    <row r="21" spans="1:22" x14ac:dyDescent="0.2">
      <c r="A21" s="3" t="s">
        <v>164</v>
      </c>
      <c r="B21" s="107">
        <v>91</v>
      </c>
      <c r="C21" s="107">
        <v>7</v>
      </c>
      <c r="D21">
        <v>98</v>
      </c>
      <c r="G21" s="47" t="s">
        <v>472</v>
      </c>
      <c r="H21" s="104">
        <f>28/208</f>
        <v>0.13461538461538461</v>
      </c>
      <c r="I21">
        <v>1</v>
      </c>
      <c r="J21" s="146">
        <f>175/208</f>
        <v>0.84134615384615385</v>
      </c>
      <c r="K21">
        <v>208</v>
      </c>
      <c r="M21" s="5" t="s">
        <v>590</v>
      </c>
      <c r="N21">
        <v>59</v>
      </c>
      <c r="O21">
        <v>24</v>
      </c>
      <c r="P21">
        <v>83</v>
      </c>
      <c r="R21" s="47" t="s">
        <v>472</v>
      </c>
      <c r="S21">
        <v>83</v>
      </c>
      <c r="T21">
        <v>75</v>
      </c>
      <c r="U21">
        <v>50</v>
      </c>
      <c r="V21">
        <v>208</v>
      </c>
    </row>
    <row r="22" spans="1:22" x14ac:dyDescent="0.2">
      <c r="A22" s="3" t="s">
        <v>163</v>
      </c>
      <c r="B22" s="107">
        <v>99</v>
      </c>
      <c r="C22" s="107">
        <v>11</v>
      </c>
      <c r="D22">
        <v>110</v>
      </c>
      <c r="G22" s="145" t="s">
        <v>643</v>
      </c>
      <c r="M22" s="149" t="s">
        <v>598</v>
      </c>
      <c r="N22" s="168">
        <f>141/P22</f>
        <v>0.67788461538461542</v>
      </c>
      <c r="O22" s="168">
        <f>67/P22</f>
        <v>0.32211538461538464</v>
      </c>
      <c r="P22">
        <v>208</v>
      </c>
      <c r="R22" s="47"/>
    </row>
    <row r="23" spans="1:22" x14ac:dyDescent="0.2">
      <c r="A23" s="3" t="s">
        <v>472</v>
      </c>
      <c r="B23" s="113">
        <f>190/208</f>
        <v>0.91346153846153844</v>
      </c>
      <c r="C23" s="113">
        <f>18/208</f>
        <v>8.6538461538461536E-2</v>
      </c>
      <c r="D23">
        <v>208</v>
      </c>
      <c r="N23">
        <f>SUM(N19:N21)</f>
        <v>141</v>
      </c>
      <c r="O23">
        <f>SUM(O19:O21)</f>
        <v>67</v>
      </c>
      <c r="R23" s="103" t="s">
        <v>731</v>
      </c>
    </row>
    <row r="24" spans="1:22" x14ac:dyDescent="0.2">
      <c r="A24" s="145" t="s">
        <v>643</v>
      </c>
      <c r="F24" t="s">
        <v>814</v>
      </c>
      <c r="G24" t="s">
        <v>491</v>
      </c>
    </row>
    <row r="25" spans="1:22" x14ac:dyDescent="0.2">
      <c r="A25" s="3"/>
      <c r="B25" s="113"/>
      <c r="C25" s="113"/>
      <c r="F25" t="s">
        <v>489</v>
      </c>
      <c r="G25" t="s">
        <v>164</v>
      </c>
      <c r="H25" t="s">
        <v>163</v>
      </c>
      <c r="I25" t="s">
        <v>472</v>
      </c>
      <c r="M25" s="53"/>
      <c r="N25" s="54" t="s">
        <v>647</v>
      </c>
      <c r="O25" s="54" t="s">
        <v>648</v>
      </c>
      <c r="P25" s="53"/>
    </row>
    <row r="26" spans="1:22" x14ac:dyDescent="0.2">
      <c r="A26" s="103" t="s">
        <v>815</v>
      </c>
      <c r="B26" s="3"/>
      <c r="C26" s="3"/>
      <c r="F26" s="47" t="s">
        <v>243</v>
      </c>
      <c r="G26">
        <v>9</v>
      </c>
      <c r="H26">
        <v>11</v>
      </c>
      <c r="I26">
        <v>20</v>
      </c>
      <c r="M26" s="54" t="s">
        <v>645</v>
      </c>
      <c r="N26" s="53">
        <v>14</v>
      </c>
      <c r="O26" s="53">
        <v>53</v>
      </c>
      <c r="P26" s="53">
        <v>67</v>
      </c>
    </row>
    <row r="27" spans="1:22" x14ac:dyDescent="0.2">
      <c r="A27" s="103" t="s">
        <v>729</v>
      </c>
      <c r="B27" s="107"/>
      <c r="C27" s="107"/>
      <c r="F27" s="47" t="s">
        <v>472</v>
      </c>
      <c r="G27">
        <v>98</v>
      </c>
      <c r="H27">
        <v>110</v>
      </c>
      <c r="I27">
        <v>208</v>
      </c>
      <c r="M27" s="54" t="s">
        <v>646</v>
      </c>
      <c r="N27" s="53">
        <v>31</v>
      </c>
      <c r="O27" s="53">
        <v>110</v>
      </c>
      <c r="P27" s="53">
        <v>141</v>
      </c>
    </row>
    <row r="28" spans="1:22" x14ac:dyDescent="0.2">
      <c r="B28" s="107"/>
      <c r="C28" s="107"/>
      <c r="G28" s="52">
        <f>G26/G27</f>
        <v>9.1836734693877556E-2</v>
      </c>
      <c r="H28" s="52">
        <f>H26/H27</f>
        <v>0.1</v>
      </c>
      <c r="I28" s="52">
        <f>I26/I27</f>
        <v>9.6153846153846159E-2</v>
      </c>
      <c r="M28" s="53"/>
      <c r="N28" s="53">
        <v>45</v>
      </c>
      <c r="O28" s="53">
        <v>163</v>
      </c>
      <c r="P28" s="53">
        <v>208</v>
      </c>
    </row>
    <row r="29" spans="1:22" x14ac:dyDescent="0.2">
      <c r="A29" s="3"/>
      <c r="B29" s="107"/>
      <c r="C29" s="107"/>
      <c r="M29" s="103" t="s">
        <v>656</v>
      </c>
    </row>
    <row r="30" spans="1:22" x14ac:dyDescent="0.2">
      <c r="A30" s="3"/>
      <c r="B30" s="107"/>
      <c r="C30" s="107"/>
    </row>
    <row r="31" spans="1:22" x14ac:dyDescent="0.2">
      <c r="A31" s="75"/>
      <c r="B31" s="75"/>
      <c r="C31" s="155" t="s">
        <v>589</v>
      </c>
      <c r="D31" s="156"/>
      <c r="E31" s="156"/>
      <c r="F31" s="156"/>
      <c r="G31" s="156"/>
      <c r="H31" s="156"/>
      <c r="I31" s="75"/>
      <c r="J31" s="105"/>
      <c r="K31" s="121" t="s">
        <v>599</v>
      </c>
      <c r="L31" s="121"/>
      <c r="M31" s="121"/>
      <c r="N31" s="121"/>
      <c r="O31" s="121"/>
      <c r="P31" s="121"/>
      <c r="Q31" s="121"/>
    </row>
    <row r="32" spans="1:22" x14ac:dyDescent="0.2">
      <c r="A32" s="75"/>
      <c r="B32" s="75"/>
      <c r="C32" s="156"/>
      <c r="D32" s="156"/>
      <c r="E32" s="156"/>
      <c r="F32" s="156"/>
      <c r="G32" s="156"/>
      <c r="H32" s="156"/>
      <c r="I32" s="75"/>
      <c r="J32" s="105"/>
      <c r="K32" s="121"/>
      <c r="L32" s="121"/>
      <c r="M32" s="121"/>
      <c r="N32" s="121"/>
      <c r="O32" s="121"/>
      <c r="P32" s="121"/>
      <c r="Q32" s="121"/>
    </row>
    <row r="33" spans="1:35" x14ac:dyDescent="0.2">
      <c r="A33" s="3" t="s">
        <v>576</v>
      </c>
      <c r="B33" s="107" t="s">
        <v>588</v>
      </c>
      <c r="C33" s="107"/>
      <c r="D33" s="107"/>
      <c r="E33" s="107"/>
      <c r="F33" s="107"/>
      <c r="G33" s="107"/>
      <c r="K33" t="s">
        <v>600</v>
      </c>
      <c r="L33" t="s">
        <v>179</v>
      </c>
      <c r="M33" t="s">
        <v>483</v>
      </c>
      <c r="N33" t="s">
        <v>177</v>
      </c>
      <c r="O33" t="s">
        <v>472</v>
      </c>
      <c r="P33" t="s">
        <v>598</v>
      </c>
      <c r="S33" s="241" t="s">
        <v>638</v>
      </c>
      <c r="T33" s="242"/>
      <c r="U33" s="242"/>
      <c r="V33" s="242"/>
      <c r="W33" s="242"/>
      <c r="X33" s="242"/>
      <c r="Y33" s="242"/>
      <c r="Z33" s="242"/>
      <c r="AB33" s="241" t="s">
        <v>639</v>
      </c>
      <c r="AC33" s="241"/>
      <c r="AD33" s="241"/>
      <c r="AE33" s="241"/>
      <c r="AF33" s="241"/>
      <c r="AG33" s="241"/>
      <c r="AH33" s="241"/>
    </row>
    <row r="34" spans="1:35" x14ac:dyDescent="0.2">
      <c r="B34" s="102">
        <v>1</v>
      </c>
      <c r="C34" s="102">
        <v>2</v>
      </c>
      <c r="D34" s="102">
        <v>3</v>
      </c>
      <c r="E34" s="102">
        <v>4</v>
      </c>
      <c r="F34" s="102">
        <v>5</v>
      </c>
      <c r="H34" t="s">
        <v>472</v>
      </c>
      <c r="I34" t="s">
        <v>598</v>
      </c>
      <c r="K34" t="s">
        <v>479</v>
      </c>
      <c r="L34">
        <v>77</v>
      </c>
      <c r="M34">
        <v>1</v>
      </c>
      <c r="N34">
        <v>5</v>
      </c>
      <c r="O34">
        <v>83</v>
      </c>
      <c r="P34" s="168">
        <f>83/208</f>
        <v>0.39903846153846156</v>
      </c>
      <c r="S34" s="242"/>
      <c r="T34" s="242"/>
      <c r="U34" s="242"/>
      <c r="V34" s="242"/>
      <c r="W34" s="242"/>
      <c r="X34" s="242"/>
      <c r="Y34" s="242"/>
      <c r="Z34" s="242"/>
      <c r="AB34" s="241"/>
      <c r="AC34" s="241"/>
      <c r="AD34" s="241"/>
      <c r="AE34" s="241"/>
      <c r="AF34" s="241"/>
      <c r="AG34" s="241"/>
      <c r="AH34" s="241"/>
    </row>
    <row r="35" spans="1:35" x14ac:dyDescent="0.2">
      <c r="A35" s="103" t="s">
        <v>557</v>
      </c>
      <c r="B35">
        <v>17</v>
      </c>
      <c r="C35">
        <v>73</v>
      </c>
      <c r="D35">
        <v>37</v>
      </c>
      <c r="E35">
        <v>15</v>
      </c>
      <c r="F35">
        <v>1</v>
      </c>
      <c r="H35">
        <v>143</v>
      </c>
      <c r="I35" s="168">
        <f>H35/$H$39</f>
        <v>0.6875</v>
      </c>
      <c r="K35" t="s">
        <v>480</v>
      </c>
      <c r="L35">
        <v>65</v>
      </c>
      <c r="M35">
        <v>2</v>
      </c>
      <c r="N35">
        <v>8</v>
      </c>
      <c r="O35">
        <v>75</v>
      </c>
      <c r="P35" s="168">
        <f>75/208</f>
        <v>0.36057692307692307</v>
      </c>
    </row>
    <row r="36" spans="1:35" x14ac:dyDescent="0.2">
      <c r="A36" s="103" t="s">
        <v>558</v>
      </c>
      <c r="B36">
        <v>7</v>
      </c>
      <c r="C36">
        <v>22</v>
      </c>
      <c r="D36">
        <v>10</v>
      </c>
      <c r="E36">
        <v>3</v>
      </c>
      <c r="G36">
        <f>SUM(B36:F36)</f>
        <v>42</v>
      </c>
      <c r="H36">
        <v>42</v>
      </c>
      <c r="I36" s="168">
        <f>H36/$H$39</f>
        <v>0.20192307692307693</v>
      </c>
      <c r="K36" t="s">
        <v>482</v>
      </c>
      <c r="L36">
        <v>43</v>
      </c>
      <c r="M36">
        <v>2</v>
      </c>
      <c r="N36">
        <v>5</v>
      </c>
      <c r="O36">
        <v>50</v>
      </c>
      <c r="P36" s="168">
        <f>50/208</f>
        <v>0.24038461538461539</v>
      </c>
    </row>
    <row r="37" spans="1:35" x14ac:dyDescent="0.2">
      <c r="A37" s="103" t="s">
        <v>559</v>
      </c>
      <c r="C37">
        <v>7</v>
      </c>
      <c r="D37">
        <v>5</v>
      </c>
      <c r="E37">
        <v>4</v>
      </c>
      <c r="G37">
        <f>SUM(D37:E37)</f>
        <v>9</v>
      </c>
      <c r="H37">
        <v>16</v>
      </c>
      <c r="I37" s="168">
        <f>H37/$H$39</f>
        <v>7.6923076923076927E-2</v>
      </c>
      <c r="K37" s="103" t="s">
        <v>472</v>
      </c>
      <c r="L37" s="168">
        <f>185/208</f>
        <v>0.88942307692307687</v>
      </c>
      <c r="M37" s="168">
        <f>5/208</f>
        <v>2.403846153846154E-2</v>
      </c>
      <c r="N37" s="168">
        <f>18/208</f>
        <v>8.6538461538461536E-2</v>
      </c>
      <c r="O37" s="103">
        <v>208</v>
      </c>
    </row>
    <row r="38" spans="1:35" x14ac:dyDescent="0.2">
      <c r="A38" s="103" t="s">
        <v>560</v>
      </c>
      <c r="C38">
        <v>4</v>
      </c>
      <c r="E38">
        <v>3</v>
      </c>
      <c r="H38">
        <v>7</v>
      </c>
      <c r="I38" s="168">
        <f>H38/$H$39</f>
        <v>3.3653846153846152E-2</v>
      </c>
    </row>
    <row r="39" spans="1:35" x14ac:dyDescent="0.2">
      <c r="A39" s="122" t="s">
        <v>472</v>
      </c>
      <c r="B39" s="122">
        <v>24</v>
      </c>
      <c r="C39" s="122">
        <v>103</v>
      </c>
      <c r="D39" s="122">
        <v>51</v>
      </c>
      <c r="E39" s="122">
        <v>25</v>
      </c>
      <c r="F39" s="122">
        <v>1</v>
      </c>
      <c r="G39" s="122"/>
      <c r="H39" s="122">
        <v>208</v>
      </c>
      <c r="I39" s="122">
        <f>H39/$H$39</f>
        <v>1</v>
      </c>
      <c r="R39" s="3" t="s">
        <v>596</v>
      </c>
      <c r="S39" s="244" t="s">
        <v>637</v>
      </c>
      <c r="T39" s="249"/>
      <c r="U39" s="249"/>
      <c r="V39" s="249"/>
      <c r="W39" s="249"/>
      <c r="X39" s="249"/>
      <c r="Y39" s="249"/>
      <c r="AB39" s="3" t="s">
        <v>161</v>
      </c>
      <c r="AC39" s="244" t="s">
        <v>637</v>
      </c>
      <c r="AD39" s="249"/>
      <c r="AE39" s="249"/>
      <c r="AF39" s="249"/>
      <c r="AG39" s="249"/>
    </row>
    <row r="40" spans="1:35" x14ac:dyDescent="0.2">
      <c r="A40" s="122" t="s">
        <v>598</v>
      </c>
      <c r="B40" s="143">
        <f>24/208</f>
        <v>0.11538461538461539</v>
      </c>
      <c r="C40" s="143">
        <f>103/208</f>
        <v>0.49519230769230771</v>
      </c>
      <c r="D40" s="143">
        <f>51/208</f>
        <v>0.24519230769230768</v>
      </c>
      <c r="E40" s="143">
        <f>25/208</f>
        <v>0.1201923076923077</v>
      </c>
      <c r="F40" s="143">
        <f>1/208</f>
        <v>4.807692307692308E-3</v>
      </c>
      <c r="G40" s="122"/>
      <c r="H40" s="122"/>
      <c r="I40" s="122"/>
      <c r="S40">
        <v>1</v>
      </c>
      <c r="T40">
        <v>2</v>
      </c>
      <c r="V40">
        <v>3</v>
      </c>
      <c r="X40">
        <v>4</v>
      </c>
      <c r="Y40">
        <v>5</v>
      </c>
      <c r="Z40" t="s">
        <v>472</v>
      </c>
      <c r="AC40">
        <v>1</v>
      </c>
      <c r="AD40">
        <v>2</v>
      </c>
      <c r="AE40">
        <v>3</v>
      </c>
      <c r="AF40">
        <v>4</v>
      </c>
      <c r="AG40">
        <v>5</v>
      </c>
      <c r="AH40" t="s">
        <v>472</v>
      </c>
    </row>
    <row r="41" spans="1:35" x14ac:dyDescent="0.2">
      <c r="A41" s="103" t="s">
        <v>740</v>
      </c>
      <c r="R41" t="s">
        <v>505</v>
      </c>
      <c r="S41">
        <v>11</v>
      </c>
      <c r="T41">
        <v>18</v>
      </c>
      <c r="V41">
        <v>9</v>
      </c>
      <c r="X41">
        <v>7</v>
      </c>
      <c r="Z41">
        <v>45</v>
      </c>
      <c r="AB41" t="s">
        <v>479</v>
      </c>
      <c r="AC41">
        <v>9</v>
      </c>
      <c r="AD41">
        <v>36</v>
      </c>
      <c r="AE41">
        <v>28</v>
      </c>
      <c r="AF41">
        <v>9</v>
      </c>
      <c r="AG41">
        <v>1</v>
      </c>
      <c r="AH41">
        <v>83</v>
      </c>
    </row>
    <row r="42" spans="1:35" x14ac:dyDescent="0.2">
      <c r="A42" s="103" t="s">
        <v>737</v>
      </c>
      <c r="R42" t="s">
        <v>506</v>
      </c>
      <c r="S42">
        <v>5</v>
      </c>
      <c r="T42">
        <v>42</v>
      </c>
      <c r="V42">
        <v>21</v>
      </c>
      <c r="X42">
        <v>11</v>
      </c>
      <c r="Y42">
        <v>1</v>
      </c>
      <c r="Z42">
        <v>80</v>
      </c>
      <c r="AB42" t="s">
        <v>480</v>
      </c>
      <c r="AC42">
        <v>10</v>
      </c>
      <c r="AD42">
        <v>37</v>
      </c>
      <c r="AE42">
        <v>18</v>
      </c>
      <c r="AF42">
        <v>10</v>
      </c>
      <c r="AH42">
        <v>75</v>
      </c>
    </row>
    <row r="43" spans="1:35" x14ac:dyDescent="0.2">
      <c r="A43" s="103" t="s">
        <v>739</v>
      </c>
      <c r="R43" t="s">
        <v>590</v>
      </c>
      <c r="S43">
        <v>9</v>
      </c>
      <c r="T43">
        <v>45</v>
      </c>
      <c r="V43">
        <v>22</v>
      </c>
      <c r="X43">
        <v>7</v>
      </c>
      <c r="Z43">
        <v>83</v>
      </c>
      <c r="AB43" t="s">
        <v>482</v>
      </c>
      <c r="AC43">
        <v>6</v>
      </c>
      <c r="AD43">
        <v>32</v>
      </c>
      <c r="AE43">
        <v>6</v>
      </c>
      <c r="AF43">
        <v>6</v>
      </c>
      <c r="AH43">
        <v>50</v>
      </c>
    </row>
    <row r="44" spans="1:35" x14ac:dyDescent="0.2">
      <c r="A44" s="147" t="s">
        <v>736</v>
      </c>
      <c r="R44" t="s">
        <v>472</v>
      </c>
      <c r="S44">
        <v>25</v>
      </c>
      <c r="T44">
        <v>105</v>
      </c>
      <c r="V44">
        <v>52</v>
      </c>
      <c r="X44">
        <v>25</v>
      </c>
      <c r="Y44">
        <v>1</v>
      </c>
      <c r="Z44">
        <v>208</v>
      </c>
      <c r="AB44" t="s">
        <v>472</v>
      </c>
      <c r="AC44" s="104">
        <f>25/AH44</f>
        <v>0.1201923076923077</v>
      </c>
      <c r="AD44" s="104">
        <f>105/AH44</f>
        <v>0.50480769230769229</v>
      </c>
      <c r="AE44" s="104">
        <f>25/AH44</f>
        <v>0.1201923076923077</v>
      </c>
      <c r="AF44" s="104">
        <f>25/AH44</f>
        <v>0.1201923076923077</v>
      </c>
      <c r="AG44" s="104">
        <f>1/AH44</f>
        <v>4.807692307692308E-3</v>
      </c>
      <c r="AH44">
        <v>208</v>
      </c>
    </row>
    <row r="46" spans="1:35" x14ac:dyDescent="0.2">
      <c r="A46" s="239" t="s">
        <v>651</v>
      </c>
      <c r="B46" s="240"/>
      <c r="C46" s="240"/>
      <c r="D46" s="240"/>
      <c r="E46" s="240"/>
      <c r="F46" s="240"/>
      <c r="G46" s="240"/>
      <c r="H46" s="105"/>
      <c r="I46" s="105"/>
      <c r="J46" s="105"/>
      <c r="K46" s="241" t="s">
        <v>652</v>
      </c>
      <c r="L46" s="242"/>
      <c r="M46" s="242"/>
      <c r="N46" s="242"/>
      <c r="O46" s="242"/>
      <c r="P46" s="242"/>
      <c r="Q46" s="242"/>
    </row>
    <row r="47" spans="1:35" x14ac:dyDescent="0.2">
      <c r="A47" s="240"/>
      <c r="B47" s="240"/>
      <c r="C47" s="240"/>
      <c r="D47" s="240"/>
      <c r="E47" s="240"/>
      <c r="F47" s="240"/>
      <c r="G47" s="240"/>
      <c r="H47" s="105"/>
      <c r="I47" s="105"/>
      <c r="J47" s="105"/>
      <c r="K47" s="242"/>
      <c r="L47" s="242"/>
      <c r="M47" s="242"/>
      <c r="N47" s="242"/>
      <c r="O47" s="242"/>
      <c r="P47" s="242"/>
      <c r="Q47" s="242"/>
      <c r="R47" t="s">
        <v>489</v>
      </c>
      <c r="S47" t="s">
        <v>738</v>
      </c>
      <c r="V47" t="s">
        <v>505</v>
      </c>
      <c r="W47" t="s">
        <v>506</v>
      </c>
      <c r="X47" t="s">
        <v>590</v>
      </c>
      <c r="Y47" t="s">
        <v>472</v>
      </c>
      <c r="AI47" s="3" t="s">
        <v>794</v>
      </c>
    </row>
    <row r="48" spans="1:35" x14ac:dyDescent="0.2">
      <c r="B48" s="107"/>
      <c r="C48" s="57"/>
      <c r="D48" s="57"/>
      <c r="M48" s="107" t="s">
        <v>172</v>
      </c>
      <c r="N48" s="57"/>
      <c r="O48" s="57"/>
      <c r="R48" t="s">
        <v>485</v>
      </c>
      <c r="S48">
        <v>17</v>
      </c>
      <c r="U48" s="47" t="s">
        <v>485</v>
      </c>
      <c r="V48">
        <v>4</v>
      </c>
      <c r="W48">
        <v>6</v>
      </c>
      <c r="X48">
        <v>7</v>
      </c>
      <c r="Y48">
        <v>17</v>
      </c>
      <c r="AC48" t="s">
        <v>489</v>
      </c>
      <c r="AD48" t="s">
        <v>505</v>
      </c>
      <c r="AE48" t="s">
        <v>506</v>
      </c>
      <c r="AF48" t="s">
        <v>590</v>
      </c>
      <c r="AG48" t="s">
        <v>472</v>
      </c>
    </row>
    <row r="49" spans="1:39" ht="13.15" customHeight="1" x14ac:dyDescent="0.2">
      <c r="A49" t="s">
        <v>489</v>
      </c>
      <c r="B49" t="s">
        <v>505</v>
      </c>
      <c r="C49" t="s">
        <v>506</v>
      </c>
      <c r="D49" t="s">
        <v>590</v>
      </c>
      <c r="E49" t="s">
        <v>472</v>
      </c>
      <c r="G49" s="53"/>
      <c r="H49" s="54" t="s">
        <v>648</v>
      </c>
      <c r="I49" s="54" t="s">
        <v>647</v>
      </c>
      <c r="J49" s="53"/>
      <c r="L49" s="3" t="s">
        <v>596</v>
      </c>
      <c r="M49" t="s">
        <v>485</v>
      </c>
      <c r="N49" t="s">
        <v>487</v>
      </c>
      <c r="O49" t="s">
        <v>486</v>
      </c>
      <c r="P49" t="s">
        <v>472</v>
      </c>
      <c r="R49" t="s">
        <v>487</v>
      </c>
      <c r="S49">
        <v>139</v>
      </c>
      <c r="U49" s="47" t="s">
        <v>487</v>
      </c>
      <c r="V49">
        <v>33</v>
      </c>
      <c r="W49">
        <v>53</v>
      </c>
      <c r="X49">
        <v>53</v>
      </c>
      <c r="Y49">
        <v>139</v>
      </c>
      <c r="AC49" s="47" t="s">
        <v>485</v>
      </c>
      <c r="AD49">
        <v>4</v>
      </c>
      <c r="AE49">
        <v>6</v>
      </c>
      <c r="AF49">
        <v>7</v>
      </c>
      <c r="AG49">
        <v>17</v>
      </c>
      <c r="AI49" t="s">
        <v>489</v>
      </c>
      <c r="AJ49" s="47" t="s">
        <v>164</v>
      </c>
      <c r="AK49" s="47" t="s">
        <v>163</v>
      </c>
      <c r="AL49" s="47" t="s">
        <v>472</v>
      </c>
    </row>
    <row r="50" spans="1:39" ht="13.15" customHeight="1" x14ac:dyDescent="0.2">
      <c r="A50" s="47" t="s">
        <v>485</v>
      </c>
      <c r="B50">
        <v>4</v>
      </c>
      <c r="C50">
        <v>6</v>
      </c>
      <c r="D50">
        <v>7</v>
      </c>
      <c r="E50">
        <v>17</v>
      </c>
      <c r="G50" s="54" t="s">
        <v>649</v>
      </c>
      <c r="H50" s="53">
        <v>106</v>
      </c>
      <c r="I50" s="53">
        <v>33</v>
      </c>
      <c r="J50" s="53">
        <v>139</v>
      </c>
      <c r="L50" s="47" t="s">
        <v>505</v>
      </c>
      <c r="M50" s="104">
        <f>3/P53</f>
        <v>1.4423076923076924E-2</v>
      </c>
      <c r="N50" s="104">
        <f>33/P53</f>
        <v>0.15865384615384615</v>
      </c>
      <c r="O50" s="104">
        <f>9/P53</f>
        <v>4.3269230769230768E-2</v>
      </c>
      <c r="P50">
        <v>45</v>
      </c>
      <c r="R50" t="s">
        <v>486</v>
      </c>
      <c r="S50">
        <v>52</v>
      </c>
      <c r="U50" s="47" t="s">
        <v>486</v>
      </c>
      <c r="V50">
        <v>8</v>
      </c>
      <c r="W50">
        <v>21</v>
      </c>
      <c r="X50">
        <v>23</v>
      </c>
      <c r="Y50">
        <v>52</v>
      </c>
      <c r="AC50" s="47" t="s">
        <v>486</v>
      </c>
      <c r="AD50">
        <v>8</v>
      </c>
      <c r="AE50">
        <v>21</v>
      </c>
      <c r="AF50">
        <v>23</v>
      </c>
      <c r="AG50">
        <v>52</v>
      </c>
      <c r="AI50" t="s">
        <v>485</v>
      </c>
      <c r="AJ50">
        <v>12</v>
      </c>
      <c r="AK50">
        <v>5</v>
      </c>
      <c r="AL50">
        <v>17</v>
      </c>
    </row>
    <row r="51" spans="1:39" x14ac:dyDescent="0.2">
      <c r="A51" s="47" t="s">
        <v>486</v>
      </c>
      <c r="B51">
        <v>8</v>
      </c>
      <c r="C51">
        <v>21</v>
      </c>
      <c r="D51">
        <v>23</v>
      </c>
      <c r="E51">
        <v>52</v>
      </c>
      <c r="G51" s="54" t="s">
        <v>650</v>
      </c>
      <c r="H51" s="53">
        <f>7+8+20+22</f>
        <v>57</v>
      </c>
      <c r="I51" s="53">
        <v>12</v>
      </c>
      <c r="J51" s="53">
        <v>69</v>
      </c>
      <c r="L51" s="47" t="s">
        <v>506</v>
      </c>
      <c r="M51" s="104">
        <f>7/P53</f>
        <v>3.3653846153846152E-2</v>
      </c>
      <c r="N51" s="118">
        <v>0.25</v>
      </c>
      <c r="O51" s="104">
        <f>20/208</f>
        <v>9.6153846153846159E-2</v>
      </c>
      <c r="P51">
        <v>80</v>
      </c>
      <c r="R51" t="s">
        <v>473</v>
      </c>
      <c r="U51" s="47" t="s">
        <v>472</v>
      </c>
      <c r="V51">
        <v>45</v>
      </c>
      <c r="W51">
        <v>80</v>
      </c>
      <c r="X51">
        <v>83</v>
      </c>
      <c r="Y51">
        <v>208</v>
      </c>
      <c r="AC51" s="47" t="s">
        <v>487</v>
      </c>
      <c r="AD51">
        <v>33</v>
      </c>
      <c r="AE51">
        <v>53</v>
      </c>
      <c r="AF51">
        <v>53</v>
      </c>
      <c r="AG51">
        <v>139</v>
      </c>
      <c r="AI51" t="s">
        <v>487</v>
      </c>
      <c r="AJ51">
        <v>62</v>
      </c>
      <c r="AK51">
        <v>77</v>
      </c>
      <c r="AL51">
        <v>139</v>
      </c>
    </row>
    <row r="52" spans="1:39" x14ac:dyDescent="0.2">
      <c r="A52" s="47" t="s">
        <v>487</v>
      </c>
      <c r="B52">
        <v>33</v>
      </c>
      <c r="C52">
        <v>53</v>
      </c>
      <c r="D52">
        <v>53</v>
      </c>
      <c r="E52">
        <v>139</v>
      </c>
      <c r="G52" s="53"/>
      <c r="H52" s="53">
        <v>163</v>
      </c>
      <c r="I52" s="53">
        <v>45</v>
      </c>
      <c r="J52" s="53">
        <v>208</v>
      </c>
      <c r="L52" s="47" t="s">
        <v>590</v>
      </c>
      <c r="M52" s="104">
        <f>8/P53</f>
        <v>3.8461538461538464E-2</v>
      </c>
      <c r="N52" s="104">
        <f>53/P53</f>
        <v>0.25480769230769229</v>
      </c>
      <c r="O52" s="104">
        <f>22/P53</f>
        <v>0.10576923076923077</v>
      </c>
      <c r="P52">
        <v>83</v>
      </c>
      <c r="R52" t="s">
        <v>472</v>
      </c>
      <c r="S52">
        <v>208</v>
      </c>
      <c r="AC52" s="47" t="s">
        <v>472</v>
      </c>
      <c r="AD52">
        <v>45</v>
      </c>
      <c r="AE52">
        <v>80</v>
      </c>
      <c r="AF52">
        <v>83</v>
      </c>
      <c r="AG52">
        <v>208</v>
      </c>
      <c r="AI52" t="s">
        <v>486</v>
      </c>
      <c r="AJ52">
        <v>24</v>
      </c>
      <c r="AK52">
        <v>28</v>
      </c>
      <c r="AL52">
        <v>52</v>
      </c>
    </row>
    <row r="53" spans="1:39" x14ac:dyDescent="0.2">
      <c r="A53" s="47" t="s">
        <v>472</v>
      </c>
      <c r="B53">
        <v>45</v>
      </c>
      <c r="C53">
        <v>80</v>
      </c>
      <c r="D53">
        <v>83</v>
      </c>
      <c r="E53">
        <v>208</v>
      </c>
      <c r="G53" s="103" t="s">
        <v>657</v>
      </c>
      <c r="L53" s="47" t="s">
        <v>472</v>
      </c>
      <c r="M53" s="116">
        <v>0.09</v>
      </c>
      <c r="N53" s="116">
        <v>0.67</v>
      </c>
      <c r="O53" s="116">
        <v>0.25</v>
      </c>
      <c r="P53">
        <v>208</v>
      </c>
      <c r="V53" s="255" t="s">
        <v>664</v>
      </c>
      <c r="W53" s="255"/>
      <c r="X53" s="255"/>
      <c r="Y53" s="255"/>
      <c r="AI53" t="s">
        <v>472</v>
      </c>
      <c r="AJ53">
        <v>98</v>
      </c>
      <c r="AK53">
        <v>110</v>
      </c>
      <c r="AL53">
        <v>208</v>
      </c>
    </row>
    <row r="54" spans="1:39" x14ac:dyDescent="0.2">
      <c r="A54" s="170" t="s">
        <v>761</v>
      </c>
      <c r="U54" s="3" t="s">
        <v>172</v>
      </c>
      <c r="V54" t="s">
        <v>505</v>
      </c>
      <c r="W54" t="s">
        <v>506</v>
      </c>
      <c r="X54" t="s">
        <v>590</v>
      </c>
      <c r="Y54" s="103" t="s">
        <v>472</v>
      </c>
      <c r="AC54" t="s">
        <v>489</v>
      </c>
      <c r="AD54" t="s">
        <v>505</v>
      </c>
      <c r="AE54" t="s">
        <v>506</v>
      </c>
      <c r="AF54" t="s">
        <v>590</v>
      </c>
      <c r="AG54" t="s">
        <v>472</v>
      </c>
      <c r="AI54" s="52"/>
      <c r="AJ54" s="52"/>
      <c r="AK54" s="52"/>
      <c r="AL54" s="52"/>
      <c r="AM54" s="52"/>
    </row>
    <row r="55" spans="1:39" x14ac:dyDescent="0.2">
      <c r="A55" s="47" t="s">
        <v>762</v>
      </c>
      <c r="U55" s="47" t="s">
        <v>485</v>
      </c>
      <c r="V55">
        <v>80</v>
      </c>
      <c r="W55">
        <v>261</v>
      </c>
      <c r="X55">
        <v>210</v>
      </c>
      <c r="Y55" s="103">
        <v>551</v>
      </c>
      <c r="AC55" s="47" t="s">
        <v>485</v>
      </c>
      <c r="AD55" s="52">
        <f>AD49/45</f>
        <v>8.8888888888888892E-2</v>
      </c>
      <c r="AE55" s="52">
        <f>AE49/80</f>
        <v>7.4999999999999997E-2</v>
      </c>
      <c r="AF55" s="52">
        <f>AF49/83</f>
        <v>8.4337349397590355E-2</v>
      </c>
      <c r="AG55" s="52">
        <f>AG49/208</f>
        <v>8.1730769230769232E-2</v>
      </c>
      <c r="AI55" s="52" t="s">
        <v>489</v>
      </c>
      <c r="AJ55" s="52" t="s">
        <v>164</v>
      </c>
      <c r="AK55" s="52" t="s">
        <v>163</v>
      </c>
      <c r="AL55" s="52" t="s">
        <v>472</v>
      </c>
      <c r="AM55" s="52"/>
    </row>
    <row r="56" spans="1:39" x14ac:dyDescent="0.2">
      <c r="U56" s="47"/>
      <c r="Y56" s="103"/>
      <c r="AC56" s="47" t="s">
        <v>486</v>
      </c>
      <c r="AD56" s="52">
        <f>AD50/45</f>
        <v>0.17777777777777778</v>
      </c>
      <c r="AE56" s="52">
        <f>AE50/80</f>
        <v>0.26250000000000001</v>
      </c>
      <c r="AF56" s="52">
        <f>AF50/83</f>
        <v>0.27710843373493976</v>
      </c>
      <c r="AG56" s="52">
        <f>AG50/208</f>
        <v>0.25</v>
      </c>
      <c r="AI56" s="52" t="s">
        <v>485</v>
      </c>
      <c r="AJ56" s="52">
        <v>0.70588235294117652</v>
      </c>
      <c r="AK56" s="52">
        <v>0.29411764705882354</v>
      </c>
      <c r="AL56" s="52">
        <v>1</v>
      </c>
      <c r="AM56" s="52"/>
    </row>
    <row r="57" spans="1:39" x14ac:dyDescent="0.2">
      <c r="A57" s="177"/>
      <c r="B57" s="165" t="s">
        <v>786</v>
      </c>
      <c r="C57" s="177"/>
      <c r="D57" s="177"/>
      <c r="E57" s="177"/>
      <c r="H57" s="3"/>
      <c r="U57" s="47"/>
      <c r="Y57" s="103"/>
      <c r="AC57" s="47" t="s">
        <v>487</v>
      </c>
      <c r="AD57" s="52">
        <f>AD51/45</f>
        <v>0.73333333333333328</v>
      </c>
      <c r="AE57" s="52">
        <f>AE51/80</f>
        <v>0.66249999999999998</v>
      </c>
      <c r="AF57" s="52">
        <f>AF51/83</f>
        <v>0.63855421686746983</v>
      </c>
      <c r="AG57" s="52">
        <f>AG51/208</f>
        <v>0.66826923076923073</v>
      </c>
      <c r="AI57" s="52" t="s">
        <v>487</v>
      </c>
      <c r="AJ57" s="52">
        <v>0.4460431654676259</v>
      </c>
      <c r="AK57" s="52">
        <v>0.5539568345323741</v>
      </c>
      <c r="AL57" s="52">
        <v>1</v>
      </c>
      <c r="AM57" s="52"/>
    </row>
    <row r="58" spans="1:39" x14ac:dyDescent="0.2">
      <c r="A58" s="177"/>
      <c r="B58" s="177" t="s">
        <v>505</v>
      </c>
      <c r="C58" s="177" t="s">
        <v>506</v>
      </c>
      <c r="D58" s="177" t="s">
        <v>590</v>
      </c>
      <c r="E58" s="179" t="s">
        <v>787</v>
      </c>
      <c r="H58" s="103" t="s">
        <v>791</v>
      </c>
      <c r="U58" s="47"/>
      <c r="Y58" s="103"/>
      <c r="AC58" s="47" t="s">
        <v>472</v>
      </c>
      <c r="AD58" s="52">
        <f>AD52/45</f>
        <v>1</v>
      </c>
      <c r="AE58" s="52">
        <f>AE52/80</f>
        <v>1</v>
      </c>
      <c r="AF58" s="52">
        <f>AF52/83</f>
        <v>1</v>
      </c>
      <c r="AG58" s="52">
        <f>AG52/208</f>
        <v>1</v>
      </c>
      <c r="AI58" s="52" t="s">
        <v>486</v>
      </c>
      <c r="AJ58" s="52">
        <v>0.46153846153846156</v>
      </c>
      <c r="AK58" s="52">
        <v>0.53846153846153844</v>
      </c>
      <c r="AL58" s="52">
        <v>1</v>
      </c>
    </row>
    <row r="59" spans="1:39" x14ac:dyDescent="0.2">
      <c r="A59" s="177" t="s">
        <v>164</v>
      </c>
      <c r="B59" s="178">
        <v>25.466666666666665</v>
      </c>
      <c r="C59" s="178">
        <v>20.292682926829269</v>
      </c>
      <c r="D59" s="178">
        <v>21.342105263157894</v>
      </c>
      <c r="E59" s="180">
        <v>21.542553191489361</v>
      </c>
      <c r="U59" s="47" t="s">
        <v>487</v>
      </c>
      <c r="V59">
        <v>1376</v>
      </c>
      <c r="W59">
        <v>2474</v>
      </c>
      <c r="X59">
        <v>2840</v>
      </c>
      <c r="Y59" s="103">
        <v>6690</v>
      </c>
      <c r="AI59" s="52" t="s">
        <v>472</v>
      </c>
      <c r="AJ59" s="52">
        <v>0.47115384615384615</v>
      </c>
      <c r="AK59" s="52">
        <v>0.52884615384615385</v>
      </c>
      <c r="AL59" s="52">
        <v>1</v>
      </c>
    </row>
    <row r="60" spans="1:39" x14ac:dyDescent="0.2">
      <c r="A60" s="177" t="s">
        <v>163</v>
      </c>
      <c r="B60" s="178">
        <v>19.875</v>
      </c>
      <c r="C60" s="178">
        <v>16.285714285714285</v>
      </c>
      <c r="D60" s="178">
        <v>19.375</v>
      </c>
      <c r="E60" s="180">
        <v>18.404040404040405</v>
      </c>
      <c r="F60" s="3" t="s">
        <v>792</v>
      </c>
      <c r="U60" s="47"/>
      <c r="Y60" s="103"/>
      <c r="AI60" s="171" t="s">
        <v>812</v>
      </c>
    </row>
    <row r="61" spans="1:39" x14ac:dyDescent="0.2">
      <c r="A61" s="177" t="s">
        <v>472</v>
      </c>
      <c r="B61" s="178">
        <v>22.025641025641026</v>
      </c>
      <c r="C61" s="178">
        <v>18.44736842105263</v>
      </c>
      <c r="D61" s="178">
        <v>20.333333333333332</v>
      </c>
      <c r="E61" s="180">
        <v>19.932642487046632</v>
      </c>
      <c r="U61" s="47"/>
      <c r="Y61" s="103"/>
      <c r="AI61" s="52" t="s">
        <v>795</v>
      </c>
    </row>
    <row r="62" spans="1:39" x14ac:dyDescent="0.2">
      <c r="A62" s="181" t="s">
        <v>793</v>
      </c>
      <c r="U62" s="47" t="s">
        <v>486</v>
      </c>
      <c r="V62">
        <v>231</v>
      </c>
      <c r="W62">
        <v>675</v>
      </c>
      <c r="X62">
        <v>1007</v>
      </c>
      <c r="Y62" s="103">
        <v>1913</v>
      </c>
      <c r="AC62" t="s">
        <v>489</v>
      </c>
      <c r="AD62" t="s">
        <v>505</v>
      </c>
      <c r="AE62" t="s">
        <v>506</v>
      </c>
      <c r="AF62" t="s">
        <v>590</v>
      </c>
      <c r="AG62" t="s">
        <v>472</v>
      </c>
    </row>
    <row r="63" spans="1:39" ht="13.15" customHeight="1" x14ac:dyDescent="0.2">
      <c r="R63" s="105"/>
      <c r="U63" s="158" t="s">
        <v>472</v>
      </c>
      <c r="V63" s="103">
        <v>1687</v>
      </c>
      <c r="W63" s="103">
        <v>3410</v>
      </c>
      <c r="X63" s="103">
        <v>4057</v>
      </c>
      <c r="Y63" s="103">
        <v>9154</v>
      </c>
      <c r="AC63" s="47" t="s">
        <v>485</v>
      </c>
      <c r="AD63" s="52">
        <f>AD49/17</f>
        <v>0.23529411764705882</v>
      </c>
      <c r="AE63" s="52">
        <f>AE49/17</f>
        <v>0.35294117647058826</v>
      </c>
      <c r="AF63" s="52">
        <f>AF49/17</f>
        <v>0.41176470588235292</v>
      </c>
      <c r="AG63" s="52">
        <f>AG49/17</f>
        <v>1</v>
      </c>
    </row>
    <row r="64" spans="1:39" ht="13.15" customHeight="1" x14ac:dyDescent="0.2">
      <c r="A64" s="5"/>
      <c r="B64" s="5"/>
      <c r="C64" s="5"/>
      <c r="D64" s="5"/>
      <c r="E64" s="5"/>
      <c r="F64" s="5"/>
      <c r="G64" s="5"/>
      <c r="H64" s="5"/>
      <c r="I64" s="5"/>
      <c r="J64" s="5"/>
      <c r="K64" s="5"/>
      <c r="L64" s="5"/>
      <c r="M64" s="5"/>
      <c r="N64" s="5"/>
      <c r="O64" s="5"/>
      <c r="P64" s="5"/>
      <c r="Q64" s="5"/>
      <c r="R64" s="105"/>
      <c r="AC64" s="47" t="s">
        <v>486</v>
      </c>
      <c r="AD64" s="52">
        <f>AD50/52</f>
        <v>0.15384615384615385</v>
      </c>
      <c r="AE64" s="52">
        <f>AE50/52</f>
        <v>0.40384615384615385</v>
      </c>
      <c r="AF64" s="52">
        <f>AF50/52</f>
        <v>0.44230769230769229</v>
      </c>
      <c r="AG64" s="52">
        <f>AG50/52</f>
        <v>1</v>
      </c>
    </row>
    <row r="65" spans="1:33" x14ac:dyDescent="0.2">
      <c r="A65" s="5"/>
      <c r="B65" s="5"/>
      <c r="C65" s="5"/>
      <c r="D65" s="5"/>
      <c r="E65" s="5"/>
      <c r="F65" s="4" t="s">
        <v>605</v>
      </c>
      <c r="G65" s="121"/>
      <c r="H65" s="5"/>
      <c r="I65" s="5"/>
      <c r="J65" s="5"/>
      <c r="K65" s="5"/>
      <c r="L65" s="5"/>
      <c r="M65" s="5"/>
      <c r="N65" s="5"/>
      <c r="O65" s="5"/>
      <c r="P65" s="5"/>
      <c r="Q65" s="5"/>
      <c r="AC65" s="47" t="s">
        <v>487</v>
      </c>
      <c r="AD65" s="52">
        <f>AD51/139</f>
        <v>0.23741007194244604</v>
      </c>
      <c r="AE65" s="52">
        <f>AE51/139</f>
        <v>0.38129496402877699</v>
      </c>
      <c r="AF65" s="52">
        <f>AF51/139</f>
        <v>0.38129496402877699</v>
      </c>
      <c r="AG65" s="52">
        <f>AG51/139</f>
        <v>1</v>
      </c>
    </row>
    <row r="66" spans="1:33" x14ac:dyDescent="0.2">
      <c r="A66" s="3"/>
      <c r="B66" s="245" t="s">
        <v>636</v>
      </c>
      <c r="C66" s="245"/>
      <c r="D66" s="245"/>
      <c r="E66" s="245"/>
      <c r="K66" s="3"/>
      <c r="L66" s="245" t="s">
        <v>636</v>
      </c>
      <c r="M66" s="245"/>
      <c r="N66" s="245"/>
      <c r="O66" s="245"/>
      <c r="Q66" s="3"/>
      <c r="R66" s="103" t="s">
        <v>596</v>
      </c>
      <c r="S66" s="103" t="s">
        <v>505</v>
      </c>
      <c r="T66" s="103" t="s">
        <v>506</v>
      </c>
      <c r="U66" s="103" t="s">
        <v>590</v>
      </c>
      <c r="V66" s="103"/>
      <c r="W66" s="103"/>
      <c r="AC66" s="47" t="s">
        <v>472</v>
      </c>
      <c r="AD66" s="52">
        <f>AD52/208</f>
        <v>0.21634615384615385</v>
      </c>
      <c r="AE66" s="52">
        <f>AE52/208</f>
        <v>0.38461538461538464</v>
      </c>
      <c r="AF66" s="52">
        <f>AF52/208</f>
        <v>0.39903846153846156</v>
      </c>
      <c r="AG66" s="52">
        <f>AG52/208</f>
        <v>1</v>
      </c>
    </row>
    <row r="67" spans="1:33" ht="13.15" customHeight="1" x14ac:dyDescent="0.2">
      <c r="A67" s="103" t="s">
        <v>596</v>
      </c>
      <c r="B67" s="103" t="s">
        <v>479</v>
      </c>
      <c r="C67" s="103" t="s">
        <v>480</v>
      </c>
      <c r="D67" s="103" t="s">
        <v>482</v>
      </c>
      <c r="E67" s="103" t="s">
        <v>472</v>
      </c>
      <c r="F67" s="103" t="s">
        <v>598</v>
      </c>
      <c r="J67" s="103" t="s">
        <v>596</v>
      </c>
      <c r="K67" s="103"/>
      <c r="L67" s="103" t="s">
        <v>479</v>
      </c>
      <c r="M67" s="103" t="s">
        <v>480</v>
      </c>
      <c r="N67" s="103" t="s">
        <v>482</v>
      </c>
      <c r="O67" s="103" t="s">
        <v>472</v>
      </c>
      <c r="P67" s="103" t="s">
        <v>598</v>
      </c>
      <c r="Q67" s="103" t="s">
        <v>636</v>
      </c>
      <c r="R67" s="103" t="s">
        <v>479</v>
      </c>
      <c r="S67">
        <v>16</v>
      </c>
      <c r="T67">
        <v>29</v>
      </c>
      <c r="U67">
        <v>38</v>
      </c>
      <c r="V67">
        <f>SUM(S67:U67)</f>
        <v>83</v>
      </c>
      <c r="W67" s="52">
        <f>V67/208</f>
        <v>0.39903846153846156</v>
      </c>
    </row>
    <row r="68" spans="1:33" ht="13.15" customHeight="1" x14ac:dyDescent="0.2">
      <c r="A68" s="103" t="s">
        <v>505</v>
      </c>
      <c r="B68">
        <v>16</v>
      </c>
      <c r="C68">
        <v>18</v>
      </c>
      <c r="D68">
        <v>11</v>
      </c>
      <c r="E68">
        <v>45</v>
      </c>
      <c r="F68" s="104">
        <f>E68/E71</f>
        <v>0.21634615384615385</v>
      </c>
      <c r="G68" s="103" t="s">
        <v>653</v>
      </c>
      <c r="J68" s="103" t="s">
        <v>505</v>
      </c>
      <c r="K68" s="119"/>
      <c r="L68" s="52">
        <f>B68/83</f>
        <v>0.19277108433734941</v>
      </c>
      <c r="M68" s="52">
        <f>C68/75</f>
        <v>0.24</v>
      </c>
      <c r="N68" s="52">
        <f>D68/50</f>
        <v>0.22</v>
      </c>
      <c r="P68" s="104"/>
      <c r="Q68" s="103"/>
      <c r="R68" s="103" t="s">
        <v>480</v>
      </c>
      <c r="S68">
        <v>18</v>
      </c>
      <c r="T68">
        <v>27</v>
      </c>
      <c r="U68">
        <v>30</v>
      </c>
      <c r="V68">
        <f>SUM(S68:U68)</f>
        <v>75</v>
      </c>
      <c r="W68" s="52">
        <f>V68/208</f>
        <v>0.36057692307692307</v>
      </c>
    </row>
    <row r="69" spans="1:33" x14ac:dyDescent="0.2">
      <c r="A69" s="103" t="s">
        <v>506</v>
      </c>
      <c r="B69">
        <v>29</v>
      </c>
      <c r="C69">
        <v>27</v>
      </c>
      <c r="D69">
        <v>24</v>
      </c>
      <c r="E69">
        <v>80</v>
      </c>
      <c r="F69" s="104">
        <f>80/208</f>
        <v>0.38461538461538464</v>
      </c>
      <c r="J69" s="103" t="s">
        <v>506</v>
      </c>
      <c r="K69" s="119"/>
      <c r="L69" s="52">
        <f>B69/83</f>
        <v>0.3493975903614458</v>
      </c>
      <c r="M69" s="52">
        <f>C69/75</f>
        <v>0.36</v>
      </c>
      <c r="N69" s="52">
        <f>D69/50</f>
        <v>0.48</v>
      </c>
      <c r="P69" s="104"/>
      <c r="Q69" s="103"/>
      <c r="R69" s="103" t="s">
        <v>482</v>
      </c>
      <c r="S69">
        <v>11</v>
      </c>
      <c r="T69">
        <v>24</v>
      </c>
      <c r="U69">
        <v>15</v>
      </c>
      <c r="V69">
        <f>SUM(S69:U69)</f>
        <v>50</v>
      </c>
      <c r="W69" s="52">
        <f>V69/208</f>
        <v>0.24038461538461539</v>
      </c>
    </row>
    <row r="70" spans="1:33" x14ac:dyDescent="0.2">
      <c r="A70" s="103" t="s">
        <v>590</v>
      </c>
      <c r="B70">
        <v>38</v>
      </c>
      <c r="C70">
        <v>30</v>
      </c>
      <c r="D70">
        <v>15</v>
      </c>
      <c r="E70">
        <v>83</v>
      </c>
      <c r="F70" s="104">
        <f>83/208</f>
        <v>0.39903846153846156</v>
      </c>
      <c r="G70" s="52">
        <f>F69+F70</f>
        <v>0.78365384615384626</v>
      </c>
      <c r="J70" s="103" t="s">
        <v>590</v>
      </c>
      <c r="K70" s="119"/>
      <c r="L70" s="52">
        <f>B70/83</f>
        <v>0.45783132530120479</v>
      </c>
      <c r="M70" s="52">
        <f>C70/75</f>
        <v>0.4</v>
      </c>
      <c r="N70" s="52">
        <f>D70/50</f>
        <v>0.3</v>
      </c>
      <c r="P70" s="104"/>
      <c r="Q70" s="103"/>
      <c r="R70" s="103" t="s">
        <v>472</v>
      </c>
      <c r="S70" s="103">
        <v>45</v>
      </c>
      <c r="T70" s="103">
        <v>80</v>
      </c>
      <c r="U70" s="103">
        <v>83</v>
      </c>
      <c r="V70" s="103">
        <f>SUM(S70:U70)</f>
        <v>208</v>
      </c>
      <c r="W70" s="52">
        <f>V70/208</f>
        <v>1</v>
      </c>
    </row>
    <row r="71" spans="1:33" x14ac:dyDescent="0.2">
      <c r="A71" s="103"/>
      <c r="B71">
        <f>SUM(B68:B70)</f>
        <v>83</v>
      </c>
      <c r="C71">
        <f>SUM(C68:C70)</f>
        <v>75</v>
      </c>
      <c r="D71">
        <f>SUM(D68:D70)</f>
        <v>50</v>
      </c>
      <c r="E71">
        <f>SUM(E68:E70)</f>
        <v>208</v>
      </c>
      <c r="F71" s="116">
        <v>1</v>
      </c>
      <c r="G71">
        <f>E69+E70</f>
        <v>163</v>
      </c>
      <c r="J71" s="103"/>
      <c r="K71" s="103"/>
      <c r="L71" s="52">
        <f>B71/83</f>
        <v>1</v>
      </c>
      <c r="M71" s="52">
        <f>C71/75</f>
        <v>1</v>
      </c>
      <c r="N71" s="52">
        <f>D71/50</f>
        <v>1</v>
      </c>
      <c r="P71" s="116"/>
      <c r="R71" s="103"/>
      <c r="S71" s="171">
        <f>S70/208</f>
        <v>0.21634615384615385</v>
      </c>
      <c r="T71" s="171">
        <f>T70/208</f>
        <v>0.38461538461538464</v>
      </c>
      <c r="U71" s="171">
        <f>U70/208</f>
        <v>0.39903846153846156</v>
      </c>
      <c r="V71" s="171">
        <f>V70/208</f>
        <v>1</v>
      </c>
    </row>
    <row r="72" spans="1:33" x14ac:dyDescent="0.2">
      <c r="A72" s="103"/>
      <c r="B72" s="52">
        <f>B71/208</f>
        <v>0.39903846153846156</v>
      </c>
      <c r="C72" s="52">
        <f>C71/208</f>
        <v>0.36057692307692307</v>
      </c>
      <c r="D72" s="52">
        <f>D71/208</f>
        <v>0.24038461538461539</v>
      </c>
      <c r="E72" s="52">
        <f>E71/208</f>
        <v>1</v>
      </c>
      <c r="J72" s="103"/>
      <c r="L72" s="52"/>
      <c r="O72" s="116"/>
    </row>
    <row r="73" spans="1:33" x14ac:dyDescent="0.2">
      <c r="Q73" s="103" t="s">
        <v>764</v>
      </c>
    </row>
    <row r="74" spans="1:33" x14ac:dyDescent="0.2">
      <c r="Q74" s="3" t="s">
        <v>765</v>
      </c>
      <c r="Z74" s="103"/>
    </row>
    <row r="75" spans="1:33" x14ac:dyDescent="0.2">
      <c r="A75" s="75"/>
      <c r="B75" s="75"/>
      <c r="C75" s="75"/>
      <c r="D75" s="75"/>
      <c r="E75" s="75"/>
      <c r="F75" s="75"/>
      <c r="G75" s="75"/>
      <c r="H75" s="75"/>
      <c r="I75" s="75"/>
      <c r="J75" s="75"/>
      <c r="K75" s="75"/>
      <c r="L75" s="75"/>
      <c r="M75" s="75"/>
      <c r="N75" s="75"/>
      <c r="R75" t="s">
        <v>596</v>
      </c>
      <c r="S75" t="s">
        <v>505</v>
      </c>
      <c r="T75" t="s">
        <v>506</v>
      </c>
      <c r="U75" t="s">
        <v>590</v>
      </c>
      <c r="X75">
        <f>16+67</f>
        <v>83</v>
      </c>
      <c r="Z75" s="3"/>
    </row>
    <row r="76" spans="1:33" x14ac:dyDescent="0.2">
      <c r="A76" s="75"/>
      <c r="B76" s="75"/>
      <c r="C76" s="75"/>
      <c r="D76" s="75"/>
      <c r="E76" s="106"/>
      <c r="F76" s="247" t="s">
        <v>682</v>
      </c>
      <c r="G76" s="247"/>
      <c r="H76" s="247"/>
      <c r="I76" s="247"/>
      <c r="J76" s="247"/>
      <c r="K76" s="247"/>
      <c r="L76" s="247"/>
      <c r="M76" s="247"/>
      <c r="N76" s="75"/>
      <c r="P76" s="52"/>
      <c r="R76" t="s">
        <v>479</v>
      </c>
      <c r="S76" s="52">
        <f>S67/45</f>
        <v>0.35555555555555557</v>
      </c>
      <c r="T76" s="52">
        <f>T67/80</f>
        <v>0.36249999999999999</v>
      </c>
      <c r="U76" s="52">
        <f>U67/83</f>
        <v>0.45783132530120479</v>
      </c>
      <c r="V76" s="52"/>
      <c r="X76">
        <f>29+96</f>
        <v>125</v>
      </c>
    </row>
    <row r="77" spans="1:33" x14ac:dyDescent="0.2">
      <c r="P77" s="52"/>
      <c r="R77" t="s">
        <v>480</v>
      </c>
      <c r="S77" s="52">
        <f>S68/45</f>
        <v>0.4</v>
      </c>
      <c r="T77" s="52">
        <f>T68/80</f>
        <v>0.33750000000000002</v>
      </c>
      <c r="U77" s="52">
        <f>U68/83</f>
        <v>0.36144578313253012</v>
      </c>
      <c r="V77" s="52"/>
      <c r="X77">
        <f>SUM(X75:X76)</f>
        <v>208</v>
      </c>
    </row>
    <row r="78" spans="1:33" x14ac:dyDescent="0.2">
      <c r="B78" s="246" t="s">
        <v>593</v>
      </c>
      <c r="C78" s="246"/>
      <c r="D78" s="246"/>
      <c r="E78" s="246"/>
      <c r="F78" s="246"/>
      <c r="G78" s="246"/>
      <c r="H78" s="246"/>
      <c r="J78" s="53"/>
      <c r="K78" s="54" t="s">
        <v>779</v>
      </c>
      <c r="L78" s="53"/>
      <c r="M78" s="53"/>
      <c r="N78" s="53"/>
      <c r="R78" t="s">
        <v>482</v>
      </c>
      <c r="S78" s="52">
        <f>S69/45</f>
        <v>0.24444444444444444</v>
      </c>
      <c r="T78" s="52">
        <f>T69/80</f>
        <v>0.3</v>
      </c>
      <c r="U78" s="52">
        <f>U69/83</f>
        <v>0.18072289156626506</v>
      </c>
      <c r="V78" s="52"/>
    </row>
    <row r="79" spans="1:33" x14ac:dyDescent="0.2">
      <c r="A79" s="3" t="s">
        <v>596</v>
      </c>
      <c r="B79" s="102" t="s">
        <v>182</v>
      </c>
      <c r="C79" s="102" t="s">
        <v>571</v>
      </c>
      <c r="D79" s="102" t="s">
        <v>245</v>
      </c>
      <c r="E79" s="102" t="s">
        <v>250</v>
      </c>
      <c r="F79" s="102" t="s">
        <v>244</v>
      </c>
      <c r="G79" s="102" t="s">
        <v>252</v>
      </c>
      <c r="H79" t="s">
        <v>472</v>
      </c>
      <c r="J79" s="53"/>
      <c r="K79" s="53"/>
      <c r="L79" s="53" t="s">
        <v>243</v>
      </c>
      <c r="M79" s="53" t="s">
        <v>242</v>
      </c>
      <c r="N79" s="53" t="s">
        <v>472</v>
      </c>
      <c r="S79" s="52">
        <f>SUM(S76:S78)</f>
        <v>1</v>
      </c>
      <c r="T79" s="52">
        <f>SUM(T76:T78)</f>
        <v>1</v>
      </c>
      <c r="U79" s="52">
        <f>SUM(U76:U78)</f>
        <v>1</v>
      </c>
    </row>
    <row r="80" spans="1:33" x14ac:dyDescent="0.2">
      <c r="A80" s="102" t="s">
        <v>505</v>
      </c>
      <c r="B80">
        <v>13</v>
      </c>
      <c r="C80">
        <v>1</v>
      </c>
      <c r="D80">
        <v>8</v>
      </c>
      <c r="E80">
        <v>5</v>
      </c>
      <c r="F80">
        <v>17</v>
      </c>
      <c r="G80">
        <v>1</v>
      </c>
      <c r="H80">
        <v>45</v>
      </c>
      <c r="J80" s="53" t="s">
        <v>182</v>
      </c>
      <c r="K80" s="53"/>
      <c r="L80" s="53">
        <v>32</v>
      </c>
      <c r="M80" s="53">
        <v>25</v>
      </c>
      <c r="N80" s="53">
        <v>57</v>
      </c>
    </row>
    <row r="81" spans="1:26" x14ac:dyDescent="0.2">
      <c r="A81" s="102" t="s">
        <v>506</v>
      </c>
      <c r="B81">
        <v>19</v>
      </c>
      <c r="C81">
        <v>2</v>
      </c>
      <c r="D81">
        <v>18</v>
      </c>
      <c r="E81">
        <v>5</v>
      </c>
      <c r="F81">
        <v>30</v>
      </c>
      <c r="G81">
        <v>6</v>
      </c>
      <c r="H81">
        <v>80</v>
      </c>
      <c r="J81" s="53" t="s">
        <v>642</v>
      </c>
      <c r="K81" s="53"/>
      <c r="L81" s="53">
        <v>85</v>
      </c>
      <c r="M81" s="53">
        <v>66</v>
      </c>
      <c r="N81" s="53">
        <v>151</v>
      </c>
    </row>
    <row r="82" spans="1:26" x14ac:dyDescent="0.2">
      <c r="A82" s="102" t="s">
        <v>590</v>
      </c>
      <c r="B82">
        <v>21</v>
      </c>
      <c r="C82">
        <v>1</v>
      </c>
      <c r="D82">
        <v>18</v>
      </c>
      <c r="E82">
        <v>6</v>
      </c>
      <c r="F82">
        <v>34</v>
      </c>
      <c r="G82">
        <v>3</v>
      </c>
      <c r="H82">
        <v>83</v>
      </c>
      <c r="J82" s="53" t="s">
        <v>472</v>
      </c>
      <c r="K82" s="53">
        <v>91</v>
      </c>
      <c r="L82" s="53">
        <v>117</v>
      </c>
      <c r="M82" s="53">
        <v>91</v>
      </c>
      <c r="N82" s="53">
        <v>208</v>
      </c>
    </row>
    <row r="83" spans="1:26" x14ac:dyDescent="0.2">
      <c r="A83" s="102" t="s">
        <v>472</v>
      </c>
      <c r="B83">
        <v>53</v>
      </c>
      <c r="C83">
        <v>4</v>
      </c>
      <c r="D83">
        <v>44</v>
      </c>
      <c r="E83">
        <v>16</v>
      </c>
      <c r="F83">
        <v>82</v>
      </c>
      <c r="G83">
        <v>9</v>
      </c>
      <c r="H83">
        <v>208</v>
      </c>
    </row>
    <row r="84" spans="1:26" x14ac:dyDescent="0.2">
      <c r="A84" s="102" t="s">
        <v>777</v>
      </c>
      <c r="L84" s="243" t="s">
        <v>625</v>
      </c>
      <c r="M84" s="243"/>
      <c r="N84" s="243"/>
      <c r="O84" s="243"/>
      <c r="P84" s="243"/>
      <c r="Q84" s="243"/>
      <c r="S84" s="105"/>
      <c r="T84" s="105"/>
      <c r="U84" s="105"/>
      <c r="V84" s="246" t="s">
        <v>615</v>
      </c>
      <c r="W84" s="246"/>
      <c r="X84" s="246"/>
      <c r="Y84" s="246"/>
    </row>
    <row r="85" spans="1:26" x14ac:dyDescent="0.2">
      <c r="A85" s="102" t="s">
        <v>778</v>
      </c>
      <c r="K85" s="3" t="s">
        <v>591</v>
      </c>
      <c r="L85" s="102" t="s">
        <v>182</v>
      </c>
      <c r="M85" s="102" t="s">
        <v>571</v>
      </c>
      <c r="N85" s="102" t="s">
        <v>245</v>
      </c>
      <c r="O85" s="102" t="s">
        <v>250</v>
      </c>
      <c r="P85" s="102" t="s">
        <v>244</v>
      </c>
      <c r="Q85" s="102" t="s">
        <v>252</v>
      </c>
      <c r="R85" s="3" t="s">
        <v>621</v>
      </c>
      <c r="S85" s="102" t="s">
        <v>598</v>
      </c>
      <c r="T85" s="102"/>
      <c r="U85" s="102"/>
      <c r="V85" s="3" t="s">
        <v>591</v>
      </c>
      <c r="W85" s="3"/>
      <c r="X85" s="102" t="s">
        <v>616</v>
      </c>
      <c r="Y85" s="102" t="s">
        <v>618</v>
      </c>
      <c r="Z85" t="s">
        <v>598</v>
      </c>
    </row>
    <row r="86" spans="1:26" x14ac:dyDescent="0.2">
      <c r="A86" s="243" t="s">
        <v>654</v>
      </c>
      <c r="B86" s="246"/>
      <c r="C86" s="246"/>
      <c r="D86" s="246"/>
      <c r="E86" s="246"/>
      <c r="F86" s="246"/>
      <c r="G86" s="246"/>
      <c r="K86" s="102" t="s">
        <v>505</v>
      </c>
      <c r="L86">
        <f>B107*M102</f>
        <v>37.520000000000003</v>
      </c>
      <c r="M86">
        <f>C107*M103</f>
        <v>5.8800000000000008</v>
      </c>
      <c r="N86">
        <f>D107*M104</f>
        <v>48.9</v>
      </c>
      <c r="O86">
        <f>E107*M105</f>
        <v>17.420000000000002</v>
      </c>
      <c r="P86">
        <f>F107*M106</f>
        <v>84.140000000000015</v>
      </c>
      <c r="Q86">
        <f>G107*M107</f>
        <v>1.92</v>
      </c>
      <c r="R86">
        <f>SUBTOTAL(9,L86:Q86)</f>
        <v>195.78</v>
      </c>
      <c r="S86" s="104">
        <f>R86/R89</f>
        <v>0.18463018323447031</v>
      </c>
      <c r="V86" s="102" t="s">
        <v>505</v>
      </c>
      <c r="W86" s="102"/>
      <c r="X86">
        <v>44</v>
      </c>
      <c r="Y86">
        <v>53.21</v>
      </c>
      <c r="Z86" s="104">
        <v>0.21690921690921691</v>
      </c>
    </row>
    <row r="87" spans="1:26" x14ac:dyDescent="0.2">
      <c r="A87" t="s">
        <v>489</v>
      </c>
      <c r="B87" t="s">
        <v>505</v>
      </c>
      <c r="C87" t="s">
        <v>506</v>
      </c>
      <c r="D87" t="s">
        <v>590</v>
      </c>
      <c r="E87" t="s">
        <v>472</v>
      </c>
      <c r="K87" s="102" t="s">
        <v>506</v>
      </c>
      <c r="L87">
        <f>B108*M102</f>
        <v>62.510000000000005</v>
      </c>
      <c r="M87">
        <f>C108*M103</f>
        <v>14.980000000000002</v>
      </c>
      <c r="N87">
        <f>D108*M104</f>
        <v>98.399999999999991</v>
      </c>
      <c r="O87">
        <f>E108*M105</f>
        <v>28.86</v>
      </c>
      <c r="P87">
        <f>F108*M106</f>
        <v>164.50000000000003</v>
      </c>
      <c r="Q87">
        <f>G108*M107</f>
        <v>13.08</v>
      </c>
      <c r="R87">
        <f>SUBTOTAL(9,L87:Q87)</f>
        <v>382.33</v>
      </c>
      <c r="S87" s="104">
        <f>R87/R89</f>
        <v>0.3605560218410207</v>
      </c>
      <c r="V87" s="102" t="s">
        <v>506</v>
      </c>
      <c r="W87" s="102"/>
      <c r="X87">
        <v>80</v>
      </c>
      <c r="Y87">
        <v>100.15</v>
      </c>
      <c r="Z87" s="104">
        <v>0.40825893767070237</v>
      </c>
    </row>
    <row r="88" spans="1:26" x14ac:dyDescent="0.2">
      <c r="A88" s="47" t="s">
        <v>642</v>
      </c>
      <c r="B88">
        <v>31</v>
      </c>
      <c r="C88">
        <v>59</v>
      </c>
      <c r="D88">
        <v>61</v>
      </c>
      <c r="E88">
        <v>151</v>
      </c>
      <c r="F88" s="151">
        <f>E88/208</f>
        <v>0.72596153846153844</v>
      </c>
      <c r="G88" s="267" t="s">
        <v>655</v>
      </c>
      <c r="H88" s="267"/>
      <c r="K88" s="102" t="s">
        <v>590</v>
      </c>
      <c r="L88">
        <f>B109*M102</f>
        <v>73.92</v>
      </c>
      <c r="M88">
        <f>C109*M103</f>
        <v>12.600000000000001</v>
      </c>
      <c r="N88">
        <f>D109*M104</f>
        <v>141.9</v>
      </c>
      <c r="O88">
        <f>E109*M105</f>
        <v>48.620000000000005</v>
      </c>
      <c r="P88">
        <f>F109*M106</f>
        <v>198.24</v>
      </c>
      <c r="Q88">
        <f>G109*M107</f>
        <v>7</v>
      </c>
      <c r="R88">
        <f>SUBTOTAL(9,L88:Q88)</f>
        <v>482.28000000000003</v>
      </c>
      <c r="S88" s="104">
        <f>R88/R89</f>
        <v>0.45481379492450891</v>
      </c>
      <c r="V88" s="102" t="s">
        <v>590</v>
      </c>
      <c r="W88" s="102"/>
      <c r="X88">
        <v>83</v>
      </c>
      <c r="Y88">
        <v>91.95</v>
      </c>
      <c r="Z88" s="104">
        <v>0.37483184542008074</v>
      </c>
    </row>
    <row r="89" spans="1:26" x14ac:dyDescent="0.2">
      <c r="A89" s="47" t="s">
        <v>182</v>
      </c>
      <c r="B89">
        <v>14</v>
      </c>
      <c r="C89">
        <v>21</v>
      </c>
      <c r="D89">
        <v>22</v>
      </c>
      <c r="E89">
        <v>57</v>
      </c>
      <c r="F89" s="151">
        <f>E89/208</f>
        <v>0.27403846153846156</v>
      </c>
      <c r="G89" s="267"/>
      <c r="H89" s="267"/>
      <c r="K89" s="102" t="s">
        <v>472</v>
      </c>
      <c r="L89">
        <f>SUBTOTAL(9,L86:L88)</f>
        <v>173.95</v>
      </c>
      <c r="M89">
        <f>SUBTOTAL(9,M86:M88)</f>
        <v>33.460000000000008</v>
      </c>
      <c r="N89">
        <f>SUBTOTAL(9,N86:N88)</f>
        <v>289.2</v>
      </c>
      <c r="O89">
        <f>SUBTOTAL(9,O86:O88)</f>
        <v>94.9</v>
      </c>
      <c r="P89">
        <v>446.88</v>
      </c>
      <c r="Q89">
        <v>22</v>
      </c>
      <c r="R89" s="115">
        <v>1060.3900000000001</v>
      </c>
      <c r="S89" s="116">
        <v>1</v>
      </c>
      <c r="V89" s="102" t="s">
        <v>617</v>
      </c>
      <c r="W89" s="102"/>
      <c r="X89">
        <v>207</v>
      </c>
      <c r="Y89">
        <v>245.31</v>
      </c>
    </row>
    <row r="90" spans="1:26" x14ac:dyDescent="0.2">
      <c r="A90" s="47" t="s">
        <v>472</v>
      </c>
      <c r="B90">
        <v>45</v>
      </c>
      <c r="C90">
        <v>80</v>
      </c>
      <c r="D90">
        <v>83</v>
      </c>
      <c r="E90">
        <v>208</v>
      </c>
      <c r="F90" s="151">
        <f>E90/208</f>
        <v>1</v>
      </c>
      <c r="G90" s="267"/>
      <c r="H90" s="267"/>
      <c r="K90" s="102"/>
      <c r="V90" s="102"/>
      <c r="W90" s="102"/>
    </row>
    <row r="91" spans="1:26" x14ac:dyDescent="0.2">
      <c r="F91" s="152"/>
      <c r="G91" s="153"/>
      <c r="H91" s="154"/>
      <c r="K91" s="114"/>
      <c r="L91" s="246" t="s">
        <v>619</v>
      </c>
      <c r="M91" s="246"/>
      <c r="N91" s="246"/>
      <c r="O91" s="246"/>
      <c r="P91" s="246"/>
      <c r="Q91" s="246"/>
    </row>
    <row r="92" spans="1:26" ht="15" x14ac:dyDescent="0.25">
      <c r="B92" s="53"/>
      <c r="C92" s="54" t="s">
        <v>648</v>
      </c>
      <c r="D92" s="54" t="s">
        <v>647</v>
      </c>
      <c r="E92" s="53"/>
      <c r="F92" s="258" t="s">
        <v>658</v>
      </c>
      <c r="G92" s="259"/>
      <c r="H92" s="260"/>
      <c r="K92" s="114"/>
      <c r="M92" s="3" t="s">
        <v>596</v>
      </c>
      <c r="N92" t="s">
        <v>620</v>
      </c>
      <c r="O92" t="s">
        <v>622</v>
      </c>
      <c r="S92" s="159" t="s">
        <v>668</v>
      </c>
      <c r="T92" s="159"/>
      <c r="U92" s="159"/>
      <c r="V92" s="159"/>
      <c r="W92" s="159"/>
      <c r="X92" s="159"/>
      <c r="Y92" s="159"/>
    </row>
    <row r="93" spans="1:26" x14ac:dyDescent="0.2">
      <c r="B93" s="56" t="s">
        <v>642</v>
      </c>
      <c r="C93" s="53">
        <f>59+61</f>
        <v>120</v>
      </c>
      <c r="D93" s="53">
        <v>31</v>
      </c>
      <c r="E93" s="53">
        <v>151</v>
      </c>
      <c r="F93" s="261"/>
      <c r="G93" s="262"/>
      <c r="H93" s="263"/>
      <c r="K93" s="114"/>
      <c r="M93" s="3"/>
      <c r="N93" s="103" t="s">
        <v>634</v>
      </c>
      <c r="O93" s="102" t="s">
        <v>634</v>
      </c>
      <c r="P93" t="s">
        <v>623</v>
      </c>
      <c r="S93" s="3" t="s">
        <v>172</v>
      </c>
      <c r="T93" s="103" t="s">
        <v>604</v>
      </c>
      <c r="U93" s="103" t="s">
        <v>659</v>
      </c>
      <c r="V93" s="103" t="s">
        <v>660</v>
      </c>
      <c r="W93" s="103"/>
      <c r="X93" s="103" t="s">
        <v>661</v>
      </c>
      <c r="Y93" s="103" t="s">
        <v>621</v>
      </c>
      <c r="Z93" s="103" t="s">
        <v>662</v>
      </c>
    </row>
    <row r="94" spans="1:26" x14ac:dyDescent="0.2">
      <c r="B94" s="56" t="s">
        <v>182</v>
      </c>
      <c r="C94" s="53">
        <f>21+22</f>
        <v>43</v>
      </c>
      <c r="D94" s="53">
        <v>14</v>
      </c>
      <c r="E94" s="53">
        <v>57</v>
      </c>
      <c r="F94" s="261"/>
      <c r="G94" s="262"/>
      <c r="H94" s="263"/>
      <c r="K94" s="114"/>
      <c r="M94" s="102" t="s">
        <v>505</v>
      </c>
      <c r="N94">
        <v>195.78</v>
      </c>
      <c r="O94">
        <v>57.65</v>
      </c>
      <c r="P94">
        <f>SUBTOTAL(9,N94:O94)</f>
        <v>253.43</v>
      </c>
      <c r="S94" s="103" t="s">
        <v>485</v>
      </c>
      <c r="T94">
        <v>80</v>
      </c>
      <c r="U94">
        <v>367</v>
      </c>
      <c r="V94">
        <v>104</v>
      </c>
      <c r="X94">
        <v>551</v>
      </c>
      <c r="Y94">
        <f>551*1</f>
        <v>551</v>
      </c>
      <c r="Z94">
        <v>45</v>
      </c>
    </row>
    <row r="95" spans="1:26" x14ac:dyDescent="0.2">
      <c r="B95" s="53"/>
      <c r="C95" s="53">
        <v>163</v>
      </c>
      <c r="D95" s="53">
        <v>45</v>
      </c>
      <c r="E95" s="53">
        <v>208</v>
      </c>
      <c r="F95" s="264"/>
      <c r="G95" s="265"/>
      <c r="H95" s="266"/>
      <c r="K95" s="114"/>
      <c r="M95" s="102" t="s">
        <v>506</v>
      </c>
      <c r="N95">
        <v>382.33</v>
      </c>
      <c r="O95" s="3">
        <v>99.95</v>
      </c>
      <c r="P95">
        <f>SUBTOTAL(9,N95:O95)</f>
        <v>482.28</v>
      </c>
      <c r="S95" s="103" t="s">
        <v>487</v>
      </c>
      <c r="T95">
        <v>1376</v>
      </c>
      <c r="U95">
        <v>3590</v>
      </c>
      <c r="V95">
        <v>1724</v>
      </c>
      <c r="X95">
        <v>6690</v>
      </c>
      <c r="Y95">
        <f>X95*11</f>
        <v>73590</v>
      </c>
      <c r="Z95">
        <v>80</v>
      </c>
    </row>
    <row r="96" spans="1:26" x14ac:dyDescent="0.2">
      <c r="A96" s="3" t="s">
        <v>780</v>
      </c>
      <c r="K96" s="114"/>
      <c r="M96" s="102" t="s">
        <v>590</v>
      </c>
      <c r="N96" s="3">
        <v>482.28</v>
      </c>
      <c r="O96">
        <v>128.35</v>
      </c>
      <c r="P96">
        <f>SUBTOTAL(9,N96:O96)</f>
        <v>610.63</v>
      </c>
      <c r="S96" s="103" t="s">
        <v>486</v>
      </c>
      <c r="T96">
        <v>231</v>
      </c>
      <c r="U96">
        <v>965</v>
      </c>
      <c r="V96">
        <v>717</v>
      </c>
      <c r="X96">
        <v>1913</v>
      </c>
      <c r="Y96">
        <f>X96*0.11</f>
        <v>210.43</v>
      </c>
      <c r="Z96">
        <v>83</v>
      </c>
    </row>
    <row r="97" spans="1:31" ht="28.15" customHeight="1" x14ac:dyDescent="0.2">
      <c r="A97" s="248" t="s">
        <v>782</v>
      </c>
      <c r="B97" s="248"/>
      <c r="C97" s="248"/>
      <c r="D97" s="248"/>
      <c r="E97" s="248"/>
      <c r="F97" s="248"/>
      <c r="G97" s="248"/>
      <c r="H97" s="248"/>
      <c r="I97" s="248"/>
      <c r="J97" s="176"/>
      <c r="K97" s="176"/>
      <c r="L97" s="176"/>
      <c r="M97" s="176"/>
      <c r="N97" s="115">
        <v>1060.3900000000001</v>
      </c>
      <c r="O97">
        <f>O94+O95+O96</f>
        <v>285.95</v>
      </c>
      <c r="P97">
        <v>1306.3900000000001</v>
      </c>
      <c r="S97" t="s">
        <v>472</v>
      </c>
      <c r="T97">
        <v>1687</v>
      </c>
      <c r="U97">
        <v>4922</v>
      </c>
      <c r="V97">
        <v>2545</v>
      </c>
      <c r="X97">
        <v>9154</v>
      </c>
      <c r="Z97">
        <v>208</v>
      </c>
    </row>
    <row r="98" spans="1:31" ht="12.4" customHeight="1" x14ac:dyDescent="0.2">
      <c r="A98" s="253" t="s">
        <v>783</v>
      </c>
      <c r="B98" s="253"/>
      <c r="C98" s="253"/>
      <c r="D98" s="253"/>
      <c r="E98" s="253"/>
      <c r="F98" s="253"/>
      <c r="G98" s="253"/>
      <c r="H98" s="253"/>
      <c r="I98" s="253"/>
      <c r="J98" s="176"/>
      <c r="K98" s="176"/>
      <c r="L98" s="176"/>
      <c r="M98" s="176"/>
    </row>
    <row r="99" spans="1:31" ht="15" x14ac:dyDescent="0.25">
      <c r="A99" s="3" t="s">
        <v>674</v>
      </c>
      <c r="K99" s="243" t="s">
        <v>607</v>
      </c>
      <c r="L99" s="246"/>
      <c r="M99" s="246"/>
      <c r="S99" s="159" t="s">
        <v>669</v>
      </c>
      <c r="T99" s="159"/>
      <c r="U99" s="159"/>
      <c r="V99" s="159"/>
      <c r="W99" s="159"/>
      <c r="X99" s="159"/>
    </row>
    <row r="100" spans="1:31" x14ac:dyDescent="0.2">
      <c r="S100" s="3" t="s">
        <v>172</v>
      </c>
      <c r="T100" s="103" t="s">
        <v>604</v>
      </c>
      <c r="U100" s="103" t="s">
        <v>659</v>
      </c>
      <c r="V100" s="103" t="s">
        <v>660</v>
      </c>
      <c r="W100" s="103"/>
      <c r="X100" s="103" t="s">
        <v>661</v>
      </c>
    </row>
    <row r="101" spans="1:31" x14ac:dyDescent="0.2">
      <c r="K101" s="9"/>
      <c r="L101" s="145" t="s">
        <v>594</v>
      </c>
      <c r="M101" s="145" t="s">
        <v>595</v>
      </c>
      <c r="N101" s="11"/>
      <c r="O101" s="3" t="s">
        <v>683</v>
      </c>
      <c r="S101" s="3" t="s">
        <v>485</v>
      </c>
      <c r="T101" s="3">
        <f t="shared" ref="T101:X104" si="0">T94*0.11</f>
        <v>8.8000000000000007</v>
      </c>
      <c r="U101" s="3">
        <f t="shared" si="0"/>
        <v>40.369999999999997</v>
      </c>
      <c r="V101" s="3">
        <f t="shared" si="0"/>
        <v>11.44</v>
      </c>
      <c r="W101" s="3"/>
      <c r="X101" s="103">
        <f t="shared" si="0"/>
        <v>60.61</v>
      </c>
      <c r="Y101">
        <f>X102/X101</f>
        <v>12.141560798548094</v>
      </c>
    </row>
    <row r="102" spans="1:31" x14ac:dyDescent="0.2">
      <c r="K102" s="145" t="s">
        <v>182</v>
      </c>
      <c r="L102" s="11">
        <v>7.21</v>
      </c>
      <c r="M102" s="11">
        <v>7.0000000000000007E-2</v>
      </c>
      <c r="N102" s="11"/>
      <c r="S102" s="3" t="s">
        <v>487</v>
      </c>
      <c r="T102" s="3">
        <f t="shared" si="0"/>
        <v>151.36000000000001</v>
      </c>
      <c r="U102" s="3">
        <f t="shared" si="0"/>
        <v>394.9</v>
      </c>
      <c r="V102" s="3">
        <f t="shared" si="0"/>
        <v>189.64000000000001</v>
      </c>
      <c r="W102" s="3"/>
      <c r="X102" s="103">
        <f t="shared" si="0"/>
        <v>735.9</v>
      </c>
      <c r="Y102">
        <f>X102/X103</f>
        <v>3.4971249346576054</v>
      </c>
      <c r="Z102" s="3"/>
    </row>
    <row r="103" spans="1:31" x14ac:dyDescent="0.2">
      <c r="B103" s="246" t="s">
        <v>592</v>
      </c>
      <c r="C103" s="246"/>
      <c r="D103" s="246"/>
      <c r="E103" s="246"/>
      <c r="F103" s="246"/>
      <c r="G103" s="246"/>
      <c r="K103" s="145" t="s">
        <v>571</v>
      </c>
      <c r="L103" s="11">
        <v>13.87</v>
      </c>
      <c r="M103" s="11">
        <v>0.14000000000000001</v>
      </c>
      <c r="N103" s="11"/>
      <c r="S103" s="3" t="s">
        <v>486</v>
      </c>
      <c r="T103" s="3">
        <f t="shared" si="0"/>
        <v>25.41</v>
      </c>
      <c r="U103" s="3">
        <f t="shared" si="0"/>
        <v>106.15</v>
      </c>
      <c r="V103" s="3">
        <f t="shared" si="0"/>
        <v>78.87</v>
      </c>
      <c r="W103" s="3"/>
      <c r="X103" s="103">
        <f t="shared" si="0"/>
        <v>210.43</v>
      </c>
    </row>
    <row r="104" spans="1:31" x14ac:dyDescent="0.2">
      <c r="A104" s="103"/>
      <c r="B104" s="103"/>
      <c r="C104" s="103"/>
      <c r="D104" s="103"/>
      <c r="E104" s="103"/>
      <c r="F104" s="103"/>
      <c r="G104" s="103"/>
      <c r="H104" s="103"/>
      <c r="K104" s="145" t="s">
        <v>245</v>
      </c>
      <c r="L104" s="11">
        <v>15.6</v>
      </c>
      <c r="M104" s="11">
        <v>0.15</v>
      </c>
      <c r="N104" s="11"/>
      <c r="S104" s="103" t="s">
        <v>472</v>
      </c>
      <c r="T104" s="103">
        <f t="shared" si="0"/>
        <v>185.57</v>
      </c>
      <c r="U104" s="103">
        <f t="shared" si="0"/>
        <v>541.41999999999996</v>
      </c>
      <c r="V104" s="103">
        <f t="shared" si="0"/>
        <v>279.95</v>
      </c>
      <c r="W104" s="103"/>
      <c r="X104" s="103">
        <f t="shared" si="0"/>
        <v>1006.94</v>
      </c>
      <c r="Z104" s="103"/>
    </row>
    <row r="105" spans="1:31" x14ac:dyDescent="0.2">
      <c r="A105" s="103" t="s">
        <v>632</v>
      </c>
      <c r="B105" t="s">
        <v>491</v>
      </c>
      <c r="K105" s="145" t="s">
        <v>250</v>
      </c>
      <c r="L105" s="11">
        <v>13.54</v>
      </c>
      <c r="M105" s="11">
        <v>0.13</v>
      </c>
      <c r="N105" s="11"/>
      <c r="AA105" s="103" t="s">
        <v>672</v>
      </c>
    </row>
    <row r="106" spans="1:31" ht="15" x14ac:dyDescent="0.25">
      <c r="A106" s="103" t="s">
        <v>489</v>
      </c>
      <c r="B106" t="s">
        <v>182</v>
      </c>
      <c r="C106" t="s">
        <v>571</v>
      </c>
      <c r="D106" t="s">
        <v>245</v>
      </c>
      <c r="E106" t="s">
        <v>250</v>
      </c>
      <c r="F106" t="s">
        <v>244</v>
      </c>
      <c r="G106" t="s">
        <v>252</v>
      </c>
      <c r="H106" s="3" t="s">
        <v>633</v>
      </c>
      <c r="K106" s="145" t="s">
        <v>244</v>
      </c>
      <c r="L106" s="11">
        <v>14.66</v>
      </c>
      <c r="M106" s="11">
        <v>0.14000000000000001</v>
      </c>
      <c r="N106" s="9" t="s">
        <v>677</v>
      </c>
      <c r="S106" s="159" t="s">
        <v>670</v>
      </c>
      <c r="T106" s="159"/>
      <c r="U106" s="159"/>
      <c r="V106" s="159"/>
      <c r="W106" s="159"/>
      <c r="X106" s="159"/>
      <c r="AB106" t="s">
        <v>505</v>
      </c>
      <c r="AC106" t="s">
        <v>506</v>
      </c>
      <c r="AD106" t="s">
        <v>590</v>
      </c>
      <c r="AE106" t="s">
        <v>472</v>
      </c>
    </row>
    <row r="107" spans="1:31" x14ac:dyDescent="0.2">
      <c r="A107" s="103" t="s">
        <v>505</v>
      </c>
      <c r="B107">
        <v>536</v>
      </c>
      <c r="C107">
        <v>42</v>
      </c>
      <c r="D107">
        <v>326</v>
      </c>
      <c r="E107">
        <v>134</v>
      </c>
      <c r="F107">
        <v>601</v>
      </c>
      <c r="G107">
        <v>48</v>
      </c>
      <c r="H107">
        <f>SUBTOTAL(9,B107:G107)</f>
        <v>1687</v>
      </c>
      <c r="K107" s="145" t="s">
        <v>252</v>
      </c>
      <c r="L107" s="11">
        <v>4.4400000000000004</v>
      </c>
      <c r="M107" s="11">
        <v>0.04</v>
      </c>
      <c r="N107" s="164">
        <f>AVERAGE(M104:M107)</f>
        <v>0.115</v>
      </c>
      <c r="S107" s="3" t="s">
        <v>172</v>
      </c>
      <c r="T107" s="103" t="s">
        <v>604</v>
      </c>
      <c r="U107" s="103" t="s">
        <v>659</v>
      </c>
      <c r="V107" s="103" t="s">
        <v>660</v>
      </c>
      <c r="W107" s="103"/>
      <c r="X107" s="103" t="s">
        <v>661</v>
      </c>
      <c r="AA107" s="47" t="s">
        <v>485</v>
      </c>
      <c r="AB107">
        <v>4</v>
      </c>
      <c r="AC107">
        <v>6</v>
      </c>
      <c r="AD107">
        <v>7</v>
      </c>
      <c r="AE107">
        <v>17</v>
      </c>
    </row>
    <row r="108" spans="1:31" x14ac:dyDescent="0.2">
      <c r="A108" s="103" t="s">
        <v>506</v>
      </c>
      <c r="B108">
        <v>893</v>
      </c>
      <c r="C108">
        <v>107</v>
      </c>
      <c r="D108">
        <v>656</v>
      </c>
      <c r="E108">
        <v>222</v>
      </c>
      <c r="F108">
        <v>1175</v>
      </c>
      <c r="G108">
        <v>327</v>
      </c>
      <c r="H108">
        <f>SUBTOTAL(9,B108:G108)</f>
        <v>3380</v>
      </c>
      <c r="K108" s="11"/>
      <c r="L108" s="256" t="s">
        <v>665</v>
      </c>
      <c r="M108" s="11">
        <f>AVERAGE(M102:M107)</f>
        <v>0.11166666666666668</v>
      </c>
      <c r="N108" s="145" t="s">
        <v>666</v>
      </c>
      <c r="S108" s="3" t="s">
        <v>485</v>
      </c>
      <c r="T108" s="3">
        <f>T101/AB107</f>
        <v>2.2000000000000002</v>
      </c>
      <c r="U108" s="3">
        <f>U101/AC107</f>
        <v>6.7283333333333326</v>
      </c>
      <c r="V108" s="3">
        <f>V101/AD107</f>
        <v>1.6342857142857141</v>
      </c>
      <c r="W108" s="3"/>
      <c r="X108" s="160">
        <f>X101/AE107</f>
        <v>3.5652941176470589</v>
      </c>
      <c r="AA108" s="47" t="s">
        <v>487</v>
      </c>
      <c r="AB108">
        <v>33</v>
      </c>
      <c r="AC108">
        <v>53</v>
      </c>
      <c r="AD108">
        <v>53</v>
      </c>
      <c r="AE108">
        <v>139</v>
      </c>
    </row>
    <row r="109" spans="1:31" x14ac:dyDescent="0.2">
      <c r="A109" t="s">
        <v>590</v>
      </c>
      <c r="B109">
        <v>1056</v>
      </c>
      <c r="C109">
        <v>90</v>
      </c>
      <c r="D109">
        <v>946</v>
      </c>
      <c r="E109">
        <v>374</v>
      </c>
      <c r="F109">
        <v>1416</v>
      </c>
      <c r="G109">
        <v>175</v>
      </c>
      <c r="H109">
        <f>SUBTOTAL(9,B109:G109)</f>
        <v>4057</v>
      </c>
      <c r="K109" s="11"/>
      <c r="L109" s="256"/>
      <c r="M109" s="11">
        <f>AVERAGE(M102,M104,M105,M106,M107)</f>
        <v>0.10600000000000001</v>
      </c>
      <c r="N109" s="145" t="s">
        <v>667</v>
      </c>
      <c r="S109" s="3" t="s">
        <v>487</v>
      </c>
      <c r="T109" s="3">
        <f>T102/AB108</f>
        <v>4.5866666666666669</v>
      </c>
      <c r="U109" s="3">
        <f t="shared" ref="U109:V111" si="1">U102/AC108</f>
        <v>7.4509433962264149</v>
      </c>
      <c r="V109" s="3">
        <f t="shared" si="1"/>
        <v>3.5781132075471702</v>
      </c>
      <c r="W109" s="3"/>
      <c r="X109" s="160">
        <f>X102/AE108</f>
        <v>5.294244604316547</v>
      </c>
      <c r="AA109" s="47" t="s">
        <v>486</v>
      </c>
      <c r="AB109">
        <v>8</v>
      </c>
      <c r="AC109">
        <v>21</v>
      </c>
      <c r="AD109">
        <v>23</v>
      </c>
      <c r="AE109">
        <v>52</v>
      </c>
    </row>
    <row r="110" spans="1:31" x14ac:dyDescent="0.2">
      <c r="A110" t="s">
        <v>473</v>
      </c>
      <c r="K110" s="103"/>
      <c r="L110" s="3"/>
      <c r="M110" s="3"/>
      <c r="S110" s="3" t="s">
        <v>486</v>
      </c>
      <c r="T110" s="3">
        <f>T103/AB109</f>
        <v>3.17625</v>
      </c>
      <c r="U110" s="3">
        <f t="shared" si="1"/>
        <v>5.0547619047619055</v>
      </c>
      <c r="V110" s="3">
        <f t="shared" si="1"/>
        <v>3.4291304347826088</v>
      </c>
      <c r="W110" s="3"/>
      <c r="X110" s="160">
        <f>X103/AE109</f>
        <v>4.046730769230769</v>
      </c>
      <c r="AA110" s="47" t="s">
        <v>472</v>
      </c>
      <c r="AB110">
        <v>45</v>
      </c>
      <c r="AC110">
        <v>80</v>
      </c>
      <c r="AD110">
        <v>83</v>
      </c>
      <c r="AE110">
        <v>208</v>
      </c>
    </row>
    <row r="111" spans="1:31" x14ac:dyDescent="0.2">
      <c r="A111" t="s">
        <v>472</v>
      </c>
      <c r="B111">
        <v>2485</v>
      </c>
      <c r="C111">
        <v>239</v>
      </c>
      <c r="D111">
        <v>1928</v>
      </c>
      <c r="E111">
        <v>730</v>
      </c>
      <c r="F111">
        <v>3192</v>
      </c>
      <c r="G111">
        <v>580</v>
      </c>
      <c r="H111">
        <v>9124</v>
      </c>
      <c r="K111" s="103"/>
      <c r="S111" s="103" t="s">
        <v>472</v>
      </c>
      <c r="T111" s="103">
        <f>T104/AB110</f>
        <v>4.1237777777777778</v>
      </c>
      <c r="U111" s="103">
        <f t="shared" si="1"/>
        <v>6.7677499999999995</v>
      </c>
      <c r="V111" s="103">
        <f t="shared" si="1"/>
        <v>3.3728915662650603</v>
      </c>
      <c r="W111" s="103"/>
      <c r="X111" s="160">
        <f>X104/AE110</f>
        <v>4.8410576923076922</v>
      </c>
      <c r="Y111" s="161">
        <f>X109-X111</f>
        <v>0.45318691200885475</v>
      </c>
    </row>
    <row r="112" spans="1:31" x14ac:dyDescent="0.2">
      <c r="K112" s="103"/>
    </row>
    <row r="113" spans="1:23" x14ac:dyDescent="0.2">
      <c r="B113" s="162" t="s">
        <v>675</v>
      </c>
      <c r="C113" s="162"/>
      <c r="D113" s="162"/>
      <c r="H113" s="163" t="s">
        <v>676</v>
      </c>
      <c r="I113" s="73"/>
      <c r="J113" s="73"/>
      <c r="K113" s="73"/>
      <c r="M113" s="103" t="s">
        <v>680</v>
      </c>
      <c r="S113" s="3" t="s">
        <v>673</v>
      </c>
    </row>
    <row r="114" spans="1:23" x14ac:dyDescent="0.2">
      <c r="B114" s="103" t="s">
        <v>505</v>
      </c>
      <c r="C114" s="103" t="s">
        <v>506</v>
      </c>
      <c r="D114" t="s">
        <v>590</v>
      </c>
      <c r="H114" s="103" t="s">
        <v>505</v>
      </c>
      <c r="I114" s="103" t="s">
        <v>506</v>
      </c>
      <c r="J114" t="s">
        <v>590</v>
      </c>
      <c r="K114" s="3" t="s">
        <v>678</v>
      </c>
      <c r="M114" t="s">
        <v>489</v>
      </c>
      <c r="N114" t="s">
        <v>505</v>
      </c>
      <c r="O114" t="s">
        <v>506</v>
      </c>
      <c r="P114" t="s">
        <v>590</v>
      </c>
      <c r="Q114" t="s">
        <v>472</v>
      </c>
      <c r="S114" s="3" t="s">
        <v>671</v>
      </c>
    </row>
    <row r="115" spans="1:23" x14ac:dyDescent="0.2">
      <c r="A115" s="3" t="s">
        <v>182</v>
      </c>
      <c r="B115">
        <f>B107+C107</f>
        <v>578</v>
      </c>
      <c r="C115">
        <f>B108+C108</f>
        <v>1000</v>
      </c>
      <c r="D115">
        <f>B109+C109</f>
        <v>1146</v>
      </c>
      <c r="H115">
        <f>B115*0.07</f>
        <v>40.46</v>
      </c>
      <c r="I115">
        <f>C115*0.07</f>
        <v>70</v>
      </c>
      <c r="J115">
        <f>D115*0.07</f>
        <v>80.220000000000013</v>
      </c>
      <c r="K115">
        <f>SUM(H115:J115)</f>
        <v>190.68</v>
      </c>
      <c r="M115" s="47" t="s">
        <v>182</v>
      </c>
      <c r="N115">
        <v>14</v>
      </c>
      <c r="O115">
        <v>21</v>
      </c>
      <c r="P115">
        <v>22</v>
      </c>
      <c r="Q115">
        <v>57</v>
      </c>
      <c r="T115" s="244"/>
      <c r="U115" s="244"/>
      <c r="V115" s="249"/>
      <c r="W115" s="57"/>
    </row>
    <row r="116" spans="1:23" x14ac:dyDescent="0.2">
      <c r="A116" s="3" t="s">
        <v>642</v>
      </c>
      <c r="B116">
        <f>D107+E107+F107+G107</f>
        <v>1109</v>
      </c>
      <c r="C116">
        <f>D108+E108+F108+G108</f>
        <v>2380</v>
      </c>
      <c r="D116">
        <f>D109+E109+F109+G109</f>
        <v>2911</v>
      </c>
      <c r="H116">
        <f>B116*0.115</f>
        <v>127.53500000000001</v>
      </c>
      <c r="I116">
        <f>C116*0.115</f>
        <v>273.7</v>
      </c>
      <c r="J116">
        <f>D116*0.115</f>
        <v>334.76499999999999</v>
      </c>
      <c r="K116">
        <f>SUM(H116:J116)</f>
        <v>736</v>
      </c>
      <c r="L116" s="161">
        <f>K116/K115</f>
        <v>3.859869939165093</v>
      </c>
      <c r="M116" s="47" t="s">
        <v>642</v>
      </c>
      <c r="N116">
        <v>31</v>
      </c>
      <c r="O116">
        <v>59</v>
      </c>
      <c r="P116">
        <v>61</v>
      </c>
      <c r="Q116">
        <v>151</v>
      </c>
    </row>
    <row r="117" spans="1:23" x14ac:dyDescent="0.2">
      <c r="M117" s="47" t="s">
        <v>472</v>
      </c>
      <c r="N117">
        <v>45</v>
      </c>
      <c r="O117">
        <v>80</v>
      </c>
      <c r="P117">
        <v>83</v>
      </c>
      <c r="Q117">
        <v>208</v>
      </c>
    </row>
    <row r="118" spans="1:23" x14ac:dyDescent="0.2">
      <c r="A118" s="257" t="s">
        <v>681</v>
      </c>
      <c r="B118" s="257"/>
      <c r="C118" s="257"/>
      <c r="D118" s="257"/>
      <c r="E118" s="257"/>
      <c r="F118" s="257"/>
      <c r="H118" s="163" t="s">
        <v>679</v>
      </c>
      <c r="I118" s="73"/>
      <c r="J118" s="73"/>
      <c r="K118" s="73"/>
    </row>
    <row r="119" spans="1:23" x14ac:dyDescent="0.2">
      <c r="A119" s="257"/>
      <c r="B119" s="257"/>
      <c r="C119" s="257"/>
      <c r="D119" s="257"/>
      <c r="E119" s="257"/>
      <c r="F119" s="257"/>
      <c r="H119" s="103" t="s">
        <v>505</v>
      </c>
      <c r="I119" s="103" t="s">
        <v>506</v>
      </c>
      <c r="J119" t="s">
        <v>590</v>
      </c>
      <c r="K119" s="3" t="s">
        <v>678</v>
      </c>
      <c r="R119" s="75"/>
    </row>
    <row r="120" spans="1:23" x14ac:dyDescent="0.2">
      <c r="A120" s="257"/>
      <c r="B120" s="257"/>
      <c r="C120" s="257"/>
      <c r="D120" s="257"/>
      <c r="E120" s="257"/>
      <c r="F120" s="257"/>
      <c r="G120" s="51" t="s">
        <v>182</v>
      </c>
      <c r="H120" s="161">
        <f t="shared" ref="H120:K121" si="2">H115/N115</f>
        <v>2.89</v>
      </c>
      <c r="I120" s="161">
        <f t="shared" si="2"/>
        <v>3.3333333333333335</v>
      </c>
      <c r="J120" s="161">
        <f t="shared" si="2"/>
        <v>3.6463636363636369</v>
      </c>
      <c r="K120" s="161">
        <f t="shared" si="2"/>
        <v>3.3452631578947369</v>
      </c>
      <c r="R120" s="75"/>
    </row>
    <row r="121" spans="1:23" x14ac:dyDescent="0.2">
      <c r="A121" s="257"/>
      <c r="B121" s="257"/>
      <c r="C121" s="257"/>
      <c r="D121" s="257"/>
      <c r="E121" s="257"/>
      <c r="F121" s="257"/>
      <c r="G121" s="51" t="s">
        <v>642</v>
      </c>
      <c r="H121" s="161">
        <f t="shared" si="2"/>
        <v>4.1140322580645163</v>
      </c>
      <c r="I121" s="161">
        <f t="shared" si="2"/>
        <v>4.6389830508474574</v>
      </c>
      <c r="J121" s="161">
        <f t="shared" si="2"/>
        <v>5.4879508196721307</v>
      </c>
      <c r="K121" s="161">
        <f t="shared" si="2"/>
        <v>4.8741721854304636</v>
      </c>
      <c r="L121" s="161">
        <f>K121/K120</f>
        <v>1.4570369969033796</v>
      </c>
    </row>
    <row r="125" spans="1:23" x14ac:dyDescent="0.2">
      <c r="A125" s="268" t="s">
        <v>606</v>
      </c>
      <c r="B125" s="268"/>
      <c r="C125" s="268"/>
      <c r="D125" s="268"/>
      <c r="E125" s="268"/>
      <c r="F125" s="268"/>
      <c r="G125" s="268"/>
      <c r="H125" s="268"/>
      <c r="I125" s="268"/>
      <c r="J125" s="268"/>
      <c r="K125" s="268"/>
      <c r="L125" s="268"/>
      <c r="M125" s="268"/>
      <c r="N125" s="268"/>
      <c r="O125" s="268"/>
      <c r="P125" s="268"/>
      <c r="Q125" s="268"/>
    </row>
    <row r="126" spans="1:23" x14ac:dyDescent="0.2">
      <c r="A126" s="268"/>
      <c r="B126" s="268"/>
      <c r="C126" s="268"/>
      <c r="D126" s="268"/>
      <c r="E126" s="268"/>
      <c r="F126" s="268"/>
      <c r="G126" s="268"/>
      <c r="H126" s="268"/>
      <c r="I126" s="268"/>
      <c r="J126" s="268"/>
      <c r="K126" s="268"/>
      <c r="L126" s="268"/>
      <c r="M126" s="268"/>
      <c r="N126" s="268"/>
      <c r="O126" s="268"/>
      <c r="P126" s="268"/>
      <c r="Q126" s="268"/>
    </row>
    <row r="127" spans="1:23" x14ac:dyDescent="0.2">
      <c r="A127" s="3" t="s">
        <v>698</v>
      </c>
      <c r="B127" s="57"/>
      <c r="C127" s="57"/>
      <c r="D127" s="57"/>
      <c r="E127" s="57"/>
    </row>
    <row r="128" spans="1:23" x14ac:dyDescent="0.2">
      <c r="A128" s="3" t="s">
        <v>591</v>
      </c>
      <c r="B128" s="102" t="s">
        <v>626</v>
      </c>
      <c r="C128" s="102" t="s">
        <v>635</v>
      </c>
      <c r="D128" s="102" t="s">
        <v>634</v>
      </c>
      <c r="E128" s="102"/>
    </row>
    <row r="129" spans="1:9" x14ac:dyDescent="0.2">
      <c r="A129" s="102" t="s">
        <v>505</v>
      </c>
      <c r="B129">
        <v>45</v>
      </c>
      <c r="C129">
        <v>35</v>
      </c>
      <c r="D129">
        <v>57.65</v>
      </c>
      <c r="I129" s="3" t="s">
        <v>699</v>
      </c>
    </row>
    <row r="130" spans="1:9" x14ac:dyDescent="0.2">
      <c r="A130" s="102" t="s">
        <v>506</v>
      </c>
      <c r="B130">
        <v>80</v>
      </c>
      <c r="C130">
        <v>65</v>
      </c>
      <c r="D130" s="3">
        <v>99.95</v>
      </c>
      <c r="I130" s="3" t="s">
        <v>700</v>
      </c>
    </row>
    <row r="131" spans="1:9" x14ac:dyDescent="0.2">
      <c r="A131" s="102" t="s">
        <v>590</v>
      </c>
      <c r="B131">
        <v>83</v>
      </c>
      <c r="C131">
        <v>68</v>
      </c>
      <c r="D131">
        <v>128.35</v>
      </c>
      <c r="I131" s="3" t="s">
        <v>701</v>
      </c>
    </row>
    <row r="132" spans="1:9" x14ac:dyDescent="0.2">
      <c r="A132" s="102" t="s">
        <v>472</v>
      </c>
      <c r="B132">
        <f>B129+B130+B131</f>
        <v>208</v>
      </c>
      <c r="C132">
        <f>C129+C130+C131</f>
        <v>168</v>
      </c>
      <c r="D132">
        <f>D129+D130+D131</f>
        <v>285.95</v>
      </c>
      <c r="I132" s="3" t="s">
        <v>702</v>
      </c>
    </row>
    <row r="134" spans="1:9" x14ac:dyDescent="0.2">
      <c r="A134" t="s">
        <v>641</v>
      </c>
      <c r="B134" t="s">
        <v>182</v>
      </c>
      <c r="G134" s="249"/>
      <c r="H134" s="249"/>
      <c r="I134" s="3" t="s">
        <v>703</v>
      </c>
    </row>
    <row r="135" spans="1:9" x14ac:dyDescent="0.2">
      <c r="B135" s="3"/>
      <c r="I135" s="3" t="s">
        <v>704</v>
      </c>
    </row>
    <row r="136" spans="1:9" x14ac:dyDescent="0.2">
      <c r="A136" s="3" t="s">
        <v>693</v>
      </c>
      <c r="I136" s="118" t="s">
        <v>705</v>
      </c>
    </row>
    <row r="137" spans="1:9" x14ac:dyDescent="0.2">
      <c r="A137" t="s">
        <v>489</v>
      </c>
      <c r="B137" t="s">
        <v>505</v>
      </c>
      <c r="C137" t="s">
        <v>506</v>
      </c>
      <c r="D137" t="s">
        <v>590</v>
      </c>
      <c r="E137" t="s">
        <v>472</v>
      </c>
      <c r="I137" s="118" t="s">
        <v>706</v>
      </c>
    </row>
    <row r="138" spans="1:9" x14ac:dyDescent="0.2">
      <c r="A138" s="47" t="s">
        <v>182</v>
      </c>
      <c r="B138">
        <v>14</v>
      </c>
      <c r="C138">
        <v>21</v>
      </c>
      <c r="D138">
        <v>22</v>
      </c>
      <c r="E138">
        <v>57</v>
      </c>
      <c r="I138" s="104"/>
    </row>
    <row r="139" spans="1:9" x14ac:dyDescent="0.2">
      <c r="A139" s="47" t="s">
        <v>642</v>
      </c>
      <c r="B139">
        <v>31</v>
      </c>
      <c r="C139">
        <v>59</v>
      </c>
      <c r="D139">
        <v>61</v>
      </c>
      <c r="E139">
        <v>151</v>
      </c>
      <c r="I139" s="104"/>
    </row>
    <row r="140" spans="1:9" x14ac:dyDescent="0.2">
      <c r="A140" s="47" t="s">
        <v>472</v>
      </c>
      <c r="B140">
        <v>45</v>
      </c>
      <c r="C140">
        <v>80</v>
      </c>
      <c r="D140">
        <v>83</v>
      </c>
      <c r="E140">
        <v>208</v>
      </c>
      <c r="I140" s="104"/>
    </row>
    <row r="142" spans="1:9" x14ac:dyDescent="0.2">
      <c r="A142" s="3" t="s">
        <v>692</v>
      </c>
      <c r="I142" s="104"/>
    </row>
    <row r="143" spans="1:9" x14ac:dyDescent="0.2">
      <c r="B143" t="s">
        <v>505</v>
      </c>
      <c r="C143" t="s">
        <v>506</v>
      </c>
      <c r="D143" t="s">
        <v>590</v>
      </c>
      <c r="E143" s="103" t="s">
        <v>472</v>
      </c>
      <c r="I143" s="104"/>
    </row>
    <row r="144" spans="1:9" x14ac:dyDescent="0.2">
      <c r="A144" s="3" t="s">
        <v>688</v>
      </c>
      <c r="B144" s="161">
        <v>5.3693300248138964</v>
      </c>
      <c r="C144" s="161">
        <v>8.805062034739457</v>
      </c>
      <c r="D144" s="161">
        <v>10.195334987593053</v>
      </c>
      <c r="E144" s="160">
        <v>24.369727047146405</v>
      </c>
      <c r="I144" s="104"/>
    </row>
    <row r="145" spans="1:9" x14ac:dyDescent="0.2">
      <c r="A145" s="51" t="s">
        <v>689</v>
      </c>
      <c r="B145" s="161">
        <v>0.63662531017369728</v>
      </c>
      <c r="C145" s="161"/>
      <c r="D145" s="161">
        <v>1.9098759305210917</v>
      </c>
      <c r="E145" s="160">
        <v>2.5465012406947891</v>
      </c>
      <c r="I145" s="104"/>
    </row>
    <row r="146" spans="1:9" x14ac:dyDescent="0.2">
      <c r="A146" s="51" t="s">
        <v>690</v>
      </c>
      <c r="B146" s="161">
        <v>8.3920595533498759</v>
      </c>
      <c r="C146" s="161">
        <v>15.8287841191067</v>
      </c>
      <c r="D146" s="161">
        <v>17.905707196029777</v>
      </c>
      <c r="E146" s="160">
        <v>42.126550868486348</v>
      </c>
      <c r="I146" s="104"/>
    </row>
    <row r="147" spans="1:9" x14ac:dyDescent="0.2">
      <c r="A147" s="3" t="s">
        <v>691</v>
      </c>
      <c r="B147" s="161">
        <v>2.6213399503722088</v>
      </c>
      <c r="C147" s="161"/>
      <c r="D147" s="161"/>
      <c r="E147" s="160">
        <v>2.6213399503722088</v>
      </c>
      <c r="I147" s="104"/>
    </row>
    <row r="149" spans="1:9" ht="14.45" customHeight="1" x14ac:dyDescent="0.2">
      <c r="A149" s="3" t="s">
        <v>694</v>
      </c>
    </row>
    <row r="150" spans="1:9" x14ac:dyDescent="0.2">
      <c r="B150" t="s">
        <v>505</v>
      </c>
      <c r="C150" t="s">
        <v>506</v>
      </c>
      <c r="D150" t="s">
        <v>590</v>
      </c>
      <c r="E150" t="s">
        <v>472</v>
      </c>
    </row>
    <row r="151" spans="1:9" ht="13.15" customHeight="1" x14ac:dyDescent="0.2">
      <c r="A151" s="3" t="s">
        <v>688</v>
      </c>
      <c r="B151" s="161">
        <f>B144/14</f>
        <v>0.38352357320099262</v>
      </c>
      <c r="C151" s="161">
        <f>C144/21</f>
        <v>0.41928866832092654</v>
      </c>
      <c r="D151" s="161">
        <f>D144/22</f>
        <v>0.46342431761786607</v>
      </c>
      <c r="E151" s="161">
        <f>E144/57</f>
        <v>0.42753907100256849</v>
      </c>
      <c r="G151" s="254" t="s">
        <v>697</v>
      </c>
      <c r="H151" s="254"/>
    </row>
    <row r="152" spans="1:9" x14ac:dyDescent="0.2">
      <c r="A152" s="51" t="s">
        <v>689</v>
      </c>
      <c r="B152" s="161">
        <f>B145/14</f>
        <v>4.5473236440978379E-2</v>
      </c>
      <c r="C152" s="161"/>
      <c r="D152" s="161">
        <f>D145/22</f>
        <v>8.6812542296413261E-2</v>
      </c>
      <c r="E152" s="161">
        <f>E145/57</f>
        <v>4.4675460363066473E-2</v>
      </c>
      <c r="G152" s="254"/>
      <c r="H152" s="254"/>
    </row>
    <row r="153" spans="1:9" x14ac:dyDescent="0.2">
      <c r="A153" s="51" t="s">
        <v>690</v>
      </c>
      <c r="B153" s="161">
        <f>B146/14</f>
        <v>0.59943282523927688</v>
      </c>
      <c r="C153" s="161">
        <f>C146/21</f>
        <v>0.75375162471936663</v>
      </c>
      <c r="D153" s="161">
        <f>D146/22</f>
        <v>0.81389578163771714</v>
      </c>
      <c r="E153" s="161">
        <f>E146/57</f>
        <v>0.73906229593835693</v>
      </c>
      <c r="G153" s="254"/>
      <c r="H153" s="254"/>
    </row>
    <row r="154" spans="1:9" x14ac:dyDescent="0.2">
      <c r="A154" s="3" t="s">
        <v>691</v>
      </c>
      <c r="B154" s="161">
        <f>B147/14</f>
        <v>0.1872385678837292</v>
      </c>
      <c r="C154" s="161"/>
      <c r="D154" s="161">
        <f>D147/22</f>
        <v>0</v>
      </c>
      <c r="E154" s="161">
        <f>E147/57</f>
        <v>4.5988420181968574E-2</v>
      </c>
      <c r="G154" s="254"/>
      <c r="H154" s="254"/>
    </row>
    <row r="155" spans="1:9" x14ac:dyDescent="0.2">
      <c r="G155" s="254"/>
      <c r="H155" s="254"/>
    </row>
    <row r="156" spans="1:9" x14ac:dyDescent="0.2">
      <c r="A156" s="3" t="s">
        <v>695</v>
      </c>
      <c r="G156" s="254"/>
      <c r="H156" s="254"/>
    </row>
    <row r="157" spans="1:9" x14ac:dyDescent="0.2">
      <c r="A157" s="47"/>
      <c r="B157" t="s">
        <v>505</v>
      </c>
      <c r="C157" t="s">
        <v>506</v>
      </c>
      <c r="D157" t="s">
        <v>590</v>
      </c>
      <c r="E157" s="103" t="s">
        <v>472</v>
      </c>
      <c r="G157" s="254"/>
      <c r="H157" s="254"/>
    </row>
    <row r="158" spans="1:9" ht="13.15" customHeight="1" x14ac:dyDescent="0.2">
      <c r="A158" s="3" t="s">
        <v>688</v>
      </c>
      <c r="B158" s="161">
        <v>12.49647642679901</v>
      </c>
      <c r="C158" s="161">
        <v>24.481588089330025</v>
      </c>
      <c r="D158" s="161">
        <v>29.547295285359791</v>
      </c>
      <c r="E158" s="160">
        <v>66.525359801488833</v>
      </c>
      <c r="G158" s="254"/>
      <c r="H158" s="254"/>
    </row>
    <row r="159" spans="1:9" x14ac:dyDescent="0.2">
      <c r="A159" s="51" t="s">
        <v>689</v>
      </c>
      <c r="B159" s="161">
        <v>1.2732506203473946</v>
      </c>
      <c r="C159" s="161">
        <v>1.4352357320099256</v>
      </c>
      <c r="D159" s="161">
        <v>4.3521588089330026</v>
      </c>
      <c r="E159" s="160">
        <v>7.0606451612903225</v>
      </c>
      <c r="G159" s="254"/>
      <c r="H159" s="254"/>
    </row>
    <row r="160" spans="1:9" x14ac:dyDescent="0.2">
      <c r="A160" s="51" t="s">
        <v>690</v>
      </c>
      <c r="B160" s="161">
        <v>24.238213399503721</v>
      </c>
      <c r="C160" s="161">
        <v>54.753076923076918</v>
      </c>
      <c r="D160" s="161">
        <v>55.292803970223325</v>
      </c>
      <c r="E160" s="160">
        <v>134.28409429280396</v>
      </c>
      <c r="G160" s="254"/>
      <c r="H160" s="254"/>
    </row>
    <row r="161" spans="1:8" x14ac:dyDescent="0.2">
      <c r="A161" s="3" t="s">
        <v>691</v>
      </c>
      <c r="B161" s="161">
        <v>2.6213399503722088</v>
      </c>
      <c r="C161" s="161">
        <v>15.72803970223325</v>
      </c>
      <c r="D161" s="161">
        <v>9.1746898263027301</v>
      </c>
      <c r="E161" s="160">
        <v>27.524069478908189</v>
      </c>
      <c r="G161" s="254"/>
      <c r="H161" s="254"/>
    </row>
    <row r="162" spans="1:8" ht="27.6" customHeight="1" x14ac:dyDescent="0.2">
      <c r="G162" s="254"/>
      <c r="H162" s="254"/>
    </row>
    <row r="163" spans="1:8" x14ac:dyDescent="0.2">
      <c r="A163" s="3" t="s">
        <v>696</v>
      </c>
    </row>
    <row r="164" spans="1:8" x14ac:dyDescent="0.2">
      <c r="A164" s="47"/>
      <c r="B164" t="s">
        <v>505</v>
      </c>
      <c r="C164" t="s">
        <v>506</v>
      </c>
      <c r="D164" t="s">
        <v>590</v>
      </c>
      <c r="E164" t="s">
        <v>472</v>
      </c>
    </row>
    <row r="165" spans="1:8" x14ac:dyDescent="0.2">
      <c r="A165" s="3" t="s">
        <v>688</v>
      </c>
      <c r="B165" s="161">
        <f>B158/31</f>
        <v>0.40311214279996804</v>
      </c>
      <c r="C165" s="161">
        <f>C158/59</f>
        <v>0.41494217100559366</v>
      </c>
      <c r="D165" s="161">
        <f>D158/61</f>
        <v>0.484381889923931</v>
      </c>
      <c r="E165" s="161">
        <f>E158/151</f>
        <v>0.44056529669860156</v>
      </c>
    </row>
    <row r="166" spans="1:8" x14ac:dyDescent="0.2">
      <c r="A166" s="51" t="s">
        <v>689</v>
      </c>
      <c r="B166" s="161">
        <f>B159/31</f>
        <v>4.1072600656367565E-2</v>
      </c>
      <c r="C166" s="161">
        <f>C159/59</f>
        <v>2.4326029356100433E-2</v>
      </c>
      <c r="D166" s="161">
        <f>D159/61</f>
        <v>7.1346865720213162E-2</v>
      </c>
      <c r="E166" s="161">
        <f>E159/151</f>
        <v>4.6759239478743858E-2</v>
      </c>
    </row>
    <row r="167" spans="1:8" x14ac:dyDescent="0.2">
      <c r="A167" s="51" t="s">
        <v>690</v>
      </c>
      <c r="B167" s="161">
        <f>B160/31</f>
        <v>0.78187785159689427</v>
      </c>
      <c r="C167" s="161">
        <f>C160/59</f>
        <v>0.92801825293350704</v>
      </c>
      <c r="D167" s="161">
        <f>D160/61</f>
        <v>0.90643940934792333</v>
      </c>
      <c r="E167" s="161">
        <f>E160/151</f>
        <v>0.88929863770068851</v>
      </c>
    </row>
    <row r="168" spans="1:8" x14ac:dyDescent="0.2">
      <c r="A168" s="3" t="s">
        <v>691</v>
      </c>
      <c r="B168" s="161">
        <f>B161/31</f>
        <v>8.455935323781319E-2</v>
      </c>
      <c r="C168" s="161">
        <f>C161/59</f>
        <v>0.26657694410564831</v>
      </c>
      <c r="D168" s="161">
        <f>D161/61</f>
        <v>0.15040475125086442</v>
      </c>
      <c r="E168" s="161">
        <f>E161/151</f>
        <v>0.18227860582058403</v>
      </c>
    </row>
    <row r="169" spans="1:8" x14ac:dyDescent="0.2">
      <c r="C169" s="112"/>
    </row>
    <row r="170" spans="1:8" x14ac:dyDescent="0.2">
      <c r="C170" s="112"/>
    </row>
    <row r="171" spans="1:8" x14ac:dyDescent="0.2">
      <c r="C171" s="112"/>
    </row>
    <row r="172" spans="1:8" x14ac:dyDescent="0.2">
      <c r="C172" s="112"/>
    </row>
    <row r="173" spans="1:8" x14ac:dyDescent="0.2">
      <c r="C173" s="112"/>
    </row>
    <row r="174" spans="1:8" x14ac:dyDescent="0.2">
      <c r="C174" s="112"/>
    </row>
    <row r="175" spans="1:8" x14ac:dyDescent="0.2">
      <c r="C175" s="112"/>
    </row>
    <row r="176" spans="1:8" x14ac:dyDescent="0.2">
      <c r="C176" s="112"/>
    </row>
    <row r="177" spans="3:3" x14ac:dyDescent="0.2">
      <c r="C177" s="112"/>
    </row>
    <row r="178" spans="3:3" x14ac:dyDescent="0.2">
      <c r="C178" s="112"/>
    </row>
    <row r="179" spans="3:3" x14ac:dyDescent="0.2">
      <c r="C179" s="112"/>
    </row>
    <row r="180" spans="3:3" x14ac:dyDescent="0.2">
      <c r="C180" s="112"/>
    </row>
    <row r="181" spans="3:3" x14ac:dyDescent="0.2">
      <c r="C181" s="112"/>
    </row>
    <row r="182" spans="3:3" x14ac:dyDescent="0.2">
      <c r="C182" s="112"/>
    </row>
    <row r="183" spans="3:3" x14ac:dyDescent="0.2">
      <c r="C183" s="112"/>
    </row>
    <row r="184" spans="3:3" x14ac:dyDescent="0.2">
      <c r="C184" s="112"/>
    </row>
    <row r="185" spans="3:3" x14ac:dyDescent="0.2">
      <c r="C185" s="112"/>
    </row>
    <row r="186" spans="3:3" x14ac:dyDescent="0.2">
      <c r="C186" s="112"/>
    </row>
    <row r="187" spans="3:3" x14ac:dyDescent="0.2">
      <c r="C187" s="112"/>
    </row>
    <row r="188" spans="3:3" x14ac:dyDescent="0.2">
      <c r="C188" s="112"/>
    </row>
    <row r="189" spans="3:3" x14ac:dyDescent="0.2">
      <c r="C189" s="112"/>
    </row>
    <row r="190" spans="3:3" x14ac:dyDescent="0.2">
      <c r="C190" s="112"/>
    </row>
    <row r="191" spans="3:3" x14ac:dyDescent="0.2">
      <c r="C191" s="112"/>
    </row>
    <row r="192" spans="3:3" x14ac:dyDescent="0.2">
      <c r="C192" s="112"/>
    </row>
    <row r="193" spans="3:3" x14ac:dyDescent="0.2">
      <c r="C193" s="112"/>
    </row>
    <row r="194" spans="3:3" x14ac:dyDescent="0.2">
      <c r="C194" s="112"/>
    </row>
    <row r="195" spans="3:3" x14ac:dyDescent="0.2">
      <c r="C195" s="112"/>
    </row>
    <row r="196" spans="3:3" x14ac:dyDescent="0.2">
      <c r="C196" s="112"/>
    </row>
    <row r="197" spans="3:3" x14ac:dyDescent="0.2">
      <c r="C197" s="112"/>
    </row>
    <row r="198" spans="3:3" x14ac:dyDescent="0.2">
      <c r="C198" s="112"/>
    </row>
    <row r="199" spans="3:3" x14ac:dyDescent="0.2">
      <c r="C199" s="112"/>
    </row>
    <row r="200" spans="3:3" x14ac:dyDescent="0.2">
      <c r="C200" s="112"/>
    </row>
    <row r="201" spans="3:3" x14ac:dyDescent="0.2">
      <c r="C201" s="112"/>
    </row>
    <row r="202" spans="3:3" x14ac:dyDescent="0.2">
      <c r="C202" s="112"/>
    </row>
    <row r="203" spans="3:3" x14ac:dyDescent="0.2">
      <c r="C203" s="112"/>
    </row>
    <row r="204" spans="3:3" x14ac:dyDescent="0.2">
      <c r="C204" s="112"/>
    </row>
    <row r="205" spans="3:3" x14ac:dyDescent="0.2">
      <c r="C205" s="112"/>
    </row>
    <row r="206" spans="3:3" x14ac:dyDescent="0.2">
      <c r="C206" s="112"/>
    </row>
    <row r="207" spans="3:3" x14ac:dyDescent="0.2">
      <c r="C207" s="112"/>
    </row>
    <row r="208" spans="3:3" x14ac:dyDescent="0.2">
      <c r="C208" s="112"/>
    </row>
    <row r="209" spans="3:3" x14ac:dyDescent="0.2">
      <c r="C209" s="112"/>
    </row>
    <row r="210" spans="3:3" x14ac:dyDescent="0.2">
      <c r="C210" s="112"/>
    </row>
    <row r="211" spans="3:3" x14ac:dyDescent="0.2">
      <c r="C211" s="112"/>
    </row>
    <row r="212" spans="3:3" x14ac:dyDescent="0.2">
      <c r="C212" s="112"/>
    </row>
    <row r="213" spans="3:3" x14ac:dyDescent="0.2">
      <c r="C213" s="112"/>
    </row>
    <row r="214" spans="3:3" x14ac:dyDescent="0.2">
      <c r="C214" s="112"/>
    </row>
    <row r="215" spans="3:3" x14ac:dyDescent="0.2">
      <c r="C215" s="112"/>
    </row>
    <row r="216" spans="3:3" x14ac:dyDescent="0.2">
      <c r="C216" s="112"/>
    </row>
    <row r="217" spans="3:3" x14ac:dyDescent="0.2">
      <c r="C217" s="112"/>
    </row>
    <row r="218" spans="3:3" x14ac:dyDescent="0.2">
      <c r="C218" s="112"/>
    </row>
    <row r="219" spans="3:3" x14ac:dyDescent="0.2">
      <c r="C219" s="112"/>
    </row>
    <row r="220" spans="3:3" x14ac:dyDescent="0.2">
      <c r="C220" s="112"/>
    </row>
    <row r="221" spans="3:3" x14ac:dyDescent="0.2">
      <c r="C221" s="112"/>
    </row>
    <row r="222" spans="3:3" x14ac:dyDescent="0.2">
      <c r="C222" s="112"/>
    </row>
    <row r="223" spans="3:3" x14ac:dyDescent="0.2">
      <c r="C223" s="112"/>
    </row>
    <row r="224" spans="3:3" x14ac:dyDescent="0.2">
      <c r="C224" s="112"/>
    </row>
    <row r="225" spans="3:3" x14ac:dyDescent="0.2">
      <c r="C225" s="112"/>
    </row>
    <row r="226" spans="3:3" x14ac:dyDescent="0.2">
      <c r="C226" s="112"/>
    </row>
    <row r="227" spans="3:3" x14ac:dyDescent="0.2">
      <c r="C227" s="112"/>
    </row>
    <row r="228" spans="3:3" x14ac:dyDescent="0.2">
      <c r="C228" s="112"/>
    </row>
    <row r="229" spans="3:3" x14ac:dyDescent="0.2">
      <c r="C229" s="112"/>
    </row>
    <row r="230" spans="3:3" x14ac:dyDescent="0.2">
      <c r="C230" s="112"/>
    </row>
    <row r="231" spans="3:3" x14ac:dyDescent="0.2">
      <c r="C231" s="112"/>
    </row>
    <row r="232" spans="3:3" x14ac:dyDescent="0.2">
      <c r="C232" s="112"/>
    </row>
    <row r="233" spans="3:3" x14ac:dyDescent="0.2">
      <c r="C233" s="112"/>
    </row>
    <row r="234" spans="3:3" x14ac:dyDescent="0.2">
      <c r="C234" s="112"/>
    </row>
    <row r="235" spans="3:3" x14ac:dyDescent="0.2">
      <c r="C235" s="112"/>
    </row>
    <row r="236" spans="3:3" x14ac:dyDescent="0.2">
      <c r="C236" s="112"/>
    </row>
    <row r="237" spans="3:3" x14ac:dyDescent="0.2">
      <c r="C237" s="112"/>
    </row>
    <row r="238" spans="3:3" x14ac:dyDescent="0.2">
      <c r="C238" s="112"/>
    </row>
    <row r="239" spans="3:3" x14ac:dyDescent="0.2">
      <c r="C239" s="112"/>
    </row>
    <row r="240" spans="3:3" x14ac:dyDescent="0.2">
      <c r="C240" s="112"/>
    </row>
    <row r="241" spans="3:3" x14ac:dyDescent="0.2">
      <c r="C241" s="112"/>
    </row>
    <row r="242" spans="3:3" x14ac:dyDescent="0.2">
      <c r="C242" s="112"/>
    </row>
    <row r="243" spans="3:3" x14ac:dyDescent="0.2">
      <c r="C243" s="112"/>
    </row>
    <row r="244" spans="3:3" x14ac:dyDescent="0.2">
      <c r="C244" s="112"/>
    </row>
    <row r="245" spans="3:3" x14ac:dyDescent="0.2">
      <c r="C245" s="112"/>
    </row>
    <row r="246" spans="3:3" x14ac:dyDescent="0.2">
      <c r="C246" s="112"/>
    </row>
    <row r="247" spans="3:3" x14ac:dyDescent="0.2">
      <c r="C247" s="112"/>
    </row>
    <row r="248" spans="3:3" x14ac:dyDescent="0.2">
      <c r="C248" s="112"/>
    </row>
    <row r="249" spans="3:3" x14ac:dyDescent="0.2">
      <c r="C249" s="112"/>
    </row>
    <row r="250" spans="3:3" x14ac:dyDescent="0.2">
      <c r="C250" s="112"/>
    </row>
    <row r="251" spans="3:3" x14ac:dyDescent="0.2">
      <c r="C251" s="112"/>
    </row>
    <row r="252" spans="3:3" x14ac:dyDescent="0.2">
      <c r="C252" s="112"/>
    </row>
    <row r="253" spans="3:3" x14ac:dyDescent="0.2">
      <c r="C253" s="112"/>
    </row>
    <row r="254" spans="3:3" x14ac:dyDescent="0.2">
      <c r="C254" s="112"/>
    </row>
    <row r="255" spans="3:3" x14ac:dyDescent="0.2">
      <c r="C255" s="112"/>
    </row>
    <row r="256" spans="3:3" x14ac:dyDescent="0.2">
      <c r="C256" s="112"/>
    </row>
    <row r="257" spans="3:3" x14ac:dyDescent="0.2">
      <c r="C257" s="112"/>
    </row>
    <row r="258" spans="3:3" x14ac:dyDescent="0.2">
      <c r="C258" s="112"/>
    </row>
    <row r="259" spans="3:3" x14ac:dyDescent="0.2">
      <c r="C259" s="112"/>
    </row>
    <row r="260" spans="3:3" x14ac:dyDescent="0.2">
      <c r="C260" s="112"/>
    </row>
    <row r="261" spans="3:3" x14ac:dyDescent="0.2">
      <c r="C261" s="112"/>
    </row>
    <row r="262" spans="3:3" x14ac:dyDescent="0.2">
      <c r="C262" s="112"/>
    </row>
    <row r="263" spans="3:3" x14ac:dyDescent="0.2">
      <c r="C263" s="112"/>
    </row>
    <row r="264" spans="3:3" x14ac:dyDescent="0.2">
      <c r="C264" s="112"/>
    </row>
    <row r="265" spans="3:3" x14ac:dyDescent="0.2">
      <c r="C265" s="112"/>
    </row>
    <row r="266" spans="3:3" x14ac:dyDescent="0.2">
      <c r="C266" s="112"/>
    </row>
    <row r="267" spans="3:3" x14ac:dyDescent="0.2">
      <c r="C267" s="112"/>
    </row>
    <row r="268" spans="3:3" x14ac:dyDescent="0.2">
      <c r="C268" s="112"/>
    </row>
    <row r="269" spans="3:3" x14ac:dyDescent="0.2">
      <c r="C269" s="112"/>
    </row>
    <row r="270" spans="3:3" x14ac:dyDescent="0.2">
      <c r="C270" s="112"/>
    </row>
    <row r="271" spans="3:3" x14ac:dyDescent="0.2">
      <c r="C271" s="112"/>
    </row>
    <row r="272" spans="3:3" x14ac:dyDescent="0.2">
      <c r="C272" s="112"/>
    </row>
    <row r="273" spans="3:3" x14ac:dyDescent="0.2">
      <c r="C273" s="112"/>
    </row>
    <row r="274" spans="3:3" x14ac:dyDescent="0.2">
      <c r="C274" s="112"/>
    </row>
    <row r="275" spans="3:3" x14ac:dyDescent="0.2">
      <c r="C275" s="112"/>
    </row>
    <row r="276" spans="3:3" x14ac:dyDescent="0.2">
      <c r="C276" s="112"/>
    </row>
    <row r="277" spans="3:3" x14ac:dyDescent="0.2">
      <c r="C277" s="112"/>
    </row>
    <row r="278" spans="3:3" x14ac:dyDescent="0.2">
      <c r="C278" s="112"/>
    </row>
    <row r="279" spans="3:3" x14ac:dyDescent="0.2">
      <c r="C279" s="112"/>
    </row>
    <row r="280" spans="3:3" x14ac:dyDescent="0.2">
      <c r="C280" s="112"/>
    </row>
    <row r="281" spans="3:3" x14ac:dyDescent="0.2">
      <c r="C281" s="112"/>
    </row>
    <row r="282" spans="3:3" x14ac:dyDescent="0.2">
      <c r="C282" s="112"/>
    </row>
    <row r="283" spans="3:3" x14ac:dyDescent="0.2">
      <c r="C283" s="112"/>
    </row>
    <row r="284" spans="3:3" x14ac:dyDescent="0.2">
      <c r="C284" s="112"/>
    </row>
    <row r="285" spans="3:3" x14ac:dyDescent="0.2">
      <c r="C285" s="112"/>
    </row>
    <row r="286" spans="3:3" x14ac:dyDescent="0.2">
      <c r="C286" s="112"/>
    </row>
    <row r="287" spans="3:3" x14ac:dyDescent="0.2">
      <c r="C287" s="112"/>
    </row>
    <row r="288" spans="3:3" x14ac:dyDescent="0.2">
      <c r="C288" s="112"/>
    </row>
    <row r="289" spans="3:3" x14ac:dyDescent="0.2">
      <c r="C289" s="112"/>
    </row>
    <row r="290" spans="3:3" x14ac:dyDescent="0.2">
      <c r="C290" s="112"/>
    </row>
    <row r="291" spans="3:3" x14ac:dyDescent="0.2">
      <c r="C291" s="112"/>
    </row>
    <row r="292" spans="3:3" x14ac:dyDescent="0.2">
      <c r="C292" s="112"/>
    </row>
    <row r="293" spans="3:3" x14ac:dyDescent="0.2">
      <c r="C293" s="112"/>
    </row>
    <row r="294" spans="3:3" x14ac:dyDescent="0.2">
      <c r="C294" s="112"/>
    </row>
    <row r="295" spans="3:3" x14ac:dyDescent="0.2">
      <c r="C295" s="112"/>
    </row>
    <row r="296" spans="3:3" x14ac:dyDescent="0.2">
      <c r="C296" s="112"/>
    </row>
    <row r="297" spans="3:3" x14ac:dyDescent="0.2">
      <c r="C297" s="112"/>
    </row>
    <row r="298" spans="3:3" x14ac:dyDescent="0.2">
      <c r="C298" s="112"/>
    </row>
    <row r="299" spans="3:3" x14ac:dyDescent="0.2">
      <c r="C299" s="112"/>
    </row>
    <row r="300" spans="3:3" x14ac:dyDescent="0.2">
      <c r="C300" s="112"/>
    </row>
    <row r="301" spans="3:3" x14ac:dyDescent="0.2">
      <c r="C301" s="112"/>
    </row>
    <row r="302" spans="3:3" x14ac:dyDescent="0.2">
      <c r="C302" s="112"/>
    </row>
    <row r="303" spans="3:3" x14ac:dyDescent="0.2">
      <c r="C303" s="112"/>
    </row>
    <row r="304" spans="3:3" x14ac:dyDescent="0.2">
      <c r="C304" s="112"/>
    </row>
    <row r="305" spans="3:3" x14ac:dyDescent="0.2">
      <c r="C305" s="112"/>
    </row>
    <row r="306" spans="3:3" x14ac:dyDescent="0.2">
      <c r="C306" s="112"/>
    </row>
    <row r="307" spans="3:3" x14ac:dyDescent="0.2">
      <c r="C307" s="112"/>
    </row>
    <row r="308" spans="3:3" x14ac:dyDescent="0.2">
      <c r="C308" s="112"/>
    </row>
    <row r="309" spans="3:3" x14ac:dyDescent="0.2">
      <c r="C309" s="112"/>
    </row>
    <row r="310" spans="3:3" x14ac:dyDescent="0.2">
      <c r="C310" s="112"/>
    </row>
    <row r="311" spans="3:3" x14ac:dyDescent="0.2">
      <c r="C311" s="112"/>
    </row>
    <row r="312" spans="3:3" x14ac:dyDescent="0.2">
      <c r="C312" s="112"/>
    </row>
    <row r="313" spans="3:3" x14ac:dyDescent="0.2">
      <c r="C313" s="112"/>
    </row>
    <row r="314" spans="3:3" x14ac:dyDescent="0.2">
      <c r="C314" s="112"/>
    </row>
    <row r="315" spans="3:3" x14ac:dyDescent="0.2">
      <c r="C315" s="112"/>
    </row>
    <row r="316" spans="3:3" x14ac:dyDescent="0.2">
      <c r="C316" s="112"/>
    </row>
    <row r="317" spans="3:3" x14ac:dyDescent="0.2">
      <c r="C317" s="112"/>
    </row>
    <row r="318" spans="3:3" x14ac:dyDescent="0.2">
      <c r="C318" s="112"/>
    </row>
    <row r="319" spans="3:3" x14ac:dyDescent="0.2">
      <c r="C319" s="112"/>
    </row>
    <row r="320" spans="3:3" x14ac:dyDescent="0.2">
      <c r="C320" s="112"/>
    </row>
    <row r="321" spans="3:3" x14ac:dyDescent="0.2">
      <c r="C321" s="112"/>
    </row>
    <row r="322" spans="3:3" x14ac:dyDescent="0.2">
      <c r="C322" s="112"/>
    </row>
    <row r="323" spans="3:3" x14ac:dyDescent="0.2">
      <c r="C323" s="112"/>
    </row>
    <row r="324" spans="3:3" x14ac:dyDescent="0.2">
      <c r="C324" s="112"/>
    </row>
    <row r="325" spans="3:3" x14ac:dyDescent="0.2">
      <c r="C325" s="112"/>
    </row>
    <row r="326" spans="3:3" x14ac:dyDescent="0.2">
      <c r="C326" s="112"/>
    </row>
    <row r="327" spans="3:3" x14ac:dyDescent="0.2">
      <c r="C327" s="112"/>
    </row>
    <row r="328" spans="3:3" x14ac:dyDescent="0.2">
      <c r="C328" s="112"/>
    </row>
    <row r="329" spans="3:3" x14ac:dyDescent="0.2">
      <c r="C329" s="112"/>
    </row>
    <row r="330" spans="3:3" x14ac:dyDescent="0.2">
      <c r="C330" s="112"/>
    </row>
    <row r="331" spans="3:3" x14ac:dyDescent="0.2">
      <c r="C331" s="112"/>
    </row>
    <row r="332" spans="3:3" x14ac:dyDescent="0.2">
      <c r="C332" s="112"/>
    </row>
    <row r="333" spans="3:3" x14ac:dyDescent="0.2">
      <c r="C333" s="112"/>
    </row>
    <row r="334" spans="3:3" x14ac:dyDescent="0.2">
      <c r="C334" s="112"/>
    </row>
    <row r="335" spans="3:3" x14ac:dyDescent="0.2">
      <c r="C335" s="112"/>
    </row>
    <row r="336" spans="3:3" x14ac:dyDescent="0.2">
      <c r="C336" s="112"/>
    </row>
    <row r="337" spans="3:3" x14ac:dyDescent="0.2">
      <c r="C337" s="112"/>
    </row>
    <row r="338" spans="3:3" x14ac:dyDescent="0.2">
      <c r="C338" s="112"/>
    </row>
    <row r="339" spans="3:3" x14ac:dyDescent="0.2">
      <c r="C339" s="112"/>
    </row>
    <row r="340" spans="3:3" x14ac:dyDescent="0.2">
      <c r="C340" s="112"/>
    </row>
    <row r="341" spans="3:3" x14ac:dyDescent="0.2">
      <c r="C341" s="112"/>
    </row>
    <row r="342" spans="3:3" x14ac:dyDescent="0.2">
      <c r="C342" s="112"/>
    </row>
    <row r="343" spans="3:3" x14ac:dyDescent="0.2">
      <c r="C343" s="112"/>
    </row>
    <row r="344" spans="3:3" x14ac:dyDescent="0.2">
      <c r="C344" s="112"/>
    </row>
    <row r="345" spans="3:3" x14ac:dyDescent="0.2">
      <c r="C345" s="112"/>
    </row>
    <row r="346" spans="3:3" x14ac:dyDescent="0.2">
      <c r="C346" s="112"/>
    </row>
    <row r="347" spans="3:3" x14ac:dyDescent="0.2">
      <c r="C347" s="112"/>
    </row>
    <row r="348" spans="3:3" x14ac:dyDescent="0.2">
      <c r="C348" s="112"/>
    </row>
    <row r="349" spans="3:3" x14ac:dyDescent="0.2">
      <c r="C349" s="112"/>
    </row>
    <row r="350" spans="3:3" x14ac:dyDescent="0.2">
      <c r="C350" s="112"/>
    </row>
    <row r="351" spans="3:3" x14ac:dyDescent="0.2">
      <c r="C351" s="112"/>
    </row>
    <row r="352" spans="3:3" x14ac:dyDescent="0.2">
      <c r="C352" s="112"/>
    </row>
    <row r="353" spans="1:5" x14ac:dyDescent="0.2">
      <c r="C353" s="112"/>
    </row>
    <row r="354" spans="1:5" x14ac:dyDescent="0.2">
      <c r="C354" s="112"/>
    </row>
    <row r="355" spans="1:5" x14ac:dyDescent="0.2">
      <c r="C355" s="112"/>
    </row>
    <row r="356" spans="1:5" x14ac:dyDescent="0.2">
      <c r="C356" s="112"/>
    </row>
    <row r="357" spans="1:5" x14ac:dyDescent="0.2">
      <c r="C357" s="112"/>
    </row>
    <row r="358" spans="1:5" x14ac:dyDescent="0.2">
      <c r="C358" s="112"/>
    </row>
    <row r="362" spans="1:5" x14ac:dyDescent="0.2">
      <c r="C362" s="108"/>
    </row>
    <row r="363" spans="1:5" ht="15" x14ac:dyDescent="0.25">
      <c r="B363" s="5"/>
      <c r="C363" s="109"/>
      <c r="D363" s="23"/>
      <c r="E363" s="23"/>
    </row>
    <row r="364" spans="1:5" ht="15" x14ac:dyDescent="0.25">
      <c r="A364" s="110"/>
      <c r="B364" s="5"/>
      <c r="C364" s="109"/>
      <c r="D364" s="23"/>
      <c r="E364" s="23"/>
    </row>
    <row r="365" spans="1:5" ht="15" x14ac:dyDescent="0.25">
      <c r="A365" s="110"/>
      <c r="B365" s="5"/>
      <c r="C365" s="109"/>
      <c r="D365" s="23"/>
      <c r="E365" s="23"/>
    </row>
    <row r="366" spans="1:5" ht="15" x14ac:dyDescent="0.25">
      <c r="A366" s="110"/>
      <c r="B366" s="5"/>
      <c r="C366" s="109"/>
      <c r="D366" s="23"/>
      <c r="E366" s="23"/>
    </row>
    <row r="367" spans="1:5" ht="15" x14ac:dyDescent="0.25">
      <c r="A367" s="110"/>
      <c r="B367" s="5"/>
      <c r="C367" s="109"/>
      <c r="D367" s="23"/>
      <c r="E367" s="23"/>
    </row>
    <row r="368" spans="1:5" ht="15" x14ac:dyDescent="0.25">
      <c r="A368" s="110"/>
      <c r="B368" s="5"/>
      <c r="C368" s="109"/>
      <c r="D368" s="23"/>
      <c r="E368" s="23"/>
    </row>
    <row r="369" spans="1:5" ht="15" x14ac:dyDescent="0.25">
      <c r="A369" s="110"/>
      <c r="B369" s="5"/>
      <c r="C369" s="109"/>
      <c r="D369" s="23"/>
      <c r="E369" s="23"/>
    </row>
    <row r="370" spans="1:5" ht="15" x14ac:dyDescent="0.25">
      <c r="A370" s="33"/>
      <c r="B370" s="5"/>
      <c r="C370" s="109"/>
      <c r="D370" s="23"/>
      <c r="E370" s="23"/>
    </row>
    <row r="371" spans="1:5" ht="15" x14ac:dyDescent="0.25">
      <c r="B371" s="5"/>
      <c r="C371" s="109"/>
      <c r="D371" s="23"/>
      <c r="E371" s="19"/>
    </row>
    <row r="372" spans="1:5" ht="15" x14ac:dyDescent="0.25">
      <c r="B372" s="5"/>
      <c r="C372" s="109"/>
      <c r="D372" s="23"/>
      <c r="E372" s="19"/>
    </row>
    <row r="373" spans="1:5" ht="15" x14ac:dyDescent="0.25">
      <c r="B373" s="5"/>
      <c r="C373" s="109"/>
      <c r="D373" s="23"/>
      <c r="E373" s="19"/>
    </row>
    <row r="374" spans="1:5" ht="15" x14ac:dyDescent="0.25">
      <c r="B374" s="5"/>
      <c r="C374" s="109"/>
      <c r="D374" s="23"/>
      <c r="E374" s="19"/>
    </row>
    <row r="375" spans="1:5" ht="15" x14ac:dyDescent="0.25">
      <c r="B375" s="5"/>
      <c r="C375" s="109"/>
      <c r="D375" s="23"/>
      <c r="E375" s="19"/>
    </row>
    <row r="376" spans="1:5" ht="15" x14ac:dyDescent="0.25">
      <c r="B376" s="5"/>
      <c r="C376" s="109"/>
      <c r="D376" s="23"/>
      <c r="E376" s="19"/>
    </row>
    <row r="377" spans="1:5" ht="15" x14ac:dyDescent="0.25">
      <c r="B377" s="5"/>
      <c r="C377" s="109"/>
      <c r="D377" s="23"/>
      <c r="E377" s="19"/>
    </row>
    <row r="378" spans="1:5" ht="15" x14ac:dyDescent="0.25">
      <c r="B378" s="5"/>
      <c r="C378" s="109"/>
      <c r="D378" s="23"/>
      <c r="E378" s="19"/>
    </row>
    <row r="379" spans="1:5" ht="15" x14ac:dyDescent="0.25">
      <c r="B379" s="5"/>
      <c r="C379" s="109"/>
      <c r="D379" s="23"/>
      <c r="E379" s="19"/>
    </row>
    <row r="380" spans="1:5" ht="15" x14ac:dyDescent="0.25">
      <c r="B380" s="5"/>
      <c r="C380" s="109"/>
      <c r="D380" s="23"/>
      <c r="E380" s="19"/>
    </row>
    <row r="381" spans="1:5" ht="15" x14ac:dyDescent="0.25">
      <c r="B381" s="5"/>
      <c r="C381" s="109"/>
      <c r="D381" s="23"/>
      <c r="E381" s="19"/>
    </row>
    <row r="382" spans="1:5" ht="15" x14ac:dyDescent="0.25">
      <c r="B382" s="5"/>
      <c r="C382" s="109"/>
      <c r="D382" s="23"/>
      <c r="E382" s="19"/>
    </row>
    <row r="383" spans="1:5" ht="15" x14ac:dyDescent="0.25">
      <c r="B383" s="5"/>
      <c r="C383" s="109"/>
      <c r="D383" s="23"/>
      <c r="E383" s="19"/>
    </row>
    <row r="384" spans="1:5" ht="15" x14ac:dyDescent="0.25">
      <c r="B384" s="5"/>
      <c r="C384" s="109"/>
      <c r="D384" s="23"/>
      <c r="E384" s="19"/>
    </row>
    <row r="385" spans="1:5" ht="15" x14ac:dyDescent="0.25">
      <c r="B385" s="5"/>
      <c r="C385" s="109"/>
      <c r="D385" s="23"/>
      <c r="E385" s="19"/>
    </row>
    <row r="386" spans="1:5" ht="15" x14ac:dyDescent="0.25">
      <c r="A386" s="111"/>
      <c r="B386" s="5"/>
      <c r="C386" s="109"/>
      <c r="D386" s="23"/>
      <c r="E386" s="19"/>
    </row>
    <row r="387" spans="1:5" ht="15" x14ac:dyDescent="0.25">
      <c r="B387" s="5"/>
      <c r="C387" s="109"/>
      <c r="D387" s="23"/>
      <c r="E387" s="19"/>
    </row>
    <row r="388" spans="1:5" ht="15" x14ac:dyDescent="0.25">
      <c r="B388" s="5"/>
      <c r="C388" s="109"/>
      <c r="D388" s="23"/>
      <c r="E388" s="19"/>
    </row>
    <row r="389" spans="1:5" ht="15" x14ac:dyDescent="0.25">
      <c r="B389" s="5"/>
      <c r="C389" s="109"/>
      <c r="D389" s="23"/>
      <c r="E389" s="19"/>
    </row>
    <row r="390" spans="1:5" ht="15" x14ac:dyDescent="0.25">
      <c r="B390" s="5"/>
      <c r="C390" s="109"/>
      <c r="D390" s="23"/>
      <c r="E390" s="19"/>
    </row>
    <row r="391" spans="1:5" ht="15" x14ac:dyDescent="0.25">
      <c r="B391" s="5"/>
      <c r="C391" s="109"/>
      <c r="D391" s="23"/>
      <c r="E391" s="19"/>
    </row>
    <row r="392" spans="1:5" ht="15" x14ac:dyDescent="0.25">
      <c r="B392" s="5"/>
      <c r="C392" s="109"/>
      <c r="D392" s="23"/>
      <c r="E392" s="19"/>
    </row>
    <row r="393" spans="1:5" ht="15" x14ac:dyDescent="0.25">
      <c r="B393" s="5"/>
      <c r="C393" s="109"/>
      <c r="D393" s="23"/>
      <c r="E393" s="19"/>
    </row>
    <row r="394" spans="1:5" ht="15" x14ac:dyDescent="0.25">
      <c r="B394" s="5"/>
      <c r="C394" s="109"/>
      <c r="D394" s="23"/>
      <c r="E394" s="19"/>
    </row>
    <row r="395" spans="1:5" ht="15" x14ac:dyDescent="0.25">
      <c r="B395" s="5"/>
      <c r="C395" s="109"/>
      <c r="D395" s="23"/>
      <c r="E395" s="19"/>
    </row>
    <row r="396" spans="1:5" ht="15" x14ac:dyDescent="0.25">
      <c r="B396" s="5"/>
      <c r="C396" s="109"/>
      <c r="D396" s="23"/>
      <c r="E396" s="19"/>
    </row>
    <row r="397" spans="1:5" ht="15" x14ac:dyDescent="0.25">
      <c r="B397" s="5"/>
      <c r="C397" s="109"/>
      <c r="D397" s="23"/>
      <c r="E397" s="19"/>
    </row>
    <row r="398" spans="1:5" ht="15" x14ac:dyDescent="0.25">
      <c r="B398" s="5"/>
      <c r="C398" s="109"/>
      <c r="D398" s="23"/>
      <c r="E398" s="19"/>
    </row>
    <row r="399" spans="1:5" ht="15" x14ac:dyDescent="0.25">
      <c r="B399" s="5"/>
      <c r="C399" s="109"/>
      <c r="D399" s="23"/>
      <c r="E399" s="19"/>
    </row>
    <row r="400" spans="1:5" ht="15" x14ac:dyDescent="0.25">
      <c r="A400" s="111"/>
      <c r="B400" s="5"/>
      <c r="C400" s="109"/>
      <c r="D400" s="23"/>
      <c r="E400" s="19"/>
    </row>
    <row r="401" spans="1:5" ht="15" x14ac:dyDescent="0.25">
      <c r="B401" s="5"/>
      <c r="C401" s="109"/>
      <c r="D401" s="23"/>
      <c r="E401" s="19"/>
    </row>
    <row r="402" spans="1:5" ht="15" x14ac:dyDescent="0.25">
      <c r="A402" s="111"/>
      <c r="B402" s="5"/>
      <c r="C402" s="109"/>
      <c r="D402" s="23"/>
      <c r="E402" s="19"/>
    </row>
    <row r="403" spans="1:5" ht="15" x14ac:dyDescent="0.25">
      <c r="B403" s="5"/>
      <c r="C403" s="109"/>
      <c r="D403" s="23"/>
      <c r="E403" s="19"/>
    </row>
    <row r="404" spans="1:5" ht="15" x14ac:dyDescent="0.25">
      <c r="B404" s="5"/>
      <c r="C404" s="109"/>
      <c r="D404" s="23"/>
      <c r="E404" s="19"/>
    </row>
    <row r="405" spans="1:5" ht="15" x14ac:dyDescent="0.25">
      <c r="A405" s="111"/>
      <c r="B405" s="5"/>
      <c r="C405" s="109"/>
      <c r="D405" s="23"/>
      <c r="E405" s="19"/>
    </row>
    <row r="406" spans="1:5" ht="15" x14ac:dyDescent="0.25">
      <c r="B406" s="5"/>
      <c r="C406" s="109"/>
      <c r="D406" s="23"/>
      <c r="E406" s="19"/>
    </row>
    <row r="407" spans="1:5" ht="15" x14ac:dyDescent="0.25">
      <c r="B407" s="5"/>
      <c r="C407" s="109"/>
      <c r="D407" s="23"/>
      <c r="E407" s="19"/>
    </row>
    <row r="408" spans="1:5" ht="15" x14ac:dyDescent="0.25">
      <c r="B408" s="5"/>
      <c r="C408" s="109"/>
      <c r="D408" s="23"/>
      <c r="E408" s="19"/>
    </row>
    <row r="409" spans="1:5" ht="15" x14ac:dyDescent="0.25">
      <c r="B409" s="5"/>
      <c r="C409" s="109"/>
      <c r="D409" s="23"/>
      <c r="E409" s="19"/>
    </row>
    <row r="410" spans="1:5" ht="15" x14ac:dyDescent="0.25">
      <c r="B410" s="5"/>
      <c r="C410" s="109"/>
      <c r="D410" s="23"/>
      <c r="E410" s="19"/>
    </row>
    <row r="411" spans="1:5" ht="15" x14ac:dyDescent="0.25">
      <c r="B411" s="5"/>
      <c r="C411" s="109"/>
      <c r="D411" s="23"/>
      <c r="E411" s="19"/>
    </row>
    <row r="412" spans="1:5" ht="15" x14ac:dyDescent="0.25">
      <c r="B412" s="5"/>
      <c r="C412" s="109"/>
      <c r="D412" s="23"/>
      <c r="E412" s="19"/>
    </row>
    <row r="413" spans="1:5" ht="15" x14ac:dyDescent="0.25">
      <c r="B413" s="5"/>
      <c r="C413" s="109"/>
      <c r="D413" s="23"/>
      <c r="E413" s="19"/>
    </row>
    <row r="414" spans="1:5" ht="15" x14ac:dyDescent="0.25">
      <c r="B414" s="5"/>
      <c r="C414" s="109"/>
      <c r="D414" s="23"/>
      <c r="E414" s="19"/>
    </row>
    <row r="415" spans="1:5" ht="15" x14ac:dyDescent="0.25">
      <c r="B415" s="5"/>
      <c r="C415" s="109"/>
      <c r="D415" s="23"/>
      <c r="E415" s="19"/>
    </row>
    <row r="416" spans="1:5" ht="15" x14ac:dyDescent="0.25">
      <c r="B416" s="5"/>
      <c r="C416" s="109"/>
      <c r="D416" s="23"/>
      <c r="E416" s="19"/>
    </row>
    <row r="417" spans="2:5" ht="15" x14ac:dyDescent="0.25">
      <c r="B417" s="5"/>
      <c r="C417" s="109"/>
      <c r="D417" s="23"/>
      <c r="E417" s="19"/>
    </row>
    <row r="418" spans="2:5" ht="15" x14ac:dyDescent="0.25">
      <c r="B418" s="5"/>
      <c r="C418" s="109"/>
      <c r="D418" s="23"/>
      <c r="E418" s="19"/>
    </row>
    <row r="419" spans="2:5" ht="15" x14ac:dyDescent="0.25">
      <c r="B419" s="5"/>
      <c r="C419" s="109"/>
      <c r="D419" s="23"/>
      <c r="E419" s="19"/>
    </row>
    <row r="420" spans="2:5" ht="15" x14ac:dyDescent="0.25">
      <c r="B420" s="5"/>
      <c r="C420" s="109"/>
      <c r="D420" s="23"/>
      <c r="E420" s="19"/>
    </row>
    <row r="421" spans="2:5" ht="15" x14ac:dyDescent="0.25">
      <c r="B421" s="5"/>
      <c r="C421" s="109"/>
      <c r="D421" s="23"/>
      <c r="E421" s="19"/>
    </row>
    <row r="422" spans="2:5" ht="15" x14ac:dyDescent="0.25">
      <c r="B422" s="5"/>
      <c r="C422" s="109"/>
      <c r="D422" s="23"/>
      <c r="E422" s="19"/>
    </row>
    <row r="423" spans="2:5" ht="15" x14ac:dyDescent="0.25">
      <c r="B423" s="5"/>
      <c r="C423" s="109"/>
      <c r="D423" s="23"/>
      <c r="E423" s="19"/>
    </row>
    <row r="424" spans="2:5" ht="15" x14ac:dyDescent="0.25">
      <c r="B424" s="5"/>
      <c r="C424" s="109"/>
      <c r="D424" s="23"/>
      <c r="E424" s="19"/>
    </row>
    <row r="425" spans="2:5" ht="15" x14ac:dyDescent="0.25">
      <c r="B425" s="5"/>
      <c r="C425" s="109"/>
      <c r="D425" s="23"/>
      <c r="E425" s="19"/>
    </row>
    <row r="426" spans="2:5" ht="15" x14ac:dyDescent="0.25">
      <c r="B426" s="5"/>
      <c r="C426" s="109"/>
      <c r="D426" s="23"/>
      <c r="E426" s="19"/>
    </row>
    <row r="427" spans="2:5" ht="15" x14ac:dyDescent="0.25">
      <c r="B427" s="5"/>
      <c r="C427" s="109"/>
      <c r="D427" s="23"/>
      <c r="E427" s="19"/>
    </row>
    <row r="428" spans="2:5" ht="15" x14ac:dyDescent="0.25">
      <c r="B428" s="5"/>
      <c r="C428" s="109"/>
      <c r="D428" s="23"/>
      <c r="E428" s="19"/>
    </row>
    <row r="429" spans="2:5" ht="15" x14ac:dyDescent="0.25">
      <c r="B429" s="5"/>
      <c r="C429" s="109"/>
      <c r="D429" s="23"/>
      <c r="E429" s="19"/>
    </row>
    <row r="430" spans="2:5" ht="15" x14ac:dyDescent="0.25">
      <c r="B430" s="5"/>
      <c r="C430" s="109"/>
      <c r="D430" s="23"/>
      <c r="E430" s="19"/>
    </row>
    <row r="431" spans="2:5" ht="15" x14ac:dyDescent="0.25">
      <c r="B431" s="5"/>
      <c r="C431" s="109"/>
      <c r="D431" s="23"/>
      <c r="E431" s="19"/>
    </row>
    <row r="432" spans="2:5" ht="15" x14ac:dyDescent="0.25">
      <c r="B432" s="5"/>
      <c r="C432" s="109"/>
      <c r="D432" s="23"/>
      <c r="E432" s="19"/>
    </row>
    <row r="433" spans="1:5" ht="15" x14ac:dyDescent="0.25">
      <c r="B433" s="5"/>
      <c r="C433" s="109"/>
      <c r="D433" s="23"/>
      <c r="E433" s="19"/>
    </row>
    <row r="434" spans="1:5" ht="15" x14ac:dyDescent="0.25">
      <c r="B434" s="5"/>
      <c r="C434" s="109"/>
      <c r="D434" s="23"/>
      <c r="E434" s="19"/>
    </row>
    <row r="435" spans="1:5" ht="15" x14ac:dyDescent="0.25">
      <c r="B435" s="5"/>
      <c r="C435" s="109"/>
      <c r="D435" s="23"/>
      <c r="E435" s="19"/>
    </row>
    <row r="436" spans="1:5" ht="15" x14ac:dyDescent="0.25">
      <c r="B436" s="5"/>
      <c r="C436" s="109"/>
      <c r="D436" s="23"/>
      <c r="E436" s="19"/>
    </row>
    <row r="437" spans="1:5" ht="15" x14ac:dyDescent="0.25">
      <c r="B437" s="5"/>
      <c r="C437" s="109"/>
      <c r="D437" s="23"/>
      <c r="E437" s="19"/>
    </row>
    <row r="438" spans="1:5" ht="15" x14ac:dyDescent="0.25">
      <c r="B438" s="5"/>
      <c r="C438" s="109"/>
      <c r="D438" s="23"/>
      <c r="E438" s="19"/>
    </row>
    <row r="439" spans="1:5" ht="15" x14ac:dyDescent="0.25">
      <c r="B439" s="5"/>
      <c r="C439" s="109"/>
      <c r="D439" s="23"/>
      <c r="E439" s="19"/>
    </row>
    <row r="440" spans="1:5" ht="15" x14ac:dyDescent="0.25">
      <c r="A440" s="111"/>
      <c r="B440" s="5"/>
      <c r="C440" s="109"/>
      <c r="D440" s="23"/>
      <c r="E440" s="19"/>
    </row>
    <row r="441" spans="1:5" ht="15" x14ac:dyDescent="0.25">
      <c r="B441" s="5"/>
      <c r="C441" s="109"/>
      <c r="D441" s="23"/>
      <c r="E441" s="19"/>
    </row>
    <row r="442" spans="1:5" ht="15" x14ac:dyDescent="0.25">
      <c r="B442" s="5"/>
      <c r="C442" s="109"/>
      <c r="D442" s="23"/>
      <c r="E442" s="19"/>
    </row>
    <row r="443" spans="1:5" ht="15" x14ac:dyDescent="0.25">
      <c r="B443" s="5"/>
      <c r="C443" s="109"/>
      <c r="D443" s="23"/>
      <c r="E443" s="19"/>
    </row>
    <row r="444" spans="1:5" ht="15" x14ac:dyDescent="0.25">
      <c r="B444" s="5"/>
      <c r="C444" s="109"/>
      <c r="D444" s="23"/>
      <c r="E444" s="19"/>
    </row>
    <row r="445" spans="1:5" ht="15" x14ac:dyDescent="0.25">
      <c r="B445" s="5"/>
      <c r="C445" s="109"/>
      <c r="D445" s="23"/>
      <c r="E445" s="19"/>
    </row>
    <row r="446" spans="1:5" ht="15" x14ac:dyDescent="0.25">
      <c r="B446" s="5"/>
      <c r="C446" s="109"/>
      <c r="D446" s="23"/>
      <c r="E446" s="19"/>
    </row>
    <row r="447" spans="1:5" ht="15" x14ac:dyDescent="0.25">
      <c r="B447" s="5"/>
      <c r="C447" s="109"/>
      <c r="D447" s="23"/>
      <c r="E447" s="19"/>
    </row>
    <row r="448" spans="1:5" ht="15" x14ac:dyDescent="0.25">
      <c r="B448" s="5"/>
      <c r="C448" s="109"/>
      <c r="D448" s="23"/>
      <c r="E448" s="19"/>
    </row>
    <row r="449" spans="2:5" ht="15" x14ac:dyDescent="0.25">
      <c r="B449" s="5"/>
      <c r="C449" s="109"/>
      <c r="D449" s="23"/>
      <c r="E449" s="19"/>
    </row>
    <row r="450" spans="2:5" ht="15" x14ac:dyDescent="0.25">
      <c r="B450" s="5"/>
      <c r="C450" s="109"/>
      <c r="D450" s="23"/>
      <c r="E450" s="19"/>
    </row>
    <row r="451" spans="2:5" ht="15" x14ac:dyDescent="0.25">
      <c r="B451" s="5"/>
      <c r="C451" s="109"/>
      <c r="D451" s="23"/>
      <c r="E451" s="19"/>
    </row>
    <row r="452" spans="2:5" ht="15" x14ac:dyDescent="0.25">
      <c r="B452" s="5"/>
      <c r="C452" s="109"/>
      <c r="D452" s="23"/>
      <c r="E452" s="19"/>
    </row>
    <row r="453" spans="2:5" ht="15" x14ac:dyDescent="0.25">
      <c r="B453" s="5"/>
      <c r="C453" s="109"/>
      <c r="D453" s="23"/>
      <c r="E453" s="19"/>
    </row>
    <row r="454" spans="2:5" ht="15" x14ac:dyDescent="0.25">
      <c r="B454" s="5"/>
      <c r="C454" s="109"/>
      <c r="D454" s="23"/>
      <c r="E454" s="19"/>
    </row>
    <row r="455" spans="2:5" ht="15" x14ac:dyDescent="0.25">
      <c r="B455" s="5"/>
      <c r="C455" s="109"/>
      <c r="D455" s="23"/>
      <c r="E455" s="19"/>
    </row>
    <row r="456" spans="2:5" ht="15" x14ac:dyDescent="0.25">
      <c r="B456" s="5"/>
      <c r="C456" s="109"/>
      <c r="D456" s="23"/>
      <c r="E456" s="19"/>
    </row>
    <row r="457" spans="2:5" ht="15" x14ac:dyDescent="0.25">
      <c r="B457" s="5"/>
      <c r="C457" s="109"/>
      <c r="D457" s="23"/>
      <c r="E457" s="19"/>
    </row>
    <row r="458" spans="2:5" ht="15" x14ac:dyDescent="0.25">
      <c r="B458" s="5"/>
      <c r="C458" s="109"/>
      <c r="D458" s="23"/>
      <c r="E458" s="19"/>
    </row>
    <row r="459" spans="2:5" ht="15" x14ac:dyDescent="0.25">
      <c r="B459" s="5"/>
      <c r="C459" s="109"/>
      <c r="D459" s="23"/>
      <c r="E459" s="19"/>
    </row>
    <row r="460" spans="2:5" ht="15" x14ac:dyDescent="0.25">
      <c r="B460" s="5"/>
      <c r="C460" s="109"/>
      <c r="D460" s="23"/>
      <c r="E460" s="19"/>
    </row>
    <row r="461" spans="2:5" ht="15" x14ac:dyDescent="0.25">
      <c r="B461" s="5"/>
      <c r="C461" s="109"/>
      <c r="D461" s="23"/>
      <c r="E461" s="19"/>
    </row>
    <row r="462" spans="2:5" ht="15" x14ac:dyDescent="0.25">
      <c r="B462" s="5"/>
      <c r="C462" s="109"/>
      <c r="D462" s="23"/>
      <c r="E462" s="19"/>
    </row>
    <row r="463" spans="2:5" ht="15" x14ac:dyDescent="0.25">
      <c r="B463" s="5"/>
      <c r="C463" s="109"/>
      <c r="D463" s="23"/>
      <c r="E463" s="19"/>
    </row>
    <row r="464" spans="2:5" ht="15" x14ac:dyDescent="0.25">
      <c r="B464" s="5"/>
      <c r="C464" s="109"/>
      <c r="D464" s="23"/>
      <c r="E464" s="19"/>
    </row>
    <row r="465" spans="2:5" ht="15" x14ac:dyDescent="0.25">
      <c r="B465" s="5"/>
      <c r="C465" s="109"/>
      <c r="D465" s="23"/>
      <c r="E465" s="19"/>
    </row>
    <row r="466" spans="2:5" ht="15" x14ac:dyDescent="0.25">
      <c r="B466" s="5"/>
      <c r="C466" s="109"/>
      <c r="D466" s="23"/>
      <c r="E466" s="19"/>
    </row>
    <row r="467" spans="2:5" ht="15" x14ac:dyDescent="0.25">
      <c r="B467" s="5"/>
      <c r="C467" s="109"/>
      <c r="D467" s="23"/>
      <c r="E467" s="19"/>
    </row>
    <row r="468" spans="2:5" ht="15" x14ac:dyDescent="0.25">
      <c r="B468" s="5"/>
      <c r="C468" s="109"/>
      <c r="D468" s="23"/>
      <c r="E468" s="19"/>
    </row>
    <row r="469" spans="2:5" ht="15" x14ac:dyDescent="0.25">
      <c r="B469" s="5"/>
      <c r="C469" s="109"/>
      <c r="D469" s="23"/>
      <c r="E469" s="19"/>
    </row>
    <row r="470" spans="2:5" ht="15" x14ac:dyDescent="0.25">
      <c r="B470" s="5"/>
      <c r="C470" s="109"/>
      <c r="D470" s="23"/>
      <c r="E470" s="19"/>
    </row>
    <row r="471" spans="2:5" ht="15" x14ac:dyDescent="0.25">
      <c r="B471" s="5"/>
      <c r="C471" s="109"/>
      <c r="D471" s="23"/>
      <c r="E471" s="19"/>
    </row>
    <row r="472" spans="2:5" ht="15" x14ac:dyDescent="0.25">
      <c r="B472" s="5"/>
      <c r="C472" s="109"/>
      <c r="D472" s="23"/>
      <c r="E472" s="19"/>
    </row>
    <row r="473" spans="2:5" ht="15" x14ac:dyDescent="0.25">
      <c r="B473" s="5"/>
      <c r="C473" s="109"/>
      <c r="D473" s="23"/>
      <c r="E473" s="19"/>
    </row>
    <row r="474" spans="2:5" ht="15" x14ac:dyDescent="0.25">
      <c r="B474" s="5"/>
      <c r="C474" s="109"/>
      <c r="D474" s="23"/>
      <c r="E474" s="19"/>
    </row>
    <row r="475" spans="2:5" ht="15" x14ac:dyDescent="0.25">
      <c r="B475" s="5"/>
      <c r="C475" s="109"/>
      <c r="D475" s="23"/>
      <c r="E475" s="19"/>
    </row>
    <row r="476" spans="2:5" ht="15" x14ac:dyDescent="0.25">
      <c r="B476" s="5"/>
      <c r="C476" s="109"/>
      <c r="D476" s="23"/>
      <c r="E476" s="19"/>
    </row>
    <row r="477" spans="2:5" ht="15" x14ac:dyDescent="0.25">
      <c r="B477" s="5"/>
      <c r="C477" s="109"/>
      <c r="D477" s="23"/>
      <c r="E477" s="19"/>
    </row>
    <row r="478" spans="2:5" ht="15" x14ac:dyDescent="0.25">
      <c r="B478" s="5"/>
      <c r="C478" s="109"/>
      <c r="D478" s="23"/>
      <c r="E478" s="19"/>
    </row>
    <row r="479" spans="2:5" ht="15" x14ac:dyDescent="0.25">
      <c r="B479" s="5"/>
      <c r="C479" s="109"/>
      <c r="D479" s="23"/>
      <c r="E479" s="19"/>
    </row>
    <row r="480" spans="2:5" ht="15" x14ac:dyDescent="0.25">
      <c r="B480" s="5"/>
      <c r="C480" s="109"/>
      <c r="D480" s="23"/>
      <c r="E480" s="19"/>
    </row>
    <row r="481" spans="2:5" ht="15" x14ac:dyDescent="0.25">
      <c r="B481" s="5"/>
      <c r="C481" s="109"/>
      <c r="D481" s="23"/>
      <c r="E481" s="19"/>
    </row>
    <row r="482" spans="2:5" ht="15" x14ac:dyDescent="0.25">
      <c r="B482" s="5"/>
      <c r="C482" s="109"/>
      <c r="D482" s="23"/>
      <c r="E482" s="19"/>
    </row>
    <row r="483" spans="2:5" ht="15" x14ac:dyDescent="0.25">
      <c r="B483" s="5"/>
      <c r="C483" s="109"/>
      <c r="D483" s="23"/>
      <c r="E483" s="19"/>
    </row>
    <row r="484" spans="2:5" ht="15" x14ac:dyDescent="0.25">
      <c r="B484" s="5"/>
      <c r="C484" s="109"/>
      <c r="D484" s="23"/>
      <c r="E484" s="19"/>
    </row>
    <row r="485" spans="2:5" ht="15" x14ac:dyDescent="0.25">
      <c r="B485" s="5"/>
      <c r="C485" s="109"/>
      <c r="D485" s="23"/>
      <c r="E485" s="19"/>
    </row>
    <row r="486" spans="2:5" ht="15" x14ac:dyDescent="0.25">
      <c r="B486" s="5"/>
      <c r="C486" s="109"/>
      <c r="D486" s="23"/>
      <c r="E486" s="19"/>
    </row>
    <row r="487" spans="2:5" ht="15" x14ac:dyDescent="0.25">
      <c r="B487" s="5"/>
      <c r="C487" s="109"/>
      <c r="D487" s="23"/>
      <c r="E487" s="19"/>
    </row>
    <row r="488" spans="2:5" ht="15" x14ac:dyDescent="0.25">
      <c r="B488" s="5"/>
      <c r="C488" s="109"/>
      <c r="D488" s="23"/>
      <c r="E488" s="19"/>
    </row>
    <row r="489" spans="2:5" ht="15" x14ac:dyDescent="0.25">
      <c r="B489" s="5"/>
      <c r="C489" s="109"/>
      <c r="D489" s="23"/>
      <c r="E489" s="19"/>
    </row>
    <row r="490" spans="2:5" ht="15" x14ac:dyDescent="0.25">
      <c r="B490" s="5"/>
      <c r="C490" s="109"/>
      <c r="D490" s="23"/>
      <c r="E490" s="19"/>
    </row>
    <row r="491" spans="2:5" ht="15" x14ac:dyDescent="0.25">
      <c r="B491" s="5"/>
      <c r="C491" s="109"/>
      <c r="D491" s="23"/>
      <c r="E491" s="19"/>
    </row>
    <row r="492" spans="2:5" ht="15" x14ac:dyDescent="0.25">
      <c r="B492" s="5"/>
      <c r="C492" s="109"/>
      <c r="D492" s="23"/>
      <c r="E492" s="19"/>
    </row>
    <row r="493" spans="2:5" ht="15" x14ac:dyDescent="0.25">
      <c r="B493" s="5"/>
      <c r="C493" s="109"/>
      <c r="D493" s="23"/>
      <c r="E493" s="19"/>
    </row>
    <row r="494" spans="2:5" ht="15" x14ac:dyDescent="0.25">
      <c r="B494" s="5"/>
      <c r="C494" s="109"/>
      <c r="D494" s="23"/>
      <c r="E494" s="19"/>
    </row>
    <row r="495" spans="2:5" ht="15" x14ac:dyDescent="0.25">
      <c r="B495" s="5"/>
      <c r="C495" s="109"/>
      <c r="D495" s="23"/>
      <c r="E495" s="19"/>
    </row>
    <row r="496" spans="2:5" ht="15" x14ac:dyDescent="0.25">
      <c r="B496" s="5"/>
      <c r="C496" s="109"/>
      <c r="D496" s="23"/>
      <c r="E496" s="19"/>
    </row>
    <row r="497" spans="2:5" ht="15" x14ac:dyDescent="0.25">
      <c r="B497" s="5"/>
      <c r="C497" s="109"/>
      <c r="D497" s="23"/>
      <c r="E497" s="19"/>
    </row>
    <row r="498" spans="2:5" ht="15" x14ac:dyDescent="0.25">
      <c r="B498" s="5"/>
      <c r="C498" s="109"/>
      <c r="D498" s="23"/>
      <c r="E498" s="19"/>
    </row>
    <row r="499" spans="2:5" ht="15" x14ac:dyDescent="0.25">
      <c r="B499" s="5"/>
      <c r="C499" s="109"/>
      <c r="D499" s="23"/>
      <c r="E499" s="19"/>
    </row>
    <row r="500" spans="2:5" ht="15" x14ac:dyDescent="0.25">
      <c r="B500" s="5"/>
      <c r="C500" s="109"/>
      <c r="D500" s="23"/>
      <c r="E500" s="19"/>
    </row>
    <row r="501" spans="2:5" ht="15" x14ac:dyDescent="0.25">
      <c r="B501" s="5"/>
      <c r="C501" s="109"/>
      <c r="D501" s="23"/>
      <c r="E501" s="19"/>
    </row>
    <row r="502" spans="2:5" ht="15" x14ac:dyDescent="0.25">
      <c r="B502" s="5"/>
      <c r="C502" s="109"/>
      <c r="D502" s="23"/>
      <c r="E502" s="19"/>
    </row>
    <row r="503" spans="2:5" ht="15" x14ac:dyDescent="0.25">
      <c r="B503" s="5"/>
      <c r="C503" s="109"/>
      <c r="D503" s="23"/>
      <c r="E503" s="19"/>
    </row>
    <row r="504" spans="2:5" ht="15" x14ac:dyDescent="0.25">
      <c r="B504" s="5"/>
      <c r="C504" s="109"/>
      <c r="D504" s="23"/>
      <c r="E504" s="19"/>
    </row>
    <row r="505" spans="2:5" ht="15" x14ac:dyDescent="0.25">
      <c r="B505" s="5"/>
      <c r="C505" s="109"/>
      <c r="D505" s="23"/>
      <c r="E505" s="19"/>
    </row>
    <row r="506" spans="2:5" ht="15" x14ac:dyDescent="0.25">
      <c r="B506" s="5"/>
      <c r="C506" s="109"/>
      <c r="D506" s="23"/>
      <c r="E506" s="19"/>
    </row>
    <row r="507" spans="2:5" ht="15" x14ac:dyDescent="0.25">
      <c r="B507" s="5"/>
      <c r="C507" s="109"/>
      <c r="D507" s="23"/>
      <c r="E507" s="19"/>
    </row>
    <row r="508" spans="2:5" ht="15" x14ac:dyDescent="0.25">
      <c r="B508" s="5"/>
      <c r="C508" s="109"/>
      <c r="D508" s="23"/>
      <c r="E508" s="19"/>
    </row>
    <row r="509" spans="2:5" ht="15" x14ac:dyDescent="0.25">
      <c r="B509" s="5"/>
      <c r="C509" s="109"/>
      <c r="D509" s="23"/>
      <c r="E509" s="19"/>
    </row>
    <row r="510" spans="2:5" ht="15" x14ac:dyDescent="0.25">
      <c r="B510" s="5"/>
      <c r="C510" s="109"/>
      <c r="D510" s="23"/>
      <c r="E510" s="23"/>
    </row>
    <row r="511" spans="2:5" ht="15" x14ac:dyDescent="0.25">
      <c r="B511" s="5"/>
      <c r="C511" s="109"/>
      <c r="D511" s="23"/>
      <c r="E511" s="25"/>
    </row>
    <row r="512" spans="2:5" ht="15" x14ac:dyDescent="0.25">
      <c r="B512" s="5"/>
      <c r="C512" s="109"/>
      <c r="D512" s="23"/>
      <c r="E512" s="20"/>
    </row>
    <row r="513" spans="2:5" ht="15" x14ac:dyDescent="0.25">
      <c r="B513" s="5"/>
      <c r="C513" s="109"/>
      <c r="D513" s="23"/>
      <c r="E513" s="20"/>
    </row>
    <row r="514" spans="2:5" ht="15" x14ac:dyDescent="0.25">
      <c r="B514" s="5"/>
      <c r="C514" s="109"/>
      <c r="D514" s="23"/>
      <c r="E514" s="23"/>
    </row>
    <row r="515" spans="2:5" ht="15" x14ac:dyDescent="0.25">
      <c r="B515" s="5"/>
      <c r="C515" s="109"/>
      <c r="D515" s="23"/>
      <c r="E515" s="20"/>
    </row>
    <row r="516" spans="2:5" ht="15" x14ac:dyDescent="0.25">
      <c r="B516" s="5"/>
      <c r="C516" s="109"/>
      <c r="D516" s="23"/>
      <c r="E516" s="20"/>
    </row>
    <row r="517" spans="2:5" ht="15" x14ac:dyDescent="0.25">
      <c r="B517" s="5"/>
      <c r="C517" s="109"/>
      <c r="D517" s="23"/>
      <c r="E517" s="20"/>
    </row>
    <row r="518" spans="2:5" ht="15" x14ac:dyDescent="0.25">
      <c r="B518" s="5"/>
      <c r="C518" s="109"/>
      <c r="D518" s="23"/>
      <c r="E518" s="20"/>
    </row>
    <row r="519" spans="2:5" ht="15" x14ac:dyDescent="0.25">
      <c r="B519" s="5"/>
      <c r="C519" s="109"/>
      <c r="D519" s="23"/>
      <c r="E519" s="20"/>
    </row>
    <row r="520" spans="2:5" ht="15" x14ac:dyDescent="0.25">
      <c r="B520" s="5"/>
      <c r="C520" s="109"/>
      <c r="D520" s="23"/>
      <c r="E520" s="20"/>
    </row>
    <row r="521" spans="2:5" ht="15" x14ac:dyDescent="0.25">
      <c r="B521" s="5"/>
      <c r="C521" s="109"/>
      <c r="D521" s="23"/>
      <c r="E521" s="23"/>
    </row>
    <row r="522" spans="2:5" ht="15" x14ac:dyDescent="0.25">
      <c r="B522" s="5"/>
      <c r="C522" s="109"/>
      <c r="D522" s="23"/>
      <c r="E522" s="19"/>
    </row>
    <row r="523" spans="2:5" ht="15" x14ac:dyDescent="0.25">
      <c r="B523" s="5"/>
      <c r="C523" s="109"/>
      <c r="D523" s="23"/>
      <c r="E523" s="19"/>
    </row>
    <row r="524" spans="2:5" ht="15" x14ac:dyDescent="0.25">
      <c r="B524" s="5"/>
      <c r="C524" s="109"/>
      <c r="D524" s="23"/>
      <c r="E524" s="23"/>
    </row>
    <row r="525" spans="2:5" ht="15" x14ac:dyDescent="0.25">
      <c r="B525" s="5"/>
      <c r="C525" s="109"/>
      <c r="D525" s="23"/>
      <c r="E525" s="19"/>
    </row>
    <row r="526" spans="2:5" ht="15" x14ac:dyDescent="0.25">
      <c r="B526" s="5"/>
      <c r="C526" s="109"/>
      <c r="D526" s="23"/>
      <c r="E526" s="19"/>
    </row>
    <row r="527" spans="2:5" ht="15" x14ac:dyDescent="0.25">
      <c r="B527" s="5"/>
      <c r="C527" s="109"/>
      <c r="D527" s="23"/>
      <c r="E527" s="23"/>
    </row>
    <row r="528" spans="2:5" ht="15" x14ac:dyDescent="0.25">
      <c r="B528" s="5"/>
      <c r="C528" s="109"/>
      <c r="D528" s="23"/>
      <c r="E528" s="19"/>
    </row>
    <row r="529" spans="1:5" ht="15" x14ac:dyDescent="0.25">
      <c r="B529" s="5"/>
      <c r="C529" s="109"/>
      <c r="D529" s="23"/>
      <c r="E529" s="23"/>
    </row>
    <row r="530" spans="1:5" ht="15" x14ac:dyDescent="0.25">
      <c r="B530" s="5"/>
      <c r="C530" s="109"/>
      <c r="D530" s="23"/>
      <c r="E530" s="19"/>
    </row>
    <row r="531" spans="1:5" ht="15" x14ac:dyDescent="0.25">
      <c r="B531" s="5"/>
      <c r="C531" s="109"/>
      <c r="D531" s="23"/>
      <c r="E531" s="19"/>
    </row>
    <row r="532" spans="1:5" ht="15" x14ac:dyDescent="0.25">
      <c r="B532" s="5"/>
      <c r="C532" s="109"/>
      <c r="D532" s="23"/>
      <c r="E532" s="19"/>
    </row>
    <row r="533" spans="1:5" ht="15" x14ac:dyDescent="0.25">
      <c r="B533" s="5"/>
      <c r="C533" s="109"/>
      <c r="D533" s="23"/>
      <c r="E533" s="19"/>
    </row>
    <row r="534" spans="1:5" ht="15" x14ac:dyDescent="0.25">
      <c r="B534" s="5"/>
      <c r="C534" s="109"/>
      <c r="D534" s="23"/>
      <c r="E534" s="19"/>
    </row>
    <row r="535" spans="1:5" ht="15" x14ac:dyDescent="0.25">
      <c r="A535" s="111"/>
      <c r="B535" s="5"/>
      <c r="C535" s="109"/>
      <c r="D535" s="23"/>
      <c r="E535" s="19"/>
    </row>
    <row r="536" spans="1:5" ht="15" x14ac:dyDescent="0.25">
      <c r="A536" s="111"/>
      <c r="B536" s="5"/>
      <c r="C536" s="109"/>
      <c r="D536" s="23"/>
      <c r="E536" s="19"/>
    </row>
    <row r="537" spans="1:5" ht="15" x14ac:dyDescent="0.25">
      <c r="A537" s="111"/>
      <c r="B537" s="5"/>
      <c r="C537" s="109"/>
      <c r="D537" s="23"/>
      <c r="E537" s="19"/>
    </row>
    <row r="538" spans="1:5" ht="15" x14ac:dyDescent="0.25">
      <c r="A538" s="111"/>
      <c r="B538" s="5"/>
      <c r="C538" s="109"/>
      <c r="D538" s="23"/>
      <c r="E538" s="19"/>
    </row>
    <row r="539" spans="1:5" ht="15" x14ac:dyDescent="0.25">
      <c r="A539" s="111"/>
      <c r="B539" s="5"/>
      <c r="C539" s="109"/>
      <c r="D539" s="23"/>
      <c r="E539" s="19"/>
    </row>
    <row r="540" spans="1:5" ht="15" x14ac:dyDescent="0.25">
      <c r="A540" s="111"/>
      <c r="B540" s="5"/>
      <c r="C540" s="109"/>
      <c r="D540" s="23"/>
      <c r="E540" s="19"/>
    </row>
    <row r="541" spans="1:5" ht="15" x14ac:dyDescent="0.25">
      <c r="B541" s="5"/>
      <c r="C541" s="109"/>
      <c r="D541" s="23"/>
      <c r="E541" s="19"/>
    </row>
    <row r="542" spans="1:5" ht="15" x14ac:dyDescent="0.25">
      <c r="B542" s="5"/>
      <c r="C542" s="109"/>
      <c r="D542" s="23"/>
      <c r="E542" s="19"/>
    </row>
    <row r="543" spans="1:5" ht="15" x14ac:dyDescent="0.25">
      <c r="B543" s="5"/>
      <c r="C543" s="109"/>
      <c r="D543" s="23"/>
      <c r="E543" s="19"/>
    </row>
    <row r="544" spans="1:5" ht="15" x14ac:dyDescent="0.25">
      <c r="B544" s="5"/>
      <c r="C544" s="109"/>
      <c r="D544" s="23"/>
      <c r="E544" s="19"/>
    </row>
    <row r="545" spans="2:5" ht="15" x14ac:dyDescent="0.25">
      <c r="B545" s="5"/>
      <c r="C545" s="109"/>
      <c r="D545" s="23"/>
      <c r="E545" s="19"/>
    </row>
    <row r="546" spans="2:5" ht="15" x14ac:dyDescent="0.25">
      <c r="B546" s="5"/>
      <c r="C546" s="109"/>
      <c r="D546" s="23"/>
      <c r="E546" s="19"/>
    </row>
    <row r="547" spans="2:5" ht="15" x14ac:dyDescent="0.25">
      <c r="B547" s="5"/>
      <c r="C547" s="109"/>
      <c r="D547" s="23"/>
      <c r="E547" s="19"/>
    </row>
    <row r="548" spans="2:5" ht="15" x14ac:dyDescent="0.25">
      <c r="B548" s="5"/>
      <c r="C548" s="109"/>
      <c r="D548" s="23"/>
      <c r="E548" s="19"/>
    </row>
    <row r="549" spans="2:5" ht="15" x14ac:dyDescent="0.25">
      <c r="B549" s="5"/>
      <c r="C549" s="109"/>
      <c r="D549" s="23"/>
      <c r="E549" s="19"/>
    </row>
    <row r="550" spans="2:5" ht="15" x14ac:dyDescent="0.25">
      <c r="B550" s="5"/>
      <c r="C550" s="109"/>
      <c r="D550" s="23"/>
      <c r="E550" s="19"/>
    </row>
    <row r="551" spans="2:5" ht="15" x14ac:dyDescent="0.25">
      <c r="B551" s="5"/>
      <c r="C551" s="109"/>
      <c r="D551" s="23"/>
      <c r="E551" s="19"/>
    </row>
    <row r="552" spans="2:5" ht="15" x14ac:dyDescent="0.25">
      <c r="B552" s="5"/>
      <c r="C552" s="109"/>
      <c r="D552" s="23"/>
      <c r="E552" s="19"/>
    </row>
    <row r="553" spans="2:5" ht="15" x14ac:dyDescent="0.25">
      <c r="B553" s="5"/>
      <c r="C553" s="109"/>
      <c r="D553" s="23"/>
      <c r="E553" s="19"/>
    </row>
    <row r="554" spans="2:5" ht="15" x14ac:dyDescent="0.25">
      <c r="B554" s="5"/>
      <c r="C554" s="109"/>
      <c r="D554" s="23"/>
      <c r="E554" s="19"/>
    </row>
    <row r="555" spans="2:5" ht="15" x14ac:dyDescent="0.25">
      <c r="B555" s="5"/>
      <c r="C555" s="109"/>
      <c r="D555" s="23"/>
      <c r="E555" s="19"/>
    </row>
    <row r="556" spans="2:5" ht="15" x14ac:dyDescent="0.25">
      <c r="B556" s="5"/>
      <c r="C556" s="109"/>
      <c r="D556" s="23"/>
      <c r="E556" s="19"/>
    </row>
    <row r="557" spans="2:5" ht="15" x14ac:dyDescent="0.25">
      <c r="B557" s="5"/>
      <c r="C557" s="109"/>
      <c r="D557" s="23"/>
      <c r="E557" s="23"/>
    </row>
    <row r="558" spans="2:5" ht="15" x14ac:dyDescent="0.25">
      <c r="B558" s="5"/>
      <c r="C558" s="109"/>
      <c r="D558" s="23"/>
      <c r="E558" s="19"/>
    </row>
    <row r="559" spans="2:5" ht="15" x14ac:dyDescent="0.25">
      <c r="B559" s="5"/>
      <c r="C559" s="109"/>
      <c r="D559" s="23"/>
      <c r="E559" s="19"/>
    </row>
    <row r="560" spans="2:5" ht="15" x14ac:dyDescent="0.25">
      <c r="B560" s="5"/>
      <c r="C560" s="109"/>
      <c r="D560" s="23"/>
      <c r="E560" s="19"/>
    </row>
    <row r="561" spans="2:5" ht="15" x14ac:dyDescent="0.25">
      <c r="B561" s="5"/>
      <c r="C561" s="109"/>
      <c r="D561" s="23"/>
      <c r="E561" s="19"/>
    </row>
    <row r="562" spans="2:5" ht="15" x14ac:dyDescent="0.25">
      <c r="B562" s="5"/>
      <c r="C562" s="109"/>
      <c r="D562" s="23"/>
      <c r="E562" s="19"/>
    </row>
    <row r="563" spans="2:5" ht="15" x14ac:dyDescent="0.25">
      <c r="B563" s="5"/>
      <c r="C563" s="109"/>
      <c r="D563" s="23"/>
      <c r="E563" s="19"/>
    </row>
    <row r="564" spans="2:5" ht="15" x14ac:dyDescent="0.25">
      <c r="B564" s="5"/>
      <c r="C564" s="109"/>
      <c r="D564" s="23"/>
      <c r="E564" s="19"/>
    </row>
    <row r="565" spans="2:5" ht="15" x14ac:dyDescent="0.25">
      <c r="B565" s="5"/>
      <c r="C565" s="109"/>
      <c r="D565" s="23"/>
      <c r="E565" s="19"/>
    </row>
    <row r="566" spans="2:5" ht="15" x14ac:dyDescent="0.25">
      <c r="B566" s="5"/>
      <c r="C566" s="109"/>
      <c r="D566" s="23"/>
      <c r="E566" s="19"/>
    </row>
    <row r="567" spans="2:5" ht="15" x14ac:dyDescent="0.25">
      <c r="B567" s="5"/>
      <c r="C567" s="109"/>
      <c r="D567" s="23"/>
      <c r="E567" s="19"/>
    </row>
    <row r="568" spans="2:5" ht="15" x14ac:dyDescent="0.25">
      <c r="B568" s="5"/>
      <c r="C568" s="109"/>
      <c r="D568" s="23"/>
      <c r="E568" s="19"/>
    </row>
    <row r="569" spans="2:5" ht="15" x14ac:dyDescent="0.25">
      <c r="B569" s="5"/>
      <c r="C569" s="109"/>
      <c r="D569" s="23"/>
      <c r="E569" s="19"/>
    </row>
    <row r="570" spans="2:5" ht="15" x14ac:dyDescent="0.25">
      <c r="B570" s="5"/>
      <c r="C570" s="109"/>
      <c r="D570" s="23"/>
      <c r="E570" s="19"/>
    </row>
    <row r="571" spans="2:5" ht="15" x14ac:dyDescent="0.25">
      <c r="E571" s="19"/>
    </row>
    <row r="585" spans="2:6" x14ac:dyDescent="0.2">
      <c r="B585" t="s">
        <v>624</v>
      </c>
      <c r="C585" t="s">
        <v>505</v>
      </c>
      <c r="D585" t="s">
        <v>506</v>
      </c>
      <c r="E585" t="s">
        <v>590</v>
      </c>
      <c r="F585" t="s">
        <v>472</v>
      </c>
    </row>
    <row r="586" spans="2:6" x14ac:dyDescent="0.2">
      <c r="B586">
        <v>1</v>
      </c>
      <c r="C586">
        <v>11</v>
      </c>
      <c r="D586">
        <v>6</v>
      </c>
      <c r="E586">
        <v>9</v>
      </c>
      <c r="F586">
        <v>26</v>
      </c>
    </row>
    <row r="587" spans="2:6" x14ac:dyDescent="0.2">
      <c r="B587">
        <v>2</v>
      </c>
      <c r="C587">
        <v>18</v>
      </c>
      <c r="D587">
        <v>42</v>
      </c>
      <c r="E587">
        <v>45</v>
      </c>
      <c r="F587">
        <v>105</v>
      </c>
    </row>
    <row r="588" spans="2:6" x14ac:dyDescent="0.2">
      <c r="B588">
        <v>3</v>
      </c>
      <c r="C588">
        <v>9</v>
      </c>
      <c r="D588">
        <v>20</v>
      </c>
      <c r="E588">
        <v>22</v>
      </c>
      <c r="F588">
        <v>51</v>
      </c>
    </row>
    <row r="589" spans="2:6" x14ac:dyDescent="0.2">
      <c r="B589">
        <v>4</v>
      </c>
      <c r="C589">
        <v>7</v>
      </c>
      <c r="D589">
        <v>11</v>
      </c>
      <c r="E589">
        <v>7</v>
      </c>
      <c r="F589">
        <v>25</v>
      </c>
    </row>
    <row r="590" spans="2:6" x14ac:dyDescent="0.2">
      <c r="B590">
        <v>5</v>
      </c>
      <c r="D590">
        <v>1</v>
      </c>
      <c r="F590">
        <v>1</v>
      </c>
    </row>
    <row r="591" spans="2:6" x14ac:dyDescent="0.2">
      <c r="B591" t="s">
        <v>473</v>
      </c>
    </row>
    <row r="592" spans="2:6" x14ac:dyDescent="0.2">
      <c r="B592" t="s">
        <v>472</v>
      </c>
      <c r="C592">
        <v>45</v>
      </c>
      <c r="D592">
        <v>80</v>
      </c>
      <c r="E592">
        <v>83</v>
      </c>
      <c r="F592">
        <v>208</v>
      </c>
    </row>
  </sheetData>
  <mergeCells count="37">
    <mergeCell ref="A97:I97"/>
    <mergeCell ref="A98:I98"/>
    <mergeCell ref="G151:H162"/>
    <mergeCell ref="V53:Y53"/>
    <mergeCell ref="L108:L109"/>
    <mergeCell ref="A118:F121"/>
    <mergeCell ref="F92:H95"/>
    <mergeCell ref="G88:H90"/>
    <mergeCell ref="A86:G86"/>
    <mergeCell ref="V84:Y84"/>
    <mergeCell ref="G134:H134"/>
    <mergeCell ref="B103:G103"/>
    <mergeCell ref="T115:V115"/>
    <mergeCell ref="K99:M99"/>
    <mergeCell ref="A125:Q126"/>
    <mergeCell ref="L91:Q91"/>
    <mergeCell ref="S39:Y39"/>
    <mergeCell ref="S33:Z34"/>
    <mergeCell ref="A1:E2"/>
    <mergeCell ref="H4:I4"/>
    <mergeCell ref="AB33:AH34"/>
    <mergeCell ref="AC39:AG39"/>
    <mergeCell ref="A13:E14"/>
    <mergeCell ref="G16:K17"/>
    <mergeCell ref="N4:O4"/>
    <mergeCell ref="M1:Q2"/>
    <mergeCell ref="G1:K2"/>
    <mergeCell ref="R17:V17"/>
    <mergeCell ref="A46:G47"/>
    <mergeCell ref="K46:Q47"/>
    <mergeCell ref="L84:Q84"/>
    <mergeCell ref="A3:C3"/>
    <mergeCell ref="L66:O66"/>
    <mergeCell ref="B78:H78"/>
    <mergeCell ref="B66:E66"/>
    <mergeCell ref="F76:M76"/>
    <mergeCell ref="A8:E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F210"/>
  <sheetViews>
    <sheetView tabSelected="1" zoomScale="96" zoomScaleNormal="96" workbookViewId="0">
      <pane xSplit="1" ySplit="1" topLeftCell="BN202" activePane="bottomRight" state="frozen"/>
      <selection pane="topRight" activeCell="B1" sqref="B1"/>
      <selection pane="bottomLeft" activeCell="A2" sqref="A2"/>
      <selection pane="bottomRight" activeCell="BW216" sqref="BW216"/>
    </sheetView>
  </sheetViews>
  <sheetFormatPr defaultColWidth="14.42578125" defaultRowHeight="15" customHeight="1" x14ac:dyDescent="0.25"/>
  <cols>
    <col min="1" max="1" width="15.85546875" style="26" customWidth="1"/>
    <col min="2" max="2" width="13.85546875" style="26" customWidth="1"/>
    <col min="3" max="3" width="6.85546875" style="26" customWidth="1"/>
    <col min="4" max="4" width="5.7109375" style="43" customWidth="1"/>
    <col min="5" max="5" width="5.7109375" style="33" customWidth="1"/>
    <col min="6" max="6" width="5.42578125" style="33" customWidth="1"/>
    <col min="7" max="7" width="5.28515625" style="33" customWidth="1"/>
    <col min="8" max="8" width="7.28515625" style="33" customWidth="1"/>
    <col min="9" max="9" width="10.7109375" style="33" customWidth="1"/>
    <col min="10" max="11" width="5.42578125" customWidth="1"/>
    <col min="12" max="12" width="7" customWidth="1"/>
    <col min="13" max="13" width="8.140625" customWidth="1"/>
    <col min="14" max="14" width="7.28515625" style="33" customWidth="1"/>
    <col min="15" max="15" width="5.28515625" style="33" customWidth="1"/>
    <col min="16" max="16" width="8.28515625" style="34" customWidth="1"/>
    <col min="17" max="17" width="5.7109375" style="34" customWidth="1"/>
    <col min="18" max="18" width="10.5703125" style="34" customWidth="1"/>
    <col min="19" max="19" width="6.140625" style="33" customWidth="1"/>
    <col min="20" max="20" width="6.28515625" style="46" customWidth="1"/>
    <col min="21" max="21" width="4.5703125" style="33" customWidth="1"/>
    <col min="22" max="22" width="10.42578125" style="26" customWidth="1"/>
    <col min="23" max="23" width="7.28515625" style="49" customWidth="1"/>
    <col min="24" max="24" width="7" style="49" customWidth="1"/>
    <col min="25" max="25" width="6.28515625" style="49" customWidth="1"/>
    <col min="26" max="26" width="9.140625" style="49" customWidth="1"/>
    <col min="27" max="27" width="8.5703125" style="49" customWidth="1"/>
    <col min="28" max="28" width="7.28515625" style="49" customWidth="1"/>
    <col min="29" max="29" width="10.7109375" style="33" customWidth="1"/>
    <col min="30" max="30" width="6" style="33" customWidth="1"/>
    <col min="31" max="31" width="6.5703125" style="40" customWidth="1"/>
    <col min="32" max="32" width="8.28515625" style="95" customWidth="1"/>
    <col min="33" max="33" width="10.5703125" style="95" customWidth="1"/>
    <col min="34" max="34" width="11" style="95" customWidth="1"/>
    <col min="35" max="35" width="9.7109375" style="35" customWidth="1"/>
    <col min="36" max="36" width="9.7109375" style="33" customWidth="1"/>
    <col min="37" max="37" width="14.42578125" style="33" customWidth="1"/>
    <col min="38" max="38" width="9.7109375" style="33" customWidth="1"/>
    <col min="39" max="39" width="7.7109375" style="93" customWidth="1"/>
    <col min="40" max="40" width="7.85546875" style="93" customWidth="1"/>
    <col min="41" max="41" width="12.28515625" style="93" customWidth="1"/>
    <col min="42" max="42" width="6.85546875" style="33" customWidth="1"/>
    <col min="43" max="43" width="8.7109375" style="33" customWidth="1"/>
    <col min="44" max="44" width="9.140625" style="89" customWidth="1"/>
    <col min="45" max="46" width="8.7109375" style="89" customWidth="1"/>
    <col min="47" max="47" width="9.7109375" style="33" customWidth="1"/>
    <col min="48" max="48" width="14.42578125" style="33" customWidth="1"/>
    <col min="49" max="49" width="9.42578125" style="33" customWidth="1"/>
    <col min="50" max="50" width="9.28515625" style="33" customWidth="1"/>
    <col min="51" max="51" width="8.85546875" style="33" customWidth="1"/>
    <col min="52" max="52" width="8.140625" style="89" customWidth="1"/>
    <col min="53" max="53" width="9.85546875" style="89" customWidth="1"/>
    <col min="54" max="54" width="8.7109375" style="89" customWidth="1"/>
    <col min="55" max="55" width="10.28515625" style="33" customWidth="1"/>
    <col min="56" max="56" width="9.85546875" style="33" customWidth="1"/>
    <col min="57" max="57" width="8.85546875" style="33" customWidth="1"/>
    <col min="58" max="58" width="11.5703125" style="33" customWidth="1"/>
    <col min="59" max="59" width="8.5703125" style="89" customWidth="1"/>
    <col min="60" max="60" width="9.85546875" style="89" customWidth="1"/>
    <col min="61" max="61" width="8.7109375" style="89" customWidth="1"/>
    <col min="62" max="62" width="9" style="26" customWidth="1"/>
    <col min="63" max="69" width="14.42578125" style="26" customWidth="1"/>
    <col min="70" max="71" width="14.42578125" style="26"/>
    <col min="72" max="72" width="14.42578125" style="236"/>
    <col min="73" max="16384" width="14.42578125" style="26"/>
  </cols>
  <sheetData>
    <row r="1" spans="1:84" s="141" customFormat="1" ht="28.15" customHeight="1" thickBot="1" x14ac:dyDescent="0.3">
      <c r="A1" s="123" t="s">
        <v>1</v>
      </c>
      <c r="B1" s="124" t="s">
        <v>234</v>
      </c>
      <c r="C1" s="125" t="s">
        <v>481</v>
      </c>
      <c r="D1" s="126" t="s">
        <v>478</v>
      </c>
      <c r="E1" s="125" t="s">
        <v>0</v>
      </c>
      <c r="F1" s="125" t="s">
        <v>218</v>
      </c>
      <c r="G1" s="125" t="s">
        <v>167</v>
      </c>
      <c r="H1" s="125" t="s">
        <v>169</v>
      </c>
      <c r="I1" s="127" t="s">
        <v>556</v>
      </c>
      <c r="J1" s="128" t="s">
        <v>611</v>
      </c>
      <c r="K1" s="157" t="s">
        <v>663</v>
      </c>
      <c r="L1" s="157" t="s">
        <v>608</v>
      </c>
      <c r="M1" s="129" t="s">
        <v>609</v>
      </c>
      <c r="N1" s="125" t="s">
        <v>170</v>
      </c>
      <c r="O1" s="125" t="s">
        <v>171</v>
      </c>
      <c r="P1" s="130" t="s">
        <v>172</v>
      </c>
      <c r="Q1" s="130" t="s">
        <v>1290</v>
      </c>
      <c r="R1" s="130" t="s">
        <v>484</v>
      </c>
      <c r="S1" s="125" t="s">
        <v>173</v>
      </c>
      <c r="T1" s="131" t="s">
        <v>488</v>
      </c>
      <c r="U1" s="125" t="s">
        <v>216</v>
      </c>
      <c r="V1" s="123" t="s">
        <v>162</v>
      </c>
      <c r="W1" s="123" t="s">
        <v>579</v>
      </c>
      <c r="X1" s="123" t="s">
        <v>492</v>
      </c>
      <c r="Y1" s="123" t="s">
        <v>581</v>
      </c>
      <c r="Z1" s="123" t="s">
        <v>580</v>
      </c>
      <c r="AA1" s="132" t="s">
        <v>565</v>
      </c>
      <c r="AB1" s="123" t="s">
        <v>585</v>
      </c>
      <c r="AC1" s="125" t="s">
        <v>238</v>
      </c>
      <c r="AD1" s="125" t="s">
        <v>641</v>
      </c>
      <c r="AE1" s="133" t="s">
        <v>239</v>
      </c>
      <c r="AF1" s="134" t="s">
        <v>554</v>
      </c>
      <c r="AG1" s="134" t="s">
        <v>555</v>
      </c>
      <c r="AH1" s="135" t="s">
        <v>570</v>
      </c>
      <c r="AI1" s="136" t="s">
        <v>217</v>
      </c>
      <c r="AJ1" s="125" t="s">
        <v>464</v>
      </c>
      <c r="AK1" s="125" t="s">
        <v>205</v>
      </c>
      <c r="AL1" s="125" t="s">
        <v>207</v>
      </c>
      <c r="AM1" s="137" t="s">
        <v>551</v>
      </c>
      <c r="AN1" s="137" t="s">
        <v>552</v>
      </c>
      <c r="AO1" s="138" t="s">
        <v>687</v>
      </c>
      <c r="AP1" s="125" t="s">
        <v>503</v>
      </c>
      <c r="AQ1" s="125" t="s">
        <v>206</v>
      </c>
      <c r="AR1" s="139" t="s">
        <v>553</v>
      </c>
      <c r="AS1" s="139" t="s">
        <v>552</v>
      </c>
      <c r="AT1" s="139" t="s">
        <v>686</v>
      </c>
      <c r="AU1" s="125" t="s">
        <v>501</v>
      </c>
      <c r="AV1" s="125" t="s">
        <v>208</v>
      </c>
      <c r="AW1" s="125" t="s">
        <v>209</v>
      </c>
      <c r="AX1" s="125" t="s">
        <v>210</v>
      </c>
      <c r="AY1" s="125" t="s">
        <v>211</v>
      </c>
      <c r="AZ1" s="139" t="s">
        <v>553</v>
      </c>
      <c r="BA1" s="139" t="s">
        <v>552</v>
      </c>
      <c r="BB1" s="139" t="s">
        <v>684</v>
      </c>
      <c r="BC1" s="125" t="s">
        <v>502</v>
      </c>
      <c r="BD1" s="125" t="s">
        <v>222</v>
      </c>
      <c r="BE1" s="125" t="s">
        <v>223</v>
      </c>
      <c r="BF1" s="125" t="s">
        <v>586</v>
      </c>
      <c r="BG1" s="139" t="s">
        <v>553</v>
      </c>
      <c r="BH1" s="139" t="s">
        <v>552</v>
      </c>
      <c r="BI1" s="140" t="s">
        <v>685</v>
      </c>
      <c r="BJ1" s="142" t="s">
        <v>587</v>
      </c>
      <c r="BK1" s="141" t="s">
        <v>844</v>
      </c>
      <c r="BL1" s="141" t="s">
        <v>843</v>
      </c>
      <c r="BM1" s="141" t="s">
        <v>845</v>
      </c>
      <c r="BN1" s="141" t="s">
        <v>846</v>
      </c>
      <c r="BO1" s="141" t="s">
        <v>847</v>
      </c>
      <c r="BP1" s="141" t="s">
        <v>853</v>
      </c>
      <c r="BQ1" s="141" t="s">
        <v>854</v>
      </c>
      <c r="BR1" s="141" t="s">
        <v>1291</v>
      </c>
      <c r="BS1" s="222" t="s">
        <v>855</v>
      </c>
      <c r="BT1" s="223" t="s">
        <v>856</v>
      </c>
      <c r="BU1" s="222" t="s">
        <v>1292</v>
      </c>
      <c r="BV1" s="222" t="s">
        <v>857</v>
      </c>
      <c r="BW1" s="222" t="s">
        <v>858</v>
      </c>
      <c r="BX1" s="222" t="s">
        <v>859</v>
      </c>
      <c r="BY1" s="223" t="s">
        <v>860</v>
      </c>
      <c r="BZ1" s="222" t="s">
        <v>861</v>
      </c>
      <c r="CA1" s="222" t="s">
        <v>862</v>
      </c>
      <c r="CB1" s="222" t="s">
        <v>863</v>
      </c>
      <c r="CC1" s="222" t="s">
        <v>864</v>
      </c>
      <c r="CD1" s="222" t="s">
        <v>865</v>
      </c>
    </row>
    <row r="2" spans="1:84" ht="12.75" customHeight="1" thickBot="1" x14ac:dyDescent="0.3">
      <c r="A2" s="15" t="s">
        <v>55</v>
      </c>
      <c r="B2" s="15" t="s">
        <v>235</v>
      </c>
      <c r="C2" s="23" t="s">
        <v>479</v>
      </c>
      <c r="D2" s="41" t="s">
        <v>469</v>
      </c>
      <c r="E2" s="23" t="s">
        <v>163</v>
      </c>
      <c r="F2" s="23" t="s">
        <v>177</v>
      </c>
      <c r="G2" s="23">
        <v>3</v>
      </c>
      <c r="H2" s="23">
        <v>1</v>
      </c>
      <c r="I2" s="85" t="s">
        <v>557</v>
      </c>
      <c r="J2">
        <v>2005</v>
      </c>
      <c r="L2" s="5">
        <f>2021-J2</f>
        <v>16</v>
      </c>
      <c r="M2" s="109" t="e">
        <f>+#REF!-L2</f>
        <v>#REF!</v>
      </c>
      <c r="N2" s="23">
        <v>88.5</v>
      </c>
      <c r="O2" s="23">
        <v>1.79</v>
      </c>
      <c r="P2" s="24">
        <f t="shared" ref="P2:P7" si="0">N2/(O2*O2)</f>
        <v>27.620860772135703</v>
      </c>
      <c r="Q2" s="24" t="s">
        <v>242</v>
      </c>
      <c r="R2" s="24" t="s">
        <v>486</v>
      </c>
      <c r="S2" s="23" t="s">
        <v>177</v>
      </c>
      <c r="T2" s="45" t="s">
        <v>242</v>
      </c>
      <c r="U2" s="23" t="s">
        <v>212</v>
      </c>
      <c r="V2" s="16">
        <v>44413</v>
      </c>
      <c r="W2" s="17">
        <v>11.9</v>
      </c>
      <c r="X2" s="17" t="s">
        <v>477</v>
      </c>
      <c r="Y2" s="17" t="s">
        <v>584</v>
      </c>
      <c r="Z2" s="96" t="s">
        <v>590</v>
      </c>
      <c r="AA2" s="98" t="s">
        <v>569</v>
      </c>
      <c r="AB2" s="17">
        <v>3</v>
      </c>
      <c r="AC2" s="23" t="s">
        <v>182</v>
      </c>
      <c r="AD2" s="23" t="s">
        <v>182</v>
      </c>
      <c r="AE2" s="36">
        <v>80</v>
      </c>
      <c r="AF2" s="94">
        <v>7.21</v>
      </c>
      <c r="AG2" s="94">
        <f>AE2*AF2</f>
        <v>576.79999999999995</v>
      </c>
      <c r="AH2" s="88">
        <f>AG2/100.75</f>
        <v>5.7250620347394534</v>
      </c>
      <c r="AI2" s="25" t="s">
        <v>242</v>
      </c>
      <c r="AJ2" s="101"/>
      <c r="AK2" s="23" t="s">
        <v>247</v>
      </c>
      <c r="AL2" s="23">
        <v>2000</v>
      </c>
      <c r="AM2" s="91">
        <v>3.2199999999999999E-2</v>
      </c>
      <c r="AN2" s="91">
        <f t="shared" ref="AN2:AN33" si="1">+AL2*AM2</f>
        <v>64.400000000000006</v>
      </c>
      <c r="AO2" s="92">
        <f t="shared" ref="AO2:AO33" si="2">+AN2/100.75</f>
        <v>0.6392059553349877</v>
      </c>
      <c r="AP2" s="23" t="s">
        <v>243</v>
      </c>
      <c r="AQ2" s="23"/>
      <c r="AR2" s="87"/>
      <c r="AS2" s="87"/>
      <c r="AT2" s="88">
        <f t="shared" ref="AT2:AT33" si="3">+AS2/100.75</f>
        <v>0</v>
      </c>
      <c r="AU2" s="23" t="s">
        <v>242</v>
      </c>
      <c r="AV2" s="44"/>
      <c r="AW2" s="23"/>
      <c r="AX2" s="44"/>
      <c r="AY2" s="44"/>
      <c r="AZ2" s="87"/>
      <c r="BA2" s="87"/>
      <c r="BB2" s="88">
        <f t="shared" ref="BB2:BB33" si="4">+BA2/100.75</f>
        <v>0</v>
      </c>
      <c r="BC2" s="23" t="s">
        <v>242</v>
      </c>
      <c r="BD2" s="23"/>
      <c r="BE2" s="23"/>
      <c r="BI2" s="90">
        <f t="shared" ref="BI2:BI33" si="5">+BH2/100.75</f>
        <v>0</v>
      </c>
      <c r="BJ2" s="26">
        <f>COUNTIF(AP2:BI2,"SI")</f>
        <v>1</v>
      </c>
      <c r="BK2" s="26">
        <v>0</v>
      </c>
      <c r="BL2" s="26" t="s">
        <v>848</v>
      </c>
      <c r="BM2" s="26">
        <v>160</v>
      </c>
      <c r="BN2" s="26">
        <v>80</v>
      </c>
      <c r="BO2" s="26">
        <v>105</v>
      </c>
      <c r="BP2" s="26">
        <v>0</v>
      </c>
      <c r="BQ2" s="26">
        <v>1</v>
      </c>
      <c r="BR2" s="224">
        <v>103</v>
      </c>
      <c r="BS2" s="225">
        <v>2</v>
      </c>
      <c r="BT2" s="230" t="s">
        <v>1075</v>
      </c>
      <c r="BU2" s="227">
        <v>92351398</v>
      </c>
      <c r="BV2" s="228">
        <v>44413</v>
      </c>
      <c r="BW2" s="225">
        <v>11.9</v>
      </c>
      <c r="BX2" s="226"/>
      <c r="BY2" s="226"/>
      <c r="BZ2" s="226"/>
      <c r="CA2" s="226"/>
      <c r="CB2" s="226"/>
      <c r="CC2" s="226"/>
      <c r="CD2" s="225">
        <v>465907912806</v>
      </c>
      <c r="CE2" s="225">
        <v>0</v>
      </c>
    </row>
    <row r="3" spans="1:84" ht="12.75" customHeight="1" thickBot="1" x14ac:dyDescent="0.3">
      <c r="A3" s="15" t="s">
        <v>255</v>
      </c>
      <c r="B3" s="23" t="s">
        <v>256</v>
      </c>
      <c r="C3" s="23" t="s">
        <v>482</v>
      </c>
      <c r="D3" s="41" t="s">
        <v>471</v>
      </c>
      <c r="E3" s="23" t="s">
        <v>163</v>
      </c>
      <c r="F3" s="27" t="s">
        <v>483</v>
      </c>
      <c r="G3" s="23">
        <v>2</v>
      </c>
      <c r="H3" s="23">
        <v>1</v>
      </c>
      <c r="I3" s="85" t="s">
        <v>557</v>
      </c>
      <c r="J3" s="110">
        <v>1981</v>
      </c>
      <c r="K3" s="33"/>
      <c r="L3" s="5">
        <f t="shared" ref="L3:L9" si="6">2021-J3</f>
        <v>40</v>
      </c>
      <c r="M3" s="109" t="e">
        <f>+#REF!-L3</f>
        <v>#REF!</v>
      </c>
      <c r="N3" s="23">
        <v>80</v>
      </c>
      <c r="O3" s="23">
        <v>1.6</v>
      </c>
      <c r="P3" s="24">
        <f t="shared" si="0"/>
        <v>31.249999999999993</v>
      </c>
      <c r="Q3" s="24" t="s">
        <v>242</v>
      </c>
      <c r="R3" s="24" t="s">
        <v>487</v>
      </c>
      <c r="S3" s="23" t="s">
        <v>243</v>
      </c>
      <c r="T3" s="45" t="s">
        <v>242</v>
      </c>
      <c r="U3" s="23"/>
      <c r="V3" s="18">
        <v>44364</v>
      </c>
      <c r="W3" s="15">
        <v>6.1</v>
      </c>
      <c r="X3" s="15" t="s">
        <v>474</v>
      </c>
      <c r="Y3" s="15" t="s">
        <v>582</v>
      </c>
      <c r="Z3" s="97" t="s">
        <v>505</v>
      </c>
      <c r="AA3" s="99" t="s">
        <v>566</v>
      </c>
      <c r="AB3" s="15">
        <v>1</v>
      </c>
      <c r="AC3" s="23" t="s">
        <v>245</v>
      </c>
      <c r="AD3" s="23" t="s">
        <v>642</v>
      </c>
      <c r="AE3" s="36">
        <v>4</v>
      </c>
      <c r="AF3" s="94">
        <v>15.6</v>
      </c>
      <c r="AG3" s="94">
        <f t="shared" ref="AG3:AG34" si="7">+AE3*AF3</f>
        <v>62.4</v>
      </c>
      <c r="AH3" s="88">
        <f t="shared" ref="AH3:AH34" si="8">+AG3/100.75</f>
        <v>0.61935483870967745</v>
      </c>
      <c r="AI3" s="25" t="s">
        <v>242</v>
      </c>
      <c r="AJ3" s="23"/>
      <c r="AK3" s="44" t="s">
        <v>179</v>
      </c>
      <c r="AL3" s="23"/>
      <c r="AM3" s="91">
        <v>3.2199999999999999E-2</v>
      </c>
      <c r="AN3" s="91">
        <f t="shared" si="1"/>
        <v>0</v>
      </c>
      <c r="AO3" s="92">
        <f t="shared" si="2"/>
        <v>0</v>
      </c>
      <c r="AP3" s="23" t="s">
        <v>242</v>
      </c>
      <c r="AQ3" s="23"/>
      <c r="AR3" s="87"/>
      <c r="AS3" s="87"/>
      <c r="AT3" s="88">
        <f t="shared" si="3"/>
        <v>0</v>
      </c>
      <c r="AU3" s="23" t="s">
        <v>242</v>
      </c>
      <c r="AV3" s="44"/>
      <c r="AW3" s="23"/>
      <c r="AX3" s="44"/>
      <c r="AY3" s="44"/>
      <c r="AZ3" s="87"/>
      <c r="BA3" s="87"/>
      <c r="BB3" s="88">
        <f t="shared" si="4"/>
        <v>0</v>
      </c>
      <c r="BC3" s="23" t="s">
        <v>242</v>
      </c>
      <c r="BD3" s="23"/>
      <c r="BE3" s="23"/>
      <c r="BI3" s="90">
        <f t="shared" si="5"/>
        <v>0</v>
      </c>
      <c r="BJ3" s="26">
        <v>0</v>
      </c>
      <c r="BK3" s="26">
        <v>1</v>
      </c>
      <c r="BL3" s="26" t="s">
        <v>850</v>
      </c>
      <c r="BM3" s="26">
        <v>140</v>
      </c>
      <c r="BN3" s="26">
        <v>60</v>
      </c>
      <c r="BO3" s="26">
        <v>126</v>
      </c>
      <c r="BP3" s="26">
        <v>0</v>
      </c>
      <c r="BQ3" s="26">
        <v>1</v>
      </c>
      <c r="BR3" s="26">
        <v>1</v>
      </c>
      <c r="BS3" s="225">
        <v>1</v>
      </c>
      <c r="BT3" s="230" t="s">
        <v>867</v>
      </c>
      <c r="BU3" s="227">
        <v>4190177</v>
      </c>
      <c r="BV3" s="228">
        <v>44364</v>
      </c>
      <c r="BW3" s="225">
        <v>6.9</v>
      </c>
      <c r="BX3" s="226"/>
      <c r="BY3" s="226"/>
      <c r="BZ3" s="226"/>
      <c r="CA3" s="226"/>
      <c r="CB3" s="226"/>
      <c r="CC3" s="225">
        <v>150851493201</v>
      </c>
      <c r="CD3" s="225">
        <v>0</v>
      </c>
    </row>
    <row r="4" spans="1:84" ht="12.75" customHeight="1" thickBot="1" x14ac:dyDescent="0.3">
      <c r="A4" s="15" t="s">
        <v>257</v>
      </c>
      <c r="B4" s="23" t="s">
        <v>258</v>
      </c>
      <c r="C4" s="23" t="s">
        <v>482</v>
      </c>
      <c r="D4" s="41" t="s">
        <v>470</v>
      </c>
      <c r="E4" s="23" t="s">
        <v>163</v>
      </c>
      <c r="F4" s="23" t="s">
        <v>179</v>
      </c>
      <c r="G4" s="23">
        <v>2</v>
      </c>
      <c r="H4" s="23">
        <v>3</v>
      </c>
      <c r="I4" s="85" t="s">
        <v>559</v>
      </c>
      <c r="J4" s="110">
        <v>1995</v>
      </c>
      <c r="K4" s="33"/>
      <c r="L4" s="5">
        <f t="shared" si="6"/>
        <v>26</v>
      </c>
      <c r="M4" s="109" t="e">
        <f>+#REF!-L4</f>
        <v>#REF!</v>
      </c>
      <c r="N4" s="23">
        <v>104.5</v>
      </c>
      <c r="O4" s="23">
        <v>1.71</v>
      </c>
      <c r="P4" s="24">
        <f t="shared" si="0"/>
        <v>35.737491877842757</v>
      </c>
      <c r="Q4" s="24" t="s">
        <v>242</v>
      </c>
      <c r="R4" s="24" t="s">
        <v>487</v>
      </c>
      <c r="S4" s="23" t="s">
        <v>177</v>
      </c>
      <c r="T4" s="45" t="s">
        <v>243</v>
      </c>
      <c r="U4" s="23">
        <v>30</v>
      </c>
      <c r="V4" s="16">
        <v>44413</v>
      </c>
      <c r="W4" s="17">
        <v>10.3</v>
      </c>
      <c r="X4" s="17" t="s">
        <v>476</v>
      </c>
      <c r="Y4" s="17" t="s">
        <v>584</v>
      </c>
      <c r="Z4" s="96" t="s">
        <v>590</v>
      </c>
      <c r="AA4" s="98" t="s">
        <v>569</v>
      </c>
      <c r="AB4" s="17">
        <v>2</v>
      </c>
      <c r="AC4" s="23" t="s">
        <v>244</v>
      </c>
      <c r="AD4" s="23" t="s">
        <v>642</v>
      </c>
      <c r="AE4" s="36">
        <v>99</v>
      </c>
      <c r="AF4" s="94">
        <v>14.66</v>
      </c>
      <c r="AG4" s="94">
        <f t="shared" si="7"/>
        <v>1451.34</v>
      </c>
      <c r="AH4" s="88">
        <f t="shared" si="8"/>
        <v>14.405359801488833</v>
      </c>
      <c r="AI4" s="25" t="s">
        <v>242</v>
      </c>
      <c r="AJ4" s="23"/>
      <c r="AK4" s="23" t="s">
        <v>247</v>
      </c>
      <c r="AL4" s="23">
        <v>2000</v>
      </c>
      <c r="AM4" s="91">
        <v>3.2199999999999999E-2</v>
      </c>
      <c r="AN4" s="91">
        <f t="shared" si="1"/>
        <v>64.400000000000006</v>
      </c>
      <c r="AO4" s="92">
        <f t="shared" si="2"/>
        <v>0.6392059553349877</v>
      </c>
      <c r="AP4" s="23" t="s">
        <v>243</v>
      </c>
      <c r="AQ4" s="23"/>
      <c r="AR4" s="87"/>
      <c r="AS4" s="87"/>
      <c r="AT4" s="88">
        <f t="shared" si="3"/>
        <v>0</v>
      </c>
      <c r="AU4" s="23" t="s">
        <v>242</v>
      </c>
      <c r="AV4" s="44"/>
      <c r="AW4" s="23"/>
      <c r="AX4" s="23" t="s">
        <v>251</v>
      </c>
      <c r="AY4" s="23">
        <v>100</v>
      </c>
      <c r="AZ4" s="87">
        <v>1.84</v>
      </c>
      <c r="BA4" s="87">
        <f>+AY4*AZ4</f>
        <v>184</v>
      </c>
      <c r="BB4" s="88">
        <f t="shared" si="4"/>
        <v>1.8263027295285359</v>
      </c>
      <c r="BC4" s="23" t="s">
        <v>243</v>
      </c>
      <c r="BD4" s="23"/>
      <c r="BE4" s="23"/>
      <c r="BI4" s="90">
        <f t="shared" si="5"/>
        <v>0</v>
      </c>
      <c r="BJ4" s="26">
        <f t="shared" ref="BJ4:BJ18" si="9">COUNTIF(AP4:BI4,"SI")</f>
        <v>2</v>
      </c>
      <c r="BK4" s="26">
        <v>1</v>
      </c>
      <c r="BL4" s="26" t="s">
        <v>850</v>
      </c>
      <c r="BM4" s="26">
        <v>130</v>
      </c>
      <c r="BN4" s="26">
        <v>70</v>
      </c>
      <c r="BO4" s="26">
        <v>127</v>
      </c>
      <c r="BP4" s="26">
        <v>0</v>
      </c>
      <c r="BQ4" s="26">
        <v>0</v>
      </c>
      <c r="BR4" s="26">
        <v>104</v>
      </c>
      <c r="BS4" s="224">
        <v>2</v>
      </c>
      <c r="BT4" s="230" t="s">
        <v>1077</v>
      </c>
      <c r="BU4" s="227">
        <v>4333764</v>
      </c>
      <c r="BV4" s="228">
        <v>44413</v>
      </c>
      <c r="BW4" s="225">
        <v>10.3</v>
      </c>
      <c r="BX4" s="228">
        <v>44930</v>
      </c>
      <c r="BY4" s="226">
        <v>9</v>
      </c>
      <c r="CA4" s="226"/>
      <c r="CB4" s="226"/>
      <c r="CC4" s="226"/>
      <c r="CD4" s="225">
        <v>150472680507</v>
      </c>
      <c r="CE4" s="225">
        <v>0</v>
      </c>
    </row>
    <row r="5" spans="1:84" ht="12.75" customHeight="1" thickBot="1" x14ac:dyDescent="0.3">
      <c r="A5" s="15" t="s">
        <v>259</v>
      </c>
      <c r="B5" s="23" t="s">
        <v>260</v>
      </c>
      <c r="C5" s="23" t="s">
        <v>480</v>
      </c>
      <c r="D5" s="41" t="s">
        <v>469</v>
      </c>
      <c r="E5" s="23" t="s">
        <v>164</v>
      </c>
      <c r="F5" s="23" t="s">
        <v>179</v>
      </c>
      <c r="G5" s="23">
        <v>1</v>
      </c>
      <c r="H5" s="23">
        <v>2</v>
      </c>
      <c r="I5" s="85" t="s">
        <v>558</v>
      </c>
      <c r="J5" s="110">
        <v>1978</v>
      </c>
      <c r="K5" s="33"/>
      <c r="L5" s="5">
        <f t="shared" si="6"/>
        <v>43</v>
      </c>
      <c r="M5" s="109" t="e">
        <f>+#REF!-L5</f>
        <v>#REF!</v>
      </c>
      <c r="N5" s="23">
        <v>67</v>
      </c>
      <c r="O5" s="23">
        <v>1.53</v>
      </c>
      <c r="P5" s="24">
        <f t="shared" si="0"/>
        <v>28.621470374642232</v>
      </c>
      <c r="Q5" s="24" t="s">
        <v>243</v>
      </c>
      <c r="R5" s="24" t="s">
        <v>486</v>
      </c>
      <c r="S5" s="23" t="s">
        <v>177</v>
      </c>
      <c r="T5" s="45" t="s">
        <v>242</v>
      </c>
      <c r="U5" s="23" t="s">
        <v>212</v>
      </c>
      <c r="V5" s="18">
        <v>44403</v>
      </c>
      <c r="W5" s="17">
        <v>7.3</v>
      </c>
      <c r="X5" s="17" t="s">
        <v>475</v>
      </c>
      <c r="Y5" s="17" t="s">
        <v>583</v>
      </c>
      <c r="Z5" s="97" t="s">
        <v>505</v>
      </c>
      <c r="AA5" s="99" t="s">
        <v>567</v>
      </c>
      <c r="AB5" s="15">
        <v>1</v>
      </c>
      <c r="AC5" s="23" t="s">
        <v>244</v>
      </c>
      <c r="AD5" s="23" t="s">
        <v>642</v>
      </c>
      <c r="AE5" s="36">
        <v>30</v>
      </c>
      <c r="AF5" s="94">
        <v>14.66</v>
      </c>
      <c r="AG5" s="94">
        <f t="shared" si="7"/>
        <v>439.8</v>
      </c>
      <c r="AH5" s="88">
        <f t="shared" si="8"/>
        <v>4.3652605459057074</v>
      </c>
      <c r="AI5" s="25" t="s">
        <v>242</v>
      </c>
      <c r="AJ5" s="23"/>
      <c r="AK5" s="23" t="s">
        <v>247</v>
      </c>
      <c r="AL5" s="23">
        <v>2000</v>
      </c>
      <c r="AM5" s="91">
        <v>3.2199999999999999E-2</v>
      </c>
      <c r="AN5" s="91">
        <f t="shared" si="1"/>
        <v>64.400000000000006</v>
      </c>
      <c r="AO5" s="92">
        <f t="shared" si="2"/>
        <v>0.6392059553349877</v>
      </c>
      <c r="AP5" s="23" t="s">
        <v>243</v>
      </c>
      <c r="AQ5" s="23" t="s">
        <v>254</v>
      </c>
      <c r="AR5" s="87">
        <v>1.069</v>
      </c>
      <c r="AS5" s="87">
        <f>+AV5*AR5</f>
        <v>128.28</v>
      </c>
      <c r="AT5" s="88">
        <f t="shared" si="3"/>
        <v>1.2732506203473946</v>
      </c>
      <c r="AU5" s="23" t="s">
        <v>243</v>
      </c>
      <c r="AV5" s="23">
        <v>120</v>
      </c>
      <c r="AW5" s="23"/>
      <c r="AX5" s="44"/>
      <c r="AY5" s="44"/>
      <c r="AZ5" s="87"/>
      <c r="BA5" s="87"/>
      <c r="BB5" s="88">
        <f t="shared" si="4"/>
        <v>0</v>
      </c>
      <c r="BC5" s="23" t="s">
        <v>242</v>
      </c>
      <c r="BD5" s="23"/>
      <c r="BE5" s="23"/>
      <c r="BI5" s="90">
        <f t="shared" si="5"/>
        <v>0</v>
      </c>
      <c r="BJ5" s="26">
        <f t="shared" si="9"/>
        <v>2</v>
      </c>
      <c r="BK5" s="26">
        <v>1</v>
      </c>
      <c r="BL5" s="26" t="s">
        <v>848</v>
      </c>
      <c r="BM5" s="26">
        <v>120</v>
      </c>
      <c r="BN5" s="26">
        <v>62</v>
      </c>
      <c r="BO5" s="26">
        <v>100</v>
      </c>
      <c r="BP5" s="26">
        <v>0</v>
      </c>
      <c r="BQ5" s="26">
        <v>0</v>
      </c>
      <c r="BR5" s="26">
        <v>2</v>
      </c>
      <c r="BS5" s="225">
        <v>1</v>
      </c>
      <c r="BT5" s="230" t="s">
        <v>869</v>
      </c>
      <c r="BU5" s="227">
        <v>5724867</v>
      </c>
      <c r="BV5" s="228">
        <v>44403</v>
      </c>
      <c r="BW5" s="225">
        <v>7.3</v>
      </c>
      <c r="BX5" s="226"/>
      <c r="BY5" s="226"/>
      <c r="BZ5" s="226"/>
      <c r="CA5" s="226"/>
      <c r="CB5" s="226"/>
      <c r="CC5" s="225">
        <v>150439925302</v>
      </c>
      <c r="CD5" s="225">
        <v>0</v>
      </c>
    </row>
    <row r="6" spans="1:84" ht="12.75" customHeight="1" thickBot="1" x14ac:dyDescent="0.3">
      <c r="A6" s="15" t="s">
        <v>261</v>
      </c>
      <c r="B6" s="23" t="s">
        <v>262</v>
      </c>
      <c r="C6" s="23" t="s">
        <v>479</v>
      </c>
      <c r="D6" s="41" t="s">
        <v>469</v>
      </c>
      <c r="E6" s="23" t="s">
        <v>163</v>
      </c>
      <c r="F6" s="23" t="s">
        <v>179</v>
      </c>
      <c r="G6" s="23">
        <v>1</v>
      </c>
      <c r="H6" s="23">
        <v>1</v>
      </c>
      <c r="I6" s="85" t="s">
        <v>557</v>
      </c>
      <c r="J6" s="110">
        <v>2005</v>
      </c>
      <c r="K6" s="33"/>
      <c r="L6" s="5">
        <f t="shared" si="6"/>
        <v>16</v>
      </c>
      <c r="M6" s="109" t="e">
        <f>+#REF!-L6</f>
        <v>#REF!</v>
      </c>
      <c r="N6" s="23">
        <v>102</v>
      </c>
      <c r="O6" s="23">
        <v>1.66</v>
      </c>
      <c r="P6" s="24">
        <f t="shared" si="0"/>
        <v>37.015532007548266</v>
      </c>
      <c r="Q6" s="24" t="s">
        <v>242</v>
      </c>
      <c r="R6" s="24" t="s">
        <v>487</v>
      </c>
      <c r="S6" s="23" t="s">
        <v>243</v>
      </c>
      <c r="T6" s="45" t="s">
        <v>242</v>
      </c>
      <c r="U6" s="23"/>
      <c r="V6" s="18">
        <v>44364</v>
      </c>
      <c r="W6" s="17">
        <v>12</v>
      </c>
      <c r="X6" s="17" t="s">
        <v>477</v>
      </c>
      <c r="Y6" s="17" t="s">
        <v>584</v>
      </c>
      <c r="Z6" s="96" t="s">
        <v>590</v>
      </c>
      <c r="AA6" s="98" t="s">
        <v>569</v>
      </c>
      <c r="AB6" s="17">
        <v>3</v>
      </c>
      <c r="AC6" s="23" t="s">
        <v>244</v>
      </c>
      <c r="AD6" s="23" t="s">
        <v>642</v>
      </c>
      <c r="AE6" s="36">
        <v>30</v>
      </c>
      <c r="AF6" s="94">
        <v>14.66</v>
      </c>
      <c r="AG6" s="94">
        <f t="shared" si="7"/>
        <v>439.8</v>
      </c>
      <c r="AH6" s="88">
        <f t="shared" si="8"/>
        <v>4.3652605459057074</v>
      </c>
      <c r="AI6" s="25" t="s">
        <v>242</v>
      </c>
      <c r="AJ6" s="23"/>
      <c r="AK6" s="44" t="s">
        <v>179</v>
      </c>
      <c r="AL6" s="23"/>
      <c r="AM6" s="91">
        <v>3.2199999999999999E-2</v>
      </c>
      <c r="AN6" s="91">
        <f t="shared" si="1"/>
        <v>0</v>
      </c>
      <c r="AO6" s="92">
        <f t="shared" si="2"/>
        <v>0</v>
      </c>
      <c r="AP6" s="23" t="s">
        <v>242</v>
      </c>
      <c r="AQ6" s="23"/>
      <c r="AR6" s="87"/>
      <c r="AS6" s="87"/>
      <c r="AT6" s="88">
        <f t="shared" si="3"/>
        <v>0</v>
      </c>
      <c r="AU6" s="23" t="s">
        <v>242</v>
      </c>
      <c r="AV6" s="44"/>
      <c r="AW6" s="23"/>
      <c r="AX6" s="44"/>
      <c r="AY6" s="44"/>
      <c r="AZ6" s="87"/>
      <c r="BA6" s="87"/>
      <c r="BB6" s="88">
        <f t="shared" si="4"/>
        <v>0</v>
      </c>
      <c r="BC6" s="23" t="s">
        <v>242</v>
      </c>
      <c r="BD6" s="23"/>
      <c r="BE6" s="23"/>
      <c r="BI6" s="90">
        <f t="shared" si="5"/>
        <v>0</v>
      </c>
      <c r="BJ6" s="26">
        <f t="shared" si="9"/>
        <v>0</v>
      </c>
      <c r="BK6" s="26">
        <v>1</v>
      </c>
      <c r="BL6" s="26" t="s">
        <v>850</v>
      </c>
      <c r="BM6" s="26">
        <v>140</v>
      </c>
      <c r="BN6" s="26">
        <v>80</v>
      </c>
      <c r="BO6" s="26">
        <v>122</v>
      </c>
      <c r="BP6" s="26">
        <v>0</v>
      </c>
      <c r="BQ6" s="26">
        <v>0</v>
      </c>
      <c r="BR6" s="224">
        <v>3</v>
      </c>
      <c r="BS6" s="225">
        <v>1</v>
      </c>
      <c r="BT6" s="230" t="s">
        <v>872</v>
      </c>
      <c r="BU6" s="227">
        <v>19040664</v>
      </c>
      <c r="BV6" s="228">
        <v>44364</v>
      </c>
      <c r="BW6" s="225">
        <v>12</v>
      </c>
      <c r="BX6" s="226"/>
      <c r="BY6" s="226"/>
      <c r="BZ6" s="226"/>
      <c r="CA6" s="226"/>
      <c r="CB6" s="226"/>
      <c r="CC6" s="226"/>
      <c r="CD6" s="225">
        <v>140013727703</v>
      </c>
      <c r="CE6" s="225">
        <v>0</v>
      </c>
    </row>
    <row r="7" spans="1:84" ht="12.75" customHeight="1" thickBot="1" x14ac:dyDescent="0.3">
      <c r="A7" s="15" t="s">
        <v>263</v>
      </c>
      <c r="B7" s="23" t="s">
        <v>264</v>
      </c>
      <c r="C7" s="23" t="s">
        <v>479</v>
      </c>
      <c r="D7" s="41" t="s">
        <v>469</v>
      </c>
      <c r="E7" s="23" t="s">
        <v>163</v>
      </c>
      <c r="F7" s="23" t="s">
        <v>179</v>
      </c>
      <c r="G7" s="23">
        <v>2</v>
      </c>
      <c r="H7" s="23">
        <v>1</v>
      </c>
      <c r="I7" s="85" t="s">
        <v>557</v>
      </c>
      <c r="J7" s="110">
        <v>1999</v>
      </c>
      <c r="K7" s="33"/>
      <c r="L7" s="5">
        <f t="shared" si="6"/>
        <v>22</v>
      </c>
      <c r="M7" s="109" t="e">
        <f>+#REF!-L7</f>
        <v>#REF!</v>
      </c>
      <c r="N7" s="23">
        <v>102</v>
      </c>
      <c r="O7" s="23">
        <v>1.72</v>
      </c>
      <c r="P7" s="24">
        <f t="shared" si="0"/>
        <v>34.478096268253111</v>
      </c>
      <c r="Q7" s="24" t="s">
        <v>242</v>
      </c>
      <c r="R7" s="24" t="s">
        <v>487</v>
      </c>
      <c r="S7" s="23" t="s">
        <v>179</v>
      </c>
      <c r="T7" s="45" t="s">
        <v>242</v>
      </c>
      <c r="U7" s="23" t="s">
        <v>212</v>
      </c>
      <c r="V7" s="16">
        <v>44403</v>
      </c>
      <c r="W7" s="15">
        <v>12.1</v>
      </c>
      <c r="X7" s="17" t="s">
        <v>477</v>
      </c>
      <c r="Y7" s="17" t="s">
        <v>584</v>
      </c>
      <c r="Z7" s="96" t="s">
        <v>590</v>
      </c>
      <c r="AA7" s="98" t="s">
        <v>569</v>
      </c>
      <c r="AB7" s="17">
        <v>3</v>
      </c>
      <c r="AC7" s="23" t="s">
        <v>244</v>
      </c>
      <c r="AD7" s="23" t="s">
        <v>642</v>
      </c>
      <c r="AE7" s="36">
        <v>50</v>
      </c>
      <c r="AF7" s="94">
        <v>14.66</v>
      </c>
      <c r="AG7" s="94">
        <f t="shared" si="7"/>
        <v>733</v>
      </c>
      <c r="AH7" s="88">
        <f t="shared" si="8"/>
        <v>7.2754342431761785</v>
      </c>
      <c r="AI7" s="25" t="s">
        <v>242</v>
      </c>
      <c r="AJ7" s="23"/>
      <c r="AK7" s="23" t="s">
        <v>247</v>
      </c>
      <c r="AL7" s="23">
        <v>1000</v>
      </c>
      <c r="AM7" s="91">
        <v>3.2199999999999999E-2</v>
      </c>
      <c r="AN7" s="91">
        <f t="shared" si="1"/>
        <v>32.200000000000003</v>
      </c>
      <c r="AO7" s="92">
        <f t="shared" si="2"/>
        <v>0.31960297766749385</v>
      </c>
      <c r="AP7" s="23" t="s">
        <v>243</v>
      </c>
      <c r="AQ7" s="23" t="s">
        <v>194</v>
      </c>
      <c r="AR7" s="87">
        <v>13.41</v>
      </c>
      <c r="AS7" s="87">
        <f>+AR7*AV7</f>
        <v>26.82</v>
      </c>
      <c r="AT7" s="88">
        <f t="shared" si="3"/>
        <v>0.26620347394540944</v>
      </c>
      <c r="AU7" s="23" t="s">
        <v>243</v>
      </c>
      <c r="AV7" s="23">
        <v>2</v>
      </c>
      <c r="AW7" s="23"/>
      <c r="AX7" s="44"/>
      <c r="AY7" s="44"/>
      <c r="AZ7" s="87"/>
      <c r="BA7" s="87"/>
      <c r="BB7" s="88">
        <f t="shared" si="4"/>
        <v>0</v>
      </c>
      <c r="BC7" s="23" t="s">
        <v>242</v>
      </c>
      <c r="BD7" s="23"/>
      <c r="BE7" s="23"/>
      <c r="BI7" s="90">
        <f t="shared" si="5"/>
        <v>0</v>
      </c>
      <c r="BJ7" s="26">
        <f t="shared" si="9"/>
        <v>2</v>
      </c>
      <c r="BK7" s="26">
        <v>0</v>
      </c>
      <c r="BL7" s="26" t="s">
        <v>850</v>
      </c>
      <c r="BM7" s="26">
        <v>136</v>
      </c>
      <c r="BN7" s="26">
        <v>70</v>
      </c>
      <c r="BO7" s="26">
        <v>121</v>
      </c>
      <c r="BP7" s="26">
        <v>0</v>
      </c>
      <c r="BQ7" s="26">
        <v>1</v>
      </c>
      <c r="BR7" s="224">
        <v>4</v>
      </c>
      <c r="BS7" s="225">
        <v>2</v>
      </c>
      <c r="BT7" s="230" t="s">
        <v>874</v>
      </c>
      <c r="BU7" s="227">
        <v>11490053</v>
      </c>
      <c r="BV7" s="228">
        <v>44403</v>
      </c>
      <c r="BW7" s="225">
        <v>12.1</v>
      </c>
      <c r="BX7" s="226"/>
      <c r="BY7" s="226"/>
      <c r="BZ7" s="226"/>
      <c r="CA7" s="226"/>
      <c r="CB7" s="226"/>
      <c r="CC7" s="226"/>
      <c r="CD7" s="225">
        <v>150572055001</v>
      </c>
    </row>
    <row r="8" spans="1:84" ht="12.75" customHeight="1" thickBot="1" x14ac:dyDescent="0.3">
      <c r="A8" s="15" t="s">
        <v>265</v>
      </c>
      <c r="B8" s="23" t="s">
        <v>266</v>
      </c>
      <c r="C8" s="23" t="s">
        <v>482</v>
      </c>
      <c r="D8" s="41" t="s">
        <v>470</v>
      </c>
      <c r="E8" s="23" t="s">
        <v>164</v>
      </c>
      <c r="F8" s="23" t="s">
        <v>177</v>
      </c>
      <c r="G8" s="23">
        <v>2</v>
      </c>
      <c r="H8" s="23">
        <v>2</v>
      </c>
      <c r="I8" s="23" t="s">
        <v>558</v>
      </c>
      <c r="J8" s="110">
        <v>2009</v>
      </c>
      <c r="K8" s="33"/>
      <c r="L8">
        <f t="shared" si="6"/>
        <v>12</v>
      </c>
      <c r="M8" s="109" t="e">
        <f>+#REF!-L8</f>
        <v>#REF!</v>
      </c>
      <c r="N8" s="23">
        <v>80</v>
      </c>
      <c r="O8" s="23">
        <v>1.64</v>
      </c>
      <c r="P8" s="24">
        <f t="shared" ref="P8:P25" si="10">N8/(O8*O8)</f>
        <v>29.744199881023206</v>
      </c>
      <c r="Q8" s="24" t="s">
        <v>243</v>
      </c>
      <c r="R8" s="24" t="s">
        <v>486</v>
      </c>
      <c r="S8" s="23" t="s">
        <v>177</v>
      </c>
      <c r="T8" s="45" t="s">
        <v>242</v>
      </c>
      <c r="U8" s="23" t="s">
        <v>212</v>
      </c>
      <c r="V8" s="18">
        <v>44413</v>
      </c>
      <c r="W8" s="17">
        <v>9.6</v>
      </c>
      <c r="X8" s="17" t="s">
        <v>476</v>
      </c>
      <c r="Y8" s="17" t="s">
        <v>584</v>
      </c>
      <c r="Z8" s="17" t="s">
        <v>506</v>
      </c>
      <c r="AA8" s="17" t="s">
        <v>569</v>
      </c>
      <c r="AB8" s="17">
        <v>2</v>
      </c>
      <c r="AC8" s="23" t="s">
        <v>182</v>
      </c>
      <c r="AD8" s="23" t="s">
        <v>182</v>
      </c>
      <c r="AE8" s="23">
        <v>70</v>
      </c>
      <c r="AF8" s="87">
        <v>7.21</v>
      </c>
      <c r="AG8" s="87">
        <f t="shared" si="7"/>
        <v>504.7</v>
      </c>
      <c r="AH8" s="87">
        <f t="shared" si="8"/>
        <v>5.009429280397022</v>
      </c>
      <c r="AI8" s="25" t="s">
        <v>243</v>
      </c>
      <c r="AJ8" s="23">
        <v>10</v>
      </c>
      <c r="AK8" s="23" t="s">
        <v>247</v>
      </c>
      <c r="AL8" s="23">
        <v>2000</v>
      </c>
      <c r="AM8" s="237">
        <v>3.2199999999999999E-2</v>
      </c>
      <c r="AN8" s="237">
        <f t="shared" si="1"/>
        <v>64.400000000000006</v>
      </c>
      <c r="AO8" s="237">
        <f t="shared" si="2"/>
        <v>0.6392059553349877</v>
      </c>
      <c r="AP8" s="23" t="s">
        <v>243</v>
      </c>
      <c r="AQ8" s="23"/>
      <c r="AR8" s="87"/>
      <c r="AS8" s="87"/>
      <c r="AT8" s="87">
        <f t="shared" si="3"/>
        <v>0</v>
      </c>
      <c r="AU8" s="23" t="s">
        <v>242</v>
      </c>
      <c r="AV8" s="23"/>
      <c r="AW8" s="23"/>
      <c r="AX8" s="23" t="s">
        <v>249</v>
      </c>
      <c r="AY8" s="23">
        <v>100</v>
      </c>
      <c r="AZ8" s="87">
        <v>5.4</v>
      </c>
      <c r="BA8" s="87">
        <f>+AY8*AZ8</f>
        <v>540</v>
      </c>
      <c r="BB8" s="87">
        <f t="shared" si="4"/>
        <v>5.3598014888337469</v>
      </c>
      <c r="BC8" s="23" t="s">
        <v>243</v>
      </c>
      <c r="BD8" s="23"/>
      <c r="BE8" s="23"/>
      <c r="BI8" s="89">
        <f t="shared" si="5"/>
        <v>0</v>
      </c>
      <c r="BJ8" s="26">
        <f t="shared" si="9"/>
        <v>2</v>
      </c>
      <c r="BK8" s="26">
        <v>0</v>
      </c>
      <c r="BL8" s="26" t="s">
        <v>848</v>
      </c>
      <c r="BM8" s="26">
        <v>150</v>
      </c>
      <c r="BN8" s="26">
        <v>90</v>
      </c>
      <c r="BO8" s="26">
        <v>106</v>
      </c>
      <c r="BP8" s="26">
        <v>0</v>
      </c>
      <c r="BQ8" s="26">
        <v>0</v>
      </c>
      <c r="BR8" s="224">
        <v>105</v>
      </c>
      <c r="BS8" s="225">
        <v>1</v>
      </c>
      <c r="BT8" s="230" t="s">
        <v>1079</v>
      </c>
      <c r="BU8" s="225">
        <v>4767396</v>
      </c>
      <c r="BV8" s="228">
        <v>44413</v>
      </c>
      <c r="BW8" s="225">
        <v>9.6</v>
      </c>
      <c r="BX8" s="228">
        <v>44951</v>
      </c>
      <c r="BY8" s="226">
        <v>5</v>
      </c>
      <c r="CA8" s="226"/>
      <c r="CB8" s="226"/>
      <c r="CC8" s="226"/>
      <c r="CD8" s="225">
        <v>150146117901</v>
      </c>
      <c r="CE8" s="225">
        <v>0</v>
      </c>
    </row>
    <row r="9" spans="1:84" ht="12.75" customHeight="1" thickBot="1" x14ac:dyDescent="0.3">
      <c r="A9" s="15" t="s">
        <v>267</v>
      </c>
      <c r="B9" s="23" t="s">
        <v>268</v>
      </c>
      <c r="C9" s="23" t="s">
        <v>480</v>
      </c>
      <c r="D9" s="41" t="s">
        <v>469</v>
      </c>
      <c r="E9" s="23" t="s">
        <v>163</v>
      </c>
      <c r="F9" s="23" t="s">
        <v>179</v>
      </c>
      <c r="G9" s="23">
        <v>4</v>
      </c>
      <c r="H9" s="23">
        <v>2</v>
      </c>
      <c r="I9" s="85" t="s">
        <v>558</v>
      </c>
      <c r="J9" s="33">
        <v>2003</v>
      </c>
      <c r="K9" s="33"/>
      <c r="L9" s="5">
        <f t="shared" si="6"/>
        <v>18</v>
      </c>
      <c r="M9" s="109" t="e">
        <f>+#REF!-L9</f>
        <v>#REF!</v>
      </c>
      <c r="N9" s="23">
        <v>100.5</v>
      </c>
      <c r="O9" s="23">
        <v>1.69</v>
      </c>
      <c r="P9" s="24">
        <f t="shared" si="10"/>
        <v>35.187843562900461</v>
      </c>
      <c r="Q9" s="24" t="s">
        <v>242</v>
      </c>
      <c r="R9" s="24" t="s">
        <v>487</v>
      </c>
      <c r="S9" s="23" t="s">
        <v>179</v>
      </c>
      <c r="T9" s="45" t="s">
        <v>243</v>
      </c>
      <c r="U9" s="23" t="s">
        <v>212</v>
      </c>
      <c r="V9" s="16">
        <v>44371</v>
      </c>
      <c r="W9" s="15">
        <v>10.7</v>
      </c>
      <c r="X9" s="17" t="s">
        <v>476</v>
      </c>
      <c r="Y9" s="17" t="s">
        <v>584</v>
      </c>
      <c r="Z9" s="96" t="s">
        <v>590</v>
      </c>
      <c r="AA9" s="98" t="s">
        <v>569</v>
      </c>
      <c r="AB9" s="17">
        <v>2</v>
      </c>
      <c r="AC9" s="23" t="s">
        <v>250</v>
      </c>
      <c r="AD9" s="23" t="s">
        <v>642</v>
      </c>
      <c r="AE9" s="36">
        <v>50</v>
      </c>
      <c r="AF9" s="94">
        <v>13.54</v>
      </c>
      <c r="AG9" s="94">
        <f t="shared" si="7"/>
        <v>677</v>
      </c>
      <c r="AH9" s="88">
        <f t="shared" si="8"/>
        <v>6.7196029776674937</v>
      </c>
      <c r="AI9" s="25" t="s">
        <v>243</v>
      </c>
      <c r="AJ9" s="23">
        <v>15</v>
      </c>
      <c r="AK9" s="23" t="s">
        <v>247</v>
      </c>
      <c r="AL9" s="23">
        <v>2550</v>
      </c>
      <c r="AM9" s="91">
        <v>3.2199999999999999E-2</v>
      </c>
      <c r="AN9" s="91">
        <f t="shared" si="1"/>
        <v>82.11</v>
      </c>
      <c r="AO9" s="92">
        <f t="shared" si="2"/>
        <v>0.81498759305210922</v>
      </c>
      <c r="AP9" s="23" t="s">
        <v>243</v>
      </c>
      <c r="AQ9" s="23"/>
      <c r="AR9" s="87"/>
      <c r="AS9" s="87"/>
      <c r="AT9" s="88">
        <f t="shared" si="3"/>
        <v>0</v>
      </c>
      <c r="AU9" s="23" t="s">
        <v>242</v>
      </c>
      <c r="AV9" s="44"/>
      <c r="AW9" s="23"/>
      <c r="AX9" s="23" t="s">
        <v>249</v>
      </c>
      <c r="AY9" s="23">
        <v>100</v>
      </c>
      <c r="AZ9" s="87">
        <v>5.4</v>
      </c>
      <c r="BA9" s="87">
        <f>+AY9*AZ9</f>
        <v>540</v>
      </c>
      <c r="BB9" s="88">
        <f t="shared" si="4"/>
        <v>5.3598014888337469</v>
      </c>
      <c r="BC9" s="23" t="s">
        <v>243</v>
      </c>
      <c r="BD9" s="23"/>
      <c r="BE9" s="23"/>
      <c r="BI9" s="90">
        <f t="shared" si="5"/>
        <v>0</v>
      </c>
      <c r="BJ9" s="26">
        <f t="shared" si="9"/>
        <v>2</v>
      </c>
      <c r="BK9" s="26">
        <v>0</v>
      </c>
      <c r="BL9" s="26" t="s">
        <v>850</v>
      </c>
      <c r="BM9" s="26">
        <v>160</v>
      </c>
      <c r="BN9" s="26">
        <v>90</v>
      </c>
      <c r="BO9" s="26">
        <v>122</v>
      </c>
      <c r="BP9" s="26">
        <v>0</v>
      </c>
      <c r="BQ9" s="26">
        <v>0</v>
      </c>
      <c r="BR9" s="225">
        <v>5</v>
      </c>
      <c r="BS9" s="226">
        <v>2</v>
      </c>
      <c r="BT9" s="230" t="s">
        <v>876</v>
      </c>
      <c r="BU9" s="227">
        <v>8706965</v>
      </c>
      <c r="BV9" s="228">
        <v>44371</v>
      </c>
      <c r="BW9" s="225">
        <v>10.7</v>
      </c>
      <c r="BX9" s="228">
        <v>44956</v>
      </c>
      <c r="BY9" s="230">
        <v>5.4</v>
      </c>
      <c r="BZ9" s="226"/>
      <c r="CA9" s="226"/>
      <c r="CB9" s="226"/>
      <c r="CC9" s="225">
        <v>150610112101</v>
      </c>
      <c r="CD9" s="225">
        <v>0</v>
      </c>
    </row>
    <row r="10" spans="1:84" ht="12.75" customHeight="1" thickBot="1" x14ac:dyDescent="0.3">
      <c r="A10" s="15" t="s">
        <v>269</v>
      </c>
      <c r="B10" s="15" t="s">
        <v>270</v>
      </c>
      <c r="C10" s="23" t="s">
        <v>482</v>
      </c>
      <c r="D10" s="41" t="s">
        <v>470</v>
      </c>
      <c r="E10" s="23" t="s">
        <v>163</v>
      </c>
      <c r="F10" s="23" t="s">
        <v>179</v>
      </c>
      <c r="G10" s="23">
        <v>4</v>
      </c>
      <c r="H10" s="23">
        <v>3</v>
      </c>
      <c r="I10" s="85" t="s">
        <v>559</v>
      </c>
      <c r="L10" s="5"/>
      <c r="M10" s="109" t="s">
        <v>610</v>
      </c>
      <c r="N10" s="23">
        <v>106</v>
      </c>
      <c r="O10" s="23">
        <v>1.65</v>
      </c>
      <c r="P10" s="24">
        <f t="shared" si="10"/>
        <v>38.934802571166209</v>
      </c>
      <c r="Q10" s="24" t="s">
        <v>242</v>
      </c>
      <c r="R10" s="24" t="s">
        <v>487</v>
      </c>
      <c r="S10" s="23" t="s">
        <v>177</v>
      </c>
      <c r="T10" s="45" t="s">
        <v>242</v>
      </c>
      <c r="U10" s="23" t="s">
        <v>212</v>
      </c>
      <c r="V10" s="18">
        <v>44413</v>
      </c>
      <c r="W10" s="17">
        <v>7.7</v>
      </c>
      <c r="X10" s="17" t="s">
        <v>475</v>
      </c>
      <c r="Y10" s="17" t="s">
        <v>583</v>
      </c>
      <c r="Z10" s="96" t="s">
        <v>506</v>
      </c>
      <c r="AA10" s="98" t="s">
        <v>568</v>
      </c>
      <c r="AB10" s="17">
        <v>2</v>
      </c>
      <c r="AC10" s="23" t="s">
        <v>245</v>
      </c>
      <c r="AD10" s="23" t="s">
        <v>642</v>
      </c>
      <c r="AE10" s="37">
        <v>90</v>
      </c>
      <c r="AF10" s="94">
        <v>13.54</v>
      </c>
      <c r="AG10" s="94">
        <f t="shared" si="7"/>
        <v>1218.5999999999999</v>
      </c>
      <c r="AH10" s="88">
        <f t="shared" si="8"/>
        <v>12.095285359801489</v>
      </c>
      <c r="AI10" s="25" t="s">
        <v>242</v>
      </c>
      <c r="AJ10" s="23"/>
      <c r="AK10" s="23" t="s">
        <v>247</v>
      </c>
      <c r="AL10" s="23">
        <v>1000</v>
      </c>
      <c r="AM10" s="91">
        <v>3.2199999999999999E-2</v>
      </c>
      <c r="AN10" s="91">
        <f t="shared" si="1"/>
        <v>32.200000000000003</v>
      </c>
      <c r="AO10" s="92">
        <f t="shared" si="2"/>
        <v>0.31960297766749385</v>
      </c>
      <c r="AP10" s="23" t="s">
        <v>243</v>
      </c>
      <c r="AQ10" s="23" t="s">
        <v>246</v>
      </c>
      <c r="AR10" s="87">
        <v>13.41</v>
      </c>
      <c r="AS10" s="87">
        <f>+AR10*AV10</f>
        <v>53.64</v>
      </c>
      <c r="AT10" s="88">
        <f t="shared" si="3"/>
        <v>0.53240694789081888</v>
      </c>
      <c r="AU10" s="23" t="s">
        <v>243</v>
      </c>
      <c r="AV10" s="23">
        <v>4</v>
      </c>
      <c r="AW10" s="23"/>
      <c r="AX10" s="44"/>
      <c r="AY10" s="44"/>
      <c r="AZ10" s="87"/>
      <c r="BA10" s="87"/>
      <c r="BB10" s="88">
        <f t="shared" si="4"/>
        <v>0</v>
      </c>
      <c r="BC10" s="23" t="s">
        <v>242</v>
      </c>
      <c r="BD10" s="23"/>
      <c r="BE10" s="23"/>
      <c r="BI10" s="90">
        <f t="shared" si="5"/>
        <v>0</v>
      </c>
      <c r="BJ10" s="26">
        <f t="shared" si="9"/>
        <v>2</v>
      </c>
      <c r="BK10" s="26">
        <v>1</v>
      </c>
      <c r="BL10" s="26" t="s">
        <v>850</v>
      </c>
      <c r="BM10" s="26">
        <v>130</v>
      </c>
      <c r="BN10" s="26">
        <v>70</v>
      </c>
      <c r="BO10" s="26">
        <v>126.5</v>
      </c>
      <c r="BP10" s="26">
        <v>0</v>
      </c>
      <c r="BQ10" s="26">
        <v>0</v>
      </c>
      <c r="BR10" s="224">
        <v>106</v>
      </c>
      <c r="BS10" s="225">
        <v>1</v>
      </c>
      <c r="BT10" s="230" t="s">
        <v>1081</v>
      </c>
      <c r="BU10" s="227">
        <v>4421748</v>
      </c>
      <c r="BV10" s="228">
        <v>44413</v>
      </c>
      <c r="BW10" s="225">
        <v>7.7</v>
      </c>
      <c r="BX10" s="228">
        <v>44946</v>
      </c>
      <c r="BY10" s="226">
        <v>6.3</v>
      </c>
      <c r="CA10" s="226"/>
      <c r="CB10" s="226"/>
      <c r="CC10" s="226"/>
      <c r="CD10" s="225">
        <v>150398467303</v>
      </c>
      <c r="CE10" s="225">
        <v>0</v>
      </c>
    </row>
    <row r="11" spans="1:84" ht="12.75" customHeight="1" thickBot="1" x14ac:dyDescent="0.3">
      <c r="A11" s="15" t="s">
        <v>271</v>
      </c>
      <c r="B11" s="15" t="s">
        <v>272</v>
      </c>
      <c r="C11" s="23" t="s">
        <v>479</v>
      </c>
      <c r="D11" s="41" t="s">
        <v>469</v>
      </c>
      <c r="E11" s="23" t="s">
        <v>163</v>
      </c>
      <c r="F11" s="23" t="s">
        <v>179</v>
      </c>
      <c r="G11" s="23">
        <v>2</v>
      </c>
      <c r="H11" s="23">
        <v>1</v>
      </c>
      <c r="I11" s="85" t="s">
        <v>557</v>
      </c>
      <c r="J11">
        <v>1987</v>
      </c>
      <c r="L11" s="5">
        <f>2021-J11</f>
        <v>34</v>
      </c>
      <c r="M11" s="109" t="e">
        <f>+#REF!-L11</f>
        <v>#REF!</v>
      </c>
      <c r="N11" s="23">
        <v>84</v>
      </c>
      <c r="O11" s="23">
        <v>1.74</v>
      </c>
      <c r="P11" s="24">
        <f t="shared" si="10"/>
        <v>27.744748315497421</v>
      </c>
      <c r="Q11" s="24" t="s">
        <v>242</v>
      </c>
      <c r="R11" s="24" t="s">
        <v>486</v>
      </c>
      <c r="S11" s="23" t="s">
        <v>177</v>
      </c>
      <c r="T11" s="45" t="s">
        <v>242</v>
      </c>
      <c r="U11" s="23" t="s">
        <v>212</v>
      </c>
      <c r="V11" s="18">
        <v>44413</v>
      </c>
      <c r="W11" s="17">
        <v>10.199999999999999</v>
      </c>
      <c r="X11" s="17" t="s">
        <v>476</v>
      </c>
      <c r="Y11" s="17" t="s">
        <v>584</v>
      </c>
      <c r="Z11" s="96" t="s">
        <v>590</v>
      </c>
      <c r="AA11" s="98" t="s">
        <v>569</v>
      </c>
      <c r="AB11" s="17">
        <v>2</v>
      </c>
      <c r="AC11" s="23" t="s">
        <v>182</v>
      </c>
      <c r="AD11" s="23" t="s">
        <v>182</v>
      </c>
      <c r="AE11" s="36">
        <v>54</v>
      </c>
      <c r="AF11" s="94">
        <v>7.21</v>
      </c>
      <c r="AG11" s="94">
        <f t="shared" si="7"/>
        <v>389.34</v>
      </c>
      <c r="AH11" s="88">
        <f t="shared" si="8"/>
        <v>3.8644168734491311</v>
      </c>
      <c r="AI11" s="25" t="s">
        <v>243</v>
      </c>
      <c r="AJ11" s="23">
        <v>14</v>
      </c>
      <c r="AK11" s="23" t="s">
        <v>247</v>
      </c>
      <c r="AL11" s="23">
        <v>2000</v>
      </c>
      <c r="AM11" s="91">
        <v>3.2199999999999999E-2</v>
      </c>
      <c r="AN11" s="91">
        <f t="shared" si="1"/>
        <v>64.400000000000006</v>
      </c>
      <c r="AO11" s="92">
        <f t="shared" si="2"/>
        <v>0.6392059553349877</v>
      </c>
      <c r="AP11" s="23" t="s">
        <v>243</v>
      </c>
      <c r="AQ11" s="23"/>
      <c r="AR11" s="87"/>
      <c r="AS11" s="87"/>
      <c r="AT11" s="88">
        <f t="shared" si="3"/>
        <v>0</v>
      </c>
      <c r="AU11" s="23" t="s">
        <v>242</v>
      </c>
      <c r="AV11" s="44"/>
      <c r="AW11" s="23"/>
      <c r="AX11" s="44"/>
      <c r="AY11" s="44"/>
      <c r="AZ11" s="87"/>
      <c r="BA11" s="87"/>
      <c r="BB11" s="88">
        <f t="shared" si="4"/>
        <v>0</v>
      </c>
      <c r="BC11" s="23" t="s">
        <v>242</v>
      </c>
      <c r="BD11" s="23"/>
      <c r="BE11" s="23"/>
      <c r="BI11" s="90">
        <f t="shared" si="5"/>
        <v>0</v>
      </c>
      <c r="BJ11" s="26">
        <f t="shared" si="9"/>
        <v>1</v>
      </c>
      <c r="BK11" s="26">
        <v>1</v>
      </c>
      <c r="BL11" s="26" t="s">
        <v>850</v>
      </c>
      <c r="BM11" s="26">
        <v>140</v>
      </c>
      <c r="BN11" s="26">
        <v>90</v>
      </c>
      <c r="BO11" s="26">
        <v>109.5</v>
      </c>
      <c r="BP11" s="26">
        <v>1</v>
      </c>
      <c r="BQ11" s="26">
        <v>0</v>
      </c>
      <c r="BR11" s="224">
        <v>107</v>
      </c>
      <c r="BS11" s="225">
        <v>1</v>
      </c>
      <c r="BT11" s="230" t="s">
        <v>1083</v>
      </c>
      <c r="BU11" s="227">
        <v>11094333</v>
      </c>
      <c r="BV11" s="228">
        <v>44413</v>
      </c>
      <c r="BW11" s="225">
        <v>10.199999999999999</v>
      </c>
      <c r="BX11" s="228">
        <v>44951</v>
      </c>
      <c r="BY11" s="226">
        <v>5.7</v>
      </c>
      <c r="CA11" s="226"/>
      <c r="CB11" s="226"/>
      <c r="CC11" s="226"/>
      <c r="CD11" s="225">
        <v>150507745409</v>
      </c>
      <c r="CE11" s="225">
        <v>0</v>
      </c>
    </row>
    <row r="12" spans="1:84" ht="12.75" customHeight="1" thickBot="1" x14ac:dyDescent="0.3">
      <c r="A12" s="15" t="s">
        <v>273</v>
      </c>
      <c r="B12" s="15" t="s">
        <v>274</v>
      </c>
      <c r="C12" s="23" t="s">
        <v>480</v>
      </c>
      <c r="D12" s="41" t="s">
        <v>469</v>
      </c>
      <c r="E12" s="23" t="s">
        <v>164</v>
      </c>
      <c r="F12" s="23" t="s">
        <v>179</v>
      </c>
      <c r="G12" s="23">
        <v>3</v>
      </c>
      <c r="H12" s="23">
        <v>1</v>
      </c>
      <c r="I12" s="85" t="s">
        <v>557</v>
      </c>
      <c r="J12">
        <v>1981</v>
      </c>
      <c r="L12" s="5">
        <f>2021-J12</f>
        <v>40</v>
      </c>
      <c r="M12" s="109" t="e">
        <f>+#REF!-L12</f>
        <v>#REF!</v>
      </c>
      <c r="N12" s="23">
        <v>62</v>
      </c>
      <c r="O12" s="23">
        <v>1.54</v>
      </c>
      <c r="P12" s="24">
        <f t="shared" si="10"/>
        <v>26.14268848035082</v>
      </c>
      <c r="Q12" s="24" t="s">
        <v>243</v>
      </c>
      <c r="R12" s="24" t="s">
        <v>486</v>
      </c>
      <c r="S12" s="23" t="s">
        <v>177</v>
      </c>
      <c r="T12" s="45" t="s">
        <v>243</v>
      </c>
      <c r="U12" s="23">
        <v>13</v>
      </c>
      <c r="V12" s="18">
        <v>44385</v>
      </c>
      <c r="W12" s="15">
        <v>11.2</v>
      </c>
      <c r="X12" s="17" t="s">
        <v>477</v>
      </c>
      <c r="Y12" s="17" t="s">
        <v>584</v>
      </c>
      <c r="Z12" s="96" t="s">
        <v>590</v>
      </c>
      <c r="AA12" s="98" t="s">
        <v>569</v>
      </c>
      <c r="AB12" s="17">
        <v>3</v>
      </c>
      <c r="AC12" s="23" t="s">
        <v>244</v>
      </c>
      <c r="AD12" s="23" t="s">
        <v>642</v>
      </c>
      <c r="AE12" s="36">
        <v>21</v>
      </c>
      <c r="AF12" s="94">
        <v>14.66</v>
      </c>
      <c r="AG12" s="94">
        <f t="shared" si="7"/>
        <v>307.86</v>
      </c>
      <c r="AH12" s="88">
        <f t="shared" si="8"/>
        <v>3.0556823821339951</v>
      </c>
      <c r="AI12" s="25" t="s">
        <v>243</v>
      </c>
      <c r="AJ12" s="23" t="s">
        <v>463</v>
      </c>
      <c r="AK12" s="44" t="s">
        <v>179</v>
      </c>
      <c r="AL12" s="23"/>
      <c r="AM12" s="91">
        <v>3.2199999999999999E-2</v>
      </c>
      <c r="AN12" s="91">
        <f t="shared" si="1"/>
        <v>0</v>
      </c>
      <c r="AO12" s="92">
        <f t="shared" si="2"/>
        <v>0</v>
      </c>
      <c r="AP12" s="23" t="s">
        <v>242</v>
      </c>
      <c r="AQ12" s="23"/>
      <c r="AR12" s="87"/>
      <c r="AS12" s="87"/>
      <c r="AT12" s="88">
        <f t="shared" si="3"/>
        <v>0</v>
      </c>
      <c r="AU12" s="23" t="s">
        <v>242</v>
      </c>
      <c r="AV12" s="44"/>
      <c r="AW12" s="23"/>
      <c r="AX12" s="44"/>
      <c r="AY12" s="44"/>
      <c r="AZ12" s="87"/>
      <c r="BA12" s="87"/>
      <c r="BB12" s="88">
        <f t="shared" si="4"/>
        <v>0</v>
      </c>
      <c r="BC12" s="23" t="s">
        <v>242</v>
      </c>
      <c r="BD12" s="23"/>
      <c r="BE12" s="23"/>
      <c r="BI12" s="90">
        <f t="shared" si="5"/>
        <v>0</v>
      </c>
      <c r="BJ12" s="26">
        <f t="shared" si="9"/>
        <v>0</v>
      </c>
      <c r="BK12" s="26">
        <v>1</v>
      </c>
      <c r="BL12" s="26" t="s">
        <v>848</v>
      </c>
      <c r="BM12" s="26">
        <v>160</v>
      </c>
      <c r="BN12" s="26">
        <v>80</v>
      </c>
      <c r="BO12" s="26">
        <v>86</v>
      </c>
      <c r="BP12" s="26">
        <v>0</v>
      </c>
      <c r="BQ12" s="26">
        <v>0</v>
      </c>
      <c r="BR12" s="224">
        <v>6</v>
      </c>
      <c r="BS12" s="225">
        <v>1</v>
      </c>
      <c r="BT12" s="230" t="s">
        <v>878</v>
      </c>
      <c r="BU12" s="227">
        <v>6144967</v>
      </c>
      <c r="BV12" s="228">
        <v>44385</v>
      </c>
      <c r="BW12" s="225">
        <v>11.2</v>
      </c>
      <c r="BX12" s="226"/>
      <c r="BY12" s="226"/>
      <c r="CA12" s="226"/>
      <c r="CB12" s="226"/>
      <c r="CC12" s="225" t="s">
        <v>879</v>
      </c>
      <c r="CD12" s="225">
        <v>150445907009</v>
      </c>
      <c r="CE12" s="225">
        <v>0</v>
      </c>
    </row>
    <row r="13" spans="1:84" ht="12.75" customHeight="1" thickBot="1" x14ac:dyDescent="0.3">
      <c r="A13" s="15" t="s">
        <v>275</v>
      </c>
      <c r="B13" s="15" t="s">
        <v>276</v>
      </c>
      <c r="C13" s="23" t="s">
        <v>479</v>
      </c>
      <c r="D13" s="41" t="s">
        <v>469</v>
      </c>
      <c r="E13" s="23" t="s">
        <v>163</v>
      </c>
      <c r="F13" s="23" t="s">
        <v>179</v>
      </c>
      <c r="G13" s="23">
        <v>3</v>
      </c>
      <c r="H13" s="23">
        <v>1</v>
      </c>
      <c r="I13" s="85" t="s">
        <v>557</v>
      </c>
      <c r="J13">
        <v>1994</v>
      </c>
      <c r="L13" s="5">
        <f>2021-J13</f>
        <v>27</v>
      </c>
      <c r="M13" s="109" t="e">
        <f>+#REF!-L13</f>
        <v>#REF!</v>
      </c>
      <c r="N13" s="23">
        <v>104</v>
      </c>
      <c r="O13" s="23">
        <v>1.83</v>
      </c>
      <c r="P13" s="24">
        <f t="shared" si="10"/>
        <v>31.054973274806649</v>
      </c>
      <c r="Q13" s="24" t="s">
        <v>243</v>
      </c>
      <c r="R13" s="24" t="s">
        <v>487</v>
      </c>
      <c r="S13" s="23" t="s">
        <v>179</v>
      </c>
      <c r="T13" s="45" t="s">
        <v>242</v>
      </c>
      <c r="U13" s="23" t="s">
        <v>212</v>
      </c>
      <c r="V13" s="16">
        <v>44434</v>
      </c>
      <c r="W13" s="17">
        <v>12.3</v>
      </c>
      <c r="X13" s="17" t="s">
        <v>477</v>
      </c>
      <c r="Y13" s="17" t="s">
        <v>584</v>
      </c>
      <c r="Z13" s="96" t="s">
        <v>590</v>
      </c>
      <c r="AA13" s="98" t="s">
        <v>569</v>
      </c>
      <c r="AB13" s="17">
        <v>3</v>
      </c>
      <c r="AC13" s="23" t="s">
        <v>244</v>
      </c>
      <c r="AD13" s="23" t="s">
        <v>642</v>
      </c>
      <c r="AE13" s="36">
        <v>50</v>
      </c>
      <c r="AF13" s="94">
        <v>14.66</v>
      </c>
      <c r="AG13" s="94">
        <f t="shared" si="7"/>
        <v>733</v>
      </c>
      <c r="AH13" s="88">
        <f t="shared" si="8"/>
        <v>7.2754342431761785</v>
      </c>
      <c r="AI13" s="25" t="s">
        <v>242</v>
      </c>
      <c r="AJ13" s="23"/>
      <c r="AK13" s="44" t="s">
        <v>179</v>
      </c>
      <c r="AL13" s="23"/>
      <c r="AM13" s="91">
        <v>3.2199999999999999E-2</v>
      </c>
      <c r="AN13" s="91">
        <f t="shared" si="1"/>
        <v>0</v>
      </c>
      <c r="AO13" s="92">
        <f t="shared" si="2"/>
        <v>0</v>
      </c>
      <c r="AP13" s="23" t="s">
        <v>242</v>
      </c>
      <c r="AQ13" s="23"/>
      <c r="AR13" s="87"/>
      <c r="AS13" s="87"/>
      <c r="AT13" s="88">
        <f t="shared" si="3"/>
        <v>0</v>
      </c>
      <c r="AU13" s="23" t="s">
        <v>242</v>
      </c>
      <c r="AV13" s="44"/>
      <c r="AW13" s="23"/>
      <c r="AX13" s="30" t="s">
        <v>465</v>
      </c>
      <c r="AY13" s="30">
        <v>5</v>
      </c>
      <c r="AZ13" s="87"/>
      <c r="BA13" s="87">
        <v>540</v>
      </c>
      <c r="BB13" s="88">
        <f t="shared" si="4"/>
        <v>5.3598014888337469</v>
      </c>
      <c r="BC13" s="23" t="s">
        <v>242</v>
      </c>
      <c r="BD13" s="23"/>
      <c r="BE13" s="23"/>
      <c r="BI13" s="90">
        <f t="shared" si="5"/>
        <v>0</v>
      </c>
      <c r="BJ13" s="26">
        <f t="shared" si="9"/>
        <v>0</v>
      </c>
      <c r="BK13" s="26">
        <v>0</v>
      </c>
      <c r="BL13" s="26" t="s">
        <v>850</v>
      </c>
      <c r="BM13" s="26">
        <v>120</v>
      </c>
      <c r="BN13" s="26">
        <v>70</v>
      </c>
      <c r="BO13" s="26">
        <v>108</v>
      </c>
      <c r="BP13" s="26">
        <v>0</v>
      </c>
      <c r="BQ13" s="26">
        <v>0</v>
      </c>
      <c r="BR13" s="224">
        <v>205</v>
      </c>
      <c r="BS13" s="225">
        <v>2</v>
      </c>
      <c r="BT13" s="230" t="s">
        <v>1280</v>
      </c>
      <c r="BU13" s="227">
        <v>11714165</v>
      </c>
      <c r="BV13" s="228">
        <v>44434</v>
      </c>
      <c r="BW13" s="225">
        <v>12.3</v>
      </c>
      <c r="BX13" s="226"/>
      <c r="BY13" s="226"/>
      <c r="CA13" s="226"/>
      <c r="CB13" s="226"/>
      <c r="CC13" s="226"/>
      <c r="CD13" s="225">
        <v>1400043592404</v>
      </c>
      <c r="CE13" s="225">
        <v>0</v>
      </c>
      <c r="CF13" s="226"/>
    </row>
    <row r="14" spans="1:84" ht="12.75" customHeight="1" thickBot="1" x14ac:dyDescent="0.3">
      <c r="A14" s="15" t="s">
        <v>278</v>
      </c>
      <c r="B14" s="15" t="s">
        <v>279</v>
      </c>
      <c r="C14" s="23" t="s">
        <v>479</v>
      </c>
      <c r="D14" s="41" t="s">
        <v>469</v>
      </c>
      <c r="E14" s="23" t="s">
        <v>164</v>
      </c>
      <c r="F14" s="23" t="s">
        <v>177</v>
      </c>
      <c r="G14" s="23">
        <v>3</v>
      </c>
      <c r="H14" s="23">
        <v>2</v>
      </c>
      <c r="I14" s="85" t="s">
        <v>558</v>
      </c>
      <c r="J14">
        <v>1995</v>
      </c>
      <c r="L14" s="5">
        <f>2021-J14</f>
        <v>26</v>
      </c>
      <c r="M14" s="109" t="e">
        <f>+#REF!-L14</f>
        <v>#REF!</v>
      </c>
      <c r="N14" s="23">
        <v>90.3</v>
      </c>
      <c r="O14" s="23">
        <v>1.58</v>
      </c>
      <c r="P14" s="24">
        <f t="shared" si="10"/>
        <v>36.172087806441269</v>
      </c>
      <c r="Q14" s="24" t="s">
        <v>242</v>
      </c>
      <c r="R14" s="24" t="s">
        <v>487</v>
      </c>
      <c r="S14" s="23" t="s">
        <v>177</v>
      </c>
      <c r="T14" s="45" t="s">
        <v>243</v>
      </c>
      <c r="U14" s="23">
        <v>76</v>
      </c>
      <c r="V14" s="18">
        <v>44413</v>
      </c>
      <c r="W14" s="15">
        <v>14.6</v>
      </c>
      <c r="X14" s="17" t="s">
        <v>477</v>
      </c>
      <c r="Y14" s="17" t="s">
        <v>584</v>
      </c>
      <c r="Z14" s="96" t="s">
        <v>590</v>
      </c>
      <c r="AA14" s="98" t="s">
        <v>569</v>
      </c>
      <c r="AB14" s="17">
        <v>3</v>
      </c>
      <c r="AC14" s="23" t="s">
        <v>244</v>
      </c>
      <c r="AD14" s="23" t="s">
        <v>642</v>
      </c>
      <c r="AE14" s="36">
        <v>36</v>
      </c>
      <c r="AF14" s="94">
        <v>14.66</v>
      </c>
      <c r="AG14" s="94">
        <f t="shared" si="7"/>
        <v>527.76</v>
      </c>
      <c r="AH14" s="88">
        <f t="shared" si="8"/>
        <v>5.2383126550868484</v>
      </c>
      <c r="AI14" s="25" t="s">
        <v>243</v>
      </c>
      <c r="AJ14" s="23" t="s">
        <v>463</v>
      </c>
      <c r="AK14" s="23" t="s">
        <v>247</v>
      </c>
      <c r="AL14" s="23">
        <v>1000</v>
      </c>
      <c r="AM14" s="91">
        <v>3.2199999999999999E-2</v>
      </c>
      <c r="AN14" s="91">
        <f t="shared" si="1"/>
        <v>32.200000000000003</v>
      </c>
      <c r="AO14" s="92">
        <f t="shared" si="2"/>
        <v>0.31960297766749385</v>
      </c>
      <c r="AP14" s="23" t="s">
        <v>243</v>
      </c>
      <c r="AQ14" s="23"/>
      <c r="AR14" s="87"/>
      <c r="AS14" s="87"/>
      <c r="AT14" s="88">
        <f t="shared" si="3"/>
        <v>0</v>
      </c>
      <c r="AU14" s="23" t="s">
        <v>242</v>
      </c>
      <c r="AV14" s="44"/>
      <c r="AW14" s="23"/>
      <c r="AX14" s="44"/>
      <c r="AY14" s="44"/>
      <c r="AZ14" s="87"/>
      <c r="BA14" s="87"/>
      <c r="BB14" s="88">
        <f t="shared" si="4"/>
        <v>0</v>
      </c>
      <c r="BC14" s="23" t="s">
        <v>242</v>
      </c>
      <c r="BD14" s="23"/>
      <c r="BE14" s="23"/>
      <c r="BI14" s="90">
        <f t="shared" si="5"/>
        <v>0</v>
      </c>
      <c r="BJ14" s="26">
        <f t="shared" si="9"/>
        <v>1</v>
      </c>
      <c r="BK14" s="26">
        <v>0</v>
      </c>
      <c r="BL14" s="26" t="s">
        <v>848</v>
      </c>
      <c r="BM14" s="26">
        <v>130</v>
      </c>
      <c r="BN14" s="26">
        <v>70</v>
      </c>
      <c r="BO14" s="26">
        <v>112</v>
      </c>
      <c r="BP14" s="26">
        <v>0</v>
      </c>
      <c r="BQ14" s="26">
        <v>1</v>
      </c>
      <c r="BR14" s="224">
        <v>108</v>
      </c>
      <c r="BS14" s="225">
        <v>1</v>
      </c>
      <c r="BT14" s="230" t="s">
        <v>1085</v>
      </c>
      <c r="BU14" s="227">
        <v>11990324</v>
      </c>
      <c r="BV14" s="228">
        <v>44413</v>
      </c>
      <c r="BW14" s="225">
        <v>14.6</v>
      </c>
      <c r="BX14" s="228">
        <v>44951</v>
      </c>
      <c r="BY14" s="226">
        <v>8.8000000000000007</v>
      </c>
      <c r="CA14" s="226"/>
      <c r="CB14" s="226"/>
      <c r="CC14" s="226"/>
      <c r="CD14" s="225">
        <v>155702183401</v>
      </c>
      <c r="CE14" s="225">
        <v>0</v>
      </c>
    </row>
    <row r="15" spans="1:84" ht="12.75" customHeight="1" thickBot="1" x14ac:dyDescent="0.3">
      <c r="A15" s="15" t="s">
        <v>280</v>
      </c>
      <c r="B15" s="15" t="s">
        <v>78</v>
      </c>
      <c r="C15" s="23" t="s">
        <v>479</v>
      </c>
      <c r="D15" s="41" t="s">
        <v>469</v>
      </c>
      <c r="E15" s="23" t="s">
        <v>163</v>
      </c>
      <c r="F15" s="23" t="s">
        <v>179</v>
      </c>
      <c r="G15" s="23">
        <v>2</v>
      </c>
      <c r="H15" s="23">
        <v>2</v>
      </c>
      <c r="I15" s="85" t="s">
        <v>558</v>
      </c>
      <c r="L15" s="5"/>
      <c r="M15" s="109" t="e">
        <f>+#REF!-L15</f>
        <v>#REF!</v>
      </c>
      <c r="N15" s="23">
        <v>90.5</v>
      </c>
      <c r="O15" s="23">
        <v>1.65</v>
      </c>
      <c r="P15" s="24">
        <f t="shared" si="10"/>
        <v>33.241505968778696</v>
      </c>
      <c r="Q15" s="24" t="s">
        <v>242</v>
      </c>
      <c r="R15" s="24" t="s">
        <v>487</v>
      </c>
      <c r="S15" s="23" t="s">
        <v>177</v>
      </c>
      <c r="T15" s="45" t="s">
        <v>242</v>
      </c>
      <c r="U15" s="23" t="s">
        <v>212</v>
      </c>
      <c r="V15" s="18">
        <v>44392</v>
      </c>
      <c r="W15" s="15">
        <v>5.8</v>
      </c>
      <c r="X15" s="15" t="s">
        <v>474</v>
      </c>
      <c r="Y15" s="15" t="s">
        <v>582</v>
      </c>
      <c r="Z15" s="97" t="s">
        <v>505</v>
      </c>
      <c r="AA15" s="99" t="s">
        <v>566</v>
      </c>
      <c r="AB15" s="15">
        <v>1</v>
      </c>
      <c r="AC15" s="23" t="s">
        <v>244</v>
      </c>
      <c r="AD15" s="23" t="s">
        <v>642</v>
      </c>
      <c r="AE15" s="36">
        <v>30</v>
      </c>
      <c r="AF15" s="94">
        <v>14.66</v>
      </c>
      <c r="AG15" s="94">
        <f t="shared" si="7"/>
        <v>439.8</v>
      </c>
      <c r="AH15" s="88">
        <f t="shared" si="8"/>
        <v>4.3652605459057074</v>
      </c>
      <c r="AI15" s="25" t="s">
        <v>243</v>
      </c>
      <c r="AJ15" s="23" t="s">
        <v>463</v>
      </c>
      <c r="AK15" s="30" t="s">
        <v>247</v>
      </c>
      <c r="AL15" s="23">
        <v>1000</v>
      </c>
      <c r="AM15" s="91">
        <v>3.2199999999999999E-2</v>
      </c>
      <c r="AN15" s="91">
        <f t="shared" si="1"/>
        <v>32.200000000000003</v>
      </c>
      <c r="AO15" s="92">
        <f t="shared" si="2"/>
        <v>0.31960297766749385</v>
      </c>
      <c r="AP15" s="23" t="s">
        <v>243</v>
      </c>
      <c r="AQ15" s="23"/>
      <c r="AR15" s="87"/>
      <c r="AS15" s="87"/>
      <c r="AT15" s="88">
        <f t="shared" si="3"/>
        <v>0</v>
      </c>
      <c r="AU15" s="23" t="s">
        <v>242</v>
      </c>
      <c r="AV15" s="44"/>
      <c r="AW15" s="23"/>
      <c r="AX15" s="44"/>
      <c r="AY15" s="44"/>
      <c r="AZ15" s="87"/>
      <c r="BA15" s="87"/>
      <c r="BB15" s="88">
        <f t="shared" si="4"/>
        <v>0</v>
      </c>
      <c r="BC15" s="23" t="s">
        <v>242</v>
      </c>
      <c r="BD15" s="23"/>
      <c r="BE15" s="23"/>
      <c r="BI15" s="90">
        <f t="shared" si="5"/>
        <v>0</v>
      </c>
      <c r="BJ15" s="26">
        <f t="shared" si="9"/>
        <v>1</v>
      </c>
      <c r="BK15" s="26">
        <v>1</v>
      </c>
      <c r="BL15" s="26" t="s">
        <v>850</v>
      </c>
      <c r="BM15" s="26">
        <v>120</v>
      </c>
      <c r="BN15" s="26">
        <v>80</v>
      </c>
      <c r="BO15" s="26">
        <v>114</v>
      </c>
      <c r="BP15" s="26">
        <v>0</v>
      </c>
      <c r="BQ15" s="26">
        <v>0</v>
      </c>
      <c r="BR15" s="224">
        <v>8</v>
      </c>
      <c r="BS15" s="225">
        <v>1</v>
      </c>
      <c r="BT15" s="230" t="s">
        <v>883</v>
      </c>
      <c r="BU15" s="227">
        <v>8468292</v>
      </c>
      <c r="BV15" s="228">
        <v>44392</v>
      </c>
      <c r="BW15" s="225">
        <v>5.8</v>
      </c>
      <c r="BX15" s="228">
        <v>44642</v>
      </c>
      <c r="BY15" s="226">
        <v>5.4</v>
      </c>
      <c r="CA15" s="226"/>
      <c r="CB15" s="226"/>
      <c r="CC15" s="226"/>
      <c r="CD15" s="225">
        <v>150068682401</v>
      </c>
      <c r="CE15" s="225">
        <v>0</v>
      </c>
    </row>
    <row r="16" spans="1:84" ht="12.75" customHeight="1" thickBot="1" x14ac:dyDescent="0.3">
      <c r="A16" s="15" t="s">
        <v>281</v>
      </c>
      <c r="B16" s="15" t="s">
        <v>282</v>
      </c>
      <c r="C16" s="23" t="s">
        <v>482</v>
      </c>
      <c r="D16" s="41" t="s">
        <v>470</v>
      </c>
      <c r="E16" s="23" t="s">
        <v>164</v>
      </c>
      <c r="F16" s="23" t="s">
        <v>179</v>
      </c>
      <c r="G16" s="23">
        <v>2</v>
      </c>
      <c r="H16" s="23">
        <v>3</v>
      </c>
      <c r="I16" s="85" t="s">
        <v>559</v>
      </c>
      <c r="J16">
        <v>2002</v>
      </c>
      <c r="L16" s="5">
        <f>2021-J16</f>
        <v>19</v>
      </c>
      <c r="M16" s="109" t="e">
        <f>+#REF!-L16</f>
        <v>#REF!</v>
      </c>
      <c r="N16" s="23">
        <v>90</v>
      </c>
      <c r="O16" s="23">
        <v>1.5</v>
      </c>
      <c r="P16" s="24">
        <f t="shared" si="10"/>
        <v>40</v>
      </c>
      <c r="Q16" s="24" t="s">
        <v>242</v>
      </c>
      <c r="R16" s="24" t="s">
        <v>487</v>
      </c>
      <c r="S16" s="23" t="s">
        <v>177</v>
      </c>
      <c r="T16" s="45" t="s">
        <v>242</v>
      </c>
      <c r="U16" s="23" t="s">
        <v>212</v>
      </c>
      <c r="V16" s="18">
        <v>44413</v>
      </c>
      <c r="W16" s="17">
        <v>9</v>
      </c>
      <c r="X16" s="17" t="s">
        <v>475</v>
      </c>
      <c r="Y16" s="17" t="s">
        <v>584</v>
      </c>
      <c r="Z16" s="96" t="s">
        <v>506</v>
      </c>
      <c r="AA16" s="98" t="s">
        <v>569</v>
      </c>
      <c r="AB16" s="17">
        <v>2</v>
      </c>
      <c r="AC16" s="23" t="s">
        <v>182</v>
      </c>
      <c r="AD16" s="23" t="s">
        <v>182</v>
      </c>
      <c r="AE16" s="36">
        <v>52</v>
      </c>
      <c r="AF16" s="94">
        <v>7.21</v>
      </c>
      <c r="AG16" s="94">
        <f t="shared" si="7"/>
        <v>374.92</v>
      </c>
      <c r="AH16" s="88">
        <f t="shared" si="8"/>
        <v>3.7212903225806455</v>
      </c>
      <c r="AI16" s="25" t="s">
        <v>243</v>
      </c>
      <c r="AJ16" s="23">
        <v>12</v>
      </c>
      <c r="AK16" s="23" t="s">
        <v>247</v>
      </c>
      <c r="AL16" s="23">
        <v>1000</v>
      </c>
      <c r="AM16" s="91">
        <v>3.2199999999999999E-2</v>
      </c>
      <c r="AN16" s="91">
        <f t="shared" si="1"/>
        <v>32.200000000000003</v>
      </c>
      <c r="AO16" s="92">
        <f t="shared" si="2"/>
        <v>0.31960297766749385</v>
      </c>
      <c r="AP16" s="23" t="s">
        <v>243</v>
      </c>
      <c r="AQ16" s="23"/>
      <c r="AR16" s="87"/>
      <c r="AS16" s="87"/>
      <c r="AT16" s="88">
        <f t="shared" si="3"/>
        <v>0</v>
      </c>
      <c r="AU16" s="23" t="s">
        <v>242</v>
      </c>
      <c r="AV16" s="44"/>
      <c r="AW16" s="23"/>
      <c r="AX16" s="23" t="s">
        <v>465</v>
      </c>
      <c r="AY16" s="23">
        <v>5</v>
      </c>
      <c r="AZ16" s="87">
        <v>66.150000000000006</v>
      </c>
      <c r="BA16" s="87">
        <f>+AY16*AZ16</f>
        <v>330.75</v>
      </c>
      <c r="BB16" s="88">
        <f t="shared" si="4"/>
        <v>3.2828784119106698</v>
      </c>
      <c r="BC16" s="23" t="s">
        <v>243</v>
      </c>
      <c r="BD16" s="23"/>
      <c r="BE16" s="23"/>
      <c r="BI16" s="90">
        <f t="shared" si="5"/>
        <v>0</v>
      </c>
      <c r="BJ16" s="26">
        <f t="shared" si="9"/>
        <v>2</v>
      </c>
      <c r="BK16" s="26">
        <v>1</v>
      </c>
      <c r="BL16" s="26" t="s">
        <v>848</v>
      </c>
      <c r="BM16" s="26">
        <v>140</v>
      </c>
      <c r="BN16" s="26">
        <v>80</v>
      </c>
      <c r="BO16" s="26">
        <v>116</v>
      </c>
      <c r="BP16" s="26">
        <v>0</v>
      </c>
      <c r="BQ16" s="26">
        <v>0</v>
      </c>
      <c r="BR16" s="224">
        <v>109</v>
      </c>
      <c r="BS16" s="225">
        <v>1</v>
      </c>
      <c r="BT16" s="230" t="s">
        <v>1087</v>
      </c>
      <c r="BU16" s="227">
        <v>93167461</v>
      </c>
      <c r="BV16" s="228">
        <v>44413</v>
      </c>
      <c r="BW16" s="225">
        <v>9</v>
      </c>
      <c r="BX16" s="228">
        <v>45015</v>
      </c>
      <c r="BY16" s="226">
        <v>5.2</v>
      </c>
      <c r="CA16" s="226"/>
      <c r="CB16" s="226"/>
      <c r="CC16" s="226"/>
      <c r="CD16" s="225">
        <v>155864575700</v>
      </c>
      <c r="CE16" s="225">
        <v>0</v>
      </c>
    </row>
    <row r="17" spans="1:83" ht="12.75" customHeight="1" thickBot="1" x14ac:dyDescent="0.3">
      <c r="A17" s="15" t="s">
        <v>283</v>
      </c>
      <c r="B17" s="15" t="s">
        <v>284</v>
      </c>
      <c r="C17" s="23" t="s">
        <v>480</v>
      </c>
      <c r="D17" s="41" t="s">
        <v>469</v>
      </c>
      <c r="E17" s="23" t="s">
        <v>164</v>
      </c>
      <c r="F17" s="23" t="s">
        <v>179</v>
      </c>
      <c r="G17" s="23">
        <v>2</v>
      </c>
      <c r="H17" s="23">
        <v>2</v>
      </c>
      <c r="I17" s="85" t="s">
        <v>558</v>
      </c>
      <c r="L17" s="5"/>
      <c r="M17" s="109" t="e">
        <f>+#REF!-L17</f>
        <v>#REF!</v>
      </c>
      <c r="N17" s="23">
        <v>103</v>
      </c>
      <c r="O17" s="23">
        <v>1.63</v>
      </c>
      <c r="P17" s="24">
        <f>N17/(O17*O17)</f>
        <v>38.766984079190038</v>
      </c>
      <c r="Q17" s="24" t="s">
        <v>242</v>
      </c>
      <c r="R17" s="24" t="s">
        <v>487</v>
      </c>
      <c r="S17" s="23" t="s">
        <v>179</v>
      </c>
      <c r="T17" s="45" t="s">
        <v>242</v>
      </c>
      <c r="U17" s="23" t="s">
        <v>212</v>
      </c>
      <c r="V17" s="16">
        <v>44392</v>
      </c>
      <c r="W17" s="17">
        <v>13</v>
      </c>
      <c r="X17" s="17" t="s">
        <v>477</v>
      </c>
      <c r="Y17" s="17" t="s">
        <v>584</v>
      </c>
      <c r="Z17" s="96" t="s">
        <v>590</v>
      </c>
      <c r="AA17" s="98" t="s">
        <v>569</v>
      </c>
      <c r="AB17" s="17">
        <v>3</v>
      </c>
      <c r="AC17" s="23" t="s">
        <v>244</v>
      </c>
      <c r="AD17" s="23" t="s">
        <v>642</v>
      </c>
      <c r="AE17" s="36">
        <v>20</v>
      </c>
      <c r="AF17" s="94">
        <v>14.66</v>
      </c>
      <c r="AG17" s="94">
        <f t="shared" si="7"/>
        <v>293.2</v>
      </c>
      <c r="AH17" s="88">
        <f t="shared" si="8"/>
        <v>2.9101736972704715</v>
      </c>
      <c r="AI17" s="25" t="s">
        <v>242</v>
      </c>
      <c r="AJ17" s="23"/>
      <c r="AK17" s="30" t="s">
        <v>247</v>
      </c>
      <c r="AL17" s="23">
        <v>2000</v>
      </c>
      <c r="AM17" s="91">
        <v>3.2199999999999999E-2</v>
      </c>
      <c r="AN17" s="91">
        <f t="shared" si="1"/>
        <v>64.400000000000006</v>
      </c>
      <c r="AO17" s="92">
        <f t="shared" si="2"/>
        <v>0.6392059553349877</v>
      </c>
      <c r="AP17" s="23" t="s">
        <v>243</v>
      </c>
      <c r="AQ17" s="23"/>
      <c r="AR17" s="87"/>
      <c r="AS17" s="87"/>
      <c r="AT17" s="88">
        <f t="shared" si="3"/>
        <v>0</v>
      </c>
      <c r="AU17" s="23" t="s">
        <v>242</v>
      </c>
      <c r="AV17" s="44"/>
      <c r="AW17" s="23"/>
      <c r="AX17" s="30" t="s">
        <v>251</v>
      </c>
      <c r="AY17" s="30">
        <v>100</v>
      </c>
      <c r="AZ17" s="87">
        <v>5.4</v>
      </c>
      <c r="BA17" s="87">
        <v>184</v>
      </c>
      <c r="BB17" s="88">
        <f t="shared" si="4"/>
        <v>1.8263027295285359</v>
      </c>
      <c r="BC17" s="23" t="s">
        <v>243</v>
      </c>
      <c r="BD17" s="23"/>
      <c r="BE17" s="23"/>
      <c r="BI17" s="90">
        <f t="shared" si="5"/>
        <v>0</v>
      </c>
      <c r="BJ17" s="26">
        <f t="shared" si="9"/>
        <v>2</v>
      </c>
      <c r="BK17" s="26">
        <v>1</v>
      </c>
      <c r="BL17" s="26" t="s">
        <v>850</v>
      </c>
      <c r="BM17" s="26">
        <v>130</v>
      </c>
      <c r="BN17" s="26">
        <v>80</v>
      </c>
      <c r="BO17" s="26">
        <v>129</v>
      </c>
      <c r="BP17" s="26">
        <v>0</v>
      </c>
      <c r="BQ17" s="26">
        <v>0</v>
      </c>
      <c r="BR17" s="224">
        <v>9</v>
      </c>
      <c r="BS17" s="225">
        <v>2</v>
      </c>
      <c r="BT17" s="230" t="s">
        <v>885</v>
      </c>
      <c r="BU17" s="227">
        <v>6179049</v>
      </c>
      <c r="BV17" s="228">
        <v>44392</v>
      </c>
      <c r="BW17" s="225">
        <v>13</v>
      </c>
      <c r="BX17" s="228">
        <v>44908</v>
      </c>
      <c r="BY17" s="226">
        <v>6.5</v>
      </c>
      <c r="CA17" s="226"/>
      <c r="CB17" s="226"/>
      <c r="CC17" s="226"/>
      <c r="CD17" s="225">
        <v>155922665102</v>
      </c>
      <c r="CE17" s="225">
        <v>0</v>
      </c>
    </row>
    <row r="18" spans="1:83" ht="15" customHeight="1" thickBot="1" x14ac:dyDescent="0.3">
      <c r="A18" s="15" t="s">
        <v>285</v>
      </c>
      <c r="B18" s="15" t="s">
        <v>287</v>
      </c>
      <c r="C18" s="23" t="s">
        <v>479</v>
      </c>
      <c r="D18" s="41" t="s">
        <v>469</v>
      </c>
      <c r="E18" s="23" t="s">
        <v>164</v>
      </c>
      <c r="F18" s="23" t="s">
        <v>179</v>
      </c>
      <c r="G18" s="23">
        <v>4</v>
      </c>
      <c r="H18" s="23">
        <v>1</v>
      </c>
      <c r="I18" s="85" t="s">
        <v>557</v>
      </c>
      <c r="J18">
        <v>2004</v>
      </c>
      <c r="L18" s="5">
        <f>2021-J18</f>
        <v>17</v>
      </c>
      <c r="M18" s="109" t="e">
        <f>+#REF!-L18</f>
        <v>#REF!</v>
      </c>
      <c r="N18" s="23">
        <v>82</v>
      </c>
      <c r="O18" s="23">
        <v>1.69</v>
      </c>
      <c r="P18" s="24">
        <f t="shared" si="10"/>
        <v>28.71047932495361</v>
      </c>
      <c r="Q18" s="24" t="s">
        <v>243</v>
      </c>
      <c r="R18" s="24" t="s">
        <v>486</v>
      </c>
      <c r="S18" s="23" t="s">
        <v>219</v>
      </c>
      <c r="T18" s="45" t="s">
        <v>242</v>
      </c>
      <c r="U18" s="23" t="s">
        <v>212</v>
      </c>
      <c r="V18" s="16">
        <v>44413</v>
      </c>
      <c r="W18" s="17">
        <v>8.6999999999999993</v>
      </c>
      <c r="X18" s="17" t="s">
        <v>475</v>
      </c>
      <c r="Y18" s="17" t="s">
        <v>584</v>
      </c>
      <c r="Z18" s="96" t="s">
        <v>506</v>
      </c>
      <c r="AA18" s="98" t="s">
        <v>569</v>
      </c>
      <c r="AB18" s="17">
        <v>2</v>
      </c>
      <c r="AC18" s="23" t="s">
        <v>182</v>
      </c>
      <c r="AD18" s="23" t="s">
        <v>182</v>
      </c>
      <c r="AE18" s="36">
        <v>20</v>
      </c>
      <c r="AF18" s="94">
        <v>7.21</v>
      </c>
      <c r="AG18" s="94">
        <f t="shared" si="7"/>
        <v>144.19999999999999</v>
      </c>
      <c r="AH18" s="88">
        <f t="shared" si="8"/>
        <v>1.4312655086848634</v>
      </c>
      <c r="AI18" s="25" t="s">
        <v>242</v>
      </c>
      <c r="AJ18" s="23"/>
      <c r="AK18" s="23" t="s">
        <v>247</v>
      </c>
      <c r="AL18" s="23">
        <v>2000</v>
      </c>
      <c r="AM18" s="91">
        <v>3.2199999999999999E-2</v>
      </c>
      <c r="AN18" s="91">
        <f t="shared" si="1"/>
        <v>64.400000000000006</v>
      </c>
      <c r="AO18" s="92">
        <f t="shared" si="2"/>
        <v>0.6392059553349877</v>
      </c>
      <c r="AP18" s="23" t="s">
        <v>243</v>
      </c>
      <c r="AQ18" s="23"/>
      <c r="AR18" s="87"/>
      <c r="AS18" s="87"/>
      <c r="AT18" s="88">
        <f t="shared" si="3"/>
        <v>0</v>
      </c>
      <c r="AU18" s="23" t="s">
        <v>242</v>
      </c>
      <c r="AV18" s="44"/>
      <c r="AW18" s="23"/>
      <c r="AX18" s="44"/>
      <c r="AY18" s="44"/>
      <c r="AZ18" s="87"/>
      <c r="BA18" s="87"/>
      <c r="BB18" s="88">
        <f t="shared" si="4"/>
        <v>0</v>
      </c>
      <c r="BC18" s="23" t="s">
        <v>242</v>
      </c>
      <c r="BD18" s="23"/>
      <c r="BE18" s="23"/>
      <c r="BI18" s="90">
        <f t="shared" si="5"/>
        <v>0</v>
      </c>
      <c r="BJ18" s="26">
        <f t="shared" si="9"/>
        <v>1</v>
      </c>
      <c r="BK18" s="26">
        <v>0</v>
      </c>
      <c r="BL18" s="26" t="s">
        <v>850</v>
      </c>
      <c r="BM18" s="26">
        <v>140</v>
      </c>
      <c r="BN18" s="26">
        <v>70</v>
      </c>
      <c r="BO18" s="26">
        <v>105</v>
      </c>
      <c r="BP18" s="26">
        <v>0</v>
      </c>
      <c r="BQ18" s="26">
        <v>0</v>
      </c>
      <c r="BR18" s="224">
        <v>110</v>
      </c>
      <c r="BS18" s="225">
        <v>2</v>
      </c>
      <c r="BT18" s="230" t="s">
        <v>1089</v>
      </c>
      <c r="BU18" s="227">
        <v>11351612</v>
      </c>
      <c r="BV18" s="228">
        <v>44413</v>
      </c>
      <c r="BW18" s="225">
        <v>8.6999999999999993</v>
      </c>
      <c r="BX18" s="226"/>
      <c r="BY18" s="226"/>
      <c r="CA18" s="226"/>
      <c r="CB18" s="226"/>
      <c r="CC18" s="226"/>
      <c r="CD18" s="225">
        <v>150756949507</v>
      </c>
      <c r="CE18" s="225">
        <v>0</v>
      </c>
    </row>
    <row r="19" spans="1:83" ht="15" customHeight="1" thickBot="1" x14ac:dyDescent="0.3">
      <c r="A19" s="15" t="s">
        <v>285</v>
      </c>
      <c r="B19" s="15" t="s">
        <v>286</v>
      </c>
      <c r="C19" s="23" t="s">
        <v>479</v>
      </c>
      <c r="D19" s="41" t="s">
        <v>469</v>
      </c>
      <c r="E19" s="23" t="s">
        <v>163</v>
      </c>
      <c r="F19" s="23" t="s">
        <v>179</v>
      </c>
      <c r="G19" s="23">
        <v>2</v>
      </c>
      <c r="H19" s="23">
        <v>1</v>
      </c>
      <c r="I19" s="85" t="s">
        <v>557</v>
      </c>
      <c r="J19">
        <v>2014</v>
      </c>
      <c r="L19" s="5">
        <f>2021-J19</f>
        <v>7</v>
      </c>
      <c r="M19" s="109" t="e">
        <f>+#REF!-L19</f>
        <v>#REF!</v>
      </c>
      <c r="N19" s="23">
        <v>79.8</v>
      </c>
      <c r="O19" s="23">
        <v>1.71</v>
      </c>
      <c r="P19" s="24">
        <f>N19/(O19*O19)</f>
        <v>27.290448343079923</v>
      </c>
      <c r="Q19" s="24" t="s">
        <v>243</v>
      </c>
      <c r="R19" s="24" t="s">
        <v>486</v>
      </c>
      <c r="S19" s="23" t="s">
        <v>177</v>
      </c>
      <c r="T19" s="45" t="s">
        <v>242</v>
      </c>
      <c r="U19" s="23" t="s">
        <v>212</v>
      </c>
      <c r="V19" s="16">
        <v>44378</v>
      </c>
      <c r="W19" s="15">
        <v>8.5</v>
      </c>
      <c r="X19" s="17" t="s">
        <v>475</v>
      </c>
      <c r="Y19" s="17" t="s">
        <v>584</v>
      </c>
      <c r="Z19" s="96" t="s">
        <v>506</v>
      </c>
      <c r="AA19" s="98" t="s">
        <v>569</v>
      </c>
      <c r="AB19" s="17">
        <v>2</v>
      </c>
      <c r="AC19" s="23" t="s">
        <v>182</v>
      </c>
      <c r="AD19" s="23" t="s">
        <v>182</v>
      </c>
      <c r="AE19" s="36">
        <v>12</v>
      </c>
      <c r="AF19" s="94">
        <v>7.21</v>
      </c>
      <c r="AG19" s="94">
        <f>+AE19*AF19</f>
        <v>86.52</v>
      </c>
      <c r="AH19" s="88">
        <f>+AG19/100.75</f>
        <v>0.85875930521091803</v>
      </c>
      <c r="AI19" s="25" t="s">
        <v>242</v>
      </c>
      <c r="AJ19" s="23"/>
      <c r="AK19" s="30" t="s">
        <v>247</v>
      </c>
      <c r="AL19" s="23">
        <v>1000</v>
      </c>
      <c r="AM19" s="91">
        <v>3.2199999999999999E-2</v>
      </c>
      <c r="AN19" s="91">
        <f>+AL19*AM19</f>
        <v>32.200000000000003</v>
      </c>
      <c r="AO19" s="92">
        <f>+AN19/100.75</f>
        <v>0.31960297766749385</v>
      </c>
      <c r="AP19" s="23" t="s">
        <v>243</v>
      </c>
      <c r="AQ19" s="23"/>
      <c r="AR19" s="87"/>
      <c r="AS19" s="87"/>
      <c r="AT19" s="88">
        <f>+AS19/100.75</f>
        <v>0</v>
      </c>
      <c r="AU19" s="23" t="s">
        <v>242</v>
      </c>
      <c r="AV19" s="44"/>
      <c r="AW19" s="23"/>
      <c r="AX19" s="44"/>
      <c r="AY19" s="44"/>
      <c r="AZ19" s="87"/>
      <c r="BA19" s="87"/>
      <c r="BB19" s="88">
        <f>+BA19/100.75</f>
        <v>0</v>
      </c>
      <c r="BC19" s="23" t="s">
        <v>242</v>
      </c>
      <c r="BD19" s="23"/>
      <c r="BE19" s="23"/>
      <c r="BI19" s="90">
        <f>+BH19/100.75</f>
        <v>0</v>
      </c>
      <c r="BJ19" s="26">
        <v>1</v>
      </c>
      <c r="BK19" s="26">
        <v>0</v>
      </c>
      <c r="BL19" s="26" t="s">
        <v>851</v>
      </c>
      <c r="BM19" s="26">
        <v>160</v>
      </c>
      <c r="BN19" s="26">
        <v>60</v>
      </c>
      <c r="BO19" s="26">
        <v>101</v>
      </c>
      <c r="BP19" s="26">
        <v>0</v>
      </c>
      <c r="BQ19" s="26">
        <v>0</v>
      </c>
      <c r="BR19" s="224">
        <v>10</v>
      </c>
      <c r="BS19" s="225">
        <v>2</v>
      </c>
      <c r="BT19" s="230" t="s">
        <v>887</v>
      </c>
      <c r="BU19" s="227">
        <v>10101738</v>
      </c>
      <c r="BV19" s="228">
        <v>44378</v>
      </c>
      <c r="BW19" s="225">
        <v>8.5</v>
      </c>
      <c r="BX19" s="228">
        <v>44930</v>
      </c>
      <c r="BY19" s="226">
        <v>8.6</v>
      </c>
      <c r="CA19" s="226"/>
      <c r="CB19" s="226"/>
      <c r="CC19" s="226"/>
      <c r="CD19" s="225">
        <v>465001711701</v>
      </c>
      <c r="CE19" s="225">
        <v>0</v>
      </c>
    </row>
    <row r="20" spans="1:83" ht="12.75" customHeight="1" thickBot="1" x14ac:dyDescent="0.3">
      <c r="A20" s="15" t="s">
        <v>288</v>
      </c>
      <c r="B20" s="15" t="s">
        <v>108</v>
      </c>
      <c r="C20" s="23" t="s">
        <v>480</v>
      </c>
      <c r="D20" s="41" t="s">
        <v>469</v>
      </c>
      <c r="E20" s="23" t="s">
        <v>163</v>
      </c>
      <c r="F20" s="23" t="s">
        <v>179</v>
      </c>
      <c r="G20" s="23">
        <v>2</v>
      </c>
      <c r="H20" s="23">
        <v>3</v>
      </c>
      <c r="I20" s="85" t="s">
        <v>559</v>
      </c>
      <c r="J20">
        <v>2010</v>
      </c>
      <c r="L20" s="5">
        <f>2021-J20</f>
        <v>11</v>
      </c>
      <c r="M20" s="109" t="e">
        <f>+#REF!-L20</f>
        <v>#REF!</v>
      </c>
      <c r="N20" s="23">
        <v>92</v>
      </c>
      <c r="O20" s="23">
        <v>1.69</v>
      </c>
      <c r="P20" s="24">
        <f t="shared" si="10"/>
        <v>32.211757291411367</v>
      </c>
      <c r="Q20" s="24" t="s">
        <v>242</v>
      </c>
      <c r="R20" s="24" t="s">
        <v>487</v>
      </c>
      <c r="S20" s="23" t="s">
        <v>177</v>
      </c>
      <c r="T20" s="45" t="s">
        <v>243</v>
      </c>
      <c r="U20" s="23">
        <v>6</v>
      </c>
      <c r="V20" s="16">
        <v>44371</v>
      </c>
      <c r="W20" s="15">
        <v>9.4</v>
      </c>
      <c r="X20" s="17" t="s">
        <v>476</v>
      </c>
      <c r="Y20" s="17" t="s">
        <v>584</v>
      </c>
      <c r="Z20" s="96" t="s">
        <v>506</v>
      </c>
      <c r="AA20" s="98" t="s">
        <v>569</v>
      </c>
      <c r="AB20" s="17">
        <v>2</v>
      </c>
      <c r="AC20" s="23" t="s">
        <v>629</v>
      </c>
      <c r="AD20" s="23" t="s">
        <v>642</v>
      </c>
      <c r="AE20" s="36">
        <v>64</v>
      </c>
      <c r="AF20" s="94">
        <v>4.4400000000000004</v>
      </c>
      <c r="AG20" s="94">
        <f t="shared" si="7"/>
        <v>284.16000000000003</v>
      </c>
      <c r="AH20" s="88">
        <f t="shared" si="8"/>
        <v>2.8204466501240697</v>
      </c>
      <c r="AI20" s="25" t="s">
        <v>242</v>
      </c>
      <c r="AJ20" s="23"/>
      <c r="AK20" s="23" t="s">
        <v>247</v>
      </c>
      <c r="AL20" s="23">
        <v>2000</v>
      </c>
      <c r="AM20" s="91">
        <v>3.2199999999999999E-2</v>
      </c>
      <c r="AN20" s="91">
        <f t="shared" si="1"/>
        <v>64.400000000000006</v>
      </c>
      <c r="AO20" s="92">
        <f t="shared" si="2"/>
        <v>0.6392059553349877</v>
      </c>
      <c r="AP20" s="23" t="s">
        <v>243</v>
      </c>
      <c r="AQ20" s="23"/>
      <c r="AR20" s="87"/>
      <c r="AS20" s="87"/>
      <c r="AT20" s="88">
        <f t="shared" si="3"/>
        <v>0</v>
      </c>
      <c r="AU20" s="23" t="s">
        <v>242</v>
      </c>
      <c r="AV20" s="44"/>
      <c r="AW20" s="23"/>
      <c r="AX20" s="23" t="s">
        <v>249</v>
      </c>
      <c r="AY20" s="23">
        <v>100</v>
      </c>
      <c r="AZ20" s="87">
        <v>5.4</v>
      </c>
      <c r="BA20" s="87">
        <f>+AY20*AZ20</f>
        <v>540</v>
      </c>
      <c r="BB20" s="88">
        <f t="shared" si="4"/>
        <v>5.3598014888337469</v>
      </c>
      <c r="BC20" s="23" t="s">
        <v>243</v>
      </c>
      <c r="BD20" s="23"/>
      <c r="BE20" s="23"/>
      <c r="BI20" s="90">
        <f t="shared" si="5"/>
        <v>0</v>
      </c>
      <c r="BJ20" s="26">
        <f t="shared" ref="BJ20:BJ51" si="11">COUNTIF(AP20:BI20,"SI")</f>
        <v>2</v>
      </c>
      <c r="BK20" s="26">
        <v>1</v>
      </c>
      <c r="BL20" s="26" t="s">
        <v>850</v>
      </c>
      <c r="BM20" s="26">
        <v>140</v>
      </c>
      <c r="BN20" s="26">
        <v>80</v>
      </c>
      <c r="BO20" s="26">
        <v>118</v>
      </c>
      <c r="BP20" s="26">
        <v>0</v>
      </c>
      <c r="BQ20" s="26">
        <v>0</v>
      </c>
      <c r="BR20" s="224">
        <v>11</v>
      </c>
      <c r="BS20" s="225">
        <v>2</v>
      </c>
      <c r="BT20" s="230" t="s">
        <v>889</v>
      </c>
      <c r="BU20" s="227">
        <v>7842846</v>
      </c>
      <c r="BV20" s="228">
        <v>44371</v>
      </c>
      <c r="BW20" s="225">
        <v>9.4</v>
      </c>
      <c r="BX20" s="228">
        <v>44907</v>
      </c>
      <c r="BY20" s="226">
        <v>9.1</v>
      </c>
      <c r="BZ20" s="226"/>
      <c r="CA20" s="226"/>
      <c r="CB20" s="226"/>
      <c r="CC20" s="226"/>
      <c r="CD20" s="225">
        <v>150469217300</v>
      </c>
      <c r="CE20" s="225">
        <v>0</v>
      </c>
    </row>
    <row r="21" spans="1:83" ht="12.75" customHeight="1" thickBot="1" x14ac:dyDescent="0.3">
      <c r="A21" s="15" t="s">
        <v>289</v>
      </c>
      <c r="B21" s="15" t="s">
        <v>290</v>
      </c>
      <c r="C21" s="23" t="s">
        <v>479</v>
      </c>
      <c r="D21" s="41" t="s">
        <v>469</v>
      </c>
      <c r="E21" s="23" t="s">
        <v>163</v>
      </c>
      <c r="F21" s="23" t="s">
        <v>179</v>
      </c>
      <c r="G21" s="23">
        <v>3</v>
      </c>
      <c r="H21" s="23">
        <v>1</v>
      </c>
      <c r="I21" s="85" t="s">
        <v>557</v>
      </c>
      <c r="J21">
        <v>2000</v>
      </c>
      <c r="L21" s="5">
        <f>2021-J21</f>
        <v>21</v>
      </c>
      <c r="M21" s="109" t="e">
        <f>+#REF!-L21</f>
        <v>#REF!</v>
      </c>
      <c r="N21" s="23">
        <v>85.4</v>
      </c>
      <c r="O21" s="23">
        <v>1.74</v>
      </c>
      <c r="P21" s="24">
        <f t="shared" si="10"/>
        <v>28.207160787422382</v>
      </c>
      <c r="Q21" s="24" t="s">
        <v>243</v>
      </c>
      <c r="R21" s="24" t="s">
        <v>486</v>
      </c>
      <c r="S21" s="23" t="s">
        <v>177</v>
      </c>
      <c r="T21" s="45" t="s">
        <v>242</v>
      </c>
      <c r="U21" s="23" t="s">
        <v>212</v>
      </c>
      <c r="V21" s="18">
        <v>44413</v>
      </c>
      <c r="W21" s="17">
        <v>11.8</v>
      </c>
      <c r="X21" s="17" t="s">
        <v>477</v>
      </c>
      <c r="Y21" s="17" t="s">
        <v>584</v>
      </c>
      <c r="Z21" s="96" t="s">
        <v>590</v>
      </c>
      <c r="AA21" s="98" t="s">
        <v>569</v>
      </c>
      <c r="AB21" s="17">
        <v>3</v>
      </c>
      <c r="AC21" s="23" t="s">
        <v>244</v>
      </c>
      <c r="AD21" s="23" t="s">
        <v>642</v>
      </c>
      <c r="AE21" s="36">
        <v>30</v>
      </c>
      <c r="AF21" s="94">
        <v>14.66</v>
      </c>
      <c r="AG21" s="94">
        <f t="shared" si="7"/>
        <v>439.8</v>
      </c>
      <c r="AH21" s="88">
        <f t="shared" si="8"/>
        <v>4.3652605459057074</v>
      </c>
      <c r="AI21" s="25" t="s">
        <v>242</v>
      </c>
      <c r="AJ21" s="23"/>
      <c r="AK21" s="117" t="s">
        <v>247</v>
      </c>
      <c r="AL21" s="23">
        <v>2000</v>
      </c>
      <c r="AM21" s="91">
        <v>3.2199999999999999E-2</v>
      </c>
      <c r="AN21" s="91">
        <f t="shared" si="1"/>
        <v>64.400000000000006</v>
      </c>
      <c r="AO21" s="92">
        <f t="shared" si="2"/>
        <v>0.6392059553349877</v>
      </c>
      <c r="AP21" s="23" t="s">
        <v>243</v>
      </c>
      <c r="AQ21" s="23"/>
      <c r="AR21" s="87"/>
      <c r="AS21" s="87"/>
      <c r="AT21" s="88">
        <f t="shared" si="3"/>
        <v>0</v>
      </c>
      <c r="AU21" s="23" t="s">
        <v>242</v>
      </c>
      <c r="AV21" s="44"/>
      <c r="AW21" s="23"/>
      <c r="AX21" s="44"/>
      <c r="AY21" s="44"/>
      <c r="AZ21" s="87"/>
      <c r="BA21" s="87"/>
      <c r="BB21" s="88">
        <f t="shared" si="4"/>
        <v>0</v>
      </c>
      <c r="BC21" s="23" t="s">
        <v>242</v>
      </c>
      <c r="BD21" s="23"/>
      <c r="BE21" s="23"/>
      <c r="BI21" s="90">
        <f t="shared" si="5"/>
        <v>0</v>
      </c>
      <c r="BJ21" s="26">
        <f t="shared" si="11"/>
        <v>1</v>
      </c>
      <c r="BK21" s="26">
        <v>0</v>
      </c>
      <c r="BL21" s="26" t="s">
        <v>848</v>
      </c>
      <c r="BM21" s="26">
        <v>150</v>
      </c>
      <c r="BN21" s="26">
        <v>80</v>
      </c>
      <c r="BO21" s="26">
        <v>104</v>
      </c>
      <c r="BP21" s="26">
        <v>0</v>
      </c>
      <c r="BQ21" s="26">
        <v>0</v>
      </c>
      <c r="BR21" s="224">
        <v>111</v>
      </c>
      <c r="BS21" s="225">
        <v>1</v>
      </c>
      <c r="BT21" s="230" t="s">
        <v>1091</v>
      </c>
      <c r="BU21" s="227">
        <v>8615140</v>
      </c>
      <c r="BV21" s="228">
        <v>44413</v>
      </c>
      <c r="BW21" s="225">
        <v>11.8</v>
      </c>
      <c r="BX21" s="228">
        <v>44946</v>
      </c>
      <c r="BY21" s="226">
        <v>7.4</v>
      </c>
      <c r="BZ21" s="226"/>
      <c r="CA21" s="226"/>
      <c r="CB21" s="226"/>
      <c r="CC21" s="226"/>
      <c r="CD21" s="225">
        <v>150086598305</v>
      </c>
      <c r="CE21" s="225">
        <v>0</v>
      </c>
    </row>
    <row r="22" spans="1:83" ht="12.75" customHeight="1" thickBot="1" x14ac:dyDescent="0.3">
      <c r="A22" s="15" t="s">
        <v>291</v>
      </c>
      <c r="B22" s="15" t="s">
        <v>292</v>
      </c>
      <c r="C22" s="23" t="s">
        <v>480</v>
      </c>
      <c r="D22" s="41" t="s">
        <v>469</v>
      </c>
      <c r="E22" s="23" t="s">
        <v>163</v>
      </c>
      <c r="F22" s="23" t="s">
        <v>179</v>
      </c>
      <c r="G22" s="23">
        <v>3</v>
      </c>
      <c r="H22" s="23">
        <v>2</v>
      </c>
      <c r="I22" s="85" t="s">
        <v>558</v>
      </c>
      <c r="J22">
        <v>2008</v>
      </c>
      <c r="L22" s="5">
        <f>2021-J22</f>
        <v>13</v>
      </c>
      <c r="M22" s="109" t="e">
        <f>+#REF!-L22</f>
        <v>#REF!</v>
      </c>
      <c r="N22" s="23">
        <v>85.5</v>
      </c>
      <c r="O22" s="23">
        <v>1.79</v>
      </c>
      <c r="P22" s="24">
        <f t="shared" si="10"/>
        <v>26.684560406978559</v>
      </c>
      <c r="Q22" s="24" t="s">
        <v>242</v>
      </c>
      <c r="R22" s="24" t="s">
        <v>486</v>
      </c>
      <c r="S22" s="23" t="s">
        <v>177</v>
      </c>
      <c r="T22" s="45" t="s">
        <v>243</v>
      </c>
      <c r="U22" s="23">
        <v>14</v>
      </c>
      <c r="V22" s="18">
        <v>44413</v>
      </c>
      <c r="W22" s="17">
        <v>7.7</v>
      </c>
      <c r="X22" s="17" t="s">
        <v>475</v>
      </c>
      <c r="Y22" s="17" t="s">
        <v>583</v>
      </c>
      <c r="Z22" s="96" t="s">
        <v>506</v>
      </c>
      <c r="AA22" s="98" t="s">
        <v>568</v>
      </c>
      <c r="AB22" s="17">
        <v>2</v>
      </c>
      <c r="AC22" s="23" t="s">
        <v>182</v>
      </c>
      <c r="AD22" s="23" t="s">
        <v>182</v>
      </c>
      <c r="AE22" s="36">
        <v>10</v>
      </c>
      <c r="AF22" s="94">
        <v>7.21</v>
      </c>
      <c r="AG22" s="94">
        <f t="shared" si="7"/>
        <v>72.099999999999994</v>
      </c>
      <c r="AH22" s="88">
        <f t="shared" si="8"/>
        <v>0.71563275434243168</v>
      </c>
      <c r="AI22" s="25" t="s">
        <v>242</v>
      </c>
      <c r="AJ22" s="23"/>
      <c r="AK22" s="23" t="s">
        <v>247</v>
      </c>
      <c r="AL22" s="23">
        <v>1000</v>
      </c>
      <c r="AM22" s="91">
        <v>3.2199999999999999E-2</v>
      </c>
      <c r="AN22" s="91">
        <f t="shared" si="1"/>
        <v>32.200000000000003</v>
      </c>
      <c r="AO22" s="92">
        <f t="shared" si="2"/>
        <v>0.31960297766749385</v>
      </c>
      <c r="AP22" s="23" t="s">
        <v>243</v>
      </c>
      <c r="AQ22" s="23"/>
      <c r="AR22" s="87"/>
      <c r="AS22" s="87"/>
      <c r="AT22" s="88">
        <f t="shared" si="3"/>
        <v>0</v>
      </c>
      <c r="AU22" s="23" t="s">
        <v>242</v>
      </c>
      <c r="AV22" s="44"/>
      <c r="AW22" s="23"/>
      <c r="AX22" s="44"/>
      <c r="AY22" s="44"/>
      <c r="AZ22" s="87"/>
      <c r="BA22" s="87"/>
      <c r="BB22" s="88">
        <f t="shared" si="4"/>
        <v>0</v>
      </c>
      <c r="BC22" s="23" t="s">
        <v>242</v>
      </c>
      <c r="BD22" s="23"/>
      <c r="BE22" s="23"/>
      <c r="BI22" s="90">
        <f t="shared" si="5"/>
        <v>0</v>
      </c>
      <c r="BJ22" s="26">
        <f t="shared" si="11"/>
        <v>1</v>
      </c>
      <c r="BK22" s="26">
        <v>1</v>
      </c>
      <c r="BL22" s="26" t="s">
        <v>850</v>
      </c>
      <c r="BM22" s="26">
        <v>120</v>
      </c>
      <c r="BN22" s="26">
        <v>80</v>
      </c>
      <c r="BO22" s="26">
        <v>107</v>
      </c>
      <c r="BP22" s="26">
        <v>0</v>
      </c>
      <c r="BQ22" s="26">
        <v>0</v>
      </c>
      <c r="BR22" s="224">
        <v>112</v>
      </c>
      <c r="BS22" s="225">
        <v>1</v>
      </c>
      <c r="BT22" s="230" t="s">
        <v>1093</v>
      </c>
      <c r="BU22" s="227">
        <v>5220209</v>
      </c>
      <c r="BV22" s="228">
        <v>44413</v>
      </c>
      <c r="BW22" s="225">
        <v>7.7</v>
      </c>
      <c r="BX22" s="228">
        <v>44946</v>
      </c>
      <c r="BY22" s="226">
        <v>6.4</v>
      </c>
      <c r="BZ22" s="226"/>
      <c r="CA22" s="226"/>
      <c r="CB22" s="226"/>
      <c r="CC22" s="226"/>
      <c r="CD22" s="225">
        <v>150530142805</v>
      </c>
      <c r="CE22" s="225">
        <v>0</v>
      </c>
    </row>
    <row r="23" spans="1:83" ht="12.75" customHeight="1" thickBot="1" x14ac:dyDescent="0.3">
      <c r="A23" s="15" t="s">
        <v>16</v>
      </c>
      <c r="B23" s="15" t="s">
        <v>220</v>
      </c>
      <c r="C23" s="23" t="s">
        <v>482</v>
      </c>
      <c r="D23" s="41" t="s">
        <v>471</v>
      </c>
      <c r="E23" s="23" t="s">
        <v>163</v>
      </c>
      <c r="F23" s="23" t="s">
        <v>179</v>
      </c>
      <c r="G23" s="23">
        <v>2</v>
      </c>
      <c r="H23" s="23">
        <v>1</v>
      </c>
      <c r="I23" s="85" t="s">
        <v>557</v>
      </c>
      <c r="L23" s="5"/>
      <c r="M23" s="109"/>
      <c r="N23" s="23">
        <v>63.3</v>
      </c>
      <c r="O23" s="23">
        <v>1.56</v>
      </c>
      <c r="P23" s="24">
        <f t="shared" si="10"/>
        <v>26.010848126232737</v>
      </c>
      <c r="Q23" s="24" t="s">
        <v>243</v>
      </c>
      <c r="R23" s="24" t="s">
        <v>486</v>
      </c>
      <c r="S23" s="23" t="s">
        <v>177</v>
      </c>
      <c r="T23" s="45" t="s">
        <v>242</v>
      </c>
      <c r="U23" s="23" t="s">
        <v>212</v>
      </c>
      <c r="V23" s="18">
        <v>44413</v>
      </c>
      <c r="W23" s="17">
        <v>7.6</v>
      </c>
      <c r="X23" s="17" t="s">
        <v>475</v>
      </c>
      <c r="Y23" s="17" t="s">
        <v>583</v>
      </c>
      <c r="Z23" s="96" t="s">
        <v>506</v>
      </c>
      <c r="AA23" s="98" t="s">
        <v>568</v>
      </c>
      <c r="AB23" s="17">
        <v>2</v>
      </c>
      <c r="AC23" s="23" t="s">
        <v>244</v>
      </c>
      <c r="AD23" s="23" t="s">
        <v>642</v>
      </c>
      <c r="AE23" s="36">
        <v>40</v>
      </c>
      <c r="AF23" s="94">
        <v>14.66</v>
      </c>
      <c r="AG23" s="94">
        <f t="shared" si="7"/>
        <v>586.4</v>
      </c>
      <c r="AH23" s="88">
        <f t="shared" si="8"/>
        <v>5.820347394540943</v>
      </c>
      <c r="AI23" s="25" t="s">
        <v>242</v>
      </c>
      <c r="AJ23" s="23"/>
      <c r="AK23" s="44" t="s">
        <v>179</v>
      </c>
      <c r="AL23" s="23"/>
      <c r="AM23" s="91">
        <v>3.2199999999999999E-2</v>
      </c>
      <c r="AN23" s="91">
        <f t="shared" si="1"/>
        <v>0</v>
      </c>
      <c r="AO23" s="92">
        <f t="shared" si="2"/>
        <v>0</v>
      </c>
      <c r="AP23" s="23" t="s">
        <v>242</v>
      </c>
      <c r="AQ23" s="23"/>
      <c r="AR23" s="87"/>
      <c r="AS23" s="87"/>
      <c r="AT23" s="88">
        <f t="shared" si="3"/>
        <v>0</v>
      </c>
      <c r="AU23" s="23" t="s">
        <v>242</v>
      </c>
      <c r="AV23" s="44"/>
      <c r="AW23" s="23"/>
      <c r="AX23" s="44"/>
      <c r="AY23" s="44"/>
      <c r="AZ23" s="87"/>
      <c r="BA23" s="87"/>
      <c r="BB23" s="88">
        <f t="shared" si="4"/>
        <v>0</v>
      </c>
      <c r="BC23" s="23" t="s">
        <v>242</v>
      </c>
      <c r="BD23" s="23"/>
      <c r="BE23" s="23"/>
      <c r="BI23" s="90">
        <f t="shared" si="5"/>
        <v>0</v>
      </c>
      <c r="BJ23" s="26">
        <f t="shared" si="11"/>
        <v>0</v>
      </c>
      <c r="BK23" s="26">
        <v>1</v>
      </c>
      <c r="BL23" s="26" t="s">
        <v>850</v>
      </c>
      <c r="BM23" s="26">
        <v>160</v>
      </c>
      <c r="BN23" s="26">
        <v>70</v>
      </c>
      <c r="BO23" s="26">
        <v>100</v>
      </c>
      <c r="BP23" s="26">
        <v>0</v>
      </c>
      <c r="BQ23" s="26">
        <v>0</v>
      </c>
      <c r="BR23" s="224">
        <v>113</v>
      </c>
      <c r="BS23" s="225">
        <v>1</v>
      </c>
      <c r="BT23" s="230" t="s">
        <v>1095</v>
      </c>
      <c r="BU23" s="227">
        <v>93596528</v>
      </c>
      <c r="BV23" s="228">
        <v>44413</v>
      </c>
      <c r="BW23" s="225">
        <v>7.6</v>
      </c>
      <c r="BX23" s="226"/>
      <c r="BY23" s="226"/>
      <c r="BZ23" s="226"/>
      <c r="CA23" s="226"/>
      <c r="CB23" s="226"/>
      <c r="CC23" s="226"/>
      <c r="CD23" s="225">
        <v>130608831004</v>
      </c>
      <c r="CE23" s="225">
        <v>0</v>
      </c>
    </row>
    <row r="24" spans="1:83" ht="12.75" customHeight="1" thickBot="1" x14ac:dyDescent="0.3">
      <c r="A24" s="15" t="s">
        <v>293</v>
      </c>
      <c r="B24" s="15" t="s">
        <v>286</v>
      </c>
      <c r="C24" s="23" t="s">
        <v>479</v>
      </c>
      <c r="D24" s="41" t="s">
        <v>469</v>
      </c>
      <c r="E24" s="23" t="s">
        <v>163</v>
      </c>
      <c r="F24" s="23" t="s">
        <v>179</v>
      </c>
      <c r="G24" s="23">
        <v>2</v>
      </c>
      <c r="H24" s="23">
        <v>1</v>
      </c>
      <c r="I24" s="85" t="s">
        <v>557</v>
      </c>
      <c r="J24">
        <v>2013</v>
      </c>
      <c r="L24" s="5">
        <f>2021-J24</f>
        <v>8</v>
      </c>
      <c r="M24" s="109" t="e">
        <f>+#REF!-L24</f>
        <v>#REF!</v>
      </c>
      <c r="N24" s="23">
        <v>110.2</v>
      </c>
      <c r="O24" s="23">
        <v>1.75</v>
      </c>
      <c r="P24" s="24">
        <f t="shared" si="10"/>
        <v>35.983673469387753</v>
      </c>
      <c r="Q24" s="24" t="s">
        <v>243</v>
      </c>
      <c r="R24" s="24" t="s">
        <v>487</v>
      </c>
      <c r="S24" s="23" t="s">
        <v>177</v>
      </c>
      <c r="T24" s="45" t="s">
        <v>242</v>
      </c>
      <c r="U24" s="23" t="s">
        <v>212</v>
      </c>
      <c r="V24" s="16">
        <v>44413</v>
      </c>
      <c r="W24" s="17">
        <v>7.9</v>
      </c>
      <c r="X24" s="17" t="s">
        <v>475</v>
      </c>
      <c r="Y24" s="17" t="s">
        <v>583</v>
      </c>
      <c r="Z24" s="96" t="s">
        <v>506</v>
      </c>
      <c r="AA24" s="98" t="s">
        <v>568</v>
      </c>
      <c r="AB24" s="17">
        <v>2</v>
      </c>
      <c r="AC24" s="23" t="s">
        <v>244</v>
      </c>
      <c r="AD24" s="23" t="s">
        <v>642</v>
      </c>
      <c r="AE24" s="36">
        <v>10</v>
      </c>
      <c r="AF24" s="94">
        <v>14.66</v>
      </c>
      <c r="AG24" s="94">
        <f t="shared" si="7"/>
        <v>146.6</v>
      </c>
      <c r="AH24" s="88">
        <f t="shared" si="8"/>
        <v>1.4550868486352357</v>
      </c>
      <c r="AI24" s="25" t="s">
        <v>243</v>
      </c>
      <c r="AJ24" s="23">
        <v>20</v>
      </c>
      <c r="AK24" s="23" t="s">
        <v>247</v>
      </c>
      <c r="AL24" s="23">
        <v>2000</v>
      </c>
      <c r="AM24" s="91">
        <v>3.2199999999999999E-2</v>
      </c>
      <c r="AN24" s="91">
        <f t="shared" si="1"/>
        <v>64.400000000000006</v>
      </c>
      <c r="AO24" s="92">
        <f t="shared" si="2"/>
        <v>0.6392059553349877</v>
      </c>
      <c r="AP24" s="23" t="s">
        <v>243</v>
      </c>
      <c r="AQ24" s="23"/>
      <c r="AR24" s="87"/>
      <c r="AS24" s="87"/>
      <c r="AT24" s="88">
        <f t="shared" si="3"/>
        <v>0</v>
      </c>
      <c r="AU24" s="23" t="s">
        <v>242</v>
      </c>
      <c r="AV24" s="44"/>
      <c r="AW24" s="23"/>
      <c r="AX24" s="44"/>
      <c r="AY24" s="44"/>
      <c r="AZ24" s="87"/>
      <c r="BA24" s="87"/>
      <c r="BB24" s="88">
        <f t="shared" si="4"/>
        <v>0</v>
      </c>
      <c r="BC24" s="23" t="s">
        <v>242</v>
      </c>
      <c r="BD24" s="23"/>
      <c r="BE24" s="23"/>
      <c r="BI24" s="90">
        <f t="shared" si="5"/>
        <v>0</v>
      </c>
      <c r="BJ24" s="26">
        <f t="shared" si="11"/>
        <v>1</v>
      </c>
      <c r="BK24" s="26">
        <v>1</v>
      </c>
      <c r="BL24" s="26" t="s">
        <v>850</v>
      </c>
      <c r="BM24" s="26">
        <v>120</v>
      </c>
      <c r="BN24" s="26">
        <v>70</v>
      </c>
      <c r="BO24" s="26">
        <v>126</v>
      </c>
      <c r="BP24" s="26">
        <v>0</v>
      </c>
      <c r="BQ24" s="26">
        <v>0</v>
      </c>
      <c r="BR24" s="224">
        <v>114</v>
      </c>
      <c r="BS24" s="225">
        <v>2</v>
      </c>
      <c r="BT24" s="230" t="s">
        <v>1097</v>
      </c>
      <c r="BU24" s="227">
        <v>8521347</v>
      </c>
      <c r="BV24" s="228">
        <v>44413</v>
      </c>
      <c r="BW24" s="225">
        <v>7.9</v>
      </c>
      <c r="BX24" s="228">
        <v>44914</v>
      </c>
      <c r="BY24" s="226">
        <v>5.7</v>
      </c>
      <c r="BZ24" s="226"/>
      <c r="CA24" s="226"/>
      <c r="CB24" s="226"/>
      <c r="CC24" s="226"/>
      <c r="CD24" s="225">
        <v>150743465304</v>
      </c>
      <c r="CE24" s="225">
        <v>0</v>
      </c>
    </row>
    <row r="25" spans="1:83" ht="12.75" customHeight="1" thickBot="1" x14ac:dyDescent="0.3">
      <c r="A25" s="15" t="s">
        <v>852</v>
      </c>
      <c r="B25" s="15" t="s">
        <v>294</v>
      </c>
      <c r="C25" s="23" t="s">
        <v>480</v>
      </c>
      <c r="D25" s="41" t="s">
        <v>469</v>
      </c>
      <c r="E25" s="23" t="s">
        <v>163</v>
      </c>
      <c r="F25" s="23" t="s">
        <v>179</v>
      </c>
      <c r="G25" s="23">
        <v>3</v>
      </c>
      <c r="H25" s="23">
        <v>2</v>
      </c>
      <c r="I25" s="85" t="s">
        <v>558</v>
      </c>
      <c r="J25" s="111">
        <v>1970</v>
      </c>
      <c r="K25" s="111"/>
      <c r="L25" s="5">
        <f>2021-J25</f>
        <v>51</v>
      </c>
      <c r="M25" s="109" t="e">
        <f>+#REF!-L25</f>
        <v>#REF!</v>
      </c>
      <c r="N25" s="23">
        <v>95.5</v>
      </c>
      <c r="O25" s="23">
        <v>1.77</v>
      </c>
      <c r="P25" s="24">
        <f t="shared" si="10"/>
        <v>30.482939129879661</v>
      </c>
      <c r="Q25" s="24" t="s">
        <v>243</v>
      </c>
      <c r="R25" s="24" t="s">
        <v>487</v>
      </c>
      <c r="S25" s="23" t="s">
        <v>179</v>
      </c>
      <c r="T25" s="45" t="s">
        <v>242</v>
      </c>
      <c r="U25" s="23" t="s">
        <v>212</v>
      </c>
      <c r="V25" s="18">
        <v>44413</v>
      </c>
      <c r="W25" s="17">
        <v>5.9</v>
      </c>
      <c r="X25" s="15" t="s">
        <v>474</v>
      </c>
      <c r="Y25" s="15" t="s">
        <v>582</v>
      </c>
      <c r="Z25" s="97" t="s">
        <v>505</v>
      </c>
      <c r="AA25" s="99" t="s">
        <v>566</v>
      </c>
      <c r="AB25" s="15">
        <v>1</v>
      </c>
      <c r="AC25" s="23" t="s">
        <v>182</v>
      </c>
      <c r="AD25" s="23" t="s">
        <v>182</v>
      </c>
      <c r="AE25" s="36">
        <v>30</v>
      </c>
      <c r="AF25" s="94">
        <v>7.21</v>
      </c>
      <c r="AG25" s="94">
        <f t="shared" si="7"/>
        <v>216.3</v>
      </c>
      <c r="AH25" s="88">
        <f t="shared" si="8"/>
        <v>2.1468982630272953</v>
      </c>
      <c r="AI25" s="25" t="s">
        <v>242</v>
      </c>
      <c r="AJ25" s="23"/>
      <c r="AK25" s="30" t="s">
        <v>247</v>
      </c>
      <c r="AL25" s="23">
        <v>1700</v>
      </c>
      <c r="AM25" s="91">
        <v>3.2199999999999999E-2</v>
      </c>
      <c r="AN25" s="91">
        <f t="shared" si="1"/>
        <v>54.74</v>
      </c>
      <c r="AO25" s="92">
        <f t="shared" si="2"/>
        <v>0.54332506203473951</v>
      </c>
      <c r="AP25" s="23" t="s">
        <v>243</v>
      </c>
      <c r="AQ25" s="23"/>
      <c r="AR25" s="87"/>
      <c r="AS25" s="87"/>
      <c r="AT25" s="88">
        <f t="shared" si="3"/>
        <v>0</v>
      </c>
      <c r="AU25" s="23" t="s">
        <v>242</v>
      </c>
      <c r="AV25" s="44"/>
      <c r="AW25" s="23"/>
      <c r="AX25" s="44"/>
      <c r="AY25" s="44"/>
      <c r="AZ25" s="87"/>
      <c r="BA25" s="87"/>
      <c r="BB25" s="88">
        <f t="shared" si="4"/>
        <v>0</v>
      </c>
      <c r="BC25" s="23" t="s">
        <v>242</v>
      </c>
      <c r="BD25" s="23"/>
      <c r="BE25" s="23"/>
      <c r="BI25" s="90">
        <f t="shared" si="5"/>
        <v>0</v>
      </c>
      <c r="BJ25" s="26">
        <f t="shared" si="11"/>
        <v>1</v>
      </c>
      <c r="BK25" s="26">
        <v>0</v>
      </c>
      <c r="BL25" s="26" t="s">
        <v>850</v>
      </c>
      <c r="BM25" s="26">
        <v>150</v>
      </c>
      <c r="BN25" s="26">
        <v>80</v>
      </c>
      <c r="BO25" s="26">
        <v>109</v>
      </c>
      <c r="BP25" s="26">
        <v>0</v>
      </c>
      <c r="BQ25" s="26">
        <v>1</v>
      </c>
      <c r="BR25" s="224">
        <v>115</v>
      </c>
      <c r="BS25" s="225">
        <v>1</v>
      </c>
      <c r="BT25" s="230" t="s">
        <v>1099</v>
      </c>
      <c r="BU25" s="227">
        <v>5262037</v>
      </c>
      <c r="BV25" s="228">
        <v>44413</v>
      </c>
      <c r="BW25" s="225">
        <v>5.9</v>
      </c>
      <c r="BX25" s="228">
        <v>46038</v>
      </c>
      <c r="BY25" s="230">
        <v>5.5</v>
      </c>
      <c r="BZ25" s="226"/>
      <c r="CA25" s="226"/>
      <c r="CB25" s="226"/>
      <c r="CC25" s="226"/>
      <c r="CD25" s="225">
        <v>150398545904</v>
      </c>
      <c r="CE25" s="225">
        <v>0</v>
      </c>
    </row>
    <row r="26" spans="1:83" ht="12.75" customHeight="1" thickBot="1" x14ac:dyDescent="0.3">
      <c r="A26" s="15" t="s">
        <v>295</v>
      </c>
      <c r="B26" s="15" t="s">
        <v>109</v>
      </c>
      <c r="C26" s="23" t="s">
        <v>482</v>
      </c>
      <c r="D26" s="41" t="s">
        <v>470</v>
      </c>
      <c r="E26" s="23" t="s">
        <v>164</v>
      </c>
      <c r="F26" s="23" t="s">
        <v>179</v>
      </c>
      <c r="G26" s="23">
        <v>3</v>
      </c>
      <c r="H26" s="23">
        <v>1</v>
      </c>
      <c r="I26" s="85" t="s">
        <v>557</v>
      </c>
      <c r="J26">
        <v>1998</v>
      </c>
      <c r="L26" s="5">
        <f>2021-J26</f>
        <v>23</v>
      </c>
      <c r="M26" s="109" t="e">
        <f>+#REF!-L26</f>
        <v>#REF!</v>
      </c>
      <c r="N26" s="23">
        <v>83.2</v>
      </c>
      <c r="O26" s="23">
        <v>1.69</v>
      </c>
      <c r="P26" s="24">
        <f>N26/(O26*O26)</f>
        <v>29.130632680928542</v>
      </c>
      <c r="Q26" s="24" t="s">
        <v>242</v>
      </c>
      <c r="R26" s="24" t="s">
        <v>486</v>
      </c>
      <c r="S26" s="23" t="s">
        <v>179</v>
      </c>
      <c r="T26" s="45" t="s">
        <v>243</v>
      </c>
      <c r="U26" s="23">
        <v>3</v>
      </c>
      <c r="V26" s="16">
        <v>44371</v>
      </c>
      <c r="W26" s="15">
        <v>11.7</v>
      </c>
      <c r="X26" s="17" t="s">
        <v>477</v>
      </c>
      <c r="Y26" s="17" t="s">
        <v>584</v>
      </c>
      <c r="Z26" s="96" t="s">
        <v>590</v>
      </c>
      <c r="AA26" s="98" t="s">
        <v>569</v>
      </c>
      <c r="AB26" s="17">
        <v>3</v>
      </c>
      <c r="AC26" s="23" t="s">
        <v>245</v>
      </c>
      <c r="AD26" s="23" t="s">
        <v>642</v>
      </c>
      <c r="AE26" s="36">
        <v>52</v>
      </c>
      <c r="AF26" s="94">
        <v>15.6</v>
      </c>
      <c r="AG26" s="94">
        <f t="shared" si="7"/>
        <v>811.19999999999993</v>
      </c>
      <c r="AH26" s="88">
        <f t="shared" si="8"/>
        <v>8.0516129032258057</v>
      </c>
      <c r="AI26" s="25" t="s">
        <v>243</v>
      </c>
      <c r="AJ26" s="23">
        <v>18</v>
      </c>
      <c r="AK26" s="44" t="s">
        <v>179</v>
      </c>
      <c r="AL26" s="23"/>
      <c r="AM26" s="91">
        <v>3.2199999999999999E-2</v>
      </c>
      <c r="AN26" s="91">
        <f t="shared" si="1"/>
        <v>0</v>
      </c>
      <c r="AO26" s="92">
        <f t="shared" si="2"/>
        <v>0</v>
      </c>
      <c r="AP26" s="23" t="s">
        <v>242</v>
      </c>
      <c r="AQ26" s="23"/>
      <c r="AR26" s="87"/>
      <c r="AS26" s="87"/>
      <c r="AT26" s="88">
        <f t="shared" si="3"/>
        <v>0</v>
      </c>
      <c r="AU26" s="23" t="s">
        <v>242</v>
      </c>
      <c r="AV26" s="44"/>
      <c r="AW26" s="23"/>
      <c r="AX26" s="44"/>
      <c r="AY26" s="44"/>
      <c r="AZ26" s="87"/>
      <c r="BA26" s="87"/>
      <c r="BB26" s="88">
        <f t="shared" si="4"/>
        <v>0</v>
      </c>
      <c r="BC26" s="23" t="s">
        <v>242</v>
      </c>
      <c r="BD26" s="23" t="s">
        <v>466</v>
      </c>
      <c r="BE26" s="23">
        <v>10</v>
      </c>
      <c r="BF26" s="33" t="s">
        <v>243</v>
      </c>
      <c r="BG26" s="89">
        <v>26.41</v>
      </c>
      <c r="BH26" s="89">
        <v>264.10000000000002</v>
      </c>
      <c r="BI26" s="90">
        <f t="shared" si="5"/>
        <v>2.6213399503722088</v>
      </c>
      <c r="BJ26" s="26">
        <f t="shared" si="11"/>
        <v>1</v>
      </c>
      <c r="BK26" s="26">
        <v>1</v>
      </c>
      <c r="BL26" s="26" t="s">
        <v>850</v>
      </c>
      <c r="BM26" s="26">
        <v>120</v>
      </c>
      <c r="BN26" s="26">
        <v>60</v>
      </c>
      <c r="BO26" s="26">
        <v>118</v>
      </c>
      <c r="BP26" s="26">
        <v>0</v>
      </c>
      <c r="BQ26" s="26">
        <v>0</v>
      </c>
      <c r="BR26" s="224">
        <v>12</v>
      </c>
      <c r="BS26" s="225">
        <v>2</v>
      </c>
      <c r="BT26" s="230" t="s">
        <v>891</v>
      </c>
      <c r="BU26" s="227">
        <v>5087929</v>
      </c>
      <c r="BV26" s="228">
        <v>44371</v>
      </c>
      <c r="BW26" s="225">
        <v>11.7</v>
      </c>
      <c r="BX26" s="228">
        <v>44908</v>
      </c>
      <c r="BY26" s="226">
        <v>8.3000000000000007</v>
      </c>
      <c r="BZ26" s="226"/>
      <c r="CA26" s="226"/>
      <c r="CB26" s="226"/>
      <c r="CC26" s="226"/>
      <c r="CD26" s="225">
        <v>150219216409</v>
      </c>
      <c r="CE26" s="225">
        <v>0</v>
      </c>
    </row>
    <row r="27" spans="1:83" ht="12.75" customHeight="1" thickBot="1" x14ac:dyDescent="0.3">
      <c r="A27" s="15" t="s">
        <v>17</v>
      </c>
      <c r="B27" s="15" t="s">
        <v>92</v>
      </c>
      <c r="C27" s="23" t="s">
        <v>480</v>
      </c>
      <c r="D27" s="41" t="s">
        <v>469</v>
      </c>
      <c r="E27" s="23" t="s">
        <v>164</v>
      </c>
      <c r="F27" s="23" t="s">
        <v>179</v>
      </c>
      <c r="G27" s="23">
        <v>1</v>
      </c>
      <c r="H27" s="23">
        <v>1</v>
      </c>
      <c r="I27" s="85" t="s">
        <v>557</v>
      </c>
      <c r="J27">
        <v>1997</v>
      </c>
      <c r="L27" s="5">
        <f>2021-J27</f>
        <v>24</v>
      </c>
      <c r="M27" s="109" t="e">
        <f>+#REF!-L27</f>
        <v>#REF!</v>
      </c>
      <c r="N27" s="23">
        <v>101</v>
      </c>
      <c r="O27" s="23">
        <v>1.56</v>
      </c>
      <c r="P27" s="24">
        <v>32.200000000000003</v>
      </c>
      <c r="Q27" s="24" t="s">
        <v>242</v>
      </c>
      <c r="R27" s="24" t="s">
        <v>487</v>
      </c>
      <c r="S27" s="23" t="s">
        <v>243</v>
      </c>
      <c r="T27" s="45" t="s">
        <v>242</v>
      </c>
      <c r="U27" s="23" t="s">
        <v>212</v>
      </c>
      <c r="V27" s="18">
        <v>44413</v>
      </c>
      <c r="W27" s="17">
        <v>9.5</v>
      </c>
      <c r="X27" s="17" t="s">
        <v>476</v>
      </c>
      <c r="Y27" s="17" t="s">
        <v>584</v>
      </c>
      <c r="Z27" s="96" t="s">
        <v>506</v>
      </c>
      <c r="AA27" s="98" t="s">
        <v>569</v>
      </c>
      <c r="AB27" s="17">
        <v>2</v>
      </c>
      <c r="AC27" s="23" t="s">
        <v>182</v>
      </c>
      <c r="AD27" s="23" t="s">
        <v>182</v>
      </c>
      <c r="AE27" s="36">
        <v>50</v>
      </c>
      <c r="AF27" s="94">
        <v>7.21</v>
      </c>
      <c r="AG27" s="94">
        <f t="shared" si="7"/>
        <v>360.5</v>
      </c>
      <c r="AH27" s="88">
        <f t="shared" si="8"/>
        <v>3.5781637717121586</v>
      </c>
      <c r="AI27" s="25" t="s">
        <v>243</v>
      </c>
      <c r="AJ27" s="23" t="s">
        <v>463</v>
      </c>
      <c r="AK27" s="23" t="s">
        <v>229</v>
      </c>
      <c r="AL27" s="23"/>
      <c r="AM27" s="91">
        <v>3.2199999999999999E-2</v>
      </c>
      <c r="AN27" s="91">
        <f t="shared" si="1"/>
        <v>0</v>
      </c>
      <c r="AO27" s="92">
        <f t="shared" si="2"/>
        <v>0</v>
      </c>
      <c r="AP27" s="23" t="s">
        <v>242</v>
      </c>
      <c r="AQ27" s="23"/>
      <c r="AR27" s="87"/>
      <c r="AS27" s="87"/>
      <c r="AT27" s="88">
        <f t="shared" si="3"/>
        <v>0</v>
      </c>
      <c r="AU27" s="23" t="s">
        <v>242</v>
      </c>
      <c r="AV27" s="44"/>
      <c r="AW27" s="23"/>
      <c r="AX27" s="44"/>
      <c r="AY27" s="44"/>
      <c r="AZ27" s="87"/>
      <c r="BA27" s="87"/>
      <c r="BB27" s="88">
        <f t="shared" si="4"/>
        <v>0</v>
      </c>
      <c r="BC27" s="23" t="s">
        <v>242</v>
      </c>
      <c r="BD27" s="23"/>
      <c r="BE27" s="23"/>
      <c r="BI27" s="90">
        <f t="shared" si="5"/>
        <v>0</v>
      </c>
      <c r="BJ27" s="26">
        <f t="shared" si="11"/>
        <v>0</v>
      </c>
      <c r="BK27" s="26">
        <v>0</v>
      </c>
      <c r="BL27" s="26" t="s">
        <v>850</v>
      </c>
      <c r="BM27" s="26">
        <v>140</v>
      </c>
      <c r="BN27" s="26">
        <v>90</v>
      </c>
      <c r="BO27" s="26">
        <v>127</v>
      </c>
      <c r="BP27" s="26">
        <v>0</v>
      </c>
      <c r="BQ27" s="26">
        <v>0</v>
      </c>
      <c r="BR27" s="224">
        <v>116</v>
      </c>
      <c r="BS27" s="225">
        <v>1</v>
      </c>
      <c r="BT27" s="230" t="s">
        <v>1101</v>
      </c>
      <c r="BU27" s="227">
        <v>6021450</v>
      </c>
      <c r="BV27" s="228">
        <v>44413</v>
      </c>
      <c r="BW27" s="225">
        <v>9.5</v>
      </c>
      <c r="BX27" s="228">
        <v>44949</v>
      </c>
      <c r="BY27" s="230">
        <v>6.9</v>
      </c>
      <c r="BZ27" s="226"/>
      <c r="CA27" s="226"/>
      <c r="CB27" s="226"/>
      <c r="CC27" s="226"/>
      <c r="CD27" s="225">
        <v>150470432205</v>
      </c>
      <c r="CE27" s="225">
        <v>0</v>
      </c>
    </row>
    <row r="28" spans="1:83" ht="12.75" customHeight="1" thickBot="1" x14ac:dyDescent="0.3">
      <c r="A28" s="15" t="s">
        <v>296</v>
      </c>
      <c r="B28" s="15" t="s">
        <v>297</v>
      </c>
      <c r="C28" s="23" t="s">
        <v>482</v>
      </c>
      <c r="D28" s="41" t="s">
        <v>470</v>
      </c>
      <c r="E28" s="23" t="s">
        <v>163</v>
      </c>
      <c r="F28" s="23" t="s">
        <v>179</v>
      </c>
      <c r="G28" s="23">
        <v>3</v>
      </c>
      <c r="H28" s="23">
        <v>1</v>
      </c>
      <c r="I28" s="85" t="s">
        <v>557</v>
      </c>
      <c r="J28">
        <v>1990</v>
      </c>
      <c r="L28" s="5">
        <v>31</v>
      </c>
      <c r="M28" s="109" t="e">
        <f>+#REF!-L28</f>
        <v>#REF!</v>
      </c>
      <c r="N28" s="23">
        <v>83.3</v>
      </c>
      <c r="O28" s="23">
        <v>1.72</v>
      </c>
      <c r="P28" s="24">
        <f>N28/(O28*O28)</f>
        <v>28.157111952406709</v>
      </c>
      <c r="Q28" s="24" t="s">
        <v>243</v>
      </c>
      <c r="R28" s="24" t="s">
        <v>486</v>
      </c>
      <c r="S28" s="23" t="s">
        <v>177</v>
      </c>
      <c r="T28" s="45" t="s">
        <v>242</v>
      </c>
      <c r="U28" s="23" t="s">
        <v>212</v>
      </c>
      <c r="V28" s="18">
        <v>44441</v>
      </c>
      <c r="W28" s="17">
        <v>7.8</v>
      </c>
      <c r="X28" s="17" t="s">
        <v>475</v>
      </c>
      <c r="Y28" s="17" t="s">
        <v>583</v>
      </c>
      <c r="Z28" s="96" t="s">
        <v>506</v>
      </c>
      <c r="AA28" s="98" t="s">
        <v>568</v>
      </c>
      <c r="AB28" s="17">
        <v>2</v>
      </c>
      <c r="AC28" s="23" t="s">
        <v>245</v>
      </c>
      <c r="AD28" s="23" t="s">
        <v>642</v>
      </c>
      <c r="AE28" s="36">
        <v>40</v>
      </c>
      <c r="AF28" s="94">
        <v>15.6</v>
      </c>
      <c r="AG28" s="94">
        <f t="shared" si="7"/>
        <v>624</v>
      </c>
      <c r="AH28" s="88">
        <f t="shared" si="8"/>
        <v>6.193548387096774</v>
      </c>
      <c r="AI28" s="25" t="s">
        <v>243</v>
      </c>
      <c r="AJ28" s="28">
        <v>3</v>
      </c>
      <c r="AK28" s="44" t="s">
        <v>179</v>
      </c>
      <c r="AL28" s="23"/>
      <c r="AM28" s="91">
        <v>3.2199999999999999E-2</v>
      </c>
      <c r="AN28" s="91">
        <f t="shared" si="1"/>
        <v>0</v>
      </c>
      <c r="AO28" s="92">
        <f t="shared" si="2"/>
        <v>0</v>
      </c>
      <c r="AP28" s="23" t="s">
        <v>242</v>
      </c>
      <c r="AQ28" s="23"/>
      <c r="AR28" s="87"/>
      <c r="AS28" s="87"/>
      <c r="AT28" s="88">
        <f t="shared" si="3"/>
        <v>0</v>
      </c>
      <c r="AU28" s="23" t="s">
        <v>242</v>
      </c>
      <c r="AV28" s="44"/>
      <c r="AW28" s="23"/>
      <c r="AX28" s="23" t="s">
        <v>249</v>
      </c>
      <c r="AY28" s="23">
        <v>100</v>
      </c>
      <c r="AZ28" s="87">
        <v>5.4</v>
      </c>
      <c r="BA28" s="87">
        <f>+AY28*AZ28</f>
        <v>540</v>
      </c>
      <c r="BB28" s="88">
        <f t="shared" si="4"/>
        <v>5.3598014888337469</v>
      </c>
      <c r="BC28" s="23" t="s">
        <v>243</v>
      </c>
      <c r="BD28" s="23"/>
      <c r="BE28" s="23"/>
      <c r="BI28" s="90">
        <f t="shared" si="5"/>
        <v>0</v>
      </c>
      <c r="BJ28" s="26">
        <f t="shared" si="11"/>
        <v>1</v>
      </c>
      <c r="BK28" s="26">
        <v>1</v>
      </c>
      <c r="BL28" s="26" t="s">
        <v>850</v>
      </c>
      <c r="BM28" s="26">
        <v>140</v>
      </c>
      <c r="BN28" s="26">
        <v>80</v>
      </c>
      <c r="BO28" s="26">
        <v>104</v>
      </c>
      <c r="BP28" s="26">
        <v>0</v>
      </c>
      <c r="BQ28" s="26">
        <v>0</v>
      </c>
      <c r="BR28" s="224">
        <v>117</v>
      </c>
      <c r="BS28" s="225">
        <v>1</v>
      </c>
      <c r="BT28" s="230" t="s">
        <v>1103</v>
      </c>
      <c r="BU28" s="227">
        <v>4517159</v>
      </c>
      <c r="BV28" s="228">
        <v>44441</v>
      </c>
      <c r="BW28" s="225">
        <v>7.8</v>
      </c>
      <c r="BX28" s="226"/>
      <c r="BY28" s="226"/>
      <c r="BZ28" s="226"/>
      <c r="CA28" s="226"/>
      <c r="CB28" s="226"/>
      <c r="CC28" s="226"/>
      <c r="CD28" s="225">
        <v>150925600307</v>
      </c>
      <c r="CE28" s="225">
        <v>0</v>
      </c>
    </row>
    <row r="29" spans="1:83" ht="12.75" customHeight="1" thickBot="1" x14ac:dyDescent="0.3">
      <c r="A29" s="15" t="s">
        <v>298</v>
      </c>
      <c r="B29" s="15" t="s">
        <v>299</v>
      </c>
      <c r="C29" s="23" t="s">
        <v>482</v>
      </c>
      <c r="D29" s="41" t="s">
        <v>470</v>
      </c>
      <c r="E29" s="23" t="s">
        <v>164</v>
      </c>
      <c r="F29" s="23" t="s">
        <v>179</v>
      </c>
      <c r="G29" s="23">
        <v>2</v>
      </c>
      <c r="H29" s="23">
        <v>2</v>
      </c>
      <c r="I29" s="85" t="s">
        <v>558</v>
      </c>
      <c r="J29">
        <v>1993</v>
      </c>
      <c r="L29" s="5">
        <v>28</v>
      </c>
      <c r="M29" s="109" t="e">
        <f>+#REF!-L29</f>
        <v>#REF!</v>
      </c>
      <c r="N29" s="23">
        <v>55.4</v>
      </c>
      <c r="O29" s="23">
        <v>1.51</v>
      </c>
      <c r="P29" s="24">
        <f>N29/(O29*O29)</f>
        <v>24.297179948247884</v>
      </c>
      <c r="Q29" s="24" t="s">
        <v>242</v>
      </c>
      <c r="R29" s="24" t="s">
        <v>485</v>
      </c>
      <c r="S29" s="23" t="s">
        <v>177</v>
      </c>
      <c r="T29" s="45" t="s">
        <v>242</v>
      </c>
      <c r="U29" s="23" t="s">
        <v>212</v>
      </c>
      <c r="V29" s="16">
        <v>44371</v>
      </c>
      <c r="W29" s="15">
        <v>8.8000000000000007</v>
      </c>
      <c r="X29" s="17" t="s">
        <v>475</v>
      </c>
      <c r="Y29" s="17" t="s">
        <v>584</v>
      </c>
      <c r="Z29" s="96" t="s">
        <v>506</v>
      </c>
      <c r="AA29" s="98" t="s">
        <v>569</v>
      </c>
      <c r="AB29" s="17">
        <v>2</v>
      </c>
      <c r="AC29" s="23" t="s">
        <v>250</v>
      </c>
      <c r="AD29" s="23" t="s">
        <v>642</v>
      </c>
      <c r="AE29" s="36">
        <v>36</v>
      </c>
      <c r="AF29" s="94">
        <v>13.54</v>
      </c>
      <c r="AG29" s="94">
        <f t="shared" si="7"/>
        <v>487.43999999999994</v>
      </c>
      <c r="AH29" s="88">
        <f t="shared" si="8"/>
        <v>4.8381141439205946</v>
      </c>
      <c r="AI29" s="25" t="s">
        <v>243</v>
      </c>
      <c r="AJ29" s="23" t="s">
        <v>463</v>
      </c>
      <c r="AK29" s="44" t="s">
        <v>179</v>
      </c>
      <c r="AL29" s="23"/>
      <c r="AM29" s="91">
        <v>3.2199999999999999E-2</v>
      </c>
      <c r="AN29" s="91">
        <f t="shared" si="1"/>
        <v>0</v>
      </c>
      <c r="AO29" s="92">
        <f t="shared" si="2"/>
        <v>0</v>
      </c>
      <c r="AP29" s="23" t="s">
        <v>242</v>
      </c>
      <c r="AQ29" s="23"/>
      <c r="AR29" s="87"/>
      <c r="AS29" s="87"/>
      <c r="AT29" s="88">
        <f t="shared" si="3"/>
        <v>0</v>
      </c>
      <c r="AU29" s="23" t="s">
        <v>242</v>
      </c>
      <c r="AV29" s="44"/>
      <c r="AW29" s="23"/>
      <c r="AX29" s="44"/>
      <c r="AY29" s="44"/>
      <c r="AZ29" s="87"/>
      <c r="BA29" s="87"/>
      <c r="BB29" s="88">
        <f t="shared" si="4"/>
        <v>0</v>
      </c>
      <c r="BC29" s="23" t="s">
        <v>242</v>
      </c>
      <c r="BD29" s="23"/>
      <c r="BE29" s="23"/>
      <c r="BI29" s="90">
        <f t="shared" si="5"/>
        <v>0</v>
      </c>
      <c r="BJ29" s="26">
        <f t="shared" si="11"/>
        <v>0</v>
      </c>
      <c r="BK29" s="26">
        <v>1</v>
      </c>
      <c r="BL29" s="26" t="s">
        <v>848</v>
      </c>
      <c r="BM29" s="26">
        <v>140</v>
      </c>
      <c r="BN29" s="26">
        <v>70</v>
      </c>
      <c r="BO29" s="26">
        <v>93</v>
      </c>
      <c r="BP29" s="26">
        <v>0</v>
      </c>
      <c r="BQ29" s="26">
        <v>0</v>
      </c>
      <c r="BR29" s="224">
        <v>13</v>
      </c>
      <c r="BS29" s="225">
        <v>2</v>
      </c>
      <c r="BT29" s="230" t="s">
        <v>893</v>
      </c>
      <c r="BU29" s="227">
        <v>2753300</v>
      </c>
      <c r="BV29" s="228">
        <v>44371</v>
      </c>
      <c r="BW29" s="225">
        <v>8.8000000000000007</v>
      </c>
      <c r="BX29" s="226"/>
      <c r="BY29" s="226"/>
      <c r="BZ29" s="226"/>
      <c r="CA29" s="226"/>
      <c r="CB29" s="226"/>
      <c r="CC29" s="226"/>
      <c r="CD29" s="225">
        <v>150167252308</v>
      </c>
      <c r="CE29" s="225">
        <v>0</v>
      </c>
    </row>
    <row r="30" spans="1:83" ht="12.75" customHeight="1" thickBot="1" x14ac:dyDescent="0.3">
      <c r="A30" s="15" t="s">
        <v>300</v>
      </c>
      <c r="B30" s="15" t="s">
        <v>301</v>
      </c>
      <c r="C30" s="23" t="s">
        <v>479</v>
      </c>
      <c r="D30" s="41" t="s">
        <v>469</v>
      </c>
      <c r="E30" s="23" t="s">
        <v>164</v>
      </c>
      <c r="F30" s="23" t="s">
        <v>179</v>
      </c>
      <c r="G30" s="23">
        <v>3</v>
      </c>
      <c r="H30" s="23">
        <v>1</v>
      </c>
      <c r="I30" s="85" t="s">
        <v>557</v>
      </c>
      <c r="J30">
        <v>2015</v>
      </c>
      <c r="L30" s="5">
        <f t="shared" ref="L30:L38" si="12">2021-J30</f>
        <v>6</v>
      </c>
      <c r="M30" s="109" t="e">
        <f>+#REF!-L30</f>
        <v>#REF!</v>
      </c>
      <c r="N30" s="23">
        <v>94.2</v>
      </c>
      <c r="O30" s="23">
        <v>1.69</v>
      </c>
      <c r="P30" s="24">
        <f>N30/(O30*O30)</f>
        <v>32.982038444032078</v>
      </c>
      <c r="Q30" s="24" t="s">
        <v>242</v>
      </c>
      <c r="R30" s="24" t="s">
        <v>487</v>
      </c>
      <c r="S30" s="23" t="s">
        <v>179</v>
      </c>
      <c r="T30" s="45" t="s">
        <v>242</v>
      </c>
      <c r="U30" s="23" t="s">
        <v>212</v>
      </c>
      <c r="V30" s="18">
        <v>44378</v>
      </c>
      <c r="W30" s="15">
        <v>9.9</v>
      </c>
      <c r="X30" s="17" t="s">
        <v>476</v>
      </c>
      <c r="Y30" s="17" t="s">
        <v>584</v>
      </c>
      <c r="Z30" s="96" t="s">
        <v>506</v>
      </c>
      <c r="AA30" s="98" t="s">
        <v>569</v>
      </c>
      <c r="AB30" s="17">
        <v>2</v>
      </c>
      <c r="AC30" s="23" t="s">
        <v>244</v>
      </c>
      <c r="AD30" s="23" t="s">
        <v>642</v>
      </c>
      <c r="AE30" s="36">
        <v>42</v>
      </c>
      <c r="AF30" s="94">
        <v>14.66</v>
      </c>
      <c r="AG30" s="94">
        <f t="shared" si="7"/>
        <v>615.72</v>
      </c>
      <c r="AH30" s="88">
        <f t="shared" si="8"/>
        <v>6.1113647642679902</v>
      </c>
      <c r="AI30" s="25" t="s">
        <v>243</v>
      </c>
      <c r="AJ30" s="23">
        <v>15</v>
      </c>
      <c r="AK30" s="44" t="s">
        <v>179</v>
      </c>
      <c r="AL30" s="23"/>
      <c r="AM30" s="91">
        <v>3.2199999999999999E-2</v>
      </c>
      <c r="AN30" s="91">
        <f t="shared" si="1"/>
        <v>0</v>
      </c>
      <c r="AO30" s="92">
        <f t="shared" si="2"/>
        <v>0</v>
      </c>
      <c r="AP30" s="23" t="s">
        <v>242</v>
      </c>
      <c r="AQ30" s="23"/>
      <c r="AR30" s="87"/>
      <c r="AS30" s="87"/>
      <c r="AT30" s="88">
        <f t="shared" si="3"/>
        <v>0</v>
      </c>
      <c r="AU30" s="23" t="s">
        <v>242</v>
      </c>
      <c r="AV30" s="44"/>
      <c r="AW30" s="23"/>
      <c r="AX30" s="23" t="s">
        <v>249</v>
      </c>
      <c r="AY30" s="23">
        <v>100</v>
      </c>
      <c r="AZ30" s="87">
        <v>5.4</v>
      </c>
      <c r="BA30" s="87">
        <f>+AY30*AZ30</f>
        <v>540</v>
      </c>
      <c r="BB30" s="88">
        <f t="shared" si="4"/>
        <v>5.3598014888337469</v>
      </c>
      <c r="BC30" s="23" t="s">
        <v>243</v>
      </c>
      <c r="BD30" s="23"/>
      <c r="BE30" s="23"/>
      <c r="BI30" s="90">
        <f t="shared" si="5"/>
        <v>0</v>
      </c>
      <c r="BJ30" s="26">
        <f t="shared" si="11"/>
        <v>1</v>
      </c>
      <c r="BK30" s="26">
        <v>0</v>
      </c>
      <c r="BL30" s="26" t="s">
        <v>850</v>
      </c>
      <c r="BO30" s="26">
        <v>107</v>
      </c>
      <c r="BP30" s="26">
        <v>0</v>
      </c>
      <c r="BQ30" s="26">
        <v>0</v>
      </c>
      <c r="BR30" s="224">
        <v>14</v>
      </c>
      <c r="BS30" s="225">
        <v>1</v>
      </c>
      <c r="BT30" s="230" t="s">
        <v>895</v>
      </c>
      <c r="BU30" s="227">
        <v>11471676</v>
      </c>
      <c r="BV30" s="228">
        <v>44378</v>
      </c>
      <c r="BW30" s="225">
        <v>9.9</v>
      </c>
      <c r="BX30" s="228">
        <v>44942</v>
      </c>
      <c r="BY30" s="230">
        <v>6.4</v>
      </c>
      <c r="BZ30" s="226"/>
      <c r="CA30" s="226"/>
      <c r="CB30" s="226"/>
      <c r="CC30" s="226"/>
      <c r="CD30" s="225">
        <v>150724770108</v>
      </c>
      <c r="CE30" s="225">
        <v>0</v>
      </c>
    </row>
    <row r="31" spans="1:83" ht="12.75" customHeight="1" thickBot="1" x14ac:dyDescent="0.3">
      <c r="A31" s="15" t="s">
        <v>302</v>
      </c>
      <c r="B31" s="15" t="s">
        <v>303</v>
      </c>
      <c r="C31" s="23" t="s">
        <v>480</v>
      </c>
      <c r="D31" s="41" t="s">
        <v>469</v>
      </c>
      <c r="E31" s="23" t="s">
        <v>163</v>
      </c>
      <c r="F31" s="23" t="s">
        <v>179</v>
      </c>
      <c r="G31" s="23">
        <v>4</v>
      </c>
      <c r="H31" s="23">
        <v>1</v>
      </c>
      <c r="I31" s="85" t="s">
        <v>557</v>
      </c>
      <c r="J31">
        <v>2019</v>
      </c>
      <c r="L31" s="5">
        <f t="shared" si="12"/>
        <v>2</v>
      </c>
      <c r="M31" s="109" t="e">
        <f>+#REF!-L31</f>
        <v>#REF!</v>
      </c>
      <c r="N31" s="23">
        <v>119.4</v>
      </c>
      <c r="O31" s="23">
        <v>1.73</v>
      </c>
      <c r="P31" s="24">
        <f>N31/(O31*O31)</f>
        <v>39.894416786394466</v>
      </c>
      <c r="Q31" s="24" t="s">
        <v>242</v>
      </c>
      <c r="R31" s="24" t="s">
        <v>487</v>
      </c>
      <c r="S31" s="23" t="s">
        <v>177</v>
      </c>
      <c r="T31" s="45" t="s">
        <v>242</v>
      </c>
      <c r="U31" s="23" t="s">
        <v>212</v>
      </c>
      <c r="V31" s="16">
        <v>44392</v>
      </c>
      <c r="W31" s="15">
        <v>7.2</v>
      </c>
      <c r="X31" s="17" t="s">
        <v>475</v>
      </c>
      <c r="Y31" s="17" t="s">
        <v>583</v>
      </c>
      <c r="Z31" s="97" t="s">
        <v>505</v>
      </c>
      <c r="AA31" s="99" t="s">
        <v>567</v>
      </c>
      <c r="AB31" s="15">
        <v>1</v>
      </c>
      <c r="AC31" s="23" t="s">
        <v>244</v>
      </c>
      <c r="AD31" s="23" t="s">
        <v>642</v>
      </c>
      <c r="AE31" s="36">
        <v>40</v>
      </c>
      <c r="AF31" s="94">
        <v>14.66</v>
      </c>
      <c r="AG31" s="94">
        <f t="shared" si="7"/>
        <v>586.4</v>
      </c>
      <c r="AH31" s="88">
        <f t="shared" si="8"/>
        <v>5.820347394540943</v>
      </c>
      <c r="AI31" s="25" t="s">
        <v>242</v>
      </c>
      <c r="AJ31" s="23"/>
      <c r="AK31" s="23" t="s">
        <v>247</v>
      </c>
      <c r="AL31" s="23">
        <v>850</v>
      </c>
      <c r="AM31" s="91">
        <v>3.2199999999999999E-2</v>
      </c>
      <c r="AN31" s="91">
        <f t="shared" si="1"/>
        <v>27.37</v>
      </c>
      <c r="AO31" s="92">
        <f t="shared" si="2"/>
        <v>0.27166253101736976</v>
      </c>
      <c r="AP31" s="23" t="s">
        <v>243</v>
      </c>
      <c r="AQ31" s="23"/>
      <c r="AR31" s="87"/>
      <c r="AS31" s="87"/>
      <c r="AT31" s="88">
        <f t="shared" si="3"/>
        <v>0</v>
      </c>
      <c r="AU31" s="23" t="s">
        <v>242</v>
      </c>
      <c r="AV31" s="44"/>
      <c r="AW31" s="23"/>
      <c r="AX31" s="23" t="s">
        <v>249</v>
      </c>
      <c r="AY31" s="23">
        <v>100</v>
      </c>
      <c r="AZ31" s="87">
        <v>5.4</v>
      </c>
      <c r="BA31" s="87">
        <f>+AY31*AZ31</f>
        <v>540</v>
      </c>
      <c r="BB31" s="88">
        <f t="shared" si="4"/>
        <v>5.3598014888337469</v>
      </c>
      <c r="BC31" s="23" t="s">
        <v>243</v>
      </c>
      <c r="BD31" s="23" t="s">
        <v>466</v>
      </c>
      <c r="BE31" s="23">
        <v>10</v>
      </c>
      <c r="BF31" s="33" t="s">
        <v>243</v>
      </c>
      <c r="BG31" s="89">
        <v>26.41</v>
      </c>
      <c r="BH31" s="89">
        <f>+BE31*BG31</f>
        <v>264.10000000000002</v>
      </c>
      <c r="BI31" s="90">
        <f t="shared" si="5"/>
        <v>2.6213399503722088</v>
      </c>
      <c r="BJ31" s="26">
        <f t="shared" si="11"/>
        <v>3</v>
      </c>
      <c r="BK31" s="26">
        <v>1</v>
      </c>
      <c r="BL31" s="26" t="s">
        <v>850</v>
      </c>
      <c r="BM31" s="26">
        <v>140</v>
      </c>
      <c r="BN31" s="26">
        <v>90</v>
      </c>
      <c r="BO31" s="26">
        <v>128</v>
      </c>
      <c r="BP31" s="26">
        <v>0</v>
      </c>
      <c r="BQ31" s="26">
        <v>1</v>
      </c>
      <c r="BR31" s="224">
        <v>15</v>
      </c>
      <c r="BS31" s="225">
        <v>2</v>
      </c>
      <c r="BT31" s="230" t="s">
        <v>897</v>
      </c>
      <c r="BU31" s="227">
        <v>92086179</v>
      </c>
      <c r="BV31" s="228">
        <v>44392</v>
      </c>
      <c r="BW31" s="225">
        <v>7.2</v>
      </c>
      <c r="BX31" s="228">
        <v>44907</v>
      </c>
      <c r="BY31" s="226">
        <v>7.6</v>
      </c>
      <c r="BZ31" s="226"/>
      <c r="CA31" s="226"/>
      <c r="CB31" s="226"/>
      <c r="CC31" s="226"/>
      <c r="CD31" s="225">
        <v>150684666907</v>
      </c>
      <c r="CE31" s="225">
        <v>0</v>
      </c>
    </row>
    <row r="32" spans="1:83" ht="12.75" customHeight="1" thickBot="1" x14ac:dyDescent="0.3">
      <c r="A32" s="15" t="s">
        <v>304</v>
      </c>
      <c r="B32" s="15" t="s">
        <v>305</v>
      </c>
      <c r="C32" s="23" t="s">
        <v>479</v>
      </c>
      <c r="D32" s="41" t="s">
        <v>469</v>
      </c>
      <c r="E32" s="23" t="s">
        <v>163</v>
      </c>
      <c r="F32" s="23" t="s">
        <v>179</v>
      </c>
      <c r="G32" s="23">
        <v>3</v>
      </c>
      <c r="H32" s="23">
        <v>1</v>
      </c>
      <c r="I32" s="85" t="s">
        <v>557</v>
      </c>
      <c r="J32">
        <v>2001</v>
      </c>
      <c r="L32" s="5">
        <f t="shared" si="12"/>
        <v>20</v>
      </c>
      <c r="M32" s="109" t="e">
        <f>+#REF!-L32</f>
        <v>#REF!</v>
      </c>
      <c r="N32" s="23">
        <v>95.2</v>
      </c>
      <c r="O32" s="23">
        <v>1.8</v>
      </c>
      <c r="P32" s="24">
        <f t="shared" ref="P32:P46" si="13">N32/(O32*O32)</f>
        <v>29.382716049382715</v>
      </c>
      <c r="Q32" s="24" t="s">
        <v>243</v>
      </c>
      <c r="R32" s="24" t="s">
        <v>486</v>
      </c>
      <c r="S32" s="23" t="s">
        <v>177</v>
      </c>
      <c r="T32" s="45" t="s">
        <v>242</v>
      </c>
      <c r="U32" s="23" t="s">
        <v>212</v>
      </c>
      <c r="V32" s="18">
        <v>44413</v>
      </c>
      <c r="W32" s="17">
        <v>10.4</v>
      </c>
      <c r="X32" s="17" t="s">
        <v>476</v>
      </c>
      <c r="Y32" s="17" t="s">
        <v>584</v>
      </c>
      <c r="Z32" s="96" t="s">
        <v>590</v>
      </c>
      <c r="AA32" s="98" t="s">
        <v>569</v>
      </c>
      <c r="AB32" s="17">
        <v>2</v>
      </c>
      <c r="AC32" s="23" t="s">
        <v>182</v>
      </c>
      <c r="AD32" s="23" t="s">
        <v>182</v>
      </c>
      <c r="AE32" s="36">
        <v>84</v>
      </c>
      <c r="AF32" s="94">
        <v>7.21</v>
      </c>
      <c r="AG32" s="94">
        <f t="shared" si="7"/>
        <v>605.64</v>
      </c>
      <c r="AH32" s="88">
        <f t="shared" si="8"/>
        <v>6.0113151364764263</v>
      </c>
      <c r="AI32" s="25" t="s">
        <v>243</v>
      </c>
      <c r="AJ32" s="23" t="s">
        <v>463</v>
      </c>
      <c r="AK32" s="23" t="s">
        <v>247</v>
      </c>
      <c r="AL32" s="23">
        <v>2000</v>
      </c>
      <c r="AM32" s="91">
        <v>3.2199999999999999E-2</v>
      </c>
      <c r="AN32" s="91">
        <f t="shared" si="1"/>
        <v>64.400000000000006</v>
      </c>
      <c r="AO32" s="92">
        <f t="shared" si="2"/>
        <v>0.6392059553349877</v>
      </c>
      <c r="AP32" s="23" t="s">
        <v>243</v>
      </c>
      <c r="AQ32" s="23"/>
      <c r="AR32" s="87"/>
      <c r="AS32" s="87"/>
      <c r="AT32" s="88">
        <f t="shared" si="3"/>
        <v>0</v>
      </c>
      <c r="AU32" s="23" t="s">
        <v>242</v>
      </c>
      <c r="AV32" s="44"/>
      <c r="AW32" s="23"/>
      <c r="AX32" s="44"/>
      <c r="AY32" s="44"/>
      <c r="AZ32" s="87"/>
      <c r="BA32" s="87"/>
      <c r="BB32" s="88">
        <f t="shared" si="4"/>
        <v>0</v>
      </c>
      <c r="BC32" s="23" t="s">
        <v>242</v>
      </c>
      <c r="BD32" s="23"/>
      <c r="BE32" s="23"/>
      <c r="BI32" s="90">
        <f t="shared" si="5"/>
        <v>0</v>
      </c>
      <c r="BJ32" s="26">
        <f t="shared" si="11"/>
        <v>1</v>
      </c>
      <c r="BK32" s="26">
        <v>0</v>
      </c>
      <c r="BL32" s="26" t="s">
        <v>850</v>
      </c>
      <c r="BM32" s="26">
        <v>120</v>
      </c>
      <c r="BN32" s="26">
        <v>80</v>
      </c>
      <c r="BO32" s="26">
        <v>109</v>
      </c>
      <c r="BP32" s="26">
        <v>0</v>
      </c>
      <c r="BQ32" s="26">
        <v>0</v>
      </c>
      <c r="BR32" s="224">
        <v>118</v>
      </c>
      <c r="BS32" s="225">
        <v>1</v>
      </c>
      <c r="BT32" s="230" t="s">
        <v>1105</v>
      </c>
      <c r="BU32" s="227">
        <v>10591678</v>
      </c>
      <c r="BV32" s="228">
        <v>44413</v>
      </c>
      <c r="BW32" s="225">
        <v>10.4</v>
      </c>
      <c r="BX32" s="228">
        <v>44942</v>
      </c>
      <c r="BY32" s="230">
        <v>5.6</v>
      </c>
      <c r="BZ32" s="226"/>
      <c r="CA32" s="226"/>
      <c r="CB32" s="226"/>
      <c r="CC32" s="226"/>
      <c r="CD32" s="225">
        <v>465908229901</v>
      </c>
      <c r="CE32" s="225">
        <v>0</v>
      </c>
    </row>
    <row r="33" spans="1:83" ht="12.75" customHeight="1" thickBot="1" x14ac:dyDescent="0.3">
      <c r="A33" s="15" t="s">
        <v>306</v>
      </c>
      <c r="B33" s="15" t="s">
        <v>307</v>
      </c>
      <c r="C33" s="23" t="s">
        <v>482</v>
      </c>
      <c r="D33" s="41" t="s">
        <v>470</v>
      </c>
      <c r="E33" s="23" t="s">
        <v>164</v>
      </c>
      <c r="F33" s="23" t="s">
        <v>179</v>
      </c>
      <c r="G33" s="23">
        <v>2</v>
      </c>
      <c r="H33" s="23">
        <v>2</v>
      </c>
      <c r="I33" s="85" t="s">
        <v>558</v>
      </c>
      <c r="J33">
        <v>2003</v>
      </c>
      <c r="L33" s="5">
        <f t="shared" si="12"/>
        <v>18</v>
      </c>
      <c r="M33" s="109" t="e">
        <f>+#REF!-L33</f>
        <v>#REF!</v>
      </c>
      <c r="N33" s="23">
        <v>81.7</v>
      </c>
      <c r="O33" s="23">
        <v>1.66</v>
      </c>
      <c r="P33" s="24">
        <f t="shared" si="13"/>
        <v>29.648715343300918</v>
      </c>
      <c r="Q33" s="24" t="s">
        <v>243</v>
      </c>
      <c r="R33" s="24" t="s">
        <v>486</v>
      </c>
      <c r="S33" s="23" t="s">
        <v>177</v>
      </c>
      <c r="T33" s="45" t="s">
        <v>242</v>
      </c>
      <c r="U33" s="23" t="s">
        <v>212</v>
      </c>
      <c r="V33" s="18">
        <v>44434</v>
      </c>
      <c r="W33" s="17">
        <v>11.3</v>
      </c>
      <c r="X33" s="17" t="s">
        <v>477</v>
      </c>
      <c r="Y33" s="17" t="s">
        <v>584</v>
      </c>
      <c r="Z33" s="96" t="s">
        <v>590</v>
      </c>
      <c r="AA33" s="98" t="s">
        <v>569</v>
      </c>
      <c r="AB33" s="17">
        <v>3</v>
      </c>
      <c r="AC33" s="23" t="s">
        <v>244</v>
      </c>
      <c r="AD33" s="23" t="s">
        <v>642</v>
      </c>
      <c r="AE33" s="36">
        <v>20</v>
      </c>
      <c r="AF33" s="94">
        <v>14.66</v>
      </c>
      <c r="AG33" s="94">
        <f t="shared" si="7"/>
        <v>293.2</v>
      </c>
      <c r="AH33" s="88">
        <f t="shared" si="8"/>
        <v>2.9101736972704715</v>
      </c>
      <c r="AI33" s="25" t="s">
        <v>243</v>
      </c>
      <c r="AJ33" s="23" t="s">
        <v>463</v>
      </c>
      <c r="AK33" s="23" t="s">
        <v>247</v>
      </c>
      <c r="AL33" s="23">
        <v>2550</v>
      </c>
      <c r="AM33" s="91">
        <v>3.2199999999999999E-2</v>
      </c>
      <c r="AN33" s="91">
        <f t="shared" si="1"/>
        <v>82.11</v>
      </c>
      <c r="AO33" s="92">
        <f t="shared" si="2"/>
        <v>0.81498759305210922</v>
      </c>
      <c r="AP33" s="23" t="s">
        <v>243</v>
      </c>
      <c r="AQ33" s="23"/>
      <c r="AR33" s="87"/>
      <c r="AS33" s="87"/>
      <c r="AT33" s="88">
        <f t="shared" si="3"/>
        <v>0</v>
      </c>
      <c r="AU33" s="23" t="s">
        <v>242</v>
      </c>
      <c r="AV33" s="44"/>
      <c r="AW33" s="23"/>
      <c r="AX33" s="44"/>
      <c r="AY33" s="44"/>
      <c r="AZ33" s="87"/>
      <c r="BA33" s="87"/>
      <c r="BB33" s="88">
        <f t="shared" si="4"/>
        <v>0</v>
      </c>
      <c r="BC33" s="23" t="s">
        <v>242</v>
      </c>
      <c r="BD33" s="23"/>
      <c r="BE33" s="23"/>
      <c r="BI33" s="90">
        <f t="shared" si="5"/>
        <v>0</v>
      </c>
      <c r="BJ33" s="26">
        <f t="shared" si="11"/>
        <v>1</v>
      </c>
      <c r="BK33" s="26">
        <v>1</v>
      </c>
      <c r="BL33" s="26" t="s">
        <v>848</v>
      </c>
      <c r="BM33" s="26">
        <v>120</v>
      </c>
      <c r="BN33" s="26">
        <v>60</v>
      </c>
      <c r="BO33" s="26">
        <v>110</v>
      </c>
      <c r="BP33" s="26">
        <v>0</v>
      </c>
      <c r="BQ33" s="26">
        <v>0</v>
      </c>
      <c r="BR33" s="224">
        <v>119</v>
      </c>
      <c r="BS33" s="225">
        <v>1</v>
      </c>
      <c r="BT33" s="230" t="s">
        <v>1107</v>
      </c>
      <c r="BU33" s="227">
        <v>4279765</v>
      </c>
      <c r="BV33" s="228">
        <v>44434</v>
      </c>
      <c r="BW33" s="225">
        <v>11.3</v>
      </c>
      <c r="BX33" s="228">
        <v>44956</v>
      </c>
      <c r="BY33" s="230">
        <v>6.4</v>
      </c>
      <c r="BZ33" s="226"/>
      <c r="CA33" s="226"/>
      <c r="CB33" s="226"/>
      <c r="CC33" s="226"/>
      <c r="CD33" s="225">
        <v>150326006305</v>
      </c>
      <c r="CE33" s="225">
        <v>0</v>
      </c>
    </row>
    <row r="34" spans="1:83" ht="12.75" customHeight="1" thickBot="1" x14ac:dyDescent="0.3">
      <c r="A34" s="15" t="s">
        <v>4</v>
      </c>
      <c r="B34" s="15" t="s">
        <v>79</v>
      </c>
      <c r="C34" s="23" t="s">
        <v>480</v>
      </c>
      <c r="D34" s="41" t="s">
        <v>470</v>
      </c>
      <c r="E34" s="23" t="s">
        <v>163</v>
      </c>
      <c r="F34" s="23" t="s">
        <v>179</v>
      </c>
      <c r="G34" s="23">
        <v>3</v>
      </c>
      <c r="H34" s="23">
        <v>1</v>
      </c>
      <c r="I34" s="85" t="s">
        <v>557</v>
      </c>
      <c r="J34">
        <v>1997</v>
      </c>
      <c r="L34" s="5">
        <f t="shared" si="12"/>
        <v>24</v>
      </c>
      <c r="M34" s="109" t="e">
        <f>+#REF!-L34</f>
        <v>#REF!</v>
      </c>
      <c r="N34" s="23">
        <v>69.5</v>
      </c>
      <c r="O34" s="23">
        <v>1.7</v>
      </c>
      <c r="P34" s="24">
        <f t="shared" si="13"/>
        <v>24.048442906574397</v>
      </c>
      <c r="Q34" s="24" t="s">
        <v>242</v>
      </c>
      <c r="R34" s="24" t="s">
        <v>485</v>
      </c>
      <c r="S34" s="23" t="s">
        <v>177</v>
      </c>
      <c r="T34" s="45" t="s">
        <v>242</v>
      </c>
      <c r="U34" s="23" t="s">
        <v>212</v>
      </c>
      <c r="V34" s="18">
        <v>44392</v>
      </c>
      <c r="W34" s="15">
        <v>4.7</v>
      </c>
      <c r="X34" s="15" t="s">
        <v>474</v>
      </c>
      <c r="Y34" s="15" t="s">
        <v>582</v>
      </c>
      <c r="Z34" s="97" t="s">
        <v>505</v>
      </c>
      <c r="AA34" s="99" t="s">
        <v>566</v>
      </c>
      <c r="AB34" s="15">
        <v>1</v>
      </c>
      <c r="AC34" s="23" t="s">
        <v>250</v>
      </c>
      <c r="AD34" s="23" t="s">
        <v>642</v>
      </c>
      <c r="AE34" s="36">
        <v>6</v>
      </c>
      <c r="AF34" s="94">
        <v>13.54</v>
      </c>
      <c r="AG34" s="94">
        <f t="shared" si="7"/>
        <v>81.239999999999995</v>
      </c>
      <c r="AH34" s="88">
        <f t="shared" si="8"/>
        <v>0.80635235732009924</v>
      </c>
      <c r="AI34" s="25" t="s">
        <v>242</v>
      </c>
      <c r="AJ34" s="23"/>
      <c r="AK34" s="23" t="s">
        <v>247</v>
      </c>
      <c r="AL34" s="23">
        <v>1000</v>
      </c>
      <c r="AM34" s="91">
        <v>3.2199999999999999E-2</v>
      </c>
      <c r="AN34" s="91">
        <f t="shared" ref="AN34:AN65" si="14">+AL34*AM34</f>
        <v>32.200000000000003</v>
      </c>
      <c r="AO34" s="92">
        <f t="shared" ref="AO34:AO65" si="15">+AN34/100.75</f>
        <v>0.31960297766749385</v>
      </c>
      <c r="AP34" s="23" t="s">
        <v>243</v>
      </c>
      <c r="AQ34" s="23"/>
      <c r="AR34" s="87"/>
      <c r="AS34" s="87"/>
      <c r="AT34" s="88">
        <f t="shared" ref="AT34:AT65" si="16">+AS34/100.75</f>
        <v>0</v>
      </c>
      <c r="AU34" s="23" t="s">
        <v>242</v>
      </c>
      <c r="AV34" s="44"/>
      <c r="AW34" s="23"/>
      <c r="AX34" s="44"/>
      <c r="AY34" s="44"/>
      <c r="AZ34" s="87"/>
      <c r="BA34" s="87"/>
      <c r="BB34" s="88">
        <f t="shared" ref="BB34:BB65" si="17">+BA34/100.75</f>
        <v>0</v>
      </c>
      <c r="BC34" s="23" t="s">
        <v>242</v>
      </c>
      <c r="BD34" s="23"/>
      <c r="BE34" s="23"/>
      <c r="BI34" s="90">
        <f t="shared" ref="BI34:BI65" si="18">+BH34/100.75</f>
        <v>0</v>
      </c>
      <c r="BJ34" s="26">
        <f t="shared" si="11"/>
        <v>1</v>
      </c>
      <c r="BK34" s="26">
        <v>0</v>
      </c>
      <c r="BL34" s="26" t="s">
        <v>850</v>
      </c>
      <c r="BM34" s="26">
        <v>140</v>
      </c>
      <c r="BN34" s="26">
        <v>70</v>
      </c>
      <c r="BO34" s="26">
        <v>99</v>
      </c>
      <c r="BP34" s="26">
        <v>0</v>
      </c>
      <c r="BQ34" s="26">
        <v>0</v>
      </c>
      <c r="BR34" s="224">
        <v>16</v>
      </c>
      <c r="BS34" s="225">
        <v>1</v>
      </c>
      <c r="BT34" s="230" t="s">
        <v>899</v>
      </c>
      <c r="BU34" s="227">
        <v>8701579</v>
      </c>
      <c r="BV34" s="228">
        <v>44392</v>
      </c>
      <c r="BW34" s="225">
        <v>4.7</v>
      </c>
      <c r="BX34" s="228">
        <v>44951</v>
      </c>
      <c r="BY34" s="230">
        <v>4.5999999999999996</v>
      </c>
      <c r="BZ34" s="226"/>
      <c r="CA34" s="226"/>
      <c r="CB34" s="226"/>
      <c r="CC34" s="226"/>
      <c r="CD34" s="225">
        <v>150510722308</v>
      </c>
      <c r="CE34" s="225">
        <v>0</v>
      </c>
    </row>
    <row r="35" spans="1:83" ht="12.75" customHeight="1" thickBot="1" x14ac:dyDescent="0.3">
      <c r="A35" s="15" t="s">
        <v>308</v>
      </c>
      <c r="B35" s="15" t="s">
        <v>309</v>
      </c>
      <c r="C35" s="23" t="s">
        <v>480</v>
      </c>
      <c r="D35" s="41" t="s">
        <v>470</v>
      </c>
      <c r="E35" s="23" t="s">
        <v>163</v>
      </c>
      <c r="F35" s="23" t="s">
        <v>179</v>
      </c>
      <c r="G35" s="23">
        <v>3</v>
      </c>
      <c r="H35" s="23">
        <v>3</v>
      </c>
      <c r="I35" s="85" t="s">
        <v>559</v>
      </c>
      <c r="J35">
        <v>2005</v>
      </c>
      <c r="L35" s="5">
        <f t="shared" si="12"/>
        <v>16</v>
      </c>
      <c r="M35" s="109" t="e">
        <f>+#REF!-L35</f>
        <v>#REF!</v>
      </c>
      <c r="N35" s="23">
        <v>66</v>
      </c>
      <c r="O35" s="23">
        <v>1.71</v>
      </c>
      <c r="P35" s="24">
        <f t="shared" si="13"/>
        <v>22.571047501795427</v>
      </c>
      <c r="Q35" s="24" t="s">
        <v>242</v>
      </c>
      <c r="R35" s="24" t="s">
        <v>485</v>
      </c>
      <c r="S35" s="23" t="s">
        <v>177</v>
      </c>
      <c r="T35" s="45" t="s">
        <v>242</v>
      </c>
      <c r="U35" s="23" t="s">
        <v>212</v>
      </c>
      <c r="V35" s="16">
        <v>44413</v>
      </c>
      <c r="W35" s="17">
        <v>7.3</v>
      </c>
      <c r="X35" s="17" t="s">
        <v>475</v>
      </c>
      <c r="Y35" s="17" t="s">
        <v>583</v>
      </c>
      <c r="Z35" s="97" t="s">
        <v>505</v>
      </c>
      <c r="AA35" s="99" t="s">
        <v>567</v>
      </c>
      <c r="AB35" s="15">
        <v>1</v>
      </c>
      <c r="AC35" s="23" t="s">
        <v>244</v>
      </c>
      <c r="AD35" s="23" t="s">
        <v>642</v>
      </c>
      <c r="AE35" s="36">
        <v>18</v>
      </c>
      <c r="AF35" s="94">
        <v>14.66</v>
      </c>
      <c r="AG35" s="94">
        <f t="shared" ref="AG35:AG66" si="19">+AE35*AF35</f>
        <v>263.88</v>
      </c>
      <c r="AH35" s="88">
        <f t="shared" ref="AH35:AH66" si="20">+AG35/100.75</f>
        <v>2.6191563275434242</v>
      </c>
      <c r="AI35" s="25" t="s">
        <v>243</v>
      </c>
      <c r="AJ35" s="23">
        <v>8</v>
      </c>
      <c r="AK35" s="23" t="s">
        <v>247</v>
      </c>
      <c r="AL35" s="23">
        <v>1700</v>
      </c>
      <c r="AM35" s="91">
        <v>3.2199999999999999E-2</v>
      </c>
      <c r="AN35" s="91">
        <f t="shared" si="14"/>
        <v>54.74</v>
      </c>
      <c r="AO35" s="92">
        <f t="shared" si="15"/>
        <v>0.54332506203473951</v>
      </c>
      <c r="AP35" s="23" t="s">
        <v>243</v>
      </c>
      <c r="AQ35" s="23"/>
      <c r="AR35" s="87"/>
      <c r="AS35" s="87"/>
      <c r="AT35" s="88">
        <f t="shared" si="16"/>
        <v>0</v>
      </c>
      <c r="AU35" s="23" t="s">
        <v>242</v>
      </c>
      <c r="AV35" s="44"/>
      <c r="AW35" s="23"/>
      <c r="AX35" s="44"/>
      <c r="AY35" s="44"/>
      <c r="AZ35" s="87"/>
      <c r="BA35" s="87"/>
      <c r="BB35" s="88">
        <f t="shared" si="17"/>
        <v>0</v>
      </c>
      <c r="BC35" s="23" t="s">
        <v>242</v>
      </c>
      <c r="BD35" s="23"/>
      <c r="BE35" s="23"/>
      <c r="BI35" s="90">
        <f t="shared" si="18"/>
        <v>0</v>
      </c>
      <c r="BJ35" s="26">
        <f t="shared" si="11"/>
        <v>1</v>
      </c>
      <c r="BK35" s="26">
        <v>0</v>
      </c>
      <c r="BL35" s="26" t="s">
        <v>851</v>
      </c>
      <c r="BM35" s="26">
        <v>120</v>
      </c>
      <c r="BN35" s="26">
        <v>60</v>
      </c>
      <c r="BO35" s="26">
        <v>92</v>
      </c>
      <c r="BP35" s="26">
        <v>0</v>
      </c>
      <c r="BQ35" s="26">
        <v>0</v>
      </c>
      <c r="BR35" s="224">
        <v>120</v>
      </c>
      <c r="BS35" s="225">
        <v>2</v>
      </c>
      <c r="BT35" s="230" t="s">
        <v>1109</v>
      </c>
      <c r="BU35" s="227">
        <v>8703352</v>
      </c>
      <c r="BV35" s="228">
        <v>44413</v>
      </c>
      <c r="BW35" s="225">
        <v>7.3</v>
      </c>
      <c r="BX35" s="226"/>
      <c r="BY35" s="226"/>
      <c r="BZ35" s="226"/>
      <c r="CA35" s="226"/>
      <c r="CB35" s="226"/>
      <c r="CC35" s="226"/>
      <c r="CD35" s="225">
        <v>150731770302</v>
      </c>
      <c r="CE35" s="225">
        <v>0</v>
      </c>
    </row>
    <row r="36" spans="1:83" ht="12.75" customHeight="1" thickBot="1" x14ac:dyDescent="0.3">
      <c r="A36" s="15" t="s">
        <v>310</v>
      </c>
      <c r="B36" s="15" t="s">
        <v>311</v>
      </c>
      <c r="C36" s="23" t="s">
        <v>479</v>
      </c>
      <c r="D36" s="41" t="s">
        <v>469</v>
      </c>
      <c r="E36" s="23" t="s">
        <v>164</v>
      </c>
      <c r="F36" s="23" t="s">
        <v>177</v>
      </c>
      <c r="G36" s="23">
        <v>3</v>
      </c>
      <c r="H36" s="23">
        <v>2</v>
      </c>
      <c r="I36" s="85" t="s">
        <v>558</v>
      </c>
      <c r="J36">
        <v>1996</v>
      </c>
      <c r="L36" s="5">
        <f t="shared" si="12"/>
        <v>25</v>
      </c>
      <c r="M36" s="109" t="e">
        <f>+#REF!-L36</f>
        <v>#REF!</v>
      </c>
      <c r="N36" s="23">
        <v>75.400000000000006</v>
      </c>
      <c r="O36" s="23">
        <v>1.58</v>
      </c>
      <c r="P36" s="24">
        <f t="shared" si="13"/>
        <v>30.203493029963145</v>
      </c>
      <c r="Q36" s="24" t="s">
        <v>242</v>
      </c>
      <c r="R36" s="24" t="s">
        <v>487</v>
      </c>
      <c r="S36" s="23" t="s">
        <v>177</v>
      </c>
      <c r="T36" s="45" t="s">
        <v>242</v>
      </c>
      <c r="U36" s="23" t="s">
        <v>212</v>
      </c>
      <c r="V36" s="18">
        <v>44413</v>
      </c>
      <c r="W36" s="17">
        <v>10.3</v>
      </c>
      <c r="X36" s="17" t="s">
        <v>476</v>
      </c>
      <c r="Y36" s="17" t="s">
        <v>584</v>
      </c>
      <c r="Z36" s="96" t="s">
        <v>590</v>
      </c>
      <c r="AA36" s="98" t="s">
        <v>569</v>
      </c>
      <c r="AB36" s="17">
        <v>2</v>
      </c>
      <c r="AC36" s="23" t="s">
        <v>252</v>
      </c>
      <c r="AD36" s="23" t="s">
        <v>642</v>
      </c>
      <c r="AE36" s="36">
        <v>85</v>
      </c>
      <c r="AF36" s="94">
        <v>4.4400000000000004</v>
      </c>
      <c r="AG36" s="94">
        <f t="shared" si="19"/>
        <v>377.40000000000003</v>
      </c>
      <c r="AH36" s="88">
        <f t="shared" si="20"/>
        <v>3.7459057071960302</v>
      </c>
      <c r="AI36" s="25" t="s">
        <v>242</v>
      </c>
      <c r="AJ36" s="23"/>
      <c r="AK36" s="30" t="s">
        <v>247</v>
      </c>
      <c r="AL36" s="23">
        <v>2000</v>
      </c>
      <c r="AM36" s="91">
        <v>3.2199999999999999E-2</v>
      </c>
      <c r="AN36" s="91">
        <f t="shared" si="14"/>
        <v>64.400000000000006</v>
      </c>
      <c r="AO36" s="92">
        <f t="shared" si="15"/>
        <v>0.6392059553349877</v>
      </c>
      <c r="AP36" s="23" t="s">
        <v>243</v>
      </c>
      <c r="AQ36" s="23"/>
      <c r="AR36" s="87"/>
      <c r="AS36" s="87"/>
      <c r="AT36" s="88">
        <f t="shared" si="16"/>
        <v>0</v>
      </c>
      <c r="AU36" s="23" t="s">
        <v>242</v>
      </c>
      <c r="AV36" s="44"/>
      <c r="AW36" s="23"/>
      <c r="AX36" s="30" t="s">
        <v>630</v>
      </c>
      <c r="AY36" s="30">
        <v>100</v>
      </c>
      <c r="AZ36" s="87" t="s">
        <v>628</v>
      </c>
      <c r="BA36" s="87">
        <v>540</v>
      </c>
      <c r="BB36" s="88">
        <f t="shared" si="17"/>
        <v>5.3598014888337469</v>
      </c>
      <c r="BC36" s="23" t="s">
        <v>243</v>
      </c>
      <c r="BD36" s="23"/>
      <c r="BE36" s="23"/>
      <c r="BI36" s="90">
        <f t="shared" si="18"/>
        <v>0</v>
      </c>
      <c r="BJ36" s="26">
        <f t="shared" si="11"/>
        <v>2</v>
      </c>
      <c r="BK36" s="26">
        <v>0</v>
      </c>
      <c r="BL36" s="26" t="s">
        <v>848</v>
      </c>
      <c r="BM36" s="26">
        <v>140</v>
      </c>
      <c r="BN36" s="26">
        <v>70</v>
      </c>
      <c r="BO36" s="26">
        <v>112</v>
      </c>
      <c r="BP36" s="26">
        <v>0</v>
      </c>
      <c r="BQ36" s="26">
        <v>1</v>
      </c>
      <c r="BR36" s="224">
        <v>121</v>
      </c>
      <c r="BS36" s="225">
        <v>1</v>
      </c>
      <c r="BT36" s="230" t="s">
        <v>1111</v>
      </c>
      <c r="BU36" s="227">
        <v>10312952</v>
      </c>
      <c r="BV36" s="228">
        <v>44413</v>
      </c>
      <c r="BW36" s="225">
        <v>10.3</v>
      </c>
      <c r="BX36" s="228">
        <v>44949</v>
      </c>
      <c r="BY36" s="226">
        <v>6</v>
      </c>
      <c r="BZ36" s="226"/>
      <c r="CA36" s="226"/>
      <c r="CB36" s="226"/>
      <c r="CC36" s="226"/>
      <c r="CD36" s="225">
        <v>150642126809</v>
      </c>
      <c r="CE36" s="225">
        <v>0</v>
      </c>
    </row>
    <row r="37" spans="1:83" ht="12.75" customHeight="1" thickBot="1" x14ac:dyDescent="0.3">
      <c r="A37" s="15" t="s">
        <v>312</v>
      </c>
      <c r="B37" s="15" t="s">
        <v>313</v>
      </c>
      <c r="C37" s="23" t="s">
        <v>480</v>
      </c>
      <c r="D37" s="41" t="s">
        <v>469</v>
      </c>
      <c r="E37" s="23" t="s">
        <v>164</v>
      </c>
      <c r="F37" s="23" t="s">
        <v>179</v>
      </c>
      <c r="G37" s="23">
        <v>2</v>
      </c>
      <c r="H37" s="23">
        <v>1</v>
      </c>
      <c r="I37" s="85" t="s">
        <v>557</v>
      </c>
      <c r="J37">
        <v>1995</v>
      </c>
      <c r="L37" s="5">
        <f t="shared" si="12"/>
        <v>26</v>
      </c>
      <c r="M37" s="109" t="e">
        <f>+#REF!-L37</f>
        <v>#REF!</v>
      </c>
      <c r="N37" s="23">
        <v>105.5</v>
      </c>
      <c r="O37" s="23">
        <v>1.59</v>
      </c>
      <c r="P37" s="24">
        <f t="shared" si="13"/>
        <v>41.730944187334359</v>
      </c>
      <c r="Q37" s="24" t="s">
        <v>242</v>
      </c>
      <c r="R37" s="24" t="s">
        <v>487</v>
      </c>
      <c r="S37" s="23" t="s">
        <v>177</v>
      </c>
      <c r="T37" s="45" t="s">
        <v>242</v>
      </c>
      <c r="U37" s="23" t="s">
        <v>212</v>
      </c>
      <c r="V37" s="18">
        <v>44371</v>
      </c>
      <c r="W37" s="15">
        <v>13.5</v>
      </c>
      <c r="X37" s="17" t="s">
        <v>477</v>
      </c>
      <c r="Y37" s="17" t="s">
        <v>584</v>
      </c>
      <c r="Z37" s="96" t="s">
        <v>590</v>
      </c>
      <c r="AA37" s="98" t="s">
        <v>569</v>
      </c>
      <c r="AB37" s="17">
        <v>3</v>
      </c>
      <c r="AC37" s="23" t="s">
        <v>245</v>
      </c>
      <c r="AD37" s="23" t="s">
        <v>642</v>
      </c>
      <c r="AE37" s="37">
        <v>84</v>
      </c>
      <c r="AF37" s="94">
        <v>15.6</v>
      </c>
      <c r="AG37" s="94">
        <f t="shared" si="19"/>
        <v>1310.3999999999999</v>
      </c>
      <c r="AH37" s="88">
        <f t="shared" si="20"/>
        <v>13.006451612903225</v>
      </c>
      <c r="AI37" s="25" t="s">
        <v>242</v>
      </c>
      <c r="AJ37" s="23"/>
      <c r="AK37" s="30" t="s">
        <v>247</v>
      </c>
      <c r="AL37" s="23">
        <v>25000</v>
      </c>
      <c r="AM37" s="91">
        <v>3.2199999999999999E-2</v>
      </c>
      <c r="AN37" s="91">
        <f t="shared" si="14"/>
        <v>805</v>
      </c>
      <c r="AO37" s="92">
        <f t="shared" si="15"/>
        <v>7.9900744416873453</v>
      </c>
      <c r="AP37" s="23" t="s">
        <v>243</v>
      </c>
      <c r="AQ37" s="23"/>
      <c r="AR37" s="87"/>
      <c r="AS37" s="87"/>
      <c r="AT37" s="88">
        <f t="shared" si="16"/>
        <v>0</v>
      </c>
      <c r="AU37" s="23" t="s">
        <v>242</v>
      </c>
      <c r="AV37" s="44"/>
      <c r="AW37" s="23"/>
      <c r="AX37" s="44"/>
      <c r="AY37" s="44"/>
      <c r="AZ37" s="87"/>
      <c r="BA37" s="87"/>
      <c r="BB37" s="88">
        <f t="shared" si="17"/>
        <v>0</v>
      </c>
      <c r="BC37" s="23" t="s">
        <v>242</v>
      </c>
      <c r="BD37" s="23"/>
      <c r="BE37" s="23"/>
      <c r="BI37" s="90">
        <f t="shared" si="18"/>
        <v>0</v>
      </c>
      <c r="BJ37" s="26">
        <f t="shared" si="11"/>
        <v>1</v>
      </c>
      <c r="BK37" s="26">
        <v>1</v>
      </c>
      <c r="BL37" s="26" t="s">
        <v>848</v>
      </c>
      <c r="BM37" s="26">
        <v>130</v>
      </c>
      <c r="BN37" s="26">
        <v>80</v>
      </c>
      <c r="BO37" s="26">
        <v>133</v>
      </c>
      <c r="BP37" s="26">
        <v>0</v>
      </c>
      <c r="BQ37" s="26">
        <v>0</v>
      </c>
      <c r="BR37" s="224">
        <v>17</v>
      </c>
      <c r="BS37" s="225">
        <v>1</v>
      </c>
      <c r="BT37" s="230" t="s">
        <v>901</v>
      </c>
      <c r="BU37" s="227">
        <v>6529907</v>
      </c>
      <c r="BV37" s="228">
        <v>44371</v>
      </c>
      <c r="BW37" s="225">
        <v>13.5</v>
      </c>
      <c r="BX37" s="228">
        <v>44951</v>
      </c>
      <c r="BY37" s="226">
        <v>7</v>
      </c>
      <c r="BZ37" s="226"/>
      <c r="CA37" s="226"/>
      <c r="CB37" s="226"/>
      <c r="CC37" s="226"/>
      <c r="CD37" s="225">
        <v>150219645101</v>
      </c>
      <c r="CE37" s="225">
        <v>1</v>
      </c>
    </row>
    <row r="38" spans="1:83" ht="12.75" customHeight="1" thickBot="1" x14ac:dyDescent="0.3">
      <c r="A38" s="15" t="s">
        <v>37</v>
      </c>
      <c r="B38" s="15" t="s">
        <v>108</v>
      </c>
      <c r="C38" s="23" t="s">
        <v>479</v>
      </c>
      <c r="D38" s="41" t="s">
        <v>469</v>
      </c>
      <c r="E38" s="23" t="s">
        <v>163</v>
      </c>
      <c r="F38" s="23" t="s">
        <v>179</v>
      </c>
      <c r="G38" s="23">
        <v>3</v>
      </c>
      <c r="H38" s="23">
        <v>1</v>
      </c>
      <c r="I38" s="85" t="s">
        <v>557</v>
      </c>
      <c r="J38">
        <v>2016</v>
      </c>
      <c r="L38" s="5">
        <f t="shared" si="12"/>
        <v>5</v>
      </c>
      <c r="M38" s="109" t="e">
        <f>+#REF!-L38</f>
        <v>#REF!</v>
      </c>
      <c r="N38" s="23">
        <v>114.5</v>
      </c>
      <c r="O38" s="23">
        <v>1.83</v>
      </c>
      <c r="P38" s="24">
        <f t="shared" si="13"/>
        <v>34.190331153513092</v>
      </c>
      <c r="Q38" s="24" t="s">
        <v>242</v>
      </c>
      <c r="R38" s="24" t="s">
        <v>487</v>
      </c>
      <c r="S38" s="23" t="s">
        <v>177</v>
      </c>
      <c r="T38" s="45" t="s">
        <v>242</v>
      </c>
      <c r="U38" s="23"/>
      <c r="V38" s="16">
        <v>44392</v>
      </c>
      <c r="W38" s="15">
        <v>8.6</v>
      </c>
      <c r="X38" s="17" t="s">
        <v>475</v>
      </c>
      <c r="Y38" s="17" t="s">
        <v>584</v>
      </c>
      <c r="Z38" s="96" t="s">
        <v>506</v>
      </c>
      <c r="AA38" s="98" t="s">
        <v>569</v>
      </c>
      <c r="AB38" s="17">
        <v>2</v>
      </c>
      <c r="AC38" s="23" t="s">
        <v>182</v>
      </c>
      <c r="AD38" s="23" t="s">
        <v>182</v>
      </c>
      <c r="AE38" s="36">
        <v>40</v>
      </c>
      <c r="AF38" s="94">
        <v>7.21</v>
      </c>
      <c r="AG38" s="94">
        <f t="shared" si="19"/>
        <v>288.39999999999998</v>
      </c>
      <c r="AH38" s="88">
        <f t="shared" si="20"/>
        <v>2.8625310173697267</v>
      </c>
      <c r="AI38" s="25" t="s">
        <v>243</v>
      </c>
      <c r="AJ38" s="23" t="s">
        <v>463</v>
      </c>
      <c r="AK38" s="23" t="s">
        <v>247</v>
      </c>
      <c r="AL38" s="23">
        <v>2000</v>
      </c>
      <c r="AM38" s="91">
        <v>3.2199999999999999E-2</v>
      </c>
      <c r="AN38" s="91">
        <f t="shared" si="14"/>
        <v>64.400000000000006</v>
      </c>
      <c r="AO38" s="92">
        <f t="shared" si="15"/>
        <v>0.6392059553349877</v>
      </c>
      <c r="AP38" s="23" t="s">
        <v>243</v>
      </c>
      <c r="AQ38" s="23"/>
      <c r="AR38" s="87"/>
      <c r="AS38" s="87"/>
      <c r="AT38" s="88">
        <f t="shared" si="16"/>
        <v>0</v>
      </c>
      <c r="AU38" s="23" t="s">
        <v>242</v>
      </c>
      <c r="AV38" s="44"/>
      <c r="AW38" s="23"/>
      <c r="AX38" s="23" t="s">
        <v>249</v>
      </c>
      <c r="AY38" s="23">
        <v>100</v>
      </c>
      <c r="AZ38" s="87">
        <v>5.4</v>
      </c>
      <c r="BA38" s="87">
        <f>+AY38*AZ38</f>
        <v>540</v>
      </c>
      <c r="BB38" s="88">
        <f t="shared" si="17"/>
        <v>5.3598014888337469</v>
      </c>
      <c r="BC38" s="23" t="s">
        <v>243</v>
      </c>
      <c r="BD38" s="23"/>
      <c r="BE38" s="23"/>
      <c r="BI38" s="90">
        <f t="shared" si="18"/>
        <v>0</v>
      </c>
      <c r="BJ38" s="26">
        <f t="shared" si="11"/>
        <v>2</v>
      </c>
      <c r="BK38" s="26">
        <v>1</v>
      </c>
      <c r="BL38" s="26" t="s">
        <v>850</v>
      </c>
      <c r="BM38" s="26">
        <v>160</v>
      </c>
      <c r="BN38" s="26">
        <v>100</v>
      </c>
      <c r="BO38" s="26">
        <v>121</v>
      </c>
      <c r="BP38" s="26">
        <v>0</v>
      </c>
      <c r="BQ38" s="26">
        <v>0</v>
      </c>
      <c r="BR38" s="224">
        <v>18</v>
      </c>
      <c r="BS38" s="225">
        <v>2</v>
      </c>
      <c r="BT38" s="230" t="s">
        <v>903</v>
      </c>
      <c r="BU38" s="227">
        <v>11134148</v>
      </c>
      <c r="BV38" s="228">
        <v>44392</v>
      </c>
      <c r="BW38" s="225">
        <v>8.6</v>
      </c>
      <c r="BX38" s="228">
        <v>44908</v>
      </c>
      <c r="BY38" s="226">
        <v>6.9</v>
      </c>
      <c r="BZ38" s="226"/>
      <c r="CA38" s="226"/>
      <c r="CB38" s="226"/>
      <c r="CC38" s="226"/>
      <c r="CD38" s="225">
        <v>150794345701</v>
      </c>
      <c r="CE38" s="225">
        <v>0</v>
      </c>
    </row>
    <row r="39" spans="1:83" ht="12.75" customHeight="1" thickBot="1" x14ac:dyDescent="0.3">
      <c r="A39" s="15" t="s">
        <v>314</v>
      </c>
      <c r="B39" s="15" t="s">
        <v>315</v>
      </c>
      <c r="C39" s="23" t="s">
        <v>482</v>
      </c>
      <c r="D39" s="41" t="s">
        <v>470</v>
      </c>
      <c r="E39" s="23" t="s">
        <v>164</v>
      </c>
      <c r="F39" s="23" t="s">
        <v>179</v>
      </c>
      <c r="G39" s="23">
        <v>2</v>
      </c>
      <c r="H39" s="23">
        <v>1</v>
      </c>
      <c r="I39" s="85" t="s">
        <v>557</v>
      </c>
      <c r="J39" s="111">
        <v>1980</v>
      </c>
      <c r="K39" s="111"/>
      <c r="L39" s="5">
        <f>2021-J39</f>
        <v>41</v>
      </c>
      <c r="M39" s="109" t="e">
        <f>+#REF!-L39</f>
        <v>#REF!</v>
      </c>
      <c r="N39" s="23">
        <v>53.8</v>
      </c>
      <c r="O39" s="23">
        <v>1.54</v>
      </c>
      <c r="P39" s="24">
        <f t="shared" si="13"/>
        <v>22.685107100691514</v>
      </c>
      <c r="Q39" s="24" t="s">
        <v>242</v>
      </c>
      <c r="R39" s="24" t="s">
        <v>485</v>
      </c>
      <c r="S39" s="23" t="s">
        <v>179</v>
      </c>
      <c r="T39" s="45" t="s">
        <v>242</v>
      </c>
      <c r="U39" s="23" t="s">
        <v>212</v>
      </c>
      <c r="V39" s="16">
        <v>44441</v>
      </c>
      <c r="W39" s="17">
        <v>8.6999999999999993</v>
      </c>
      <c r="X39" s="17" t="s">
        <v>475</v>
      </c>
      <c r="Y39" s="17" t="s">
        <v>584</v>
      </c>
      <c r="Z39" s="96" t="s">
        <v>506</v>
      </c>
      <c r="AA39" s="98" t="s">
        <v>569</v>
      </c>
      <c r="AB39" s="17">
        <v>2</v>
      </c>
      <c r="AC39" s="23" t="s">
        <v>252</v>
      </c>
      <c r="AD39" s="23" t="s">
        <v>642</v>
      </c>
      <c r="AE39" s="36">
        <v>35</v>
      </c>
      <c r="AF39" s="94">
        <v>4.4400000000000004</v>
      </c>
      <c r="AG39" s="94">
        <f t="shared" si="19"/>
        <v>155.4</v>
      </c>
      <c r="AH39" s="88">
        <f t="shared" si="20"/>
        <v>1.5424317617866006</v>
      </c>
      <c r="AI39" s="25" t="s">
        <v>243</v>
      </c>
      <c r="AJ39" s="23">
        <v>8</v>
      </c>
      <c r="AK39" s="30" t="s">
        <v>247</v>
      </c>
      <c r="AL39" s="23">
        <v>1700</v>
      </c>
      <c r="AM39" s="91">
        <v>3.2199999999999999E-2</v>
      </c>
      <c r="AN39" s="91">
        <f t="shared" si="14"/>
        <v>54.74</v>
      </c>
      <c r="AO39" s="92">
        <f t="shared" si="15"/>
        <v>0.54332506203473951</v>
      </c>
      <c r="AP39" s="23" t="s">
        <v>243</v>
      </c>
      <c r="AQ39" s="23"/>
      <c r="AR39" s="87"/>
      <c r="AS39" s="87"/>
      <c r="AT39" s="88">
        <f t="shared" si="16"/>
        <v>0</v>
      </c>
      <c r="AU39" s="23" t="s">
        <v>242</v>
      </c>
      <c r="AV39" s="44"/>
      <c r="AW39" s="23"/>
      <c r="AX39" s="30" t="s">
        <v>251</v>
      </c>
      <c r="AY39" s="30">
        <v>100</v>
      </c>
      <c r="AZ39" s="87">
        <v>1.84</v>
      </c>
      <c r="BA39" s="87">
        <v>540</v>
      </c>
      <c r="BB39" s="88">
        <v>1.83</v>
      </c>
      <c r="BC39" s="23" t="s">
        <v>243</v>
      </c>
      <c r="BD39" s="23"/>
      <c r="BE39" s="23"/>
      <c r="BI39" s="90">
        <f t="shared" si="18"/>
        <v>0</v>
      </c>
      <c r="BJ39" s="26">
        <f t="shared" si="11"/>
        <v>2</v>
      </c>
      <c r="BK39" s="26">
        <v>0</v>
      </c>
      <c r="BL39" s="26" t="s">
        <v>850</v>
      </c>
      <c r="BM39" s="26">
        <v>140</v>
      </c>
      <c r="BN39" s="26">
        <v>70</v>
      </c>
      <c r="BO39" s="26">
        <v>82</v>
      </c>
      <c r="BP39" s="26">
        <v>0</v>
      </c>
      <c r="BQ39" s="26">
        <v>0</v>
      </c>
      <c r="BR39" s="224">
        <v>122</v>
      </c>
      <c r="BS39" s="225">
        <v>2</v>
      </c>
      <c r="BT39" s="230" t="s">
        <v>1113</v>
      </c>
      <c r="BU39" s="227">
        <v>5791643</v>
      </c>
      <c r="BV39" s="228">
        <v>44441</v>
      </c>
      <c r="BW39" s="225">
        <v>8.6999999999999993</v>
      </c>
      <c r="BX39" s="228">
        <v>45014</v>
      </c>
      <c r="BY39" s="226">
        <v>6</v>
      </c>
      <c r="BZ39" s="226"/>
      <c r="CA39" s="226"/>
      <c r="CB39" s="226"/>
      <c r="CC39" s="226"/>
      <c r="CD39" s="225">
        <v>150176945501</v>
      </c>
      <c r="CE39" s="225">
        <v>0</v>
      </c>
    </row>
    <row r="40" spans="1:83" ht="12.75" customHeight="1" thickBot="1" x14ac:dyDescent="0.3">
      <c r="A40" s="15" t="s">
        <v>316</v>
      </c>
      <c r="B40" s="15" t="s">
        <v>317</v>
      </c>
      <c r="C40" s="23" t="s">
        <v>482</v>
      </c>
      <c r="D40" s="41" t="s">
        <v>470</v>
      </c>
      <c r="E40" s="23" t="s">
        <v>163</v>
      </c>
      <c r="F40" s="23" t="s">
        <v>179</v>
      </c>
      <c r="G40" s="23">
        <v>2</v>
      </c>
      <c r="H40" s="23">
        <v>2</v>
      </c>
      <c r="I40" s="85" t="s">
        <v>558</v>
      </c>
      <c r="J40">
        <v>2009</v>
      </c>
      <c r="L40" s="5">
        <f>2021-J40</f>
        <v>12</v>
      </c>
      <c r="M40" s="109" t="e">
        <f>+#REF!-L40</f>
        <v>#REF!</v>
      </c>
      <c r="N40" s="23">
        <v>91.7</v>
      </c>
      <c r="O40" s="23">
        <v>1.69</v>
      </c>
      <c r="P40" s="24">
        <f t="shared" si="13"/>
        <v>32.106718952417637</v>
      </c>
      <c r="Q40" s="24" t="s">
        <v>242</v>
      </c>
      <c r="R40" s="24" t="s">
        <v>487</v>
      </c>
      <c r="S40" s="23" t="s">
        <v>177</v>
      </c>
      <c r="T40" s="45" t="s">
        <v>242</v>
      </c>
      <c r="U40" s="23" t="s">
        <v>212</v>
      </c>
      <c r="V40" s="18">
        <v>44385</v>
      </c>
      <c r="W40" s="17">
        <v>12.4</v>
      </c>
      <c r="X40" s="17" t="s">
        <v>477</v>
      </c>
      <c r="Y40" s="17" t="s">
        <v>584</v>
      </c>
      <c r="Z40" s="96" t="s">
        <v>590</v>
      </c>
      <c r="AA40" s="98" t="s">
        <v>569</v>
      </c>
      <c r="AB40" s="17">
        <v>3</v>
      </c>
      <c r="AC40" s="23" t="s">
        <v>244</v>
      </c>
      <c r="AD40" s="23" t="s">
        <v>642</v>
      </c>
      <c r="AE40" s="36">
        <v>40</v>
      </c>
      <c r="AF40" s="94">
        <v>14.66</v>
      </c>
      <c r="AG40" s="94">
        <f t="shared" si="19"/>
        <v>586.4</v>
      </c>
      <c r="AH40" s="88">
        <f t="shared" si="20"/>
        <v>5.820347394540943</v>
      </c>
      <c r="AI40" s="25" t="s">
        <v>242</v>
      </c>
      <c r="AJ40" s="23"/>
      <c r="AK40" s="23" t="s">
        <v>247</v>
      </c>
      <c r="AL40" s="23">
        <v>2550</v>
      </c>
      <c r="AM40" s="91">
        <v>3.2199999999999999E-2</v>
      </c>
      <c r="AN40" s="91">
        <f t="shared" si="14"/>
        <v>82.11</v>
      </c>
      <c r="AO40" s="92">
        <f t="shared" si="15"/>
        <v>0.81498759305210922</v>
      </c>
      <c r="AP40" s="23" t="s">
        <v>243</v>
      </c>
      <c r="AQ40" s="23"/>
      <c r="AR40" s="87"/>
      <c r="AS40" s="87"/>
      <c r="AT40" s="88">
        <f t="shared" si="16"/>
        <v>0</v>
      </c>
      <c r="AU40" s="23" t="s">
        <v>242</v>
      </c>
      <c r="AV40" s="44"/>
      <c r="AW40" s="23"/>
      <c r="AX40" s="44"/>
      <c r="AY40" s="44"/>
      <c r="AZ40" s="87"/>
      <c r="BA40" s="87"/>
      <c r="BB40" s="88">
        <f t="shared" si="17"/>
        <v>0</v>
      </c>
      <c r="BC40" s="23" t="s">
        <v>242</v>
      </c>
      <c r="BD40" s="23"/>
      <c r="BE40" s="23"/>
      <c r="BI40" s="90">
        <f t="shared" si="18"/>
        <v>0</v>
      </c>
      <c r="BJ40" s="26">
        <f t="shared" si="11"/>
        <v>1</v>
      </c>
      <c r="BK40" s="26">
        <v>0</v>
      </c>
      <c r="BL40" s="26" t="s">
        <v>850</v>
      </c>
      <c r="BM40" s="26">
        <v>140</v>
      </c>
      <c r="BN40" s="26">
        <v>80</v>
      </c>
      <c r="BO40" s="26">
        <v>116</v>
      </c>
      <c r="BP40" s="26">
        <v>0</v>
      </c>
      <c r="BQ40" s="26">
        <v>0</v>
      </c>
      <c r="BR40" s="224">
        <v>19</v>
      </c>
      <c r="BS40" s="225">
        <v>1</v>
      </c>
      <c r="BT40" s="230" t="s">
        <v>905</v>
      </c>
      <c r="BU40" s="227">
        <v>5321183</v>
      </c>
      <c r="BV40" s="228">
        <v>44385</v>
      </c>
      <c r="BW40" s="225">
        <v>12.4</v>
      </c>
      <c r="BX40" s="228">
        <v>44942</v>
      </c>
      <c r="BY40" s="230">
        <v>7.3</v>
      </c>
      <c r="BZ40" s="226"/>
      <c r="CA40" s="226"/>
      <c r="CB40" s="226"/>
      <c r="CC40" s="226"/>
      <c r="CD40" s="225">
        <v>150420491808</v>
      </c>
      <c r="CE40" s="225">
        <v>0</v>
      </c>
    </row>
    <row r="41" spans="1:83" ht="12.75" customHeight="1" thickBot="1" x14ac:dyDescent="0.3">
      <c r="A41" s="15" t="s">
        <v>56</v>
      </c>
      <c r="B41" s="15" t="s">
        <v>133</v>
      </c>
      <c r="C41" s="23" t="s">
        <v>479</v>
      </c>
      <c r="D41" s="41" t="s">
        <v>469</v>
      </c>
      <c r="E41" s="23" t="s">
        <v>164</v>
      </c>
      <c r="F41" s="23" t="s">
        <v>179</v>
      </c>
      <c r="G41" s="23">
        <v>4</v>
      </c>
      <c r="H41" s="23">
        <v>1</v>
      </c>
      <c r="I41" s="85" t="s">
        <v>557</v>
      </c>
      <c r="J41" s="111">
        <v>1976</v>
      </c>
      <c r="K41" s="111"/>
      <c r="L41" s="5">
        <f>2021-J41</f>
        <v>45</v>
      </c>
      <c r="M41" s="109" t="e">
        <f>+#REF!-L41</f>
        <v>#REF!</v>
      </c>
      <c r="N41" s="23">
        <v>84.8</v>
      </c>
      <c r="O41" s="23">
        <v>1.65</v>
      </c>
      <c r="P41" s="24">
        <f t="shared" si="13"/>
        <v>31.147842056932969</v>
      </c>
      <c r="Q41" s="24" t="s">
        <v>243</v>
      </c>
      <c r="R41" s="24" t="s">
        <v>487</v>
      </c>
      <c r="S41" s="23" t="s">
        <v>179</v>
      </c>
      <c r="T41" s="45" t="s">
        <v>242</v>
      </c>
      <c r="U41" s="23" t="s">
        <v>212</v>
      </c>
      <c r="V41" s="16">
        <v>44413</v>
      </c>
      <c r="W41" s="17">
        <v>9.8000000000000007</v>
      </c>
      <c r="X41" s="17" t="s">
        <v>476</v>
      </c>
      <c r="Y41" s="17" t="s">
        <v>584</v>
      </c>
      <c r="Z41" s="96" t="s">
        <v>506</v>
      </c>
      <c r="AA41" s="98" t="s">
        <v>569</v>
      </c>
      <c r="AB41" s="17">
        <v>2</v>
      </c>
      <c r="AC41" s="23" t="s">
        <v>244</v>
      </c>
      <c r="AD41" s="23" t="s">
        <v>642</v>
      </c>
      <c r="AE41" s="36">
        <v>50</v>
      </c>
      <c r="AF41" s="94">
        <v>14.66</v>
      </c>
      <c r="AG41" s="94">
        <f t="shared" si="19"/>
        <v>733</v>
      </c>
      <c r="AH41" s="88">
        <f t="shared" si="20"/>
        <v>7.2754342431761785</v>
      </c>
      <c r="AI41" s="25" t="s">
        <v>243</v>
      </c>
      <c r="AJ41" s="23" t="s">
        <v>463</v>
      </c>
      <c r="AK41" s="23" t="s">
        <v>247</v>
      </c>
      <c r="AL41" s="23">
        <v>1700</v>
      </c>
      <c r="AM41" s="91">
        <v>3.2199999999999999E-2</v>
      </c>
      <c r="AN41" s="91">
        <f t="shared" si="14"/>
        <v>54.74</v>
      </c>
      <c r="AO41" s="92">
        <f t="shared" si="15"/>
        <v>0.54332506203473951</v>
      </c>
      <c r="AP41" s="23" t="s">
        <v>243</v>
      </c>
      <c r="AQ41" s="23"/>
      <c r="AR41" s="87"/>
      <c r="AS41" s="87"/>
      <c r="AT41" s="88">
        <f t="shared" si="16"/>
        <v>0</v>
      </c>
      <c r="AU41" s="23" t="s">
        <v>242</v>
      </c>
      <c r="AV41" s="44"/>
      <c r="AW41" s="23"/>
      <c r="AX41" s="44"/>
      <c r="AY41" s="44"/>
      <c r="AZ41" s="87"/>
      <c r="BA41" s="87"/>
      <c r="BB41" s="88">
        <f t="shared" si="17"/>
        <v>0</v>
      </c>
      <c r="BC41" s="23" t="s">
        <v>242</v>
      </c>
      <c r="BD41" s="23"/>
      <c r="BE41" s="23"/>
      <c r="BI41" s="90">
        <f t="shared" si="18"/>
        <v>0</v>
      </c>
      <c r="BJ41" s="26">
        <f t="shared" si="11"/>
        <v>1</v>
      </c>
      <c r="BK41" s="26">
        <v>0</v>
      </c>
      <c r="BL41" s="26" t="s">
        <v>848</v>
      </c>
      <c r="BM41" s="26">
        <v>120</v>
      </c>
      <c r="BN41" s="26">
        <v>70</v>
      </c>
      <c r="BO41" s="26">
        <v>110</v>
      </c>
      <c r="BP41" s="26">
        <v>0</v>
      </c>
      <c r="BQ41" s="26">
        <v>0</v>
      </c>
      <c r="BR41" s="224">
        <v>123</v>
      </c>
      <c r="BS41" s="225">
        <v>2</v>
      </c>
      <c r="BT41" s="230" t="s">
        <v>1288</v>
      </c>
      <c r="BU41" s="231">
        <v>13804652</v>
      </c>
      <c r="BV41" s="228">
        <v>44413</v>
      </c>
      <c r="BW41" s="225">
        <v>9.8000000000000007</v>
      </c>
      <c r="BX41" s="228">
        <v>44911</v>
      </c>
      <c r="BY41" s="226">
        <v>6.1</v>
      </c>
      <c r="BZ41" s="226"/>
      <c r="CA41" s="226"/>
      <c r="CB41" s="226"/>
      <c r="CC41" s="226"/>
      <c r="CD41" s="225">
        <v>150430459104</v>
      </c>
      <c r="CE41" s="225">
        <v>0</v>
      </c>
    </row>
    <row r="42" spans="1:83" ht="12.75" customHeight="1" thickBot="1" x14ac:dyDescent="0.3">
      <c r="A42" s="15" t="s">
        <v>318</v>
      </c>
      <c r="B42" s="15" t="s">
        <v>319</v>
      </c>
      <c r="C42" s="23" t="s">
        <v>479</v>
      </c>
      <c r="D42" s="41" t="s">
        <v>469</v>
      </c>
      <c r="E42" s="23" t="s">
        <v>164</v>
      </c>
      <c r="F42" s="23" t="s">
        <v>179</v>
      </c>
      <c r="G42" s="23">
        <v>2</v>
      </c>
      <c r="H42" s="23">
        <v>1</v>
      </c>
      <c r="I42" s="85" t="s">
        <v>557</v>
      </c>
      <c r="L42" s="5"/>
      <c r="M42" s="109" t="e">
        <f>+#REF!-L42</f>
        <v>#REF!</v>
      </c>
      <c r="N42" s="23">
        <v>56</v>
      </c>
      <c r="O42" s="23">
        <v>1.52</v>
      </c>
      <c r="P42" s="24">
        <f t="shared" si="13"/>
        <v>24.238227146814403</v>
      </c>
      <c r="Q42" s="24" t="s">
        <v>243</v>
      </c>
      <c r="R42" s="24" t="s">
        <v>485</v>
      </c>
      <c r="S42" s="23" t="s">
        <v>177</v>
      </c>
      <c r="T42" s="45" t="s">
        <v>242</v>
      </c>
      <c r="U42" s="23"/>
      <c r="V42" s="16">
        <v>44371</v>
      </c>
      <c r="W42" s="23">
        <v>10.199999999999999</v>
      </c>
      <c r="X42" s="17" t="s">
        <v>476</v>
      </c>
      <c r="Y42" s="17" t="s">
        <v>584</v>
      </c>
      <c r="Z42" s="96" t="s">
        <v>590</v>
      </c>
      <c r="AA42" s="98" t="s">
        <v>569</v>
      </c>
      <c r="AB42" s="17">
        <v>2</v>
      </c>
      <c r="AC42" s="23" t="s">
        <v>245</v>
      </c>
      <c r="AD42" s="23" t="s">
        <v>642</v>
      </c>
      <c r="AE42" s="36">
        <v>22</v>
      </c>
      <c r="AF42" s="94">
        <v>15.6</v>
      </c>
      <c r="AG42" s="94">
        <f t="shared" si="19"/>
        <v>343.2</v>
      </c>
      <c r="AH42" s="88">
        <f t="shared" si="20"/>
        <v>3.4064516129032256</v>
      </c>
      <c r="AI42" s="25" t="s">
        <v>243</v>
      </c>
      <c r="AJ42" s="29">
        <v>35</v>
      </c>
      <c r="AK42" s="44" t="s">
        <v>179</v>
      </c>
      <c r="AL42" s="23"/>
      <c r="AM42" s="91">
        <v>3.2199999999999999E-2</v>
      </c>
      <c r="AN42" s="91">
        <f t="shared" si="14"/>
        <v>0</v>
      </c>
      <c r="AO42" s="92">
        <f t="shared" si="15"/>
        <v>0</v>
      </c>
      <c r="AP42" s="23" t="s">
        <v>242</v>
      </c>
      <c r="AQ42" s="23"/>
      <c r="AR42" s="87"/>
      <c r="AS42" s="87"/>
      <c r="AT42" s="88">
        <f t="shared" si="16"/>
        <v>0</v>
      </c>
      <c r="AU42" s="23" t="s">
        <v>242</v>
      </c>
      <c r="AV42" s="44"/>
      <c r="AW42" s="23"/>
      <c r="AX42" s="44"/>
      <c r="AY42" s="44"/>
      <c r="AZ42" s="87"/>
      <c r="BA42" s="87"/>
      <c r="BB42" s="88">
        <f t="shared" si="17"/>
        <v>0</v>
      </c>
      <c r="BC42" s="23" t="s">
        <v>242</v>
      </c>
      <c r="BD42" s="23"/>
      <c r="BE42" s="23"/>
      <c r="BI42" s="90">
        <f t="shared" si="18"/>
        <v>0</v>
      </c>
      <c r="BJ42" s="26">
        <f t="shared" si="11"/>
        <v>0</v>
      </c>
      <c r="BK42" s="26">
        <v>1</v>
      </c>
      <c r="BL42" s="26" t="s">
        <v>851</v>
      </c>
      <c r="BM42" s="26">
        <v>130</v>
      </c>
      <c r="BN42" s="26">
        <v>70</v>
      </c>
      <c r="BO42" s="26">
        <v>88</v>
      </c>
      <c r="BP42" s="26">
        <v>0</v>
      </c>
      <c r="BQ42" s="26">
        <v>0</v>
      </c>
      <c r="BR42" s="224">
        <v>20</v>
      </c>
      <c r="BS42" s="225">
        <v>2</v>
      </c>
      <c r="BT42" s="230" t="s">
        <v>907</v>
      </c>
      <c r="BU42" s="231">
        <v>10370695</v>
      </c>
      <c r="BV42" s="228">
        <v>44371</v>
      </c>
      <c r="BW42" s="225">
        <v>10.199999999999999</v>
      </c>
      <c r="BX42" s="228">
        <v>44907</v>
      </c>
      <c r="BY42" s="226">
        <v>13</v>
      </c>
      <c r="BZ42" s="226"/>
      <c r="CA42" s="226"/>
      <c r="CB42" s="226"/>
      <c r="CC42" s="226"/>
      <c r="CD42" s="225">
        <v>150430459104</v>
      </c>
      <c r="CE42" s="225">
        <v>0</v>
      </c>
    </row>
    <row r="43" spans="1:83" ht="12.75" customHeight="1" thickBot="1" x14ac:dyDescent="0.3">
      <c r="A43" s="15" t="s">
        <v>135</v>
      </c>
      <c r="B43" s="15" t="s">
        <v>134</v>
      </c>
      <c r="C43" s="23" t="s">
        <v>482</v>
      </c>
      <c r="D43" s="41" t="s">
        <v>470</v>
      </c>
      <c r="E43" s="23" t="s">
        <v>164</v>
      </c>
      <c r="F43" s="23" t="s">
        <v>179</v>
      </c>
      <c r="G43" s="23">
        <v>2</v>
      </c>
      <c r="H43" s="23">
        <v>2</v>
      </c>
      <c r="I43" s="85" t="s">
        <v>558</v>
      </c>
      <c r="J43">
        <v>2000</v>
      </c>
      <c r="L43" s="5">
        <f t="shared" ref="L43:L49" si="21">2021-J43</f>
        <v>21</v>
      </c>
      <c r="M43" s="109" t="e">
        <f>+#REF!-L43</f>
        <v>#REF!</v>
      </c>
      <c r="N43" s="23">
        <v>60.7</v>
      </c>
      <c r="O43" s="23">
        <v>1.46</v>
      </c>
      <c r="P43" s="24">
        <f t="shared" si="13"/>
        <v>28.476261962844816</v>
      </c>
      <c r="Q43" s="24" t="s">
        <v>242</v>
      </c>
      <c r="R43" s="24" t="s">
        <v>486</v>
      </c>
      <c r="S43" s="23" t="s">
        <v>177</v>
      </c>
      <c r="T43" s="45" t="s">
        <v>242</v>
      </c>
      <c r="U43" s="23" t="s">
        <v>212</v>
      </c>
      <c r="V43" s="16">
        <v>44427</v>
      </c>
      <c r="W43" s="17">
        <v>15.5</v>
      </c>
      <c r="X43" s="17" t="s">
        <v>477</v>
      </c>
      <c r="Y43" s="17" t="s">
        <v>584</v>
      </c>
      <c r="Z43" s="96" t="s">
        <v>590</v>
      </c>
      <c r="AA43" s="98" t="s">
        <v>569</v>
      </c>
      <c r="AB43" s="17">
        <v>3</v>
      </c>
      <c r="AC43" s="23" t="s">
        <v>248</v>
      </c>
      <c r="AD43" s="23" t="s">
        <v>642</v>
      </c>
      <c r="AE43" s="36">
        <v>30</v>
      </c>
      <c r="AF43" s="94">
        <v>4.4400000000000004</v>
      </c>
      <c r="AG43" s="94">
        <f t="shared" si="19"/>
        <v>133.20000000000002</v>
      </c>
      <c r="AH43" s="88">
        <f t="shared" si="20"/>
        <v>1.3220843672456577</v>
      </c>
      <c r="AI43" s="25" t="s">
        <v>242</v>
      </c>
      <c r="AJ43" s="23"/>
      <c r="AK43" s="23" t="s">
        <v>247</v>
      </c>
      <c r="AL43" s="23">
        <v>2000</v>
      </c>
      <c r="AM43" s="91">
        <v>3.2199999999999999E-2</v>
      </c>
      <c r="AN43" s="91">
        <f t="shared" si="14"/>
        <v>64.400000000000006</v>
      </c>
      <c r="AO43" s="92">
        <f t="shared" si="15"/>
        <v>0.6392059553349877</v>
      </c>
      <c r="AP43" s="23" t="s">
        <v>243</v>
      </c>
      <c r="AQ43" s="23"/>
      <c r="AR43" s="87"/>
      <c r="AS43" s="87"/>
      <c r="AT43" s="88">
        <f t="shared" si="16"/>
        <v>0</v>
      </c>
      <c r="AU43" s="23" t="s">
        <v>242</v>
      </c>
      <c r="AV43" s="44"/>
      <c r="AW43" s="23"/>
      <c r="AX43" s="23" t="s">
        <v>251</v>
      </c>
      <c r="AY43" s="23">
        <v>100</v>
      </c>
      <c r="AZ43" s="87">
        <v>1.84</v>
      </c>
      <c r="BA43" s="87">
        <f>+AY43*AZ43</f>
        <v>184</v>
      </c>
      <c r="BB43" s="88">
        <f t="shared" si="17"/>
        <v>1.8263027295285359</v>
      </c>
      <c r="BC43" s="23" t="s">
        <v>243</v>
      </c>
      <c r="BD43" s="23"/>
      <c r="BE43" s="23"/>
      <c r="BI43" s="90">
        <f t="shared" si="18"/>
        <v>0</v>
      </c>
      <c r="BJ43" s="26">
        <f t="shared" si="11"/>
        <v>2</v>
      </c>
      <c r="BK43" s="26">
        <v>1</v>
      </c>
      <c r="BL43" s="26" t="s">
        <v>848</v>
      </c>
      <c r="BM43" s="26">
        <v>140</v>
      </c>
      <c r="BN43" s="26">
        <v>100</v>
      </c>
      <c r="BO43" s="26">
        <v>100</v>
      </c>
      <c r="BP43" s="26">
        <v>1</v>
      </c>
      <c r="BQ43" s="26">
        <v>0</v>
      </c>
      <c r="BR43" s="224">
        <v>124</v>
      </c>
      <c r="BS43" s="225">
        <v>2</v>
      </c>
      <c r="BT43" s="230" t="s">
        <v>1117</v>
      </c>
      <c r="BU43" s="227">
        <v>4200429</v>
      </c>
      <c r="BV43" s="228">
        <v>44427</v>
      </c>
      <c r="BW43" s="225">
        <v>15.5</v>
      </c>
      <c r="BX43" s="226"/>
      <c r="BY43" s="226"/>
      <c r="BZ43" s="226"/>
      <c r="CA43" s="226"/>
      <c r="CB43" s="226"/>
      <c r="CC43" s="226"/>
      <c r="CD43" s="225">
        <v>150643417301</v>
      </c>
      <c r="CE43" s="225">
        <v>0</v>
      </c>
    </row>
    <row r="44" spans="1:83" ht="12.75" customHeight="1" thickBot="1" x14ac:dyDescent="0.3">
      <c r="A44" s="15" t="s">
        <v>320</v>
      </c>
      <c r="B44" s="15" t="s">
        <v>321</v>
      </c>
      <c r="C44" s="23" t="s">
        <v>482</v>
      </c>
      <c r="D44" s="41" t="s">
        <v>471</v>
      </c>
      <c r="E44" s="23" t="s">
        <v>163</v>
      </c>
      <c r="F44" s="23" t="s">
        <v>179</v>
      </c>
      <c r="G44" s="23">
        <v>2</v>
      </c>
      <c r="H44" s="23">
        <v>1</v>
      </c>
      <c r="I44" s="85" t="s">
        <v>557</v>
      </c>
      <c r="J44" s="111">
        <v>1970</v>
      </c>
      <c r="K44" s="111"/>
      <c r="L44" s="5">
        <f t="shared" si="21"/>
        <v>51</v>
      </c>
      <c r="M44" s="109" t="e">
        <f>+#REF!-L44</f>
        <v>#REF!</v>
      </c>
      <c r="N44" s="23">
        <v>86</v>
      </c>
      <c r="O44" s="23">
        <v>1.62</v>
      </c>
      <c r="P44" s="24">
        <f t="shared" si="13"/>
        <v>32.769394909312595</v>
      </c>
      <c r="Q44" s="24" t="s">
        <v>242</v>
      </c>
      <c r="R44" s="24" t="s">
        <v>487</v>
      </c>
      <c r="S44" s="23" t="s">
        <v>177</v>
      </c>
      <c r="T44" s="45" t="s">
        <v>242</v>
      </c>
      <c r="U44" s="23" t="s">
        <v>212</v>
      </c>
      <c r="V44" s="18">
        <v>44413</v>
      </c>
      <c r="W44" s="17">
        <v>12.5</v>
      </c>
      <c r="X44" s="17" t="s">
        <v>477</v>
      </c>
      <c r="Y44" s="17" t="s">
        <v>584</v>
      </c>
      <c r="Z44" s="96" t="s">
        <v>590</v>
      </c>
      <c r="AA44" s="98" t="s">
        <v>569</v>
      </c>
      <c r="AB44" s="17">
        <v>3</v>
      </c>
      <c r="AC44" s="23" t="s">
        <v>244</v>
      </c>
      <c r="AD44" s="23" t="s">
        <v>642</v>
      </c>
      <c r="AE44" s="36">
        <v>70</v>
      </c>
      <c r="AF44" s="94">
        <v>14.66</v>
      </c>
      <c r="AG44" s="94">
        <f t="shared" si="19"/>
        <v>1026.2</v>
      </c>
      <c r="AH44" s="88">
        <f t="shared" si="20"/>
        <v>10.185607940446651</v>
      </c>
      <c r="AI44" s="25" t="s">
        <v>243</v>
      </c>
      <c r="AJ44" s="23">
        <v>50</v>
      </c>
      <c r="AK44" s="23" t="s">
        <v>247</v>
      </c>
      <c r="AL44" s="23">
        <v>850</v>
      </c>
      <c r="AM44" s="91">
        <v>3.2199999999999999E-2</v>
      </c>
      <c r="AN44" s="91">
        <f t="shared" si="14"/>
        <v>27.37</v>
      </c>
      <c r="AO44" s="92">
        <f t="shared" si="15"/>
        <v>0.27166253101736976</v>
      </c>
      <c r="AP44" s="23" t="s">
        <v>243</v>
      </c>
      <c r="AQ44" s="23"/>
      <c r="AR44" s="87"/>
      <c r="AS44" s="87"/>
      <c r="AT44" s="88">
        <f t="shared" si="16"/>
        <v>0</v>
      </c>
      <c r="AU44" s="23" t="s">
        <v>242</v>
      </c>
      <c r="AV44" s="44"/>
      <c r="AW44" s="23"/>
      <c r="AX44" s="44"/>
      <c r="AY44" s="44"/>
      <c r="AZ44" s="87"/>
      <c r="BA44" s="87"/>
      <c r="BB44" s="88">
        <f t="shared" si="17"/>
        <v>0</v>
      </c>
      <c r="BC44" s="23" t="s">
        <v>242</v>
      </c>
      <c r="BD44" s="23"/>
      <c r="BE44" s="23"/>
      <c r="BI44" s="90">
        <f t="shared" si="18"/>
        <v>0</v>
      </c>
      <c r="BJ44" s="26">
        <f t="shared" si="11"/>
        <v>1</v>
      </c>
      <c r="BK44" s="26">
        <v>1</v>
      </c>
      <c r="BL44" s="26" t="s">
        <v>850</v>
      </c>
      <c r="BM44" s="26">
        <v>140</v>
      </c>
      <c r="BN44" s="26">
        <v>80</v>
      </c>
      <c r="BO44" s="26">
        <v>111</v>
      </c>
      <c r="BP44" s="26">
        <v>0</v>
      </c>
      <c r="BQ44" s="26">
        <v>1</v>
      </c>
      <c r="BR44" s="224">
        <v>125</v>
      </c>
      <c r="BS44" s="225">
        <v>1</v>
      </c>
      <c r="BT44" s="230" t="s">
        <v>1119</v>
      </c>
      <c r="BU44" s="227">
        <v>93681202</v>
      </c>
      <c r="BV44" s="228">
        <v>44413</v>
      </c>
      <c r="BW44" s="225">
        <v>12.5</v>
      </c>
      <c r="BX44" s="226"/>
      <c r="BY44" s="226"/>
      <c r="BZ44" s="226"/>
      <c r="CA44" s="226"/>
      <c r="CB44" s="226"/>
      <c r="CC44" s="226"/>
      <c r="CD44" s="225">
        <v>150111842905</v>
      </c>
      <c r="CE44" s="225">
        <v>0</v>
      </c>
    </row>
    <row r="45" spans="1:83" ht="12.75" customHeight="1" thickBot="1" x14ac:dyDescent="0.3">
      <c r="A45" s="15" t="s">
        <v>225</v>
      </c>
      <c r="B45" s="15" t="s">
        <v>226</v>
      </c>
      <c r="C45" s="23" t="s">
        <v>480</v>
      </c>
      <c r="D45" s="41" t="s">
        <v>469</v>
      </c>
      <c r="E45" s="23" t="s">
        <v>163</v>
      </c>
      <c r="F45" s="23" t="s">
        <v>179</v>
      </c>
      <c r="G45" s="23">
        <v>4</v>
      </c>
      <c r="H45" s="23">
        <v>1</v>
      </c>
      <c r="I45" s="85" t="s">
        <v>557</v>
      </c>
      <c r="J45">
        <v>2001</v>
      </c>
      <c r="L45" s="5">
        <f t="shared" si="21"/>
        <v>20</v>
      </c>
      <c r="M45" s="109" t="e">
        <f>+#REF!-L45</f>
        <v>#REF!</v>
      </c>
      <c r="N45" s="23">
        <v>86</v>
      </c>
      <c r="O45" s="23">
        <v>1.69</v>
      </c>
      <c r="P45" s="24">
        <f t="shared" si="13"/>
        <v>30.110990511536716</v>
      </c>
      <c r="Q45" s="24" t="s">
        <v>242</v>
      </c>
      <c r="R45" s="24" t="s">
        <v>487</v>
      </c>
      <c r="S45" s="23" t="s">
        <v>177</v>
      </c>
      <c r="T45" s="45" t="s">
        <v>242</v>
      </c>
      <c r="U45" s="23" t="s">
        <v>212</v>
      </c>
      <c r="V45" s="16">
        <v>44441</v>
      </c>
      <c r="W45" s="17">
        <v>13.3</v>
      </c>
      <c r="X45" s="17" t="s">
        <v>477</v>
      </c>
      <c r="Y45" s="17" t="s">
        <v>584</v>
      </c>
      <c r="Z45" s="96" t="s">
        <v>590</v>
      </c>
      <c r="AA45" s="98" t="s">
        <v>569</v>
      </c>
      <c r="AB45" s="17">
        <v>3</v>
      </c>
      <c r="AC45" s="23" t="s">
        <v>244</v>
      </c>
      <c r="AD45" s="23" t="s">
        <v>642</v>
      </c>
      <c r="AE45" s="36">
        <v>30</v>
      </c>
      <c r="AF45" s="94">
        <v>14.66</v>
      </c>
      <c r="AG45" s="94">
        <f t="shared" si="19"/>
        <v>439.8</v>
      </c>
      <c r="AH45" s="88">
        <f t="shared" si="20"/>
        <v>4.3652605459057074</v>
      </c>
      <c r="AI45" s="25" t="s">
        <v>243</v>
      </c>
      <c r="AJ45" s="23" t="s">
        <v>463</v>
      </c>
      <c r="AK45" s="44" t="s">
        <v>179</v>
      </c>
      <c r="AL45" s="23"/>
      <c r="AM45" s="91">
        <v>3.2199999999999999E-2</v>
      </c>
      <c r="AN45" s="91">
        <f t="shared" si="14"/>
        <v>0</v>
      </c>
      <c r="AO45" s="92">
        <f t="shared" si="15"/>
        <v>0</v>
      </c>
      <c r="AP45" s="23" t="s">
        <v>242</v>
      </c>
      <c r="AQ45" s="23"/>
      <c r="AR45" s="87"/>
      <c r="AS45" s="87"/>
      <c r="AT45" s="88">
        <f t="shared" si="16"/>
        <v>0</v>
      </c>
      <c r="AU45" s="23" t="s">
        <v>242</v>
      </c>
      <c r="AV45" s="44"/>
      <c r="AW45" s="23"/>
      <c r="AX45" s="44"/>
      <c r="AY45" s="44"/>
      <c r="AZ45" s="87"/>
      <c r="BA45" s="87"/>
      <c r="BB45" s="88">
        <f t="shared" si="17"/>
        <v>0</v>
      </c>
      <c r="BC45" s="23" t="s">
        <v>242</v>
      </c>
      <c r="BD45" s="23" t="s">
        <v>466</v>
      </c>
      <c r="BE45" s="23">
        <v>25</v>
      </c>
      <c r="BF45" s="33" t="s">
        <v>243</v>
      </c>
      <c r="BG45" s="89">
        <v>26.41</v>
      </c>
      <c r="BH45" s="89">
        <f>+BE45*BG45</f>
        <v>660.25</v>
      </c>
      <c r="BI45" s="90">
        <f t="shared" si="18"/>
        <v>6.5533498759305209</v>
      </c>
      <c r="BJ45" s="26">
        <f t="shared" si="11"/>
        <v>1</v>
      </c>
      <c r="BK45" s="26">
        <v>1</v>
      </c>
      <c r="BL45" s="26" t="s">
        <v>850</v>
      </c>
      <c r="BM45" s="26">
        <v>130</v>
      </c>
      <c r="BN45" s="26">
        <v>70</v>
      </c>
      <c r="BO45" s="26">
        <v>111.5</v>
      </c>
      <c r="BP45" s="26">
        <v>0</v>
      </c>
      <c r="BQ45" s="26">
        <v>1</v>
      </c>
      <c r="BR45" s="224">
        <v>126</v>
      </c>
      <c r="BS45" s="225">
        <v>2</v>
      </c>
      <c r="BT45" s="230" t="s">
        <v>1121</v>
      </c>
      <c r="BU45" s="227">
        <v>95150447</v>
      </c>
      <c r="BV45" s="228">
        <v>44441</v>
      </c>
      <c r="BW45" s="225">
        <v>13.3</v>
      </c>
      <c r="BX45" s="228">
        <v>44911</v>
      </c>
      <c r="BY45" s="226">
        <v>4.9000000000000004</v>
      </c>
      <c r="BZ45" s="226"/>
      <c r="CA45" s="226"/>
      <c r="CB45" s="226"/>
      <c r="CC45" s="226"/>
      <c r="CD45" s="225">
        <v>150686409207</v>
      </c>
      <c r="CE45" s="225">
        <v>0</v>
      </c>
    </row>
    <row r="46" spans="1:83" ht="12.75" customHeight="1" thickBot="1" x14ac:dyDescent="0.3">
      <c r="A46" s="15" t="s">
        <v>38</v>
      </c>
      <c r="B46" s="15" t="s">
        <v>78</v>
      </c>
      <c r="C46" s="23" t="s">
        <v>480</v>
      </c>
      <c r="D46" s="41" t="s">
        <v>469</v>
      </c>
      <c r="E46" s="23" t="s">
        <v>163</v>
      </c>
      <c r="F46" s="23" t="s">
        <v>179</v>
      </c>
      <c r="G46" s="23">
        <v>4</v>
      </c>
      <c r="H46" s="23">
        <v>4</v>
      </c>
      <c r="I46" s="85" t="s">
        <v>560</v>
      </c>
      <c r="J46">
        <v>1980</v>
      </c>
      <c r="L46" s="5">
        <f t="shared" si="21"/>
        <v>41</v>
      </c>
      <c r="M46" s="109" t="e">
        <f>+#REF!-L46</f>
        <v>#REF!</v>
      </c>
      <c r="N46" s="23">
        <v>61.6</v>
      </c>
      <c r="O46" s="23">
        <v>1.57</v>
      </c>
      <c r="P46" s="24">
        <f t="shared" si="13"/>
        <v>24.990871840642622</v>
      </c>
      <c r="Q46" s="24" t="s">
        <v>243</v>
      </c>
      <c r="R46" s="24" t="s">
        <v>486</v>
      </c>
      <c r="S46" s="23" t="s">
        <v>243</v>
      </c>
      <c r="T46" s="45" t="s">
        <v>242</v>
      </c>
      <c r="U46" s="23" t="s">
        <v>212</v>
      </c>
      <c r="V46" s="16">
        <v>44378</v>
      </c>
      <c r="W46" s="15">
        <v>7.1</v>
      </c>
      <c r="X46" s="17" t="s">
        <v>475</v>
      </c>
      <c r="Y46" s="17" t="s">
        <v>583</v>
      </c>
      <c r="Z46" s="97" t="s">
        <v>505</v>
      </c>
      <c r="AA46" s="99" t="s">
        <v>567</v>
      </c>
      <c r="AB46" s="15">
        <v>1</v>
      </c>
      <c r="AC46" s="23" t="s">
        <v>245</v>
      </c>
      <c r="AD46" s="23" t="s">
        <v>642</v>
      </c>
      <c r="AE46" s="36">
        <v>16</v>
      </c>
      <c r="AF46" s="94">
        <v>15.6</v>
      </c>
      <c r="AG46" s="94">
        <f t="shared" si="19"/>
        <v>249.6</v>
      </c>
      <c r="AH46" s="88">
        <f t="shared" si="20"/>
        <v>2.4774193548387098</v>
      </c>
      <c r="AI46" s="25" t="s">
        <v>243</v>
      </c>
      <c r="AJ46" s="23" t="s">
        <v>463</v>
      </c>
      <c r="AK46" s="44" t="s">
        <v>179</v>
      </c>
      <c r="AL46" s="23"/>
      <c r="AM46" s="91">
        <v>3.2199999999999999E-2</v>
      </c>
      <c r="AN46" s="91">
        <f t="shared" si="14"/>
        <v>0</v>
      </c>
      <c r="AO46" s="92">
        <f t="shared" si="15"/>
        <v>0</v>
      </c>
      <c r="AP46" s="23" t="s">
        <v>242</v>
      </c>
      <c r="AQ46" s="23"/>
      <c r="AR46" s="87"/>
      <c r="AS46" s="87"/>
      <c r="AT46" s="88">
        <f t="shared" si="16"/>
        <v>0</v>
      </c>
      <c r="AU46" s="23" t="s">
        <v>242</v>
      </c>
      <c r="AV46" s="44"/>
      <c r="AW46" s="23"/>
      <c r="AX46" s="44"/>
      <c r="AY46" s="44"/>
      <c r="AZ46" s="87"/>
      <c r="BA46" s="87"/>
      <c r="BB46" s="88">
        <f t="shared" si="17"/>
        <v>0</v>
      </c>
      <c r="BC46" s="23" t="s">
        <v>242</v>
      </c>
      <c r="BD46" s="23"/>
      <c r="BE46" s="23"/>
      <c r="BI46" s="90">
        <f t="shared" si="18"/>
        <v>0</v>
      </c>
      <c r="BJ46" s="26">
        <f t="shared" si="11"/>
        <v>0</v>
      </c>
      <c r="BK46" s="26">
        <v>1</v>
      </c>
      <c r="BL46" s="26" t="s">
        <v>850</v>
      </c>
      <c r="BM46" s="26">
        <v>160</v>
      </c>
      <c r="BN46" s="26">
        <v>90</v>
      </c>
      <c r="BO46" s="26">
        <v>96</v>
      </c>
      <c r="BP46" s="26">
        <v>0</v>
      </c>
      <c r="BQ46" s="26">
        <v>0</v>
      </c>
      <c r="BR46" s="224">
        <v>21</v>
      </c>
      <c r="BS46" s="225">
        <v>2</v>
      </c>
      <c r="BT46" s="230" t="s">
        <v>909</v>
      </c>
      <c r="BU46" s="227">
        <v>5526505</v>
      </c>
      <c r="BV46" s="228">
        <v>44378</v>
      </c>
      <c r="BW46" s="225">
        <v>7.15</v>
      </c>
      <c r="BX46" s="226"/>
      <c r="BY46" s="226"/>
      <c r="BZ46" s="226"/>
      <c r="CA46" s="226"/>
      <c r="CB46" s="226"/>
      <c r="CC46" s="226"/>
      <c r="CD46" s="225">
        <v>90965269009</v>
      </c>
      <c r="CE46" s="225">
        <v>0</v>
      </c>
    </row>
    <row r="47" spans="1:83" ht="12.75" customHeight="1" thickBot="1" x14ac:dyDescent="0.3">
      <c r="A47" s="15" t="s">
        <v>18</v>
      </c>
      <c r="B47" s="15" t="s">
        <v>93</v>
      </c>
      <c r="C47" s="23" t="s">
        <v>479</v>
      </c>
      <c r="D47" s="41" t="s">
        <v>469</v>
      </c>
      <c r="E47" s="23" t="s">
        <v>164</v>
      </c>
      <c r="F47" s="23" t="s">
        <v>179</v>
      </c>
      <c r="G47" s="23">
        <v>2</v>
      </c>
      <c r="H47" s="23">
        <v>1</v>
      </c>
      <c r="I47" s="85" t="s">
        <v>557</v>
      </c>
      <c r="J47">
        <v>2006</v>
      </c>
      <c r="L47" s="5">
        <f t="shared" si="21"/>
        <v>15</v>
      </c>
      <c r="M47" s="109" t="e">
        <f>+#REF!-L47</f>
        <v>#REF!</v>
      </c>
      <c r="N47" s="23">
        <v>84.5</v>
      </c>
      <c r="O47" s="23">
        <v>1.6</v>
      </c>
      <c r="P47" s="24">
        <v>23.3</v>
      </c>
      <c r="Q47" s="24" t="s">
        <v>242</v>
      </c>
      <c r="R47" s="24" t="s">
        <v>485</v>
      </c>
      <c r="S47" s="23" t="s">
        <v>233</v>
      </c>
      <c r="T47" s="45" t="s">
        <v>242</v>
      </c>
      <c r="U47" s="23" t="s">
        <v>212</v>
      </c>
      <c r="V47" s="18">
        <v>44413</v>
      </c>
      <c r="W47" s="17">
        <v>9</v>
      </c>
      <c r="X47" s="17" t="s">
        <v>475</v>
      </c>
      <c r="Y47" s="17" t="s">
        <v>584</v>
      </c>
      <c r="Z47" s="96" t="s">
        <v>506</v>
      </c>
      <c r="AA47" s="98" t="s">
        <v>569</v>
      </c>
      <c r="AB47" s="17">
        <v>2</v>
      </c>
      <c r="AC47" s="23" t="s">
        <v>182</v>
      </c>
      <c r="AD47" s="23" t="s">
        <v>182</v>
      </c>
      <c r="AE47" s="36">
        <v>110</v>
      </c>
      <c r="AF47" s="94">
        <v>7.21</v>
      </c>
      <c r="AG47" s="94">
        <f t="shared" si="19"/>
        <v>793.1</v>
      </c>
      <c r="AH47" s="88">
        <f t="shared" si="20"/>
        <v>7.8719602977667495</v>
      </c>
      <c r="AI47" s="25" t="s">
        <v>242</v>
      </c>
      <c r="AJ47" s="23"/>
      <c r="AK47" s="23" t="s">
        <v>247</v>
      </c>
      <c r="AL47" s="23">
        <v>2000</v>
      </c>
      <c r="AM47" s="91">
        <v>3.2199999999999999E-2</v>
      </c>
      <c r="AN47" s="91">
        <f t="shared" si="14"/>
        <v>64.400000000000006</v>
      </c>
      <c r="AO47" s="92">
        <f t="shared" si="15"/>
        <v>0.6392059553349877</v>
      </c>
      <c r="AP47" s="23" t="s">
        <v>243</v>
      </c>
      <c r="AQ47" s="23"/>
      <c r="AR47" s="87"/>
      <c r="AS47" s="87"/>
      <c r="AT47" s="88">
        <f t="shared" si="16"/>
        <v>0</v>
      </c>
      <c r="AU47" s="23" t="s">
        <v>242</v>
      </c>
      <c r="AV47" s="44"/>
      <c r="AW47" s="23"/>
      <c r="AX47" s="44"/>
      <c r="AY47" s="44"/>
      <c r="AZ47" s="87"/>
      <c r="BA47" s="87"/>
      <c r="BB47" s="88">
        <f t="shared" si="17"/>
        <v>0</v>
      </c>
      <c r="BC47" s="23" t="s">
        <v>242</v>
      </c>
      <c r="BD47" s="23"/>
      <c r="BE47" s="23"/>
      <c r="BI47" s="90">
        <f t="shared" si="18"/>
        <v>0</v>
      </c>
      <c r="BJ47" s="26">
        <f t="shared" si="11"/>
        <v>1</v>
      </c>
      <c r="BK47" s="26">
        <v>0</v>
      </c>
      <c r="BL47" s="26" t="s">
        <v>850</v>
      </c>
      <c r="BM47" s="26">
        <v>140</v>
      </c>
      <c r="BN47" s="26">
        <v>80</v>
      </c>
      <c r="BO47" s="26">
        <v>112</v>
      </c>
      <c r="BP47" s="26">
        <v>1</v>
      </c>
      <c r="BQ47" s="26">
        <v>0</v>
      </c>
      <c r="BR47" s="224">
        <v>127</v>
      </c>
      <c r="BS47" s="225">
        <v>1</v>
      </c>
      <c r="BT47" s="230" t="s">
        <v>1123</v>
      </c>
      <c r="BU47" s="227">
        <v>10934507</v>
      </c>
      <c r="BV47" s="228">
        <v>44413</v>
      </c>
      <c r="BW47" s="225">
        <v>9</v>
      </c>
      <c r="BX47" s="228">
        <v>44956</v>
      </c>
      <c r="BY47" s="226">
        <v>6</v>
      </c>
      <c r="BZ47" s="228">
        <v>45013</v>
      </c>
      <c r="CA47" s="225">
        <v>5.8</v>
      </c>
      <c r="CB47" s="225">
        <v>5.8</v>
      </c>
      <c r="CC47" s="226"/>
      <c r="CD47" s="225">
        <v>150685463005</v>
      </c>
      <c r="CE47" s="225">
        <v>0</v>
      </c>
    </row>
    <row r="48" spans="1:83" ht="12.75" customHeight="1" thickBot="1" x14ac:dyDescent="0.3">
      <c r="A48" s="15" t="s">
        <v>322</v>
      </c>
      <c r="B48" s="15" t="s">
        <v>323</v>
      </c>
      <c r="C48" s="23" t="s">
        <v>480</v>
      </c>
      <c r="D48" s="41" t="s">
        <v>469</v>
      </c>
      <c r="E48" s="23" t="s">
        <v>164</v>
      </c>
      <c r="F48" s="23" t="s">
        <v>179</v>
      </c>
      <c r="G48" s="23">
        <v>2</v>
      </c>
      <c r="H48" s="23">
        <v>1</v>
      </c>
      <c r="I48" s="85" t="s">
        <v>557</v>
      </c>
      <c r="J48">
        <v>2011</v>
      </c>
      <c r="L48" s="5">
        <f t="shared" si="21"/>
        <v>10</v>
      </c>
      <c r="M48" s="109" t="e">
        <f>+#REF!-L48</f>
        <v>#REF!</v>
      </c>
      <c r="N48" s="23">
        <v>90.5</v>
      </c>
      <c r="O48" s="23">
        <v>1.55</v>
      </c>
      <c r="P48" s="24">
        <f t="shared" ref="P48:P64" si="22">N48/(O48*O48)</f>
        <v>37.669094693028093</v>
      </c>
      <c r="Q48" s="24" t="s">
        <v>243</v>
      </c>
      <c r="R48" s="24" t="s">
        <v>487</v>
      </c>
      <c r="S48" s="23" t="s">
        <v>177</v>
      </c>
      <c r="T48" s="45" t="s">
        <v>242</v>
      </c>
      <c r="U48" s="23" t="s">
        <v>212</v>
      </c>
      <c r="V48" s="16">
        <v>44413</v>
      </c>
      <c r="W48" s="17">
        <v>13.4</v>
      </c>
      <c r="X48" s="17" t="s">
        <v>477</v>
      </c>
      <c r="Y48" s="17" t="s">
        <v>584</v>
      </c>
      <c r="Z48" s="96" t="s">
        <v>590</v>
      </c>
      <c r="AA48" s="98" t="s">
        <v>569</v>
      </c>
      <c r="AB48" s="17">
        <v>3</v>
      </c>
      <c r="AC48" s="23" t="s">
        <v>244</v>
      </c>
      <c r="AD48" s="23" t="s">
        <v>642</v>
      </c>
      <c r="AE48" s="36">
        <v>26</v>
      </c>
      <c r="AF48" s="94">
        <v>14.66</v>
      </c>
      <c r="AG48" s="94">
        <f t="shared" si="19"/>
        <v>381.16</v>
      </c>
      <c r="AH48" s="88">
        <f t="shared" si="20"/>
        <v>3.7832258064516133</v>
      </c>
      <c r="AI48" s="25" t="s">
        <v>242</v>
      </c>
      <c r="AJ48" s="23"/>
      <c r="AK48" s="23" t="s">
        <v>247</v>
      </c>
      <c r="AL48" s="23">
        <v>2000</v>
      </c>
      <c r="AM48" s="91">
        <v>3.2199999999999999E-2</v>
      </c>
      <c r="AN48" s="91">
        <f t="shared" si="14"/>
        <v>64.400000000000006</v>
      </c>
      <c r="AO48" s="92">
        <f t="shared" si="15"/>
        <v>0.6392059553349877</v>
      </c>
      <c r="AP48" s="23" t="s">
        <v>243</v>
      </c>
      <c r="AQ48" s="23" t="s">
        <v>254</v>
      </c>
      <c r="AR48" s="87">
        <v>1.069</v>
      </c>
      <c r="AS48" s="87">
        <f>+AV48*AR48</f>
        <v>128.28</v>
      </c>
      <c r="AT48" s="88">
        <f t="shared" si="16"/>
        <v>1.2732506203473946</v>
      </c>
      <c r="AU48" s="23" t="s">
        <v>243</v>
      </c>
      <c r="AV48" s="23">
        <v>120</v>
      </c>
      <c r="AW48" s="23"/>
      <c r="AX48" s="44"/>
      <c r="AY48" s="44"/>
      <c r="AZ48" s="87"/>
      <c r="BA48" s="87"/>
      <c r="BB48" s="88">
        <f t="shared" si="17"/>
        <v>0</v>
      </c>
      <c r="BC48" s="23" t="s">
        <v>242</v>
      </c>
      <c r="BD48" s="23"/>
      <c r="BE48" s="23"/>
      <c r="BI48" s="90">
        <f t="shared" si="18"/>
        <v>0</v>
      </c>
      <c r="BJ48" s="26">
        <f t="shared" si="11"/>
        <v>2</v>
      </c>
      <c r="BK48" s="26">
        <v>0</v>
      </c>
      <c r="BL48" s="26" t="s">
        <v>848</v>
      </c>
      <c r="BM48" s="26">
        <v>160</v>
      </c>
      <c r="BN48" s="26">
        <v>80</v>
      </c>
      <c r="BO48" s="26">
        <v>114</v>
      </c>
      <c r="BP48" s="26">
        <v>0</v>
      </c>
      <c r="BQ48" s="26">
        <v>0</v>
      </c>
      <c r="BR48" s="224">
        <v>128</v>
      </c>
      <c r="BS48" s="225">
        <v>2</v>
      </c>
      <c r="BT48" s="230" t="s">
        <v>1125</v>
      </c>
      <c r="BU48" s="227">
        <v>10261135</v>
      </c>
      <c r="BV48" s="228">
        <v>44413</v>
      </c>
      <c r="BW48" s="225">
        <v>13.4</v>
      </c>
      <c r="BX48" s="228">
        <v>44930</v>
      </c>
      <c r="BY48" s="226">
        <v>8.3000000000000007</v>
      </c>
      <c r="BZ48" s="226"/>
      <c r="CA48" s="226"/>
      <c r="CB48" s="226"/>
      <c r="CC48" s="226"/>
      <c r="CD48" s="225">
        <v>155088561006</v>
      </c>
      <c r="CE48" s="225">
        <v>0</v>
      </c>
    </row>
    <row r="49" spans="1:83" ht="12.75" customHeight="1" thickBot="1" x14ac:dyDescent="0.3">
      <c r="A49" s="15" t="s">
        <v>5</v>
      </c>
      <c r="B49" s="15" t="s">
        <v>136</v>
      </c>
      <c r="C49" s="23" t="s">
        <v>479</v>
      </c>
      <c r="D49" s="41" t="s">
        <v>469</v>
      </c>
      <c r="E49" s="23" t="s">
        <v>164</v>
      </c>
      <c r="F49" s="23" t="s">
        <v>242</v>
      </c>
      <c r="G49" s="23">
        <v>1</v>
      </c>
      <c r="H49" s="23">
        <v>1</v>
      </c>
      <c r="I49" s="85" t="s">
        <v>557</v>
      </c>
      <c r="J49">
        <v>2000</v>
      </c>
      <c r="L49" s="5">
        <f t="shared" si="21"/>
        <v>21</v>
      </c>
      <c r="M49" s="109" t="e">
        <f>+#REF!-L49</f>
        <v>#REF!</v>
      </c>
      <c r="N49" s="23">
        <v>70</v>
      </c>
      <c r="O49" s="23">
        <v>1.5</v>
      </c>
      <c r="P49" s="24">
        <f t="shared" si="22"/>
        <v>31.111111111111111</v>
      </c>
      <c r="Q49" s="24" t="s">
        <v>242</v>
      </c>
      <c r="R49" s="24" t="s">
        <v>487</v>
      </c>
      <c r="S49" s="23" t="s">
        <v>243</v>
      </c>
      <c r="T49" s="45" t="s">
        <v>242</v>
      </c>
      <c r="U49" s="23" t="s">
        <v>212</v>
      </c>
      <c r="V49" s="16">
        <v>44413</v>
      </c>
      <c r="W49" s="17">
        <v>7.3</v>
      </c>
      <c r="X49" s="17" t="s">
        <v>475</v>
      </c>
      <c r="Y49" s="17" t="s">
        <v>583</v>
      </c>
      <c r="Z49" s="97" t="s">
        <v>505</v>
      </c>
      <c r="AA49" s="99" t="s">
        <v>567</v>
      </c>
      <c r="AB49" s="15">
        <v>1</v>
      </c>
      <c r="AC49" s="23" t="s">
        <v>245</v>
      </c>
      <c r="AD49" s="23" t="s">
        <v>642</v>
      </c>
      <c r="AE49" s="36">
        <v>38</v>
      </c>
      <c r="AF49" s="94">
        <v>15.6</v>
      </c>
      <c r="AG49" s="94">
        <f t="shared" si="19"/>
        <v>592.79999999999995</v>
      </c>
      <c r="AH49" s="88">
        <f t="shared" si="20"/>
        <v>5.8838709677419354</v>
      </c>
      <c r="AI49" s="25" t="s">
        <v>242</v>
      </c>
      <c r="AJ49" s="23"/>
      <c r="AK49" s="23" t="s">
        <v>247</v>
      </c>
      <c r="AL49" s="23">
        <v>1700</v>
      </c>
      <c r="AM49" s="91">
        <v>3.2199999999999999E-2</v>
      </c>
      <c r="AN49" s="91">
        <f t="shared" si="14"/>
        <v>54.74</v>
      </c>
      <c r="AO49" s="92">
        <f t="shared" si="15"/>
        <v>0.54332506203473951</v>
      </c>
      <c r="AP49" s="23" t="s">
        <v>243</v>
      </c>
      <c r="AQ49" s="23"/>
      <c r="AR49" s="87"/>
      <c r="AS49" s="87"/>
      <c r="AT49" s="88">
        <f t="shared" si="16"/>
        <v>0</v>
      </c>
      <c r="AU49" s="23" t="s">
        <v>242</v>
      </c>
      <c r="AV49" s="44"/>
      <c r="AW49" s="23"/>
      <c r="AX49" s="44"/>
      <c r="AY49" s="44"/>
      <c r="AZ49" s="87"/>
      <c r="BA49" s="87"/>
      <c r="BB49" s="88">
        <f t="shared" si="17"/>
        <v>0</v>
      </c>
      <c r="BC49" s="23" t="s">
        <v>242</v>
      </c>
      <c r="BD49" s="23"/>
      <c r="BE49" s="23"/>
      <c r="BI49" s="90">
        <f t="shared" si="18"/>
        <v>0</v>
      </c>
      <c r="BJ49" s="26">
        <f t="shared" si="11"/>
        <v>1</v>
      </c>
      <c r="BK49" s="26">
        <v>1</v>
      </c>
      <c r="BL49" s="26" t="s">
        <v>850</v>
      </c>
      <c r="BM49" s="26">
        <v>150</v>
      </c>
      <c r="BN49" s="26">
        <v>90</v>
      </c>
      <c r="BO49" s="26">
        <v>104</v>
      </c>
      <c r="BP49" s="26">
        <v>0</v>
      </c>
      <c r="BQ49" s="26">
        <v>0</v>
      </c>
      <c r="BR49" s="224">
        <v>129</v>
      </c>
      <c r="BS49" s="225">
        <v>2</v>
      </c>
      <c r="BT49" s="230" t="s">
        <v>1127</v>
      </c>
      <c r="BU49" s="227">
        <v>6674815</v>
      </c>
      <c r="BV49" s="228">
        <v>44413</v>
      </c>
      <c r="BW49" s="225">
        <v>7.3</v>
      </c>
      <c r="BX49" s="228">
        <v>44930</v>
      </c>
      <c r="BY49" s="226">
        <v>6</v>
      </c>
      <c r="BZ49" s="226"/>
      <c r="CA49" s="226"/>
      <c r="CB49" s="226"/>
      <c r="CC49" s="226"/>
      <c r="CD49" s="225">
        <v>150556218902</v>
      </c>
      <c r="CE49" s="225">
        <v>0</v>
      </c>
    </row>
    <row r="50" spans="1:83" ht="12.75" customHeight="1" thickBot="1" x14ac:dyDescent="0.3">
      <c r="A50" s="15" t="s">
        <v>5</v>
      </c>
      <c r="B50" s="15" t="s">
        <v>324</v>
      </c>
      <c r="C50" s="23" t="s">
        <v>479</v>
      </c>
      <c r="D50" s="41" t="s">
        <v>469</v>
      </c>
      <c r="E50" s="23" t="s">
        <v>164</v>
      </c>
      <c r="F50" s="23" t="s">
        <v>179</v>
      </c>
      <c r="G50" s="23">
        <v>5</v>
      </c>
      <c r="H50" s="23">
        <v>1</v>
      </c>
      <c r="I50" s="85" t="s">
        <v>557</v>
      </c>
      <c r="L50" s="5"/>
      <c r="M50" s="109" t="e">
        <f>+#REF!-L50</f>
        <v>#REF!</v>
      </c>
      <c r="N50" s="23">
        <v>84.3</v>
      </c>
      <c r="O50" s="23">
        <v>1.58</v>
      </c>
      <c r="P50" s="24">
        <f t="shared" si="22"/>
        <v>33.768626822624576</v>
      </c>
      <c r="Q50" s="24" t="s">
        <v>242</v>
      </c>
      <c r="R50" s="24" t="s">
        <v>487</v>
      </c>
      <c r="S50" s="23" t="s">
        <v>177</v>
      </c>
      <c r="T50" s="45" t="s">
        <v>242</v>
      </c>
      <c r="U50" s="23" t="s">
        <v>212</v>
      </c>
      <c r="V50" s="18">
        <v>44371</v>
      </c>
      <c r="W50" s="15">
        <v>8.1</v>
      </c>
      <c r="X50" s="17" t="s">
        <v>475</v>
      </c>
      <c r="Y50" s="17" t="s">
        <v>584</v>
      </c>
      <c r="Z50" s="96" t="s">
        <v>506</v>
      </c>
      <c r="AA50" s="98" t="s">
        <v>569</v>
      </c>
      <c r="AB50" s="17">
        <v>2</v>
      </c>
      <c r="AC50" s="23" t="s">
        <v>182</v>
      </c>
      <c r="AD50" s="23" t="s">
        <v>182</v>
      </c>
      <c r="AE50" s="36">
        <v>55</v>
      </c>
      <c r="AF50" s="94">
        <v>7.21</v>
      </c>
      <c r="AG50" s="94">
        <f t="shared" si="19"/>
        <v>396.55</v>
      </c>
      <c r="AH50" s="88">
        <f t="shared" si="20"/>
        <v>3.9359801488833748</v>
      </c>
      <c r="AI50" s="25" t="s">
        <v>243</v>
      </c>
      <c r="AJ50" s="23">
        <v>6</v>
      </c>
      <c r="AK50" s="23" t="s">
        <v>247</v>
      </c>
      <c r="AL50" s="23">
        <v>1700</v>
      </c>
      <c r="AM50" s="91">
        <v>3.2199999999999999E-2</v>
      </c>
      <c r="AN50" s="91">
        <f t="shared" si="14"/>
        <v>54.74</v>
      </c>
      <c r="AO50" s="92">
        <f t="shared" si="15"/>
        <v>0.54332506203473951</v>
      </c>
      <c r="AP50" s="23" t="s">
        <v>243</v>
      </c>
      <c r="AQ50" s="23"/>
      <c r="AR50" s="87"/>
      <c r="AS50" s="87"/>
      <c r="AT50" s="88">
        <f t="shared" si="16"/>
        <v>0</v>
      </c>
      <c r="AU50" s="23" t="s">
        <v>242</v>
      </c>
      <c r="AV50" s="44"/>
      <c r="AW50" s="23"/>
      <c r="AX50" s="44"/>
      <c r="AY50" s="44"/>
      <c r="AZ50" s="87"/>
      <c r="BA50" s="87"/>
      <c r="BB50" s="88">
        <f t="shared" si="17"/>
        <v>0</v>
      </c>
      <c r="BC50" s="23" t="s">
        <v>242</v>
      </c>
      <c r="BD50" s="23"/>
      <c r="BE50" s="23"/>
      <c r="BI50" s="90">
        <f t="shared" si="18"/>
        <v>0</v>
      </c>
      <c r="BJ50" s="26">
        <f t="shared" si="11"/>
        <v>1</v>
      </c>
      <c r="BK50" s="26">
        <v>1</v>
      </c>
      <c r="BL50" s="26" t="s">
        <v>850</v>
      </c>
      <c r="BM50" s="26">
        <v>180</v>
      </c>
      <c r="BN50" s="26">
        <v>70</v>
      </c>
      <c r="BO50" s="26">
        <v>113</v>
      </c>
      <c r="BP50" s="26">
        <v>0</v>
      </c>
      <c r="BQ50" s="26">
        <v>0</v>
      </c>
      <c r="BR50" s="224">
        <v>22</v>
      </c>
      <c r="BS50" s="225">
        <v>1</v>
      </c>
      <c r="BT50" s="230" t="s">
        <v>911</v>
      </c>
      <c r="BU50" s="227">
        <v>11604449</v>
      </c>
      <c r="BV50" s="228">
        <v>44371</v>
      </c>
      <c r="BW50" s="225">
        <v>8.1</v>
      </c>
      <c r="BX50" s="228">
        <v>44942</v>
      </c>
      <c r="BY50" s="230">
        <v>8.1999999999999993</v>
      </c>
      <c r="BZ50" s="226"/>
      <c r="CA50" s="226"/>
      <c r="CB50" s="226"/>
      <c r="CC50" s="226"/>
      <c r="CD50" s="225">
        <v>150680212007</v>
      </c>
      <c r="CE50" s="225">
        <v>0</v>
      </c>
    </row>
    <row r="51" spans="1:83" ht="12.75" customHeight="1" thickBot="1" x14ac:dyDescent="0.3">
      <c r="A51" s="15" t="s">
        <v>325</v>
      </c>
      <c r="B51" s="15" t="s">
        <v>326</v>
      </c>
      <c r="C51" s="23" t="s">
        <v>479</v>
      </c>
      <c r="D51" s="41" t="s">
        <v>469</v>
      </c>
      <c r="E51" s="23" t="s">
        <v>164</v>
      </c>
      <c r="F51" s="23" t="s">
        <v>179</v>
      </c>
      <c r="G51" s="23">
        <v>2</v>
      </c>
      <c r="H51" s="23">
        <v>1</v>
      </c>
      <c r="I51" s="85" t="s">
        <v>557</v>
      </c>
      <c r="J51">
        <v>2006</v>
      </c>
      <c r="L51" s="5">
        <f>2021-J51</f>
        <v>15</v>
      </c>
      <c r="M51" s="109" t="e">
        <f>+#REF!-L51</f>
        <v>#REF!</v>
      </c>
      <c r="N51" s="23">
        <v>75</v>
      </c>
      <c r="O51" s="23">
        <v>1.5</v>
      </c>
      <c r="P51" s="24">
        <f t="shared" si="22"/>
        <v>33.333333333333336</v>
      </c>
      <c r="Q51" s="24" t="s">
        <v>242</v>
      </c>
      <c r="R51" s="24" t="s">
        <v>487</v>
      </c>
      <c r="S51" s="23" t="s">
        <v>177</v>
      </c>
      <c r="T51" s="45" t="s">
        <v>242</v>
      </c>
      <c r="U51" s="23" t="s">
        <v>212</v>
      </c>
      <c r="V51" s="16">
        <v>44392</v>
      </c>
      <c r="W51" s="17">
        <v>11</v>
      </c>
      <c r="X51" s="17" t="s">
        <v>476</v>
      </c>
      <c r="Y51" s="17" t="s">
        <v>584</v>
      </c>
      <c r="Z51" s="96" t="s">
        <v>590</v>
      </c>
      <c r="AA51" s="98" t="s">
        <v>569</v>
      </c>
      <c r="AB51" s="17">
        <v>2</v>
      </c>
      <c r="AC51" s="23" t="s">
        <v>182</v>
      </c>
      <c r="AD51" s="23" t="s">
        <v>182</v>
      </c>
      <c r="AE51" s="36">
        <v>48</v>
      </c>
      <c r="AF51" s="94">
        <v>7.21</v>
      </c>
      <c r="AG51" s="94">
        <f t="shared" si="19"/>
        <v>346.08</v>
      </c>
      <c r="AH51" s="88">
        <f t="shared" si="20"/>
        <v>3.4350372208436721</v>
      </c>
      <c r="AI51" s="25" t="s">
        <v>243</v>
      </c>
      <c r="AJ51" s="23">
        <v>8</v>
      </c>
      <c r="AK51" s="23" t="s">
        <v>247</v>
      </c>
      <c r="AL51" s="23">
        <v>2000</v>
      </c>
      <c r="AM51" s="91">
        <v>3.2199999999999999E-2</v>
      </c>
      <c r="AN51" s="91">
        <f t="shared" si="14"/>
        <v>64.400000000000006</v>
      </c>
      <c r="AO51" s="92">
        <f t="shared" si="15"/>
        <v>0.6392059553349877</v>
      </c>
      <c r="AP51" s="23" t="s">
        <v>243</v>
      </c>
      <c r="AQ51" s="23"/>
      <c r="AR51" s="87"/>
      <c r="AS51" s="87"/>
      <c r="AT51" s="88">
        <f t="shared" si="16"/>
        <v>0</v>
      </c>
      <c r="AU51" s="23" t="s">
        <v>242</v>
      </c>
      <c r="AV51" s="44"/>
      <c r="AW51" s="23"/>
      <c r="AX51" s="44"/>
      <c r="AY51" s="44"/>
      <c r="AZ51" s="87"/>
      <c r="BA51" s="87"/>
      <c r="BB51" s="88">
        <f t="shared" si="17"/>
        <v>0</v>
      </c>
      <c r="BC51" s="23" t="s">
        <v>242</v>
      </c>
      <c r="BD51" s="23"/>
      <c r="BE51" s="23"/>
      <c r="BI51" s="90">
        <f t="shared" si="18"/>
        <v>0</v>
      </c>
      <c r="BJ51" s="26">
        <f t="shared" si="11"/>
        <v>1</v>
      </c>
      <c r="BK51" s="26">
        <v>0</v>
      </c>
      <c r="BL51" s="26" t="s">
        <v>848</v>
      </c>
      <c r="BM51" s="26">
        <v>110</v>
      </c>
      <c r="BN51" s="26">
        <v>70</v>
      </c>
      <c r="BO51" s="26">
        <v>102</v>
      </c>
      <c r="BP51" s="26">
        <v>0</v>
      </c>
      <c r="BQ51" s="26">
        <v>0</v>
      </c>
      <c r="BR51" s="224">
        <v>23</v>
      </c>
      <c r="BS51" s="225">
        <v>2</v>
      </c>
      <c r="BT51" s="230" t="s">
        <v>913</v>
      </c>
      <c r="BU51" s="227">
        <v>93169034</v>
      </c>
      <c r="BV51" s="228">
        <v>44392</v>
      </c>
      <c r="BW51" s="225">
        <v>11</v>
      </c>
      <c r="BX51" s="228">
        <v>44907</v>
      </c>
      <c r="BY51" s="226">
        <v>4.9000000000000004</v>
      </c>
      <c r="BZ51" s="226"/>
      <c r="CA51" s="226"/>
      <c r="CB51" s="226"/>
      <c r="CC51" s="226"/>
      <c r="CD51" s="225">
        <v>465908421205</v>
      </c>
      <c r="CE51" s="225">
        <v>0</v>
      </c>
    </row>
    <row r="52" spans="1:83" ht="12.75" customHeight="1" thickBot="1" x14ac:dyDescent="0.3">
      <c r="A52" s="15" t="s">
        <v>327</v>
      </c>
      <c r="B52" s="15" t="s">
        <v>328</v>
      </c>
      <c r="C52" s="23" t="s">
        <v>482</v>
      </c>
      <c r="D52" s="41" t="s">
        <v>470</v>
      </c>
      <c r="E52" s="23" t="s">
        <v>164</v>
      </c>
      <c r="F52" s="23" t="s">
        <v>179</v>
      </c>
      <c r="G52" s="23">
        <v>2</v>
      </c>
      <c r="H52" s="23">
        <v>3</v>
      </c>
      <c r="I52" s="85" t="s">
        <v>559</v>
      </c>
      <c r="J52">
        <v>2003</v>
      </c>
      <c r="L52" s="5">
        <f>2021-J52</f>
        <v>18</v>
      </c>
      <c r="M52" s="109" t="e">
        <f>+#REF!-L52</f>
        <v>#REF!</v>
      </c>
      <c r="N52" s="23">
        <v>77.8</v>
      </c>
      <c r="O52" s="23">
        <v>1.46</v>
      </c>
      <c r="P52" s="24">
        <f t="shared" si="22"/>
        <v>36.498404954025148</v>
      </c>
      <c r="Q52" s="24" t="s">
        <v>243</v>
      </c>
      <c r="R52" s="24" t="s">
        <v>487</v>
      </c>
      <c r="S52" s="23" t="s">
        <v>177</v>
      </c>
      <c r="T52" s="45" t="s">
        <v>242</v>
      </c>
      <c r="U52" s="23" t="s">
        <v>212</v>
      </c>
      <c r="V52" s="16">
        <v>44413</v>
      </c>
      <c r="W52" s="17">
        <v>10.6</v>
      </c>
      <c r="X52" s="17" t="s">
        <v>476</v>
      </c>
      <c r="Y52" s="17" t="s">
        <v>584</v>
      </c>
      <c r="Z52" s="96" t="s">
        <v>590</v>
      </c>
      <c r="AA52" s="98" t="s">
        <v>569</v>
      </c>
      <c r="AB52" s="17">
        <v>2</v>
      </c>
      <c r="AC52" s="23" t="s">
        <v>250</v>
      </c>
      <c r="AD52" s="23" t="s">
        <v>642</v>
      </c>
      <c r="AE52" s="36">
        <v>94</v>
      </c>
      <c r="AF52" s="94">
        <v>13.54</v>
      </c>
      <c r="AG52" s="94">
        <f t="shared" si="19"/>
        <v>1272.76</v>
      </c>
      <c r="AH52" s="88">
        <f t="shared" si="20"/>
        <v>12.632853598014888</v>
      </c>
      <c r="AI52" s="25" t="s">
        <v>243</v>
      </c>
      <c r="AJ52" s="23">
        <v>10</v>
      </c>
      <c r="AK52" s="23" t="s">
        <v>247</v>
      </c>
      <c r="AL52" s="23">
        <v>1700</v>
      </c>
      <c r="AM52" s="91">
        <v>3.2199999999999999E-2</v>
      </c>
      <c r="AN52" s="91">
        <f t="shared" si="14"/>
        <v>54.74</v>
      </c>
      <c r="AO52" s="92">
        <f t="shared" si="15"/>
        <v>0.54332506203473951</v>
      </c>
      <c r="AP52" s="23" t="s">
        <v>243</v>
      </c>
      <c r="AQ52" s="23"/>
      <c r="AR52" s="87"/>
      <c r="AS52" s="87"/>
      <c r="AT52" s="88">
        <f t="shared" si="16"/>
        <v>0</v>
      </c>
      <c r="AU52" s="23" t="s">
        <v>242</v>
      </c>
      <c r="AV52" s="44"/>
      <c r="AW52" s="23"/>
      <c r="AX52" s="44"/>
      <c r="AY52" s="44"/>
      <c r="AZ52" s="87"/>
      <c r="BA52" s="87"/>
      <c r="BB52" s="88">
        <f t="shared" si="17"/>
        <v>0</v>
      </c>
      <c r="BC52" s="23" t="s">
        <v>242</v>
      </c>
      <c r="BD52" s="23"/>
      <c r="BE52" s="23"/>
      <c r="BI52" s="90">
        <f t="shared" si="18"/>
        <v>0</v>
      </c>
      <c r="BJ52" s="26">
        <f t="shared" ref="BJ52:BJ83" si="23">COUNTIF(AP52:BI52,"SI")</f>
        <v>1</v>
      </c>
      <c r="BK52" s="26">
        <v>1</v>
      </c>
      <c r="BL52" s="26" t="s">
        <v>848</v>
      </c>
      <c r="BM52" s="26">
        <v>170</v>
      </c>
      <c r="BN52" s="26">
        <v>100</v>
      </c>
      <c r="BO52" s="26">
        <v>119</v>
      </c>
      <c r="BP52" s="26">
        <v>0</v>
      </c>
      <c r="BQ52" s="26">
        <v>0</v>
      </c>
      <c r="BR52" s="224">
        <v>130</v>
      </c>
      <c r="BS52" s="225">
        <v>2</v>
      </c>
      <c r="BT52" s="230" t="s">
        <v>1129</v>
      </c>
      <c r="BU52" s="227">
        <v>3953383</v>
      </c>
      <c r="BV52" s="228">
        <v>44413</v>
      </c>
      <c r="BW52" s="225">
        <v>10.6</v>
      </c>
      <c r="BX52" s="228">
        <v>44911</v>
      </c>
      <c r="BY52" s="226">
        <v>5.7</v>
      </c>
      <c r="BZ52" s="226"/>
      <c r="CA52" s="226"/>
      <c r="CB52" s="226"/>
      <c r="CC52" s="226"/>
      <c r="CD52" s="225">
        <v>150836416701</v>
      </c>
      <c r="CE52" s="225">
        <v>0</v>
      </c>
    </row>
    <row r="53" spans="1:83" ht="12.75" customHeight="1" thickBot="1" x14ac:dyDescent="0.3">
      <c r="A53" s="15" t="s">
        <v>19</v>
      </c>
      <c r="B53" s="15" t="s">
        <v>94</v>
      </c>
      <c r="C53" s="23" t="s">
        <v>482</v>
      </c>
      <c r="D53" s="41" t="s">
        <v>470</v>
      </c>
      <c r="E53" s="23" t="s">
        <v>163</v>
      </c>
      <c r="F53" s="23" t="s">
        <v>179</v>
      </c>
      <c r="G53" s="23">
        <v>2</v>
      </c>
      <c r="H53" s="23">
        <v>1</v>
      </c>
      <c r="I53" s="85" t="s">
        <v>557</v>
      </c>
      <c r="L53" s="5"/>
      <c r="M53" s="109"/>
      <c r="N53" s="23">
        <v>92</v>
      </c>
      <c r="O53" s="23">
        <v>1.74</v>
      </c>
      <c r="P53" s="24">
        <f t="shared" si="22"/>
        <v>30.38710529792575</v>
      </c>
      <c r="Q53" s="24" t="s">
        <v>243</v>
      </c>
      <c r="R53" s="24" t="s">
        <v>487</v>
      </c>
      <c r="S53" s="23" t="s">
        <v>177</v>
      </c>
      <c r="T53" s="45" t="s">
        <v>243</v>
      </c>
      <c r="U53" s="23">
        <v>38</v>
      </c>
      <c r="V53" s="18">
        <v>44413</v>
      </c>
      <c r="W53" s="17">
        <v>5.6</v>
      </c>
      <c r="X53" s="15" t="s">
        <v>474</v>
      </c>
      <c r="Y53" s="15" t="s">
        <v>582</v>
      </c>
      <c r="Z53" s="97" t="s">
        <v>505</v>
      </c>
      <c r="AA53" s="99" t="s">
        <v>566</v>
      </c>
      <c r="AB53" s="15">
        <v>1</v>
      </c>
      <c r="AC53" s="30" t="s">
        <v>571</v>
      </c>
      <c r="AD53" s="23" t="s">
        <v>182</v>
      </c>
      <c r="AE53" s="36">
        <f>14*3</f>
        <v>42</v>
      </c>
      <c r="AF53" s="94">
        <v>13.87</v>
      </c>
      <c r="AG53" s="94">
        <f t="shared" si="19"/>
        <v>582.54</v>
      </c>
      <c r="AH53" s="88">
        <f t="shared" si="20"/>
        <v>5.7820347394540939</v>
      </c>
      <c r="AI53" s="25" t="s">
        <v>242</v>
      </c>
      <c r="AJ53" s="23"/>
      <c r="AK53" s="44" t="s">
        <v>179</v>
      </c>
      <c r="AL53" s="23"/>
      <c r="AM53" s="91">
        <v>3.2199999999999999E-2</v>
      </c>
      <c r="AN53" s="91">
        <f t="shared" si="14"/>
        <v>0</v>
      </c>
      <c r="AO53" s="92">
        <f t="shared" si="15"/>
        <v>0</v>
      </c>
      <c r="AP53" s="23" t="s">
        <v>242</v>
      </c>
      <c r="AQ53" s="23"/>
      <c r="AR53" s="87"/>
      <c r="AS53" s="87"/>
      <c r="AT53" s="88">
        <f t="shared" si="16"/>
        <v>0</v>
      </c>
      <c r="AU53" s="23" t="s">
        <v>242</v>
      </c>
      <c r="AV53" s="44"/>
      <c r="AW53" s="23"/>
      <c r="AX53" s="44"/>
      <c r="AY53" s="44"/>
      <c r="AZ53" s="87"/>
      <c r="BA53" s="87"/>
      <c r="BB53" s="88">
        <f t="shared" si="17"/>
        <v>0</v>
      </c>
      <c r="BC53" s="23" t="s">
        <v>242</v>
      </c>
      <c r="BD53" s="23"/>
      <c r="BE53" s="23"/>
      <c r="BI53" s="90">
        <f t="shared" si="18"/>
        <v>0</v>
      </c>
      <c r="BJ53" s="26">
        <f t="shared" si="23"/>
        <v>0</v>
      </c>
      <c r="BK53" s="26">
        <v>0</v>
      </c>
      <c r="BL53" s="26" t="s">
        <v>850</v>
      </c>
      <c r="BM53" s="26">
        <v>160</v>
      </c>
      <c r="BN53" s="26">
        <v>90</v>
      </c>
      <c r="BO53" s="26">
        <v>109</v>
      </c>
      <c r="BP53" s="26">
        <v>0</v>
      </c>
      <c r="BQ53" s="26">
        <v>0</v>
      </c>
      <c r="BR53" s="224">
        <v>131</v>
      </c>
      <c r="BS53" s="225">
        <v>1</v>
      </c>
      <c r="BT53" s="230" t="s">
        <v>1131</v>
      </c>
      <c r="BU53" s="227">
        <v>4594776</v>
      </c>
      <c r="BV53" s="228">
        <v>44413</v>
      </c>
      <c r="BW53" s="225">
        <v>5.6</v>
      </c>
      <c r="BX53" s="226"/>
      <c r="BY53" s="226"/>
      <c r="BZ53" s="226"/>
      <c r="CA53" s="226"/>
      <c r="CB53" s="226"/>
      <c r="CC53" s="226"/>
      <c r="CD53" s="225">
        <v>150394649600</v>
      </c>
      <c r="CE53" s="225">
        <v>0</v>
      </c>
    </row>
    <row r="54" spans="1:83" ht="12.75" customHeight="1" thickBot="1" x14ac:dyDescent="0.3">
      <c r="A54" s="15" t="s">
        <v>39</v>
      </c>
      <c r="B54" s="15" t="s">
        <v>110</v>
      </c>
      <c r="C54" s="23" t="s">
        <v>479</v>
      </c>
      <c r="D54" s="41" t="s">
        <v>469</v>
      </c>
      <c r="E54" s="23" t="s">
        <v>164</v>
      </c>
      <c r="F54" s="23" t="s">
        <v>179</v>
      </c>
      <c r="G54" s="23">
        <v>1</v>
      </c>
      <c r="H54" s="23">
        <v>1</v>
      </c>
      <c r="I54" s="85" t="s">
        <v>557</v>
      </c>
      <c r="J54">
        <v>2002</v>
      </c>
      <c r="L54" s="5">
        <f t="shared" ref="L54:L72" si="24">2021-J54</f>
        <v>19</v>
      </c>
      <c r="M54" s="109" t="e">
        <f>+#REF!-L54</f>
        <v>#REF!</v>
      </c>
      <c r="N54" s="23">
        <v>81</v>
      </c>
      <c r="O54" s="23">
        <v>1.45</v>
      </c>
      <c r="P54" s="24">
        <f t="shared" si="22"/>
        <v>38.525564803804997</v>
      </c>
      <c r="Q54" s="24" t="s">
        <v>242</v>
      </c>
      <c r="R54" s="24" t="s">
        <v>487</v>
      </c>
      <c r="S54" s="23" t="s">
        <v>243</v>
      </c>
      <c r="T54" s="45" t="s">
        <v>242</v>
      </c>
      <c r="U54" s="23" t="s">
        <v>212</v>
      </c>
      <c r="V54" s="16">
        <v>44378</v>
      </c>
      <c r="W54" s="15">
        <v>10.7</v>
      </c>
      <c r="X54" s="17" t="s">
        <v>476</v>
      </c>
      <c r="Y54" s="17" t="s">
        <v>584</v>
      </c>
      <c r="Z54" s="96" t="s">
        <v>590</v>
      </c>
      <c r="AA54" s="98" t="s">
        <v>569</v>
      </c>
      <c r="AB54" s="17">
        <v>2</v>
      </c>
      <c r="AC54" s="23" t="s">
        <v>244</v>
      </c>
      <c r="AD54" s="23" t="s">
        <v>642</v>
      </c>
      <c r="AE54" s="36">
        <v>40</v>
      </c>
      <c r="AF54" s="94">
        <v>14.66</v>
      </c>
      <c r="AG54" s="94">
        <f t="shared" si="19"/>
        <v>586.4</v>
      </c>
      <c r="AH54" s="88">
        <f t="shared" si="20"/>
        <v>5.820347394540943</v>
      </c>
      <c r="AI54" s="25" t="s">
        <v>242</v>
      </c>
      <c r="AJ54" s="23"/>
      <c r="AK54" s="23" t="s">
        <v>247</v>
      </c>
      <c r="AL54" s="23">
        <v>1700</v>
      </c>
      <c r="AM54" s="91">
        <v>3.2199999999999999E-2</v>
      </c>
      <c r="AN54" s="91">
        <f t="shared" si="14"/>
        <v>54.74</v>
      </c>
      <c r="AO54" s="92">
        <f t="shared" si="15"/>
        <v>0.54332506203473951</v>
      </c>
      <c r="AP54" s="23" t="s">
        <v>243</v>
      </c>
      <c r="AQ54" s="23"/>
      <c r="AR54" s="87"/>
      <c r="AS54" s="87"/>
      <c r="AT54" s="88">
        <f t="shared" si="16"/>
        <v>0</v>
      </c>
      <c r="AU54" s="23" t="s">
        <v>242</v>
      </c>
      <c r="AV54" s="44"/>
      <c r="AW54" s="23"/>
      <c r="AX54" s="23" t="s">
        <v>251</v>
      </c>
      <c r="AY54" s="23">
        <v>100</v>
      </c>
      <c r="AZ54" s="87">
        <v>1.84</v>
      </c>
      <c r="BA54" s="87">
        <f>+AY54*AZ54</f>
        <v>184</v>
      </c>
      <c r="BB54" s="88">
        <f t="shared" si="17"/>
        <v>1.8263027295285359</v>
      </c>
      <c r="BC54" s="23" t="s">
        <v>243</v>
      </c>
      <c r="BD54" s="23"/>
      <c r="BE54" s="23"/>
      <c r="BI54" s="90">
        <f t="shared" si="18"/>
        <v>0</v>
      </c>
      <c r="BJ54" s="26">
        <f t="shared" si="23"/>
        <v>2</v>
      </c>
      <c r="BK54" s="26">
        <v>1</v>
      </c>
      <c r="BL54" s="26" t="s">
        <v>850</v>
      </c>
      <c r="BM54" s="26">
        <v>140</v>
      </c>
      <c r="BN54" s="26">
        <v>70</v>
      </c>
      <c r="BO54" s="26">
        <v>118.5</v>
      </c>
      <c r="BP54" s="26">
        <v>0</v>
      </c>
      <c r="BQ54" s="26">
        <v>1</v>
      </c>
      <c r="BR54" s="224">
        <v>24</v>
      </c>
      <c r="BS54" s="225">
        <v>2</v>
      </c>
      <c r="BT54" s="230" t="s">
        <v>915</v>
      </c>
      <c r="BU54" s="227">
        <v>10238342</v>
      </c>
      <c r="BV54" s="228">
        <v>44378</v>
      </c>
      <c r="BW54" s="225">
        <v>10.7</v>
      </c>
      <c r="BX54" s="228">
        <v>44958</v>
      </c>
      <c r="BY54" s="230">
        <v>6.5</v>
      </c>
      <c r="BZ54" s="228">
        <v>45007</v>
      </c>
      <c r="CA54" s="225">
        <v>6.8</v>
      </c>
      <c r="CB54" s="225">
        <v>6.8</v>
      </c>
      <c r="CC54" s="226"/>
      <c r="CD54" s="225">
        <v>150851942008</v>
      </c>
      <c r="CE54" s="226" t="s">
        <v>916</v>
      </c>
    </row>
    <row r="55" spans="1:83" ht="12.75" customHeight="1" thickBot="1" x14ac:dyDescent="0.3">
      <c r="A55" s="15" t="s">
        <v>138</v>
      </c>
      <c r="B55" s="15" t="s">
        <v>137</v>
      </c>
      <c r="C55" s="23" t="s">
        <v>482</v>
      </c>
      <c r="D55" s="41" t="s">
        <v>471</v>
      </c>
      <c r="E55" s="23" t="s">
        <v>163</v>
      </c>
      <c r="F55" s="23" t="s">
        <v>179</v>
      </c>
      <c r="G55" s="23">
        <v>1</v>
      </c>
      <c r="H55" s="23">
        <v>1</v>
      </c>
      <c r="I55" s="85" t="s">
        <v>557</v>
      </c>
      <c r="J55">
        <v>2011</v>
      </c>
      <c r="L55" s="5">
        <f t="shared" si="24"/>
        <v>10</v>
      </c>
      <c r="M55" s="109" t="e">
        <f>+#REF!-L55</f>
        <v>#REF!</v>
      </c>
      <c r="N55" s="23">
        <v>70</v>
      </c>
      <c r="O55" s="23">
        <v>1.6</v>
      </c>
      <c r="P55" s="24">
        <f t="shared" si="22"/>
        <v>27.343749999999996</v>
      </c>
      <c r="Q55" s="24" t="s">
        <v>242</v>
      </c>
      <c r="R55" s="24" t="s">
        <v>486</v>
      </c>
      <c r="S55" s="23" t="s">
        <v>243</v>
      </c>
      <c r="T55" s="45" t="s">
        <v>242</v>
      </c>
      <c r="U55" s="23" t="s">
        <v>212</v>
      </c>
      <c r="V55" s="16">
        <v>44420</v>
      </c>
      <c r="W55" s="17">
        <v>6.8</v>
      </c>
      <c r="X55" s="15" t="s">
        <v>474</v>
      </c>
      <c r="Y55" s="15" t="s">
        <v>582</v>
      </c>
      <c r="Z55" s="97" t="s">
        <v>505</v>
      </c>
      <c r="AA55" s="99" t="s">
        <v>566</v>
      </c>
      <c r="AB55" s="15">
        <v>1</v>
      </c>
      <c r="AC55" s="23" t="s">
        <v>250</v>
      </c>
      <c r="AD55" s="23" t="s">
        <v>642</v>
      </c>
      <c r="AE55" s="36">
        <v>28</v>
      </c>
      <c r="AF55" s="94">
        <v>13.54</v>
      </c>
      <c r="AG55" s="94">
        <f t="shared" si="19"/>
        <v>379.12</v>
      </c>
      <c r="AH55" s="88">
        <f t="shared" si="20"/>
        <v>3.7629776674937965</v>
      </c>
      <c r="AI55" s="25" t="s">
        <v>242</v>
      </c>
      <c r="AJ55" s="23"/>
      <c r="AK55" s="44" t="s">
        <v>179</v>
      </c>
      <c r="AL55" s="23"/>
      <c r="AM55" s="91">
        <v>3.2199999999999999E-2</v>
      </c>
      <c r="AN55" s="91">
        <f t="shared" si="14"/>
        <v>0</v>
      </c>
      <c r="AO55" s="92">
        <f t="shared" si="15"/>
        <v>0</v>
      </c>
      <c r="AP55" s="23" t="s">
        <v>242</v>
      </c>
      <c r="AQ55" s="23"/>
      <c r="AR55" s="87"/>
      <c r="AS55" s="87"/>
      <c r="AT55" s="88">
        <f t="shared" si="16"/>
        <v>0</v>
      </c>
      <c r="AU55" s="23" t="s">
        <v>242</v>
      </c>
      <c r="AV55" s="44"/>
      <c r="AW55" s="23"/>
      <c r="AX55" s="44"/>
      <c r="AY55" s="44"/>
      <c r="AZ55" s="87"/>
      <c r="BA55" s="87"/>
      <c r="BB55" s="88">
        <f t="shared" si="17"/>
        <v>0</v>
      </c>
      <c r="BC55" s="23" t="s">
        <v>242</v>
      </c>
      <c r="BD55" s="23"/>
      <c r="BE55" s="23"/>
      <c r="BI55" s="90">
        <f t="shared" si="18"/>
        <v>0</v>
      </c>
      <c r="BJ55" s="26">
        <f t="shared" si="23"/>
        <v>0</v>
      </c>
      <c r="BK55" s="26">
        <v>1</v>
      </c>
      <c r="BL55" s="26" t="s">
        <v>850</v>
      </c>
      <c r="BM55" s="26">
        <v>130</v>
      </c>
      <c r="BN55" s="26">
        <v>70</v>
      </c>
      <c r="BO55" s="26">
        <v>108</v>
      </c>
      <c r="BP55" s="26">
        <v>0</v>
      </c>
      <c r="BQ55" s="26">
        <v>0</v>
      </c>
      <c r="BR55" s="224">
        <v>132</v>
      </c>
      <c r="BS55" s="225">
        <v>2</v>
      </c>
      <c r="BT55" s="230" t="s">
        <v>1133</v>
      </c>
      <c r="BU55" s="227">
        <v>5728648</v>
      </c>
      <c r="BV55" s="228">
        <v>44420</v>
      </c>
      <c r="BW55" s="225">
        <v>6.8</v>
      </c>
      <c r="BX55" s="228">
        <v>45007</v>
      </c>
      <c r="BY55" s="226">
        <v>6</v>
      </c>
      <c r="BZ55" s="226"/>
      <c r="CA55" s="226"/>
      <c r="CB55" s="226"/>
      <c r="CC55" s="226"/>
      <c r="CD55" s="225">
        <v>150378208101</v>
      </c>
      <c r="CE55" s="225">
        <v>0</v>
      </c>
    </row>
    <row r="56" spans="1:83" ht="12.75" customHeight="1" thickBot="1" x14ac:dyDescent="0.3">
      <c r="A56" s="15" t="s">
        <v>329</v>
      </c>
      <c r="B56" s="15" t="s">
        <v>330</v>
      </c>
      <c r="C56" s="23" t="s">
        <v>482</v>
      </c>
      <c r="D56" s="41" t="s">
        <v>470</v>
      </c>
      <c r="E56" s="23" t="s">
        <v>163</v>
      </c>
      <c r="F56" s="23" t="s">
        <v>179</v>
      </c>
      <c r="G56" s="23">
        <v>2</v>
      </c>
      <c r="H56" s="23">
        <v>1</v>
      </c>
      <c r="I56" s="85" t="s">
        <v>557</v>
      </c>
      <c r="J56">
        <v>2005</v>
      </c>
      <c r="L56" s="5">
        <f t="shared" si="24"/>
        <v>16</v>
      </c>
      <c r="M56" s="109" t="e">
        <f>+#REF!-L56</f>
        <v>#REF!</v>
      </c>
      <c r="N56" s="23">
        <v>67.599999999999994</v>
      </c>
      <c r="O56" s="23">
        <v>1.63</v>
      </c>
      <c r="P56" s="24">
        <f t="shared" si="22"/>
        <v>25.443185667507244</v>
      </c>
      <c r="Q56" s="24" t="s">
        <v>243</v>
      </c>
      <c r="R56" s="24" t="s">
        <v>486</v>
      </c>
      <c r="S56" s="23" t="s">
        <v>177</v>
      </c>
      <c r="T56" s="45" t="s">
        <v>242</v>
      </c>
      <c r="U56" s="23" t="s">
        <v>212</v>
      </c>
      <c r="V56" s="18">
        <v>44420</v>
      </c>
      <c r="W56" s="17">
        <v>12.8</v>
      </c>
      <c r="X56" s="17" t="s">
        <v>477</v>
      </c>
      <c r="Y56" s="17" t="s">
        <v>584</v>
      </c>
      <c r="Z56" s="96" t="s">
        <v>590</v>
      </c>
      <c r="AA56" s="98" t="s">
        <v>569</v>
      </c>
      <c r="AB56" s="17">
        <v>3</v>
      </c>
      <c r="AC56" s="23" t="s">
        <v>250</v>
      </c>
      <c r="AD56" s="23" t="s">
        <v>642</v>
      </c>
      <c r="AE56" s="36">
        <v>44</v>
      </c>
      <c r="AF56" s="94">
        <v>13.54</v>
      </c>
      <c r="AG56" s="94">
        <f t="shared" si="19"/>
        <v>595.76</v>
      </c>
      <c r="AH56" s="88">
        <f t="shared" si="20"/>
        <v>5.9132506203473945</v>
      </c>
      <c r="AI56" s="25" t="s">
        <v>242</v>
      </c>
      <c r="AJ56" s="23"/>
      <c r="AK56" s="23" t="s">
        <v>247</v>
      </c>
      <c r="AL56" s="23">
        <v>1000</v>
      </c>
      <c r="AM56" s="91">
        <v>3.2199999999999999E-2</v>
      </c>
      <c r="AN56" s="91">
        <f t="shared" si="14"/>
        <v>32.200000000000003</v>
      </c>
      <c r="AO56" s="92">
        <f t="shared" si="15"/>
        <v>0.31960297766749385</v>
      </c>
      <c r="AP56" s="23" t="s">
        <v>243</v>
      </c>
      <c r="AQ56" s="23"/>
      <c r="AR56" s="87"/>
      <c r="AS56" s="87"/>
      <c r="AT56" s="88">
        <f t="shared" si="16"/>
        <v>0</v>
      </c>
      <c r="AU56" s="23" t="s">
        <v>242</v>
      </c>
      <c r="AV56" s="44"/>
      <c r="AW56" s="23"/>
      <c r="AX56" s="44"/>
      <c r="AY56" s="44"/>
      <c r="AZ56" s="87"/>
      <c r="BA56" s="87"/>
      <c r="BB56" s="88">
        <f t="shared" si="17"/>
        <v>0</v>
      </c>
      <c r="BC56" s="23" t="s">
        <v>242</v>
      </c>
      <c r="BD56" s="23"/>
      <c r="BE56" s="23"/>
      <c r="BI56" s="90">
        <f t="shared" si="18"/>
        <v>0</v>
      </c>
      <c r="BJ56" s="26">
        <f t="shared" si="23"/>
        <v>1</v>
      </c>
      <c r="BK56" s="26">
        <v>1</v>
      </c>
      <c r="BL56" s="26" t="s">
        <v>850</v>
      </c>
      <c r="BM56" s="26">
        <v>140</v>
      </c>
      <c r="BN56" s="26">
        <v>80</v>
      </c>
      <c r="BO56" s="26">
        <v>101</v>
      </c>
      <c r="BP56" s="26">
        <v>0</v>
      </c>
      <c r="BQ56" s="26">
        <v>0</v>
      </c>
      <c r="BR56" s="224">
        <v>133</v>
      </c>
      <c r="BS56" s="225">
        <v>1</v>
      </c>
      <c r="BT56" s="230" t="s">
        <v>1135</v>
      </c>
      <c r="BU56" s="227">
        <v>5319431</v>
      </c>
      <c r="BV56" s="228">
        <v>44420</v>
      </c>
      <c r="BW56" s="225">
        <v>12.8</v>
      </c>
      <c r="BX56" s="228">
        <v>45007</v>
      </c>
      <c r="BY56" s="226">
        <v>5.9</v>
      </c>
      <c r="BZ56" s="226"/>
      <c r="CA56" s="226"/>
      <c r="CB56" s="226"/>
      <c r="CC56" s="226"/>
      <c r="CD56" s="225">
        <v>150354926301</v>
      </c>
      <c r="CE56" s="225">
        <v>0</v>
      </c>
    </row>
    <row r="57" spans="1:83" ht="12.75" customHeight="1" thickBot="1" x14ac:dyDescent="0.3">
      <c r="A57" s="15" t="s">
        <v>331</v>
      </c>
      <c r="B57" s="15" t="s">
        <v>332</v>
      </c>
      <c r="C57" s="23" t="s">
        <v>480</v>
      </c>
      <c r="D57" s="41" t="s">
        <v>470</v>
      </c>
      <c r="E57" s="23" t="s">
        <v>164</v>
      </c>
      <c r="F57" s="23" t="s">
        <v>179</v>
      </c>
      <c r="G57" s="23">
        <v>2</v>
      </c>
      <c r="H57" s="23">
        <v>1</v>
      </c>
      <c r="I57" s="85" t="s">
        <v>557</v>
      </c>
      <c r="J57">
        <v>2000</v>
      </c>
      <c r="L57" s="5">
        <f t="shared" si="24"/>
        <v>21</v>
      </c>
      <c r="M57" s="109" t="e">
        <f>+#REF!-L57</f>
        <v>#REF!</v>
      </c>
      <c r="N57" s="23">
        <v>75.3</v>
      </c>
      <c r="O57" s="23">
        <v>1.54</v>
      </c>
      <c r="P57" s="24">
        <f t="shared" si="22"/>
        <v>31.750716815651881</v>
      </c>
      <c r="Q57" s="24" t="s">
        <v>243</v>
      </c>
      <c r="R57" s="24" t="s">
        <v>487</v>
      </c>
      <c r="S57" s="23" t="s">
        <v>177</v>
      </c>
      <c r="T57" s="45" t="s">
        <v>242</v>
      </c>
      <c r="U57" s="23" t="s">
        <v>212</v>
      </c>
      <c r="V57" s="18">
        <v>44413</v>
      </c>
      <c r="W57" s="17">
        <v>8.4</v>
      </c>
      <c r="X57" s="17" t="s">
        <v>475</v>
      </c>
      <c r="Y57" s="17" t="s">
        <v>584</v>
      </c>
      <c r="Z57" s="96" t="s">
        <v>506</v>
      </c>
      <c r="AA57" s="98" t="s">
        <v>569</v>
      </c>
      <c r="AB57" s="17">
        <v>2</v>
      </c>
      <c r="AC57" s="23" t="s">
        <v>182</v>
      </c>
      <c r="AD57" s="23" t="s">
        <v>182</v>
      </c>
      <c r="AE57" s="36">
        <v>28</v>
      </c>
      <c r="AF57" s="94">
        <v>7.21</v>
      </c>
      <c r="AG57" s="94">
        <f t="shared" si="19"/>
        <v>201.88</v>
      </c>
      <c r="AH57" s="88">
        <f t="shared" si="20"/>
        <v>2.0037717121588088</v>
      </c>
      <c r="AI57" s="25" t="s">
        <v>243</v>
      </c>
      <c r="AJ57" s="23">
        <v>6</v>
      </c>
      <c r="AK57" s="44" t="s">
        <v>179</v>
      </c>
      <c r="AL57" s="23"/>
      <c r="AM57" s="91">
        <v>3.2199999999999999E-2</v>
      </c>
      <c r="AN57" s="91">
        <f t="shared" si="14"/>
        <v>0</v>
      </c>
      <c r="AO57" s="92">
        <f t="shared" si="15"/>
        <v>0</v>
      </c>
      <c r="AP57" s="23" t="s">
        <v>242</v>
      </c>
      <c r="AQ57" s="23"/>
      <c r="AR57" s="87"/>
      <c r="AS57" s="87"/>
      <c r="AT57" s="88">
        <f t="shared" si="16"/>
        <v>0</v>
      </c>
      <c r="AU57" s="23" t="s">
        <v>242</v>
      </c>
      <c r="AV57" s="44"/>
      <c r="AW57" s="23"/>
      <c r="AX57" s="44"/>
      <c r="AY57" s="44"/>
      <c r="AZ57" s="87"/>
      <c r="BA57" s="87"/>
      <c r="BB57" s="88">
        <f t="shared" si="17"/>
        <v>0</v>
      </c>
      <c r="BC57" s="23" t="s">
        <v>242</v>
      </c>
      <c r="BD57" s="23"/>
      <c r="BE57" s="23"/>
      <c r="BI57" s="90">
        <f t="shared" si="18"/>
        <v>0</v>
      </c>
      <c r="BJ57" s="26">
        <f t="shared" si="23"/>
        <v>0</v>
      </c>
      <c r="BK57" s="26">
        <v>0</v>
      </c>
      <c r="BL57" s="26" t="s">
        <v>851</v>
      </c>
      <c r="BO57" s="26">
        <v>102</v>
      </c>
      <c r="BP57" s="26">
        <v>0</v>
      </c>
      <c r="BQ57" s="26">
        <v>0</v>
      </c>
      <c r="BR57" s="224">
        <v>134</v>
      </c>
      <c r="BS57" s="225">
        <v>1</v>
      </c>
      <c r="BT57" s="230" t="s">
        <v>1137</v>
      </c>
      <c r="BU57" s="227">
        <v>4732481</v>
      </c>
      <c r="BV57" s="228">
        <v>44413</v>
      </c>
      <c r="BW57" s="225">
        <v>8.4</v>
      </c>
      <c r="BX57" s="228">
        <v>44949</v>
      </c>
      <c r="BY57" s="226">
        <v>7.4</v>
      </c>
      <c r="BZ57" s="226"/>
      <c r="CA57" s="226"/>
      <c r="CB57" s="226"/>
      <c r="CC57" s="226"/>
      <c r="CD57" s="225">
        <v>150303088600</v>
      </c>
      <c r="CE57" s="225">
        <v>0</v>
      </c>
    </row>
    <row r="58" spans="1:83" ht="12.75" customHeight="1" thickBot="1" x14ac:dyDescent="0.3">
      <c r="A58" s="15" t="s">
        <v>6</v>
      </c>
      <c r="B58" s="15" t="s">
        <v>80</v>
      </c>
      <c r="C58" s="23" t="s">
        <v>480</v>
      </c>
      <c r="D58" s="41" t="s">
        <v>469</v>
      </c>
      <c r="E58" s="23" t="s">
        <v>163</v>
      </c>
      <c r="F58" s="23" t="s">
        <v>229</v>
      </c>
      <c r="G58" s="23">
        <v>3</v>
      </c>
      <c r="H58" s="23">
        <v>3</v>
      </c>
      <c r="I58" s="85" t="s">
        <v>559</v>
      </c>
      <c r="J58">
        <v>1998</v>
      </c>
      <c r="L58" s="5">
        <f t="shared" si="24"/>
        <v>23</v>
      </c>
      <c r="M58" s="109" t="e">
        <f>+#REF!-L58</f>
        <v>#REF!</v>
      </c>
      <c r="N58" s="23">
        <v>82</v>
      </c>
      <c r="O58" s="23">
        <v>1.62</v>
      </c>
      <c r="P58" s="24">
        <f t="shared" si="22"/>
        <v>31.245237006553872</v>
      </c>
      <c r="Q58" s="24" t="s">
        <v>242</v>
      </c>
      <c r="R58" s="24" t="s">
        <v>487</v>
      </c>
      <c r="S58" s="23" t="s">
        <v>233</v>
      </c>
      <c r="T58" s="45" t="s">
        <v>242</v>
      </c>
      <c r="U58" s="23" t="s">
        <v>212</v>
      </c>
      <c r="V58" s="18">
        <v>44392</v>
      </c>
      <c r="W58" s="15">
        <v>7.3</v>
      </c>
      <c r="X58" s="17" t="s">
        <v>475</v>
      </c>
      <c r="Y58" s="17" t="s">
        <v>583</v>
      </c>
      <c r="Z58" s="97" t="s">
        <v>505</v>
      </c>
      <c r="AA58" s="99" t="s">
        <v>567</v>
      </c>
      <c r="AB58" s="15">
        <v>1</v>
      </c>
      <c r="AC58" s="23" t="s">
        <v>244</v>
      </c>
      <c r="AD58" s="23" t="s">
        <v>642</v>
      </c>
      <c r="AE58" s="36">
        <v>72</v>
      </c>
      <c r="AF58" s="94">
        <v>14.66</v>
      </c>
      <c r="AG58" s="94">
        <f t="shared" si="19"/>
        <v>1055.52</v>
      </c>
      <c r="AH58" s="88">
        <f t="shared" si="20"/>
        <v>10.476625310173697</v>
      </c>
      <c r="AI58" s="25" t="s">
        <v>243</v>
      </c>
      <c r="AJ58" s="23" t="s">
        <v>463</v>
      </c>
      <c r="AK58" s="23" t="s">
        <v>247</v>
      </c>
      <c r="AL58" s="23">
        <v>2000</v>
      </c>
      <c r="AM58" s="91">
        <v>3.2199999999999999E-2</v>
      </c>
      <c r="AN58" s="91">
        <f t="shared" si="14"/>
        <v>64.400000000000006</v>
      </c>
      <c r="AO58" s="92">
        <f t="shared" si="15"/>
        <v>0.6392059553349877</v>
      </c>
      <c r="AP58" s="23" t="s">
        <v>243</v>
      </c>
      <c r="AQ58" s="23"/>
      <c r="AR58" s="87"/>
      <c r="AS58" s="87"/>
      <c r="AT58" s="88">
        <f t="shared" si="16"/>
        <v>0</v>
      </c>
      <c r="AU58" s="23" t="s">
        <v>242</v>
      </c>
      <c r="AV58" s="44"/>
      <c r="AW58" s="23"/>
      <c r="AX58" s="44"/>
      <c r="AY58" s="44"/>
      <c r="AZ58" s="87"/>
      <c r="BA58" s="87"/>
      <c r="BB58" s="88">
        <f t="shared" si="17"/>
        <v>0</v>
      </c>
      <c r="BC58" s="23" t="s">
        <v>242</v>
      </c>
      <c r="BD58" s="23"/>
      <c r="BE58" s="23"/>
      <c r="BI58" s="90">
        <f t="shared" si="18"/>
        <v>0</v>
      </c>
      <c r="BJ58" s="26">
        <f t="shared" si="23"/>
        <v>1</v>
      </c>
      <c r="BK58" s="26">
        <v>0</v>
      </c>
      <c r="BL58" s="26" t="s">
        <v>850</v>
      </c>
      <c r="BM58" s="26">
        <v>120</v>
      </c>
      <c r="BN58" s="26">
        <v>70</v>
      </c>
      <c r="BO58" s="26">
        <v>107</v>
      </c>
      <c r="BP58" s="26">
        <v>0</v>
      </c>
      <c r="BQ58" s="26">
        <v>1</v>
      </c>
      <c r="BR58" s="224">
        <v>25</v>
      </c>
      <c r="BS58" s="225">
        <v>1</v>
      </c>
      <c r="BT58" s="230" t="s">
        <v>918</v>
      </c>
      <c r="BU58" s="227">
        <v>8705002</v>
      </c>
      <c r="BV58" s="228">
        <v>44392</v>
      </c>
      <c r="BW58" s="225">
        <v>7.3</v>
      </c>
      <c r="BX58" s="226"/>
      <c r="BY58" s="226"/>
      <c r="BZ58" s="226"/>
      <c r="CA58" s="226"/>
      <c r="CB58" s="226"/>
      <c r="CC58" s="226"/>
      <c r="CD58" s="225">
        <v>150540005005</v>
      </c>
      <c r="CE58" s="225">
        <v>0</v>
      </c>
    </row>
    <row r="59" spans="1:83" ht="12.75" customHeight="1" thickBot="1" x14ac:dyDescent="0.3">
      <c r="A59" s="15" t="s">
        <v>20</v>
      </c>
      <c r="B59" s="15" t="s">
        <v>334</v>
      </c>
      <c r="C59" s="23" t="s">
        <v>479</v>
      </c>
      <c r="D59" s="41" t="s">
        <v>469</v>
      </c>
      <c r="E59" s="23" t="s">
        <v>164</v>
      </c>
      <c r="F59" s="23" t="s">
        <v>179</v>
      </c>
      <c r="G59" s="23">
        <v>2</v>
      </c>
      <c r="H59" s="23">
        <v>2</v>
      </c>
      <c r="I59" s="85" t="s">
        <v>558</v>
      </c>
      <c r="J59">
        <v>2014</v>
      </c>
      <c r="L59" s="5">
        <f t="shared" si="24"/>
        <v>7</v>
      </c>
      <c r="M59" s="109" t="e">
        <f>+#REF!-L59</f>
        <v>#REF!</v>
      </c>
      <c r="N59" s="23">
        <v>90</v>
      </c>
      <c r="O59" s="23">
        <v>1.55</v>
      </c>
      <c r="P59" s="24">
        <f t="shared" si="22"/>
        <v>37.460978147762745</v>
      </c>
      <c r="Q59" s="24" t="s">
        <v>243</v>
      </c>
      <c r="R59" s="24" t="s">
        <v>487</v>
      </c>
      <c r="S59" s="23" t="s">
        <v>177</v>
      </c>
      <c r="T59" s="45" t="s">
        <v>242</v>
      </c>
      <c r="U59" s="23" t="s">
        <v>212</v>
      </c>
      <c r="V59" s="18">
        <v>44420</v>
      </c>
      <c r="W59" s="17">
        <v>9.4</v>
      </c>
      <c r="X59" s="17" t="s">
        <v>476</v>
      </c>
      <c r="Y59" s="17" t="s">
        <v>584</v>
      </c>
      <c r="Z59" s="96" t="s">
        <v>506</v>
      </c>
      <c r="AA59" s="98" t="s">
        <v>569</v>
      </c>
      <c r="AB59" s="17">
        <v>2</v>
      </c>
      <c r="AC59" s="23" t="s">
        <v>244</v>
      </c>
      <c r="AD59" s="23" t="s">
        <v>642</v>
      </c>
      <c r="AE59" s="36">
        <v>32</v>
      </c>
      <c r="AF59" s="94">
        <v>14.66</v>
      </c>
      <c r="AG59" s="94">
        <f t="shared" si="19"/>
        <v>469.12</v>
      </c>
      <c r="AH59" s="88">
        <f t="shared" si="20"/>
        <v>4.6562779156327547</v>
      </c>
      <c r="AI59" s="25" t="s">
        <v>243</v>
      </c>
      <c r="AJ59" s="23">
        <v>24</v>
      </c>
      <c r="AK59" s="23" t="s">
        <v>247</v>
      </c>
      <c r="AL59" s="23">
        <v>1700</v>
      </c>
      <c r="AM59" s="91">
        <v>3.2199999999999999E-2</v>
      </c>
      <c r="AN59" s="91">
        <f t="shared" si="14"/>
        <v>54.74</v>
      </c>
      <c r="AO59" s="92">
        <f t="shared" si="15"/>
        <v>0.54332506203473951</v>
      </c>
      <c r="AP59" s="23" t="s">
        <v>243</v>
      </c>
      <c r="AQ59" s="23"/>
      <c r="AR59" s="87"/>
      <c r="AS59" s="87"/>
      <c r="AT59" s="88">
        <f t="shared" si="16"/>
        <v>0</v>
      </c>
      <c r="AU59" s="23" t="s">
        <v>242</v>
      </c>
      <c r="AV59" s="44"/>
      <c r="AW59" s="23"/>
      <c r="AX59" s="23" t="s">
        <v>249</v>
      </c>
      <c r="AY59" s="23">
        <v>100</v>
      </c>
      <c r="AZ59" s="87">
        <v>5.4</v>
      </c>
      <c r="BA59" s="87">
        <f>+AY59*AZ59</f>
        <v>540</v>
      </c>
      <c r="BB59" s="88">
        <f t="shared" si="17"/>
        <v>5.3598014888337469</v>
      </c>
      <c r="BC59" s="23" t="s">
        <v>243</v>
      </c>
      <c r="BD59" s="23" t="s">
        <v>466</v>
      </c>
      <c r="BE59" s="23">
        <v>10</v>
      </c>
      <c r="BF59" s="33" t="s">
        <v>243</v>
      </c>
      <c r="BG59" s="89">
        <v>26.41</v>
      </c>
      <c r="BH59" s="89">
        <f>+BE59*BG59</f>
        <v>264.10000000000002</v>
      </c>
      <c r="BI59" s="90">
        <f t="shared" si="18"/>
        <v>2.6213399503722088</v>
      </c>
      <c r="BJ59" s="26">
        <f t="shared" si="23"/>
        <v>3</v>
      </c>
      <c r="BK59" s="26">
        <v>0</v>
      </c>
      <c r="BL59" s="26" t="s">
        <v>850</v>
      </c>
      <c r="BM59" s="26">
        <v>130</v>
      </c>
      <c r="BN59" s="26">
        <v>80</v>
      </c>
      <c r="BO59" s="26">
        <v>118</v>
      </c>
      <c r="BP59" s="26">
        <v>0</v>
      </c>
      <c r="BQ59" s="26">
        <v>0</v>
      </c>
      <c r="BR59" s="224">
        <v>138</v>
      </c>
      <c r="BS59" s="225">
        <v>1</v>
      </c>
      <c r="BT59" s="230" t="s">
        <v>1145</v>
      </c>
      <c r="BU59" s="227">
        <v>11943706</v>
      </c>
      <c r="BV59" s="228">
        <v>44420</v>
      </c>
      <c r="BW59" s="225">
        <v>9.4</v>
      </c>
      <c r="BX59" s="228">
        <v>44949</v>
      </c>
      <c r="BY59" s="226">
        <v>5</v>
      </c>
      <c r="BZ59" s="226"/>
      <c r="CA59" s="226"/>
      <c r="CB59" s="226"/>
      <c r="CC59" s="226"/>
      <c r="CD59" s="225">
        <v>150965314508</v>
      </c>
      <c r="CE59" s="225">
        <v>0</v>
      </c>
    </row>
    <row r="60" spans="1:83" ht="12.75" customHeight="1" thickBot="1" x14ac:dyDescent="0.3">
      <c r="A60" s="15" t="s">
        <v>20</v>
      </c>
      <c r="B60" s="15" t="s">
        <v>333</v>
      </c>
      <c r="C60" s="23" t="s">
        <v>480</v>
      </c>
      <c r="D60" s="41" t="s">
        <v>469</v>
      </c>
      <c r="E60" s="23" t="s">
        <v>163</v>
      </c>
      <c r="F60" s="23" t="s">
        <v>179</v>
      </c>
      <c r="G60" s="23">
        <v>2</v>
      </c>
      <c r="H60" s="23">
        <v>3</v>
      </c>
      <c r="I60" s="85" t="s">
        <v>559</v>
      </c>
      <c r="J60">
        <v>2005</v>
      </c>
      <c r="L60" s="5">
        <f>2021-J60</f>
        <v>16</v>
      </c>
      <c r="M60" s="109" t="e">
        <f>+#REF!-L60</f>
        <v>#REF!</v>
      </c>
      <c r="N60" s="23">
        <v>86</v>
      </c>
      <c r="O60" s="23">
        <v>1.72</v>
      </c>
      <c r="P60" s="24">
        <f>N60/(O60*O60)</f>
        <v>29.069767441860467</v>
      </c>
      <c r="Q60" s="24" t="s">
        <v>242</v>
      </c>
      <c r="R60" s="24" t="s">
        <v>486</v>
      </c>
      <c r="S60" s="23" t="s">
        <v>179</v>
      </c>
      <c r="T60" s="45" t="s">
        <v>242</v>
      </c>
      <c r="U60" s="23" t="s">
        <v>212</v>
      </c>
      <c r="V60" s="18">
        <v>44420</v>
      </c>
      <c r="W60" s="17">
        <v>9.8000000000000007</v>
      </c>
      <c r="X60" s="17" t="s">
        <v>476</v>
      </c>
      <c r="Y60" s="17" t="s">
        <v>584</v>
      </c>
      <c r="Z60" s="96" t="s">
        <v>506</v>
      </c>
      <c r="AA60" s="98" t="s">
        <v>569</v>
      </c>
      <c r="AB60" s="17">
        <v>2</v>
      </c>
      <c r="AC60" s="23" t="s">
        <v>244</v>
      </c>
      <c r="AD60" s="23" t="s">
        <v>642</v>
      </c>
      <c r="AE60" s="36">
        <v>50</v>
      </c>
      <c r="AF60" s="94">
        <v>14.66</v>
      </c>
      <c r="AG60" s="94">
        <f>+AE60*AF60</f>
        <v>733</v>
      </c>
      <c r="AH60" s="88">
        <f>+AG60/100.75</f>
        <v>7.2754342431761785</v>
      </c>
      <c r="AI60" s="25" t="s">
        <v>243</v>
      </c>
      <c r="AJ60" s="29">
        <v>30</v>
      </c>
      <c r="AK60" s="23" t="s">
        <v>247</v>
      </c>
      <c r="AL60" s="23">
        <v>1700</v>
      </c>
      <c r="AM60" s="91">
        <v>3.2199999999999999E-2</v>
      </c>
      <c r="AN60" s="91">
        <f>+AL60*AM60</f>
        <v>54.74</v>
      </c>
      <c r="AO60" s="92">
        <f>+AN60/100.75</f>
        <v>0.54332506203473951</v>
      </c>
      <c r="AP60" s="23" t="s">
        <v>243</v>
      </c>
      <c r="AQ60" s="23"/>
      <c r="AR60" s="87"/>
      <c r="AS60" s="87"/>
      <c r="AT60" s="88">
        <f>+AS60/100.75</f>
        <v>0</v>
      </c>
      <c r="AU60" s="23" t="s">
        <v>242</v>
      </c>
      <c r="AV60" s="44"/>
      <c r="AW60" s="23"/>
      <c r="AX60" s="23" t="s">
        <v>251</v>
      </c>
      <c r="AY60" s="23">
        <v>100</v>
      </c>
      <c r="AZ60" s="87">
        <v>1.84</v>
      </c>
      <c r="BA60" s="87">
        <f>+AY60*AZ60</f>
        <v>184</v>
      </c>
      <c r="BB60" s="88">
        <f>+BA60/100.75</f>
        <v>1.8263027295285359</v>
      </c>
      <c r="BC60" s="23" t="s">
        <v>243</v>
      </c>
      <c r="BD60" s="23"/>
      <c r="BE60" s="23"/>
      <c r="BI60" s="90">
        <f>+BH60/100.75</f>
        <v>0</v>
      </c>
      <c r="BJ60" s="26">
        <f>COUNTIF(AP60:BI60,"SI")</f>
        <v>2</v>
      </c>
      <c r="BK60" s="26">
        <v>1</v>
      </c>
      <c r="BL60" s="26" t="s">
        <v>850</v>
      </c>
      <c r="BM60" s="26">
        <v>140</v>
      </c>
      <c r="BN60" s="26">
        <v>90</v>
      </c>
      <c r="BO60" s="26">
        <v>109</v>
      </c>
      <c r="BP60" s="26">
        <v>1</v>
      </c>
      <c r="BQ60" s="26">
        <v>0</v>
      </c>
      <c r="BR60" s="224">
        <v>137</v>
      </c>
      <c r="BS60" s="225">
        <v>1</v>
      </c>
      <c r="BT60" s="230" t="s">
        <v>1143</v>
      </c>
      <c r="BU60" s="227">
        <v>5529426</v>
      </c>
      <c r="BV60" s="228">
        <v>44420</v>
      </c>
      <c r="BW60" s="225">
        <v>9.8000000000000007</v>
      </c>
      <c r="BX60" s="228">
        <v>45016</v>
      </c>
      <c r="BY60" s="226">
        <v>5</v>
      </c>
      <c r="BZ60" s="226"/>
      <c r="CA60" s="226"/>
      <c r="CB60" s="226"/>
      <c r="CC60" s="226"/>
      <c r="CD60" s="225">
        <v>140006520703</v>
      </c>
      <c r="CE60" s="225">
        <v>0</v>
      </c>
    </row>
    <row r="61" spans="1:83" ht="12.75" customHeight="1" thickBot="1" x14ac:dyDescent="0.3">
      <c r="A61" s="15" t="s">
        <v>20</v>
      </c>
      <c r="B61" s="15" t="s">
        <v>91</v>
      </c>
      <c r="C61" s="23" t="s">
        <v>480</v>
      </c>
      <c r="D61" s="41" t="s">
        <v>469</v>
      </c>
      <c r="E61" s="23" t="s">
        <v>164</v>
      </c>
      <c r="F61" s="23" t="s">
        <v>179</v>
      </c>
      <c r="G61" s="23">
        <v>2</v>
      </c>
      <c r="H61" s="23">
        <v>1</v>
      </c>
      <c r="I61" s="85" t="s">
        <v>557</v>
      </c>
      <c r="J61">
        <v>2017</v>
      </c>
      <c r="L61" s="5">
        <f>2021-J61</f>
        <v>4</v>
      </c>
      <c r="M61" s="109" t="e">
        <f>+#REF!-L61</f>
        <v>#REF!</v>
      </c>
      <c r="N61" s="23">
        <v>108</v>
      </c>
      <c r="O61" s="23">
        <v>1.61</v>
      </c>
      <c r="P61" s="24">
        <f>N61/(O61*O61)</f>
        <v>41.665059218394347</v>
      </c>
      <c r="Q61" s="24" t="s">
        <v>242</v>
      </c>
      <c r="R61" s="24" t="s">
        <v>487</v>
      </c>
      <c r="S61" s="23" t="s">
        <v>177</v>
      </c>
      <c r="T61" s="45" t="s">
        <v>242</v>
      </c>
      <c r="U61" s="23" t="s">
        <v>242</v>
      </c>
      <c r="V61" s="18">
        <v>44420</v>
      </c>
      <c r="W61" s="17">
        <v>12.6</v>
      </c>
      <c r="X61" s="17" t="s">
        <v>477</v>
      </c>
      <c r="Y61" s="17" t="s">
        <v>584</v>
      </c>
      <c r="Z61" s="96" t="s">
        <v>590</v>
      </c>
      <c r="AA61" s="98" t="s">
        <v>569</v>
      </c>
      <c r="AB61" s="17">
        <v>3</v>
      </c>
      <c r="AC61" s="23" t="s">
        <v>182</v>
      </c>
      <c r="AD61" s="23" t="s">
        <v>182</v>
      </c>
      <c r="AE61" s="36">
        <v>40</v>
      </c>
      <c r="AF61" s="94">
        <v>7.21</v>
      </c>
      <c r="AG61" s="94">
        <f>+AE61*AF61</f>
        <v>288.39999999999998</v>
      </c>
      <c r="AH61" s="88">
        <f>+AG61/100.75</f>
        <v>2.8625310173697267</v>
      </c>
      <c r="AI61" s="25" t="s">
        <v>242</v>
      </c>
      <c r="AJ61" s="23"/>
      <c r="AK61" s="44" t="s">
        <v>179</v>
      </c>
      <c r="AL61" s="23"/>
      <c r="AM61" s="91">
        <v>3.2199999999999999E-2</v>
      </c>
      <c r="AN61" s="91">
        <f>+AL61*AM61</f>
        <v>0</v>
      </c>
      <c r="AO61" s="92">
        <f>+AN61/100.75</f>
        <v>0</v>
      </c>
      <c r="AP61" s="23" t="s">
        <v>242</v>
      </c>
      <c r="AQ61" s="23" t="s">
        <v>254</v>
      </c>
      <c r="AR61" s="87">
        <v>1.069</v>
      </c>
      <c r="AS61" s="87">
        <f>+AV61*AR61</f>
        <v>64.14</v>
      </c>
      <c r="AT61" s="88">
        <f>+AS61/100.75</f>
        <v>0.63662531017369728</v>
      </c>
      <c r="AU61" s="23" t="s">
        <v>243</v>
      </c>
      <c r="AV61" s="23">
        <v>60</v>
      </c>
      <c r="AW61" s="23"/>
      <c r="AX61" s="44"/>
      <c r="AY61" s="44"/>
      <c r="AZ61" s="87"/>
      <c r="BA61" s="87"/>
      <c r="BB61" s="88">
        <f>+BA61/100.75</f>
        <v>0</v>
      </c>
      <c r="BC61" s="23" t="s">
        <v>242</v>
      </c>
      <c r="BD61" s="23"/>
      <c r="BE61" s="23"/>
      <c r="BI61" s="90">
        <f>+BH61/100.75</f>
        <v>0</v>
      </c>
      <c r="BJ61" s="26">
        <f>COUNTIF(AP61:BI61,"SI")</f>
        <v>1</v>
      </c>
      <c r="BK61" s="26">
        <v>1</v>
      </c>
      <c r="BL61" s="26" t="s">
        <v>851</v>
      </c>
      <c r="BM61" s="26">
        <v>130</v>
      </c>
      <c r="BN61" s="26">
        <v>70</v>
      </c>
      <c r="BO61" s="26">
        <v>137</v>
      </c>
      <c r="BP61" s="26">
        <v>0</v>
      </c>
      <c r="BQ61" s="26">
        <v>0</v>
      </c>
      <c r="BR61" s="224">
        <v>136</v>
      </c>
      <c r="BS61" s="225">
        <v>1</v>
      </c>
      <c r="BT61" s="230" t="s">
        <v>1141</v>
      </c>
      <c r="BU61" s="227">
        <v>5470835</v>
      </c>
      <c r="BV61" s="228">
        <v>44420</v>
      </c>
      <c r="BW61" s="225">
        <v>12.6</v>
      </c>
      <c r="BX61" s="226"/>
      <c r="BY61" s="226"/>
      <c r="BZ61" s="226"/>
      <c r="CA61" s="226"/>
      <c r="CB61" s="226"/>
      <c r="CC61" s="226"/>
      <c r="CD61" s="225">
        <v>150394603208</v>
      </c>
      <c r="CE61" s="225">
        <v>99</v>
      </c>
    </row>
    <row r="62" spans="1:83" ht="12.75" customHeight="1" thickBot="1" x14ac:dyDescent="0.3">
      <c r="A62" s="15" t="s">
        <v>20</v>
      </c>
      <c r="B62" s="15" t="s">
        <v>335</v>
      </c>
      <c r="C62" s="23" t="s">
        <v>480</v>
      </c>
      <c r="D62" s="41" t="s">
        <v>469</v>
      </c>
      <c r="E62" s="23" t="s">
        <v>163</v>
      </c>
      <c r="F62" s="23" t="s">
        <v>179</v>
      </c>
      <c r="G62" s="23">
        <v>2</v>
      </c>
      <c r="H62" s="23">
        <v>1</v>
      </c>
      <c r="I62" s="85" t="s">
        <v>557</v>
      </c>
      <c r="J62">
        <v>2015</v>
      </c>
      <c r="L62" s="5">
        <f t="shared" si="24"/>
        <v>6</v>
      </c>
      <c r="M62" s="109" t="e">
        <f>+#REF!-L62</f>
        <v>#REF!</v>
      </c>
      <c r="N62" s="23">
        <v>107.7</v>
      </c>
      <c r="O62" s="23">
        <v>1.67</v>
      </c>
      <c r="P62" s="24">
        <f t="shared" si="22"/>
        <v>38.617376026390332</v>
      </c>
      <c r="Q62" s="24" t="s">
        <v>243</v>
      </c>
      <c r="R62" s="24" t="s">
        <v>487</v>
      </c>
      <c r="S62" s="23" t="s">
        <v>177</v>
      </c>
      <c r="T62" s="45" t="s">
        <v>242</v>
      </c>
      <c r="U62" s="23" t="s">
        <v>212</v>
      </c>
      <c r="V62" s="16">
        <v>44434</v>
      </c>
      <c r="W62" s="17">
        <v>8.4</v>
      </c>
      <c r="X62" s="17" t="s">
        <v>475</v>
      </c>
      <c r="Y62" s="17" t="s">
        <v>584</v>
      </c>
      <c r="Z62" s="96" t="s">
        <v>506</v>
      </c>
      <c r="AA62" s="98" t="s">
        <v>569</v>
      </c>
      <c r="AB62" s="17">
        <v>2</v>
      </c>
      <c r="AC62" s="23" t="s">
        <v>182</v>
      </c>
      <c r="AD62" s="23" t="s">
        <v>182</v>
      </c>
      <c r="AE62" s="37">
        <v>60</v>
      </c>
      <c r="AF62" s="94">
        <v>7.21</v>
      </c>
      <c r="AG62" s="94">
        <f t="shared" si="19"/>
        <v>432.6</v>
      </c>
      <c r="AH62" s="88">
        <f t="shared" si="20"/>
        <v>4.2937965260545905</v>
      </c>
      <c r="AI62" s="25" t="s">
        <v>242</v>
      </c>
      <c r="AJ62" s="23"/>
      <c r="AK62" s="23" t="s">
        <v>247</v>
      </c>
      <c r="AL62" s="23">
        <v>850</v>
      </c>
      <c r="AM62" s="91">
        <v>3.2199999999999999E-2</v>
      </c>
      <c r="AN62" s="91">
        <f t="shared" si="14"/>
        <v>27.37</v>
      </c>
      <c r="AO62" s="92">
        <f t="shared" si="15"/>
        <v>0.27166253101736976</v>
      </c>
      <c r="AP62" s="23" t="s">
        <v>243</v>
      </c>
      <c r="AQ62" s="23"/>
      <c r="AR62" s="87"/>
      <c r="AS62" s="87"/>
      <c r="AT62" s="88">
        <f t="shared" si="16"/>
        <v>0</v>
      </c>
      <c r="AU62" s="23" t="s">
        <v>242</v>
      </c>
      <c r="AV62" s="44"/>
      <c r="AW62" s="23"/>
      <c r="AX62" s="44"/>
      <c r="AY62" s="44"/>
      <c r="AZ62" s="87"/>
      <c r="BA62" s="87"/>
      <c r="BB62" s="88">
        <f t="shared" si="17"/>
        <v>0</v>
      </c>
      <c r="BC62" s="23" t="s">
        <v>242</v>
      </c>
      <c r="BD62" s="23"/>
      <c r="BE62" s="23"/>
      <c r="BI62" s="90">
        <f t="shared" si="18"/>
        <v>0</v>
      </c>
      <c r="BJ62" s="26">
        <f t="shared" si="23"/>
        <v>1</v>
      </c>
      <c r="BK62" s="26">
        <v>1</v>
      </c>
      <c r="BL62" s="26" t="s">
        <v>850</v>
      </c>
      <c r="BM62" s="26">
        <v>130</v>
      </c>
      <c r="BN62" s="26">
        <v>80</v>
      </c>
      <c r="BO62" s="26">
        <v>126</v>
      </c>
      <c r="BP62" s="26">
        <v>0</v>
      </c>
      <c r="BQ62" s="26">
        <v>0</v>
      </c>
      <c r="BR62" s="224">
        <v>135</v>
      </c>
      <c r="BS62" s="225">
        <v>2</v>
      </c>
      <c r="BT62" s="230" t="s">
        <v>1139</v>
      </c>
      <c r="BU62" s="227">
        <v>6612837</v>
      </c>
      <c r="BV62" s="228">
        <v>44434</v>
      </c>
      <c r="BW62" s="225">
        <v>8.4</v>
      </c>
      <c r="BX62" s="228">
        <v>44911</v>
      </c>
      <c r="BY62" s="226">
        <v>5.4</v>
      </c>
      <c r="BZ62" s="226"/>
      <c r="CA62" s="226"/>
      <c r="CB62" s="226"/>
      <c r="CC62" s="226"/>
      <c r="CD62" s="225">
        <v>150712727904</v>
      </c>
      <c r="CE62" s="225">
        <v>0</v>
      </c>
    </row>
    <row r="63" spans="1:83" ht="12.75" customHeight="1" thickBot="1" x14ac:dyDescent="0.3">
      <c r="A63" s="15" t="s">
        <v>21</v>
      </c>
      <c r="B63" s="15" t="s">
        <v>336</v>
      </c>
      <c r="C63" s="23" t="s">
        <v>480</v>
      </c>
      <c r="D63" s="41" t="s">
        <v>469</v>
      </c>
      <c r="E63" s="23" t="s">
        <v>163</v>
      </c>
      <c r="F63" s="23" t="s">
        <v>179</v>
      </c>
      <c r="G63" s="23">
        <v>2</v>
      </c>
      <c r="H63" s="23">
        <v>1</v>
      </c>
      <c r="I63" s="85" t="s">
        <v>557</v>
      </c>
      <c r="J63">
        <v>1990</v>
      </c>
      <c r="L63" s="5">
        <f t="shared" si="24"/>
        <v>31</v>
      </c>
      <c r="M63" s="109" t="e">
        <f>+#REF!-L63</f>
        <v>#REF!</v>
      </c>
      <c r="N63" s="23">
        <v>99</v>
      </c>
      <c r="O63" s="23">
        <v>1.74</v>
      </c>
      <c r="P63" s="24">
        <f t="shared" si="22"/>
        <v>32.699167657550532</v>
      </c>
      <c r="Q63" s="24" t="s">
        <v>243</v>
      </c>
      <c r="R63" s="24" t="s">
        <v>487</v>
      </c>
      <c r="S63" s="23" t="s">
        <v>177</v>
      </c>
      <c r="T63" s="45" t="s">
        <v>242</v>
      </c>
      <c r="U63" s="23" t="s">
        <v>212</v>
      </c>
      <c r="V63" s="18">
        <v>44420</v>
      </c>
      <c r="W63" s="17">
        <v>8.6999999999999993</v>
      </c>
      <c r="X63" s="17" t="s">
        <v>475</v>
      </c>
      <c r="Y63" s="17" t="s">
        <v>584</v>
      </c>
      <c r="Z63" s="96" t="s">
        <v>506</v>
      </c>
      <c r="AA63" s="98" t="s">
        <v>569</v>
      </c>
      <c r="AB63" s="17">
        <v>2</v>
      </c>
      <c r="AC63" s="23" t="s">
        <v>245</v>
      </c>
      <c r="AD63" s="23" t="s">
        <v>642</v>
      </c>
      <c r="AE63" s="36">
        <v>48</v>
      </c>
      <c r="AF63" s="94">
        <v>15.6</v>
      </c>
      <c r="AG63" s="94">
        <f t="shared" si="19"/>
        <v>748.8</v>
      </c>
      <c r="AH63" s="88">
        <f t="shared" si="20"/>
        <v>7.4322580645161285</v>
      </c>
      <c r="AI63" s="25" t="s">
        <v>243</v>
      </c>
      <c r="AJ63" s="23" t="s">
        <v>463</v>
      </c>
      <c r="AK63" s="23" t="s">
        <v>247</v>
      </c>
      <c r="AL63" s="23">
        <v>2000</v>
      </c>
      <c r="AM63" s="91">
        <v>3.2199999999999999E-2</v>
      </c>
      <c r="AN63" s="91">
        <f t="shared" si="14"/>
        <v>64.400000000000006</v>
      </c>
      <c r="AO63" s="92">
        <f t="shared" si="15"/>
        <v>0.6392059553349877</v>
      </c>
      <c r="AP63" s="23" t="s">
        <v>243</v>
      </c>
      <c r="AQ63" s="23"/>
      <c r="AR63" s="87"/>
      <c r="AS63" s="87"/>
      <c r="AT63" s="88">
        <f t="shared" si="16"/>
        <v>0</v>
      </c>
      <c r="AU63" s="23" t="s">
        <v>242</v>
      </c>
      <c r="AV63" s="44"/>
      <c r="AW63" s="23"/>
      <c r="AX63" s="44"/>
      <c r="AY63" s="44"/>
      <c r="AZ63" s="87"/>
      <c r="BA63" s="87"/>
      <c r="BB63" s="88">
        <f t="shared" si="17"/>
        <v>0</v>
      </c>
      <c r="BC63" s="23" t="s">
        <v>242</v>
      </c>
      <c r="BD63" s="23"/>
      <c r="BE63" s="23"/>
      <c r="BI63" s="90">
        <f t="shared" si="18"/>
        <v>0</v>
      </c>
      <c r="BJ63" s="26">
        <f t="shared" si="23"/>
        <v>1</v>
      </c>
      <c r="BK63" s="26">
        <v>0</v>
      </c>
      <c r="BL63" s="26" t="s">
        <v>850</v>
      </c>
      <c r="BM63" s="26">
        <v>150</v>
      </c>
      <c r="BN63" s="26">
        <v>80</v>
      </c>
      <c r="BO63" s="26">
        <v>122</v>
      </c>
      <c r="BP63" s="26">
        <v>0</v>
      </c>
      <c r="BQ63" s="26">
        <v>0</v>
      </c>
      <c r="BR63" s="224">
        <v>139</v>
      </c>
      <c r="BS63" s="225">
        <v>1</v>
      </c>
      <c r="BT63" s="230" t="s">
        <v>1147</v>
      </c>
      <c r="BU63" s="227">
        <v>6612012</v>
      </c>
      <c r="BV63" s="228">
        <v>44420</v>
      </c>
      <c r="BW63" s="225">
        <v>8.6999999999999993</v>
      </c>
      <c r="BX63" s="228">
        <v>45014</v>
      </c>
      <c r="BY63" s="226">
        <v>5</v>
      </c>
      <c r="BZ63" s="226"/>
      <c r="CA63" s="226"/>
      <c r="CB63" s="226"/>
      <c r="CC63" s="226"/>
      <c r="CD63" s="225">
        <v>150510874500</v>
      </c>
      <c r="CE63" s="225">
        <v>0</v>
      </c>
    </row>
    <row r="64" spans="1:83" ht="12.75" customHeight="1" thickBot="1" x14ac:dyDescent="0.3">
      <c r="A64" s="15" t="s">
        <v>21</v>
      </c>
      <c r="B64" s="15" t="s">
        <v>109</v>
      </c>
      <c r="C64" s="23" t="s">
        <v>479</v>
      </c>
      <c r="D64" s="41" t="s">
        <v>469</v>
      </c>
      <c r="E64" s="23" t="s">
        <v>164</v>
      </c>
      <c r="F64" s="23" t="s">
        <v>243</v>
      </c>
      <c r="G64" s="23">
        <v>3</v>
      </c>
      <c r="H64" s="23">
        <v>1</v>
      </c>
      <c r="I64" s="85" t="s">
        <v>557</v>
      </c>
      <c r="J64">
        <v>2000</v>
      </c>
      <c r="L64" s="5">
        <f t="shared" si="24"/>
        <v>21</v>
      </c>
      <c r="M64" s="109" t="e">
        <f>+#REF!-L64</f>
        <v>#REF!</v>
      </c>
      <c r="N64" s="23">
        <v>74</v>
      </c>
      <c r="O64" s="23">
        <v>1.61</v>
      </c>
      <c r="P64" s="24">
        <f t="shared" si="22"/>
        <v>28.548281316307239</v>
      </c>
      <c r="Q64" s="24" t="s">
        <v>243</v>
      </c>
      <c r="R64" s="24" t="s">
        <v>486</v>
      </c>
      <c r="S64" s="23" t="s">
        <v>243</v>
      </c>
      <c r="T64" s="45" t="s">
        <v>242</v>
      </c>
      <c r="U64" s="23" t="s">
        <v>212</v>
      </c>
      <c r="V64" s="16">
        <v>44378</v>
      </c>
      <c r="W64" s="15">
        <v>8.9</v>
      </c>
      <c r="X64" s="17" t="s">
        <v>475</v>
      </c>
      <c r="Y64" s="17" t="s">
        <v>584</v>
      </c>
      <c r="Z64" s="96" t="s">
        <v>506</v>
      </c>
      <c r="AA64" s="98" t="s">
        <v>569</v>
      </c>
      <c r="AB64" s="17">
        <v>2</v>
      </c>
      <c r="AC64" s="23" t="s">
        <v>245</v>
      </c>
      <c r="AD64" s="23" t="s">
        <v>642</v>
      </c>
      <c r="AE64" s="36">
        <v>14</v>
      </c>
      <c r="AF64" s="94">
        <v>15.6</v>
      </c>
      <c r="AG64" s="94">
        <f t="shared" si="19"/>
        <v>218.4</v>
      </c>
      <c r="AH64" s="88">
        <f t="shared" si="20"/>
        <v>2.1677419354838712</v>
      </c>
      <c r="AI64" s="25" t="s">
        <v>242</v>
      </c>
      <c r="AJ64" s="23"/>
      <c r="AK64" s="23" t="s">
        <v>247</v>
      </c>
      <c r="AL64" s="23">
        <v>1600</v>
      </c>
      <c r="AM64" s="91">
        <v>3.2199999999999999E-2</v>
      </c>
      <c r="AN64" s="91">
        <f t="shared" si="14"/>
        <v>51.519999999999996</v>
      </c>
      <c r="AO64" s="92">
        <f t="shared" si="15"/>
        <v>0.51136476426799005</v>
      </c>
      <c r="AP64" s="23" t="s">
        <v>243</v>
      </c>
      <c r="AQ64" s="23" t="s">
        <v>246</v>
      </c>
      <c r="AR64" s="87">
        <v>13.41</v>
      </c>
      <c r="AS64" s="87">
        <f>+AR64*AV64</f>
        <v>26.82</v>
      </c>
      <c r="AT64" s="88">
        <f t="shared" si="16"/>
        <v>0.26620347394540944</v>
      </c>
      <c r="AU64" s="23" t="s">
        <v>243</v>
      </c>
      <c r="AV64" s="23">
        <v>2</v>
      </c>
      <c r="AW64" s="23"/>
      <c r="AX64" s="44"/>
      <c r="AY64" s="44"/>
      <c r="AZ64" s="87"/>
      <c r="BA64" s="87"/>
      <c r="BB64" s="88">
        <f t="shared" si="17"/>
        <v>0</v>
      </c>
      <c r="BC64" s="23" t="s">
        <v>242</v>
      </c>
      <c r="BD64" s="23"/>
      <c r="BE64" s="23"/>
      <c r="BI64" s="90">
        <f t="shared" si="18"/>
        <v>0</v>
      </c>
      <c r="BJ64" s="26">
        <f t="shared" si="23"/>
        <v>2</v>
      </c>
      <c r="BK64" s="26">
        <v>0</v>
      </c>
      <c r="BL64" s="26" t="s">
        <v>848</v>
      </c>
      <c r="BM64" s="26">
        <v>140</v>
      </c>
      <c r="BN64" s="26">
        <v>70</v>
      </c>
      <c r="BO64" s="26">
        <v>107</v>
      </c>
      <c r="BP64" s="26">
        <v>0</v>
      </c>
      <c r="BQ64" s="26">
        <v>0</v>
      </c>
      <c r="BR64" s="224">
        <v>26</v>
      </c>
      <c r="BS64" s="225">
        <v>2</v>
      </c>
      <c r="BT64" s="230" t="s">
        <v>920</v>
      </c>
      <c r="BU64" s="227">
        <v>11743115</v>
      </c>
      <c r="BV64" s="228">
        <v>44378</v>
      </c>
      <c r="BW64" s="225">
        <v>8.9</v>
      </c>
      <c r="BX64" s="228">
        <v>44907</v>
      </c>
      <c r="BY64" s="226">
        <v>5.8</v>
      </c>
      <c r="BZ64" s="226"/>
      <c r="CA64" s="226"/>
      <c r="CB64" s="226"/>
      <c r="CC64" s="226"/>
      <c r="CD64" s="225">
        <v>155544834701</v>
      </c>
      <c r="CE64" s="225">
        <v>0</v>
      </c>
    </row>
    <row r="65" spans="1:83" ht="12.75" customHeight="1" thickBot="1" x14ac:dyDescent="0.3">
      <c r="A65" s="15" t="s">
        <v>337</v>
      </c>
      <c r="B65" s="15" t="s">
        <v>286</v>
      </c>
      <c r="C65" s="23" t="s">
        <v>480</v>
      </c>
      <c r="D65" s="41" t="s">
        <v>469</v>
      </c>
      <c r="E65" s="23" t="s">
        <v>163</v>
      </c>
      <c r="F65" s="23" t="s">
        <v>179</v>
      </c>
      <c r="G65" s="23">
        <v>3</v>
      </c>
      <c r="H65" s="23">
        <v>1</v>
      </c>
      <c r="I65" s="85" t="s">
        <v>557</v>
      </c>
      <c r="J65">
        <v>2016</v>
      </c>
      <c r="L65" s="5">
        <f t="shared" si="24"/>
        <v>5</v>
      </c>
      <c r="M65" s="109" t="e">
        <f>+#REF!-L65</f>
        <v>#REF!</v>
      </c>
      <c r="N65" s="23">
        <v>142</v>
      </c>
      <c r="O65" s="23">
        <v>1.69</v>
      </c>
      <c r="P65" s="24">
        <f t="shared" ref="P65:P71" si="25">N65/(O65*O65)</f>
        <v>49.718147123700156</v>
      </c>
      <c r="Q65" s="24" t="s">
        <v>242</v>
      </c>
      <c r="R65" s="24" t="s">
        <v>487</v>
      </c>
      <c r="S65" s="23" t="s">
        <v>179</v>
      </c>
      <c r="T65" s="45" t="s">
        <v>242</v>
      </c>
      <c r="U65" s="23" t="s">
        <v>212</v>
      </c>
      <c r="V65" s="16">
        <v>44434</v>
      </c>
      <c r="W65" s="17">
        <v>11.2</v>
      </c>
      <c r="X65" s="17" t="s">
        <v>477</v>
      </c>
      <c r="Y65" s="17" t="s">
        <v>584</v>
      </c>
      <c r="Z65" s="96" t="s">
        <v>590</v>
      </c>
      <c r="AA65" s="98" t="s">
        <v>569</v>
      </c>
      <c r="AB65" s="17">
        <v>3</v>
      </c>
      <c r="AC65" s="23" t="s">
        <v>182</v>
      </c>
      <c r="AD65" s="23" t="s">
        <v>182</v>
      </c>
      <c r="AE65" s="36">
        <v>22</v>
      </c>
      <c r="AF65" s="94">
        <v>7.21</v>
      </c>
      <c r="AG65" s="94">
        <f t="shared" si="19"/>
        <v>158.62</v>
      </c>
      <c r="AH65" s="88">
        <f t="shared" si="20"/>
        <v>1.5743920595533498</v>
      </c>
      <c r="AI65" s="25" t="s">
        <v>243</v>
      </c>
      <c r="AJ65" s="23" t="s">
        <v>463</v>
      </c>
      <c r="AK65" s="23" t="s">
        <v>247</v>
      </c>
      <c r="AL65" s="23">
        <v>1700</v>
      </c>
      <c r="AM65" s="91">
        <v>3.2199999999999999E-2</v>
      </c>
      <c r="AN65" s="91">
        <f t="shared" si="14"/>
        <v>54.74</v>
      </c>
      <c r="AO65" s="92">
        <f t="shared" si="15"/>
        <v>0.54332506203473951</v>
      </c>
      <c r="AP65" s="23" t="s">
        <v>243</v>
      </c>
      <c r="AQ65" s="23"/>
      <c r="AR65" s="87"/>
      <c r="AS65" s="87"/>
      <c r="AT65" s="88">
        <f t="shared" si="16"/>
        <v>0</v>
      </c>
      <c r="AU65" s="23" t="s">
        <v>242</v>
      </c>
      <c r="AV65" s="44"/>
      <c r="AW65" s="23"/>
      <c r="AX65" s="23" t="s">
        <v>249</v>
      </c>
      <c r="AY65" s="23">
        <v>100</v>
      </c>
      <c r="AZ65" s="87">
        <v>5.4</v>
      </c>
      <c r="BA65" s="87">
        <f>+AY65*AZ65</f>
        <v>540</v>
      </c>
      <c r="BB65" s="88">
        <f t="shared" si="17"/>
        <v>5.3598014888337469</v>
      </c>
      <c r="BC65" s="23" t="s">
        <v>243</v>
      </c>
      <c r="BD65" s="23"/>
      <c r="BE65" s="23"/>
      <c r="BI65" s="90">
        <f t="shared" si="18"/>
        <v>0</v>
      </c>
      <c r="BJ65" s="26">
        <f t="shared" si="23"/>
        <v>2</v>
      </c>
      <c r="BK65" s="26">
        <v>1</v>
      </c>
      <c r="BL65" s="26" t="s">
        <v>850</v>
      </c>
      <c r="BM65" s="26">
        <v>130</v>
      </c>
      <c r="BN65" s="26">
        <v>70</v>
      </c>
      <c r="BO65" s="26">
        <v>141</v>
      </c>
      <c r="BP65" s="26">
        <v>0</v>
      </c>
      <c r="BQ65" s="26">
        <v>0</v>
      </c>
      <c r="BR65" s="224">
        <v>140</v>
      </c>
      <c r="BS65" s="225">
        <v>2</v>
      </c>
      <c r="BT65" s="230" t="s">
        <v>1149</v>
      </c>
      <c r="BU65" s="227">
        <v>8702948</v>
      </c>
      <c r="BV65" s="228">
        <v>44434</v>
      </c>
      <c r="BW65" s="225">
        <v>11.2</v>
      </c>
      <c r="BX65" s="226"/>
      <c r="BY65" s="226"/>
      <c r="BZ65" s="226"/>
      <c r="CA65" s="226"/>
      <c r="CB65" s="226"/>
      <c r="CC65" s="226"/>
      <c r="CD65" s="225">
        <v>150527575706</v>
      </c>
      <c r="CE65" s="225">
        <v>0</v>
      </c>
    </row>
    <row r="66" spans="1:83" ht="12.75" customHeight="1" thickBot="1" x14ac:dyDescent="0.3">
      <c r="A66" s="15" t="s">
        <v>338</v>
      </c>
      <c r="B66" s="15" t="s">
        <v>339</v>
      </c>
      <c r="C66" s="23" t="s">
        <v>480</v>
      </c>
      <c r="D66" s="41" t="s">
        <v>469</v>
      </c>
      <c r="E66" s="23" t="s">
        <v>163</v>
      </c>
      <c r="F66" s="23" t="s">
        <v>179</v>
      </c>
      <c r="G66" s="23">
        <v>2</v>
      </c>
      <c r="H66" s="23">
        <v>2</v>
      </c>
      <c r="I66" s="85" t="s">
        <v>558</v>
      </c>
      <c r="J66">
        <v>2006</v>
      </c>
      <c r="L66" s="5">
        <f t="shared" si="24"/>
        <v>15</v>
      </c>
      <c r="M66" s="109" t="e">
        <f>+#REF!-L66</f>
        <v>#REF!</v>
      </c>
      <c r="N66" s="23">
        <v>135.5</v>
      </c>
      <c r="O66" s="23">
        <v>1.71</v>
      </c>
      <c r="P66" s="24">
        <f t="shared" si="25"/>
        <v>46.339044492322429</v>
      </c>
      <c r="Q66" s="24" t="s">
        <v>242</v>
      </c>
      <c r="R66" s="24" t="s">
        <v>487</v>
      </c>
      <c r="S66" s="23" t="s">
        <v>177</v>
      </c>
      <c r="T66" s="45" t="s">
        <v>242</v>
      </c>
      <c r="U66" s="23" t="s">
        <v>212</v>
      </c>
      <c r="V66" s="16">
        <v>44420</v>
      </c>
      <c r="W66" s="15">
        <v>6.4</v>
      </c>
      <c r="X66" s="15" t="s">
        <v>474</v>
      </c>
      <c r="Y66" s="15" t="s">
        <v>582</v>
      </c>
      <c r="Z66" s="97" t="s">
        <v>505</v>
      </c>
      <c r="AA66" s="99" t="s">
        <v>566</v>
      </c>
      <c r="AB66" s="15">
        <v>1</v>
      </c>
      <c r="AC66" s="23" t="s">
        <v>182</v>
      </c>
      <c r="AD66" s="23" t="s">
        <v>182</v>
      </c>
      <c r="AE66" s="38">
        <v>54</v>
      </c>
      <c r="AF66" s="94">
        <v>7.21</v>
      </c>
      <c r="AG66" s="94">
        <f t="shared" si="19"/>
        <v>389.34</v>
      </c>
      <c r="AH66" s="88">
        <f t="shared" si="20"/>
        <v>3.8644168734491311</v>
      </c>
      <c r="AI66" s="25" t="s">
        <v>242</v>
      </c>
      <c r="AJ66" s="23"/>
      <c r="AK66" s="44" t="s">
        <v>179</v>
      </c>
      <c r="AL66" s="23"/>
      <c r="AM66" s="91">
        <v>3.2199999999999999E-2</v>
      </c>
      <c r="AN66" s="91">
        <f t="shared" ref="AN66:AN97" si="26">+AL66*AM66</f>
        <v>0</v>
      </c>
      <c r="AO66" s="92">
        <f t="shared" ref="AO66:AO97" si="27">+AN66/100.75</f>
        <v>0</v>
      </c>
      <c r="AP66" s="23" t="s">
        <v>242</v>
      </c>
      <c r="AQ66" s="23"/>
      <c r="AR66" s="87"/>
      <c r="AS66" s="87"/>
      <c r="AT66" s="88">
        <f t="shared" ref="AT66:AT97" si="28">+AS66/100.75</f>
        <v>0</v>
      </c>
      <c r="AU66" s="23" t="s">
        <v>242</v>
      </c>
      <c r="AV66" s="44"/>
      <c r="AW66" s="23"/>
      <c r="AX66" s="23" t="s">
        <v>465</v>
      </c>
      <c r="AY66" s="23">
        <v>5</v>
      </c>
      <c r="AZ66" s="87">
        <v>66.150000000000006</v>
      </c>
      <c r="BA66" s="87">
        <f>+AY66*AZ66</f>
        <v>330.75</v>
      </c>
      <c r="BB66" s="88">
        <f t="shared" ref="BB66:BB97" si="29">+BA66/100.75</f>
        <v>3.2828784119106698</v>
      </c>
      <c r="BC66" s="23" t="s">
        <v>243</v>
      </c>
      <c r="BD66" s="23"/>
      <c r="BE66" s="23"/>
      <c r="BI66" s="90">
        <f t="shared" ref="BI66:BI97" si="30">+BH66/100.75</f>
        <v>0</v>
      </c>
      <c r="BJ66" s="26">
        <f t="shared" si="23"/>
        <v>1</v>
      </c>
      <c r="BK66" s="26">
        <v>1</v>
      </c>
      <c r="BL66" s="26" t="s">
        <v>850</v>
      </c>
      <c r="BM66" s="26">
        <v>140</v>
      </c>
      <c r="BN66" s="26">
        <v>90</v>
      </c>
      <c r="BO66" s="26">
        <v>147</v>
      </c>
      <c r="BP66" s="26">
        <v>0</v>
      </c>
      <c r="BQ66" s="26">
        <v>0</v>
      </c>
      <c r="BR66" s="224">
        <v>141</v>
      </c>
      <c r="BS66" s="225">
        <v>2</v>
      </c>
      <c r="BT66" s="230" t="s">
        <v>1151</v>
      </c>
      <c r="BU66" s="227">
        <v>93172039</v>
      </c>
      <c r="BV66" s="228">
        <v>44420</v>
      </c>
      <c r="BW66" s="225">
        <v>6.4</v>
      </c>
      <c r="BX66" s="228">
        <v>45015</v>
      </c>
      <c r="BY66" s="226">
        <v>4.8</v>
      </c>
      <c r="BZ66" s="226"/>
      <c r="CA66" s="226"/>
      <c r="CB66" s="226"/>
      <c r="CC66" s="226"/>
      <c r="CD66" s="225">
        <v>150723871702</v>
      </c>
      <c r="CE66" s="225">
        <v>0</v>
      </c>
    </row>
    <row r="67" spans="1:83" ht="12.75" customHeight="1" thickBot="1" x14ac:dyDescent="0.3">
      <c r="A67" s="15" t="s">
        <v>57</v>
      </c>
      <c r="B67" s="15" t="s">
        <v>139</v>
      </c>
      <c r="C67" s="23" t="s">
        <v>480</v>
      </c>
      <c r="D67" s="41" t="s">
        <v>470</v>
      </c>
      <c r="E67" s="23" t="s">
        <v>163</v>
      </c>
      <c r="F67" s="23" t="s">
        <v>179</v>
      </c>
      <c r="G67" s="23">
        <v>4</v>
      </c>
      <c r="H67" s="23">
        <v>1</v>
      </c>
      <c r="I67" s="85" t="s">
        <v>557</v>
      </c>
      <c r="J67">
        <v>2006</v>
      </c>
      <c r="L67" s="5">
        <f t="shared" si="24"/>
        <v>15</v>
      </c>
      <c r="M67" s="109" t="e">
        <f>+#REF!-L67</f>
        <v>#REF!</v>
      </c>
      <c r="N67" s="23">
        <v>79.8</v>
      </c>
      <c r="O67" s="23">
        <v>1.81</v>
      </c>
      <c r="P67" s="24">
        <f t="shared" si="25"/>
        <v>24.358230823234944</v>
      </c>
      <c r="Q67" s="24" t="s">
        <v>242</v>
      </c>
      <c r="R67" s="24" t="s">
        <v>485</v>
      </c>
      <c r="S67" s="23" t="s">
        <v>177</v>
      </c>
      <c r="T67" s="45" t="s">
        <v>242</v>
      </c>
      <c r="U67" s="23"/>
      <c r="V67" s="16">
        <v>44420</v>
      </c>
      <c r="W67" s="17">
        <v>7.3</v>
      </c>
      <c r="X67" s="17" t="s">
        <v>475</v>
      </c>
      <c r="Y67" s="17" t="s">
        <v>583</v>
      </c>
      <c r="Z67" s="97" t="s">
        <v>505</v>
      </c>
      <c r="AA67" s="99" t="s">
        <v>567</v>
      </c>
      <c r="AB67" s="15">
        <v>1</v>
      </c>
      <c r="AC67" s="23" t="s">
        <v>245</v>
      </c>
      <c r="AD67" s="23" t="s">
        <v>642</v>
      </c>
      <c r="AE67" s="36">
        <v>36</v>
      </c>
      <c r="AF67" s="94">
        <v>15.6</v>
      </c>
      <c r="AG67" s="94">
        <f t="shared" ref="AG67:AG98" si="31">+AE67*AF67</f>
        <v>561.6</v>
      </c>
      <c r="AH67" s="88">
        <f t="shared" ref="AH67:AH98" si="32">+AG67/100.75</f>
        <v>5.5741935483870968</v>
      </c>
      <c r="AI67" s="25" t="s">
        <v>242</v>
      </c>
      <c r="AJ67" s="23"/>
      <c r="AK67" s="23" t="s">
        <v>247</v>
      </c>
      <c r="AL67" s="23">
        <v>1700</v>
      </c>
      <c r="AM67" s="91">
        <v>3.2199999999999999E-2</v>
      </c>
      <c r="AN67" s="91">
        <f t="shared" si="26"/>
        <v>54.74</v>
      </c>
      <c r="AO67" s="92">
        <f t="shared" si="27"/>
        <v>0.54332506203473951</v>
      </c>
      <c r="AP67" s="23" t="s">
        <v>243</v>
      </c>
      <c r="AQ67" s="23"/>
      <c r="AR67" s="87"/>
      <c r="AS67" s="87"/>
      <c r="AT67" s="88">
        <f t="shared" si="28"/>
        <v>0</v>
      </c>
      <c r="AU67" s="23" t="s">
        <v>242</v>
      </c>
      <c r="AV67" s="44"/>
      <c r="AW67" s="23"/>
      <c r="AX67" s="44"/>
      <c r="AY67" s="44"/>
      <c r="AZ67" s="87"/>
      <c r="BA67" s="87"/>
      <c r="BB67" s="88">
        <f t="shared" si="29"/>
        <v>0</v>
      </c>
      <c r="BC67" s="23" t="s">
        <v>242</v>
      </c>
      <c r="BD67" s="23"/>
      <c r="BE67" s="23"/>
      <c r="BI67" s="90">
        <f t="shared" si="30"/>
        <v>0</v>
      </c>
      <c r="BJ67" s="26">
        <f t="shared" si="23"/>
        <v>1</v>
      </c>
      <c r="BK67" s="26">
        <v>0</v>
      </c>
      <c r="BL67" s="26" t="s">
        <v>850</v>
      </c>
      <c r="BM67" s="26">
        <v>120</v>
      </c>
      <c r="BN67" s="26">
        <v>60</v>
      </c>
      <c r="BO67" s="26">
        <v>103</v>
      </c>
      <c r="BP67" s="26">
        <v>0</v>
      </c>
      <c r="BQ67" s="26">
        <v>0</v>
      </c>
      <c r="BR67" s="224">
        <v>142</v>
      </c>
      <c r="BS67" s="225">
        <v>2</v>
      </c>
      <c r="BT67" s="230" t="s">
        <v>1153</v>
      </c>
      <c r="BU67" s="227">
        <v>5334980</v>
      </c>
      <c r="BV67" s="228">
        <v>44420</v>
      </c>
      <c r="BW67" s="225">
        <v>7.3</v>
      </c>
      <c r="BX67" s="228">
        <v>44909</v>
      </c>
      <c r="BY67" s="226">
        <v>5.7</v>
      </c>
      <c r="BZ67" s="226"/>
      <c r="CA67" s="226"/>
      <c r="CB67" s="226"/>
      <c r="CC67" s="226"/>
      <c r="CD67" s="225">
        <v>150402321207</v>
      </c>
      <c r="CE67" s="225">
        <v>0</v>
      </c>
    </row>
    <row r="68" spans="1:83" ht="12.75" customHeight="1" thickBot="1" x14ac:dyDescent="0.3">
      <c r="A68" s="15" t="s">
        <v>112</v>
      </c>
      <c r="B68" s="15" t="s">
        <v>111</v>
      </c>
      <c r="C68" s="23" t="s">
        <v>479</v>
      </c>
      <c r="D68" s="41" t="s">
        <v>469</v>
      </c>
      <c r="E68" s="23" t="s">
        <v>163</v>
      </c>
      <c r="F68" s="23" t="s">
        <v>179</v>
      </c>
      <c r="G68" s="23">
        <v>2</v>
      </c>
      <c r="H68" s="23">
        <v>1</v>
      </c>
      <c r="I68" s="85" t="s">
        <v>557</v>
      </c>
      <c r="J68">
        <v>1985</v>
      </c>
      <c r="L68" s="5">
        <f t="shared" si="24"/>
        <v>36</v>
      </c>
      <c r="M68" s="109" t="e">
        <f>+#REF!-L68</f>
        <v>#REF!</v>
      </c>
      <c r="N68" s="23">
        <v>132</v>
      </c>
      <c r="O68" s="23">
        <v>1.9</v>
      </c>
      <c r="P68" s="24">
        <f t="shared" si="25"/>
        <v>36.56509695290859</v>
      </c>
      <c r="Q68" s="24" t="s">
        <v>242</v>
      </c>
      <c r="R68" s="24" t="s">
        <v>487</v>
      </c>
      <c r="S68" s="23" t="s">
        <v>179</v>
      </c>
      <c r="T68" s="45" t="s">
        <v>242</v>
      </c>
      <c r="U68" s="23" t="s">
        <v>212</v>
      </c>
      <c r="V68" s="16">
        <v>44403</v>
      </c>
      <c r="W68" s="17">
        <v>8</v>
      </c>
      <c r="X68" s="17" t="s">
        <v>475</v>
      </c>
      <c r="Y68" s="17" t="s">
        <v>583</v>
      </c>
      <c r="Z68" s="96" t="s">
        <v>506</v>
      </c>
      <c r="AA68" s="98" t="s">
        <v>568</v>
      </c>
      <c r="AB68" s="17">
        <v>2</v>
      </c>
      <c r="AC68" s="23" t="s">
        <v>244</v>
      </c>
      <c r="AD68" s="23" t="s">
        <v>642</v>
      </c>
      <c r="AE68" s="36">
        <v>40</v>
      </c>
      <c r="AF68" s="94">
        <v>14.66</v>
      </c>
      <c r="AG68" s="94">
        <f t="shared" si="31"/>
        <v>586.4</v>
      </c>
      <c r="AH68" s="88">
        <f t="shared" si="32"/>
        <v>5.820347394540943</v>
      </c>
      <c r="AI68" s="25" t="s">
        <v>243</v>
      </c>
      <c r="AJ68" s="23"/>
      <c r="AK68" s="23" t="s">
        <v>247</v>
      </c>
      <c r="AL68" s="23">
        <v>2000</v>
      </c>
      <c r="AM68" s="91">
        <v>3.2199999999999999E-2</v>
      </c>
      <c r="AN68" s="91">
        <f t="shared" si="26"/>
        <v>64.400000000000006</v>
      </c>
      <c r="AO68" s="92">
        <f t="shared" si="27"/>
        <v>0.6392059553349877</v>
      </c>
      <c r="AP68" s="23" t="s">
        <v>243</v>
      </c>
      <c r="AQ68" s="23"/>
      <c r="AR68" s="87"/>
      <c r="AS68" s="87"/>
      <c r="AT68" s="88">
        <f t="shared" si="28"/>
        <v>0</v>
      </c>
      <c r="AU68" s="23" t="s">
        <v>242</v>
      </c>
      <c r="AV68" s="44"/>
      <c r="AW68" s="23"/>
      <c r="AX68" s="44"/>
      <c r="AY68" s="44"/>
      <c r="AZ68" s="87"/>
      <c r="BA68" s="87"/>
      <c r="BB68" s="88">
        <f t="shared" si="29"/>
        <v>0</v>
      </c>
      <c r="BC68" s="23" t="s">
        <v>242</v>
      </c>
      <c r="BD68" s="23"/>
      <c r="BE68" s="23"/>
      <c r="BI68" s="90">
        <f t="shared" si="30"/>
        <v>0</v>
      </c>
      <c r="BJ68" s="26">
        <f t="shared" si="23"/>
        <v>1</v>
      </c>
      <c r="BK68" s="26">
        <v>1</v>
      </c>
      <c r="BL68" s="26" t="s">
        <v>850</v>
      </c>
      <c r="BM68" s="26">
        <v>149</v>
      </c>
      <c r="BN68" s="26">
        <v>88</v>
      </c>
      <c r="BO68" s="26">
        <v>137</v>
      </c>
      <c r="BP68" s="26">
        <v>0</v>
      </c>
      <c r="BQ68" s="26">
        <v>0</v>
      </c>
      <c r="BR68" s="224">
        <v>27</v>
      </c>
      <c r="BS68" s="225">
        <v>2</v>
      </c>
      <c r="BT68" s="230" t="s">
        <v>922</v>
      </c>
      <c r="BU68" s="227">
        <v>19034529</v>
      </c>
      <c r="BV68" s="228">
        <v>44403</v>
      </c>
      <c r="BW68" s="225">
        <v>8</v>
      </c>
      <c r="BX68" s="228">
        <v>44958</v>
      </c>
      <c r="BY68" s="230">
        <v>5.6</v>
      </c>
      <c r="BZ68" s="228">
        <v>45014</v>
      </c>
      <c r="CA68" s="225">
        <v>5</v>
      </c>
      <c r="CB68" s="225">
        <v>5</v>
      </c>
      <c r="CC68" s="226"/>
      <c r="CD68" s="225">
        <v>150769549202</v>
      </c>
      <c r="CE68" s="225">
        <v>0</v>
      </c>
    </row>
    <row r="69" spans="1:83" ht="12.75" customHeight="1" thickBot="1" x14ac:dyDescent="0.3">
      <c r="A69" s="15" t="s">
        <v>340</v>
      </c>
      <c r="B69" s="15" t="s">
        <v>341</v>
      </c>
      <c r="C69" s="23" t="s">
        <v>479</v>
      </c>
      <c r="D69" s="41" t="s">
        <v>469</v>
      </c>
      <c r="E69" s="23" t="s">
        <v>163</v>
      </c>
      <c r="F69" s="23" t="s">
        <v>179</v>
      </c>
      <c r="G69" s="23">
        <v>3</v>
      </c>
      <c r="H69" s="23">
        <v>2</v>
      </c>
      <c r="I69" s="85" t="s">
        <v>558</v>
      </c>
      <c r="J69">
        <v>2014</v>
      </c>
      <c r="L69" s="5">
        <f t="shared" si="24"/>
        <v>7</v>
      </c>
      <c r="M69" s="109" t="e">
        <f>+#REF!-L69</f>
        <v>#REF!</v>
      </c>
      <c r="N69" s="23">
        <v>68</v>
      </c>
      <c r="O69" s="23">
        <v>1.7</v>
      </c>
      <c r="P69" s="24">
        <f t="shared" si="25"/>
        <v>23.529411764705884</v>
      </c>
      <c r="Q69" s="24" t="s">
        <v>242</v>
      </c>
      <c r="R69" s="24" t="s">
        <v>485</v>
      </c>
      <c r="S69" s="23" t="s">
        <v>179</v>
      </c>
      <c r="T69" s="45" t="s">
        <v>242</v>
      </c>
      <c r="U69" s="23" t="s">
        <v>212</v>
      </c>
      <c r="V69" s="18">
        <v>44434</v>
      </c>
      <c r="W69" s="17">
        <v>10.3</v>
      </c>
      <c r="X69" s="17" t="s">
        <v>476</v>
      </c>
      <c r="Y69" s="17" t="s">
        <v>584</v>
      </c>
      <c r="Z69" s="96" t="s">
        <v>590</v>
      </c>
      <c r="AA69" s="98" t="s">
        <v>569</v>
      </c>
      <c r="AB69" s="17">
        <v>2</v>
      </c>
      <c r="AC69" s="23" t="s">
        <v>245</v>
      </c>
      <c r="AD69" s="23" t="s">
        <v>642</v>
      </c>
      <c r="AE69" s="36">
        <v>24</v>
      </c>
      <c r="AF69" s="94">
        <v>15.6</v>
      </c>
      <c r="AG69" s="94">
        <f t="shared" si="31"/>
        <v>374.4</v>
      </c>
      <c r="AH69" s="88">
        <f t="shared" si="32"/>
        <v>3.7161290322580642</v>
      </c>
      <c r="AI69" s="25" t="s">
        <v>243</v>
      </c>
      <c r="AJ69" s="23" t="s">
        <v>463</v>
      </c>
      <c r="AK69" s="23" t="s">
        <v>247</v>
      </c>
      <c r="AL69" s="23">
        <v>2000</v>
      </c>
      <c r="AM69" s="91">
        <v>3.2199999999999999E-2</v>
      </c>
      <c r="AN69" s="91">
        <f t="shared" si="26"/>
        <v>64.400000000000006</v>
      </c>
      <c r="AO69" s="92">
        <f t="shared" si="27"/>
        <v>0.6392059553349877</v>
      </c>
      <c r="AP69" s="23" t="s">
        <v>243</v>
      </c>
      <c r="AQ69" s="23"/>
      <c r="AR69" s="87"/>
      <c r="AS69" s="87"/>
      <c r="AT69" s="88">
        <f t="shared" si="28"/>
        <v>0</v>
      </c>
      <c r="AU69" s="23" t="s">
        <v>242</v>
      </c>
      <c r="AV69" s="44"/>
      <c r="AW69" s="23"/>
      <c r="AX69" s="23" t="s">
        <v>251</v>
      </c>
      <c r="AY69" s="23">
        <v>100</v>
      </c>
      <c r="AZ69" s="87">
        <v>1.84</v>
      </c>
      <c r="BA69" s="87">
        <f>+AY69*AZ69</f>
        <v>184</v>
      </c>
      <c r="BB69" s="88">
        <f t="shared" si="29"/>
        <v>1.8263027295285359</v>
      </c>
      <c r="BC69" s="23" t="s">
        <v>243</v>
      </c>
      <c r="BD69" s="23"/>
      <c r="BE69" s="23"/>
      <c r="BI69" s="90">
        <f t="shared" si="30"/>
        <v>0</v>
      </c>
      <c r="BJ69" s="26">
        <f t="shared" si="23"/>
        <v>2</v>
      </c>
      <c r="BK69" s="26">
        <v>1</v>
      </c>
      <c r="BL69" s="26" t="s">
        <v>850</v>
      </c>
      <c r="BM69" s="26">
        <v>100</v>
      </c>
      <c r="BN69" s="26">
        <v>70</v>
      </c>
      <c r="BO69" s="26">
        <v>98</v>
      </c>
      <c r="BP69" s="26">
        <v>0</v>
      </c>
      <c r="BQ69" s="26">
        <v>0</v>
      </c>
      <c r="BR69" s="224">
        <v>143</v>
      </c>
      <c r="BS69" s="225">
        <v>1</v>
      </c>
      <c r="BT69" s="230" t="s">
        <v>1155</v>
      </c>
      <c r="BU69" s="227">
        <v>92150459</v>
      </c>
      <c r="BV69" s="228">
        <v>44434</v>
      </c>
      <c r="BW69" s="225">
        <v>10.3</v>
      </c>
      <c r="BX69" s="228">
        <v>44951</v>
      </c>
      <c r="BY69" s="226">
        <v>7.4</v>
      </c>
      <c r="BZ69" s="226"/>
      <c r="CA69" s="226"/>
      <c r="CB69" s="226"/>
      <c r="CC69" s="226"/>
      <c r="CD69" s="225">
        <v>150488968801</v>
      </c>
      <c r="CE69" s="225">
        <v>0</v>
      </c>
    </row>
    <row r="70" spans="1:83" ht="12.75" customHeight="1" thickBot="1" x14ac:dyDescent="0.3">
      <c r="A70" s="15" t="s">
        <v>342</v>
      </c>
      <c r="B70" s="15" t="s">
        <v>343</v>
      </c>
      <c r="C70" s="23" t="s">
        <v>480</v>
      </c>
      <c r="D70" s="41" t="s">
        <v>469</v>
      </c>
      <c r="E70" s="23" t="s">
        <v>163</v>
      </c>
      <c r="F70" s="23" t="s">
        <v>179</v>
      </c>
      <c r="G70" s="23">
        <v>2</v>
      </c>
      <c r="H70" s="23">
        <v>4</v>
      </c>
      <c r="I70" s="85" t="s">
        <v>560</v>
      </c>
      <c r="J70">
        <v>2009</v>
      </c>
      <c r="L70" s="5">
        <f t="shared" si="24"/>
        <v>12</v>
      </c>
      <c r="M70" s="109" t="e">
        <f>+#REF!-L70</f>
        <v>#REF!</v>
      </c>
      <c r="N70" s="23">
        <v>84.5</v>
      </c>
      <c r="O70" s="23">
        <v>1.64</v>
      </c>
      <c r="P70" s="24">
        <f t="shared" si="25"/>
        <v>31.417311124330762</v>
      </c>
      <c r="Q70" s="24" t="s">
        <v>243</v>
      </c>
      <c r="R70" s="24" t="s">
        <v>487</v>
      </c>
      <c r="S70" s="23" t="s">
        <v>177</v>
      </c>
      <c r="T70" s="45" t="s">
        <v>243</v>
      </c>
      <c r="U70" s="23" t="s">
        <v>212</v>
      </c>
      <c r="V70" s="16">
        <v>44420</v>
      </c>
      <c r="W70" s="17">
        <v>10</v>
      </c>
      <c r="X70" s="17" t="s">
        <v>476</v>
      </c>
      <c r="Y70" s="17" t="s">
        <v>584</v>
      </c>
      <c r="Z70" s="96" t="s">
        <v>506</v>
      </c>
      <c r="AA70" s="98" t="s">
        <v>569</v>
      </c>
      <c r="AB70" s="17">
        <v>2</v>
      </c>
      <c r="AC70" s="23" t="s">
        <v>252</v>
      </c>
      <c r="AD70" s="23" t="s">
        <v>642</v>
      </c>
      <c r="AE70" s="36">
        <v>60</v>
      </c>
      <c r="AF70" s="94">
        <v>4.4400000000000004</v>
      </c>
      <c r="AG70" s="94">
        <f t="shared" si="31"/>
        <v>266.40000000000003</v>
      </c>
      <c r="AH70" s="88">
        <f t="shared" si="32"/>
        <v>2.6441687344913154</v>
      </c>
      <c r="AI70" s="25" t="s">
        <v>242</v>
      </c>
      <c r="AJ70" s="23"/>
      <c r="AK70" s="23" t="s">
        <v>247</v>
      </c>
      <c r="AL70" s="23">
        <v>2000</v>
      </c>
      <c r="AM70" s="91">
        <v>3.2199999999999999E-2</v>
      </c>
      <c r="AN70" s="91">
        <f t="shared" si="26"/>
        <v>64.400000000000006</v>
      </c>
      <c r="AO70" s="92">
        <f t="shared" si="27"/>
        <v>0.6392059553349877</v>
      </c>
      <c r="AP70" s="23" t="s">
        <v>243</v>
      </c>
      <c r="AQ70" s="23"/>
      <c r="AR70" s="87"/>
      <c r="AS70" s="87"/>
      <c r="AT70" s="88">
        <f t="shared" si="28"/>
        <v>0</v>
      </c>
      <c r="AU70" s="23" t="s">
        <v>242</v>
      </c>
      <c r="AV70" s="44"/>
      <c r="AW70" s="23"/>
      <c r="AX70" s="23" t="s">
        <v>251</v>
      </c>
      <c r="AY70" s="23">
        <v>100</v>
      </c>
      <c r="AZ70" s="87">
        <v>1.84</v>
      </c>
      <c r="BA70" s="87">
        <f>+AY70*AZ70</f>
        <v>184</v>
      </c>
      <c r="BB70" s="88">
        <f t="shared" si="29"/>
        <v>1.8263027295285359</v>
      </c>
      <c r="BC70" s="23" t="s">
        <v>243</v>
      </c>
      <c r="BD70" s="23"/>
      <c r="BE70" s="23"/>
      <c r="BI70" s="90">
        <f t="shared" si="30"/>
        <v>0</v>
      </c>
      <c r="BJ70" s="26">
        <f t="shared" si="23"/>
        <v>2</v>
      </c>
      <c r="BK70" s="26">
        <v>0</v>
      </c>
      <c r="BL70" s="26" t="s">
        <v>850</v>
      </c>
      <c r="BM70" s="26">
        <v>120</v>
      </c>
      <c r="BN70" s="26">
        <v>70</v>
      </c>
      <c r="BO70" s="26">
        <v>114</v>
      </c>
      <c r="BP70" s="26">
        <v>0</v>
      </c>
      <c r="BQ70" s="26">
        <v>0</v>
      </c>
      <c r="BR70" s="224">
        <v>144</v>
      </c>
      <c r="BS70" s="225">
        <v>2</v>
      </c>
      <c r="BT70" s="230" t="s">
        <v>1157</v>
      </c>
      <c r="BU70" s="227">
        <v>8707782</v>
      </c>
      <c r="BV70" s="228">
        <v>44420</v>
      </c>
      <c r="BW70" s="225">
        <v>10</v>
      </c>
      <c r="BX70" s="228">
        <v>44911</v>
      </c>
      <c r="BY70" s="226">
        <v>8.6999999999999993</v>
      </c>
      <c r="BZ70" s="226"/>
      <c r="CA70" s="226"/>
      <c r="CB70" s="226"/>
      <c r="CC70" s="226"/>
      <c r="CD70" s="225">
        <v>150620401807</v>
      </c>
      <c r="CE70" s="225">
        <v>0</v>
      </c>
    </row>
    <row r="71" spans="1:83" ht="12.75" customHeight="1" thickBot="1" x14ac:dyDescent="0.3">
      <c r="A71" s="15" t="s">
        <v>7</v>
      </c>
      <c r="B71" s="15" t="s">
        <v>81</v>
      </c>
      <c r="C71" s="23" t="s">
        <v>479</v>
      </c>
      <c r="D71" s="41" t="s">
        <v>469</v>
      </c>
      <c r="E71" s="23" t="s">
        <v>164</v>
      </c>
      <c r="F71" s="23" t="s">
        <v>179</v>
      </c>
      <c r="G71" s="23">
        <v>1</v>
      </c>
      <c r="H71" s="23">
        <v>1</v>
      </c>
      <c r="I71" s="85" t="s">
        <v>557</v>
      </c>
      <c r="J71">
        <v>1988</v>
      </c>
      <c r="L71" s="5">
        <f t="shared" si="24"/>
        <v>33</v>
      </c>
      <c r="M71" s="109" t="e">
        <f>+#REF!-L71</f>
        <v>#REF!</v>
      </c>
      <c r="N71" s="23">
        <v>103</v>
      </c>
      <c r="O71" s="23">
        <v>1.62</v>
      </c>
      <c r="P71" s="24">
        <f t="shared" si="25"/>
        <v>39.247065996037179</v>
      </c>
      <c r="Q71" s="24" t="s">
        <v>242</v>
      </c>
      <c r="R71" s="24" t="s">
        <v>487</v>
      </c>
      <c r="S71" s="23" t="s">
        <v>243</v>
      </c>
      <c r="T71" s="45" t="s">
        <v>242</v>
      </c>
      <c r="U71" s="23" t="s">
        <v>212</v>
      </c>
      <c r="V71" s="18">
        <v>44378</v>
      </c>
      <c r="W71" s="15">
        <v>4.5999999999999996</v>
      </c>
      <c r="X71" s="15" t="s">
        <v>474</v>
      </c>
      <c r="Y71" s="15" t="s">
        <v>582</v>
      </c>
      <c r="Z71" s="97" t="s">
        <v>505</v>
      </c>
      <c r="AA71" s="99" t="s">
        <v>566</v>
      </c>
      <c r="AB71" s="15">
        <v>1</v>
      </c>
      <c r="AC71" s="23" t="s">
        <v>250</v>
      </c>
      <c r="AD71" s="23" t="s">
        <v>642</v>
      </c>
      <c r="AE71" s="36">
        <v>50</v>
      </c>
      <c r="AF71" s="94">
        <v>13.54</v>
      </c>
      <c r="AG71" s="94">
        <f t="shared" si="31"/>
        <v>677</v>
      </c>
      <c r="AH71" s="88">
        <f t="shared" si="32"/>
        <v>6.7196029776674937</v>
      </c>
      <c r="AI71" s="25" t="s">
        <v>243</v>
      </c>
      <c r="AJ71" s="23">
        <v>8</v>
      </c>
      <c r="AK71" s="44" t="s">
        <v>179</v>
      </c>
      <c r="AL71" s="23"/>
      <c r="AM71" s="91">
        <v>3.2199999999999999E-2</v>
      </c>
      <c r="AN71" s="91">
        <f t="shared" si="26"/>
        <v>0</v>
      </c>
      <c r="AO71" s="92">
        <f t="shared" si="27"/>
        <v>0</v>
      </c>
      <c r="AP71" s="23" t="s">
        <v>242</v>
      </c>
      <c r="AQ71" s="23"/>
      <c r="AR71" s="87"/>
      <c r="AS71" s="87"/>
      <c r="AT71" s="88">
        <f t="shared" si="28"/>
        <v>0</v>
      </c>
      <c r="AU71" s="23" t="s">
        <v>242</v>
      </c>
      <c r="AV71" s="44"/>
      <c r="AW71" s="23"/>
      <c r="AX71" s="44"/>
      <c r="AY71" s="44"/>
      <c r="AZ71" s="87"/>
      <c r="BA71" s="87"/>
      <c r="BB71" s="88">
        <f t="shared" si="29"/>
        <v>0</v>
      </c>
      <c r="BC71" s="23" t="s">
        <v>242</v>
      </c>
      <c r="BD71" s="23"/>
      <c r="BE71" s="23"/>
      <c r="BI71" s="90">
        <f t="shared" si="30"/>
        <v>0</v>
      </c>
      <c r="BJ71" s="26">
        <f t="shared" si="23"/>
        <v>0</v>
      </c>
      <c r="BK71" s="26">
        <v>1</v>
      </c>
      <c r="BL71" s="26" t="s">
        <v>850</v>
      </c>
      <c r="BM71" s="26">
        <v>150</v>
      </c>
      <c r="BN71" s="26">
        <v>80</v>
      </c>
      <c r="BO71" s="26">
        <v>127</v>
      </c>
      <c r="BP71" s="26">
        <v>0</v>
      </c>
      <c r="BQ71" s="26">
        <v>0</v>
      </c>
      <c r="BR71" s="224">
        <v>28</v>
      </c>
      <c r="BS71" s="225">
        <v>1</v>
      </c>
      <c r="BT71" s="230" t="s">
        <v>924</v>
      </c>
      <c r="BU71" s="227">
        <v>10098982</v>
      </c>
      <c r="BV71" s="228">
        <v>44378</v>
      </c>
      <c r="BW71" s="225">
        <v>4.5999999999999996</v>
      </c>
      <c r="BX71" s="226"/>
      <c r="BY71" s="226"/>
      <c r="BZ71" s="226"/>
      <c r="CA71" s="226"/>
      <c r="CB71" s="226"/>
      <c r="CC71" s="226"/>
      <c r="CD71" s="225">
        <v>150456374109</v>
      </c>
      <c r="CE71" s="225">
        <v>0</v>
      </c>
    </row>
    <row r="72" spans="1:83" ht="12.75" customHeight="1" thickBot="1" x14ac:dyDescent="0.3">
      <c r="A72" s="15" t="s">
        <v>344</v>
      </c>
      <c r="B72" s="15" t="s">
        <v>345</v>
      </c>
      <c r="C72" s="23" t="s">
        <v>480</v>
      </c>
      <c r="D72" s="41" t="s">
        <v>470</v>
      </c>
      <c r="E72" s="23" t="s">
        <v>163</v>
      </c>
      <c r="F72" s="23" t="s">
        <v>179</v>
      </c>
      <c r="G72" s="23">
        <v>1</v>
      </c>
      <c r="H72" s="23">
        <v>1</v>
      </c>
      <c r="I72" s="85" t="s">
        <v>557</v>
      </c>
      <c r="J72">
        <v>2000</v>
      </c>
      <c r="L72" s="5">
        <f t="shared" si="24"/>
        <v>21</v>
      </c>
      <c r="M72" s="109" t="e">
        <f>+#REF!-L72</f>
        <v>#REF!</v>
      </c>
      <c r="N72" s="23">
        <v>86.5</v>
      </c>
      <c r="O72" s="23">
        <v>1.72</v>
      </c>
      <c r="P72" s="24">
        <f>N72/(O72*O72)</f>
        <v>29.238777717685238</v>
      </c>
      <c r="Q72" s="24" t="s">
        <v>242</v>
      </c>
      <c r="R72" s="24" t="s">
        <v>486</v>
      </c>
      <c r="S72" s="23" t="s">
        <v>179</v>
      </c>
      <c r="T72" s="45" t="s">
        <v>243</v>
      </c>
      <c r="U72" s="23">
        <v>90</v>
      </c>
      <c r="V72" s="18">
        <v>44420</v>
      </c>
      <c r="W72" s="17">
        <v>12.8</v>
      </c>
      <c r="X72" s="17" t="s">
        <v>477</v>
      </c>
      <c r="Y72" s="17" t="s">
        <v>584</v>
      </c>
      <c r="Z72" s="96" t="s">
        <v>590</v>
      </c>
      <c r="AA72" s="98" t="s">
        <v>569</v>
      </c>
      <c r="AB72" s="17">
        <v>3</v>
      </c>
      <c r="AC72" s="23" t="s">
        <v>182</v>
      </c>
      <c r="AD72" s="23" t="s">
        <v>182</v>
      </c>
      <c r="AE72" s="36">
        <v>35</v>
      </c>
      <c r="AF72" s="94">
        <v>7.21</v>
      </c>
      <c r="AG72" s="94">
        <f t="shared" si="31"/>
        <v>252.35</v>
      </c>
      <c r="AH72" s="88">
        <f t="shared" si="32"/>
        <v>2.504714640198511</v>
      </c>
      <c r="AI72" s="25" t="s">
        <v>243</v>
      </c>
      <c r="AJ72" s="23" t="s">
        <v>463</v>
      </c>
      <c r="AK72" s="44" t="s">
        <v>179</v>
      </c>
      <c r="AL72" s="23"/>
      <c r="AM72" s="91">
        <v>3.2199999999999999E-2</v>
      </c>
      <c r="AN72" s="91">
        <f t="shared" si="26"/>
        <v>0</v>
      </c>
      <c r="AO72" s="92">
        <f t="shared" si="27"/>
        <v>0</v>
      </c>
      <c r="AP72" s="23" t="s">
        <v>242</v>
      </c>
      <c r="AQ72" s="23"/>
      <c r="AR72" s="87"/>
      <c r="AS72" s="87"/>
      <c r="AT72" s="88">
        <f t="shared" si="28"/>
        <v>0</v>
      </c>
      <c r="AU72" s="23" t="s">
        <v>242</v>
      </c>
      <c r="AV72" s="44"/>
      <c r="AW72" s="23"/>
      <c r="AX72" s="44"/>
      <c r="AY72" s="44"/>
      <c r="AZ72" s="87"/>
      <c r="BA72" s="87"/>
      <c r="BB72" s="88">
        <f t="shared" si="29"/>
        <v>0</v>
      </c>
      <c r="BC72" s="23" t="s">
        <v>242</v>
      </c>
      <c r="BD72" s="23"/>
      <c r="BE72" s="23"/>
      <c r="BI72" s="90">
        <f t="shared" si="30"/>
        <v>0</v>
      </c>
      <c r="BJ72" s="26">
        <f t="shared" si="23"/>
        <v>0</v>
      </c>
      <c r="BK72" s="26">
        <v>1</v>
      </c>
      <c r="BL72" s="26" t="s">
        <v>850</v>
      </c>
      <c r="BM72" s="26">
        <v>120</v>
      </c>
      <c r="BN72" s="26">
        <v>80</v>
      </c>
      <c r="BO72" s="26">
        <v>104</v>
      </c>
      <c r="BP72" s="26">
        <v>0</v>
      </c>
      <c r="BQ72" s="26">
        <v>0</v>
      </c>
      <c r="BR72" s="224">
        <v>145</v>
      </c>
      <c r="BS72" s="225">
        <v>1</v>
      </c>
      <c r="BT72" s="230" t="s">
        <v>1159</v>
      </c>
      <c r="BU72" s="227">
        <v>8133987</v>
      </c>
      <c r="BV72" s="228">
        <v>44420</v>
      </c>
      <c r="BW72" s="225">
        <v>12.8</v>
      </c>
      <c r="BX72" s="228">
        <v>44949</v>
      </c>
      <c r="BY72" s="226">
        <v>12.4</v>
      </c>
      <c r="BZ72" s="226"/>
      <c r="CA72" s="226"/>
      <c r="CB72" s="226"/>
      <c r="CC72" s="226"/>
      <c r="CD72" s="225">
        <v>150479682204</v>
      </c>
      <c r="CE72" s="225">
        <v>0</v>
      </c>
    </row>
    <row r="73" spans="1:83" ht="12.75" customHeight="1" thickBot="1" x14ac:dyDescent="0.3">
      <c r="A73" s="15" t="s">
        <v>346</v>
      </c>
      <c r="B73" s="15" t="s">
        <v>347</v>
      </c>
      <c r="C73" s="23" t="s">
        <v>482</v>
      </c>
      <c r="D73" s="41" t="s">
        <v>470</v>
      </c>
      <c r="E73" s="23" t="s">
        <v>164</v>
      </c>
      <c r="F73" s="23" t="s">
        <v>179</v>
      </c>
      <c r="G73" s="23">
        <v>4</v>
      </c>
      <c r="H73" s="23">
        <v>2</v>
      </c>
      <c r="I73" s="85" t="s">
        <v>558</v>
      </c>
      <c r="J73">
        <f>2021-31</f>
        <v>1990</v>
      </c>
      <c r="L73" s="5">
        <v>31</v>
      </c>
      <c r="M73" s="109">
        <v>45</v>
      </c>
      <c r="N73" s="23">
        <v>82</v>
      </c>
      <c r="O73" s="23">
        <v>1.61</v>
      </c>
      <c r="P73" s="24">
        <f>N73/(O73*O73)</f>
        <v>31.634581999151262</v>
      </c>
      <c r="Q73" s="24" t="s">
        <v>242</v>
      </c>
      <c r="R73" s="24" t="s">
        <v>487</v>
      </c>
      <c r="S73" s="23" t="s">
        <v>177</v>
      </c>
      <c r="T73" s="45" t="s">
        <v>242</v>
      </c>
      <c r="U73" s="23" t="s">
        <v>212</v>
      </c>
      <c r="V73" s="18">
        <v>44420</v>
      </c>
      <c r="W73" s="17">
        <v>7.5</v>
      </c>
      <c r="X73" s="17" t="s">
        <v>475</v>
      </c>
      <c r="Y73" s="17" t="s">
        <v>583</v>
      </c>
      <c r="Z73" s="97" t="s">
        <v>505</v>
      </c>
      <c r="AA73" s="99" t="s">
        <v>567</v>
      </c>
      <c r="AB73" s="15">
        <v>1</v>
      </c>
      <c r="AC73" s="23" t="s">
        <v>182</v>
      </c>
      <c r="AD73" s="23" t="s">
        <v>182</v>
      </c>
      <c r="AE73" s="36">
        <v>20</v>
      </c>
      <c r="AF73" s="94">
        <v>7.21</v>
      </c>
      <c r="AG73" s="94">
        <f t="shared" si="31"/>
        <v>144.19999999999999</v>
      </c>
      <c r="AH73" s="88">
        <f t="shared" si="32"/>
        <v>1.4312655086848634</v>
      </c>
      <c r="AI73" s="25" t="s">
        <v>242</v>
      </c>
      <c r="AJ73" s="29"/>
      <c r="AK73" s="30" t="s">
        <v>247</v>
      </c>
      <c r="AL73" s="23">
        <v>2000</v>
      </c>
      <c r="AM73" s="91">
        <v>3.2199999999999999E-2</v>
      </c>
      <c r="AN73" s="91">
        <f t="shared" si="26"/>
        <v>64.400000000000006</v>
      </c>
      <c r="AO73" s="92">
        <f t="shared" si="27"/>
        <v>0.6392059553349877</v>
      </c>
      <c r="AP73" s="23" t="s">
        <v>243</v>
      </c>
      <c r="AQ73" s="23"/>
      <c r="AR73" s="87"/>
      <c r="AS73" s="87"/>
      <c r="AT73" s="88">
        <f t="shared" si="28"/>
        <v>0</v>
      </c>
      <c r="AU73" s="23" t="s">
        <v>242</v>
      </c>
      <c r="AV73" s="44"/>
      <c r="AW73" s="23"/>
      <c r="AX73" s="44"/>
      <c r="AY73" s="44"/>
      <c r="AZ73" s="87"/>
      <c r="BA73" s="87"/>
      <c r="BB73" s="88">
        <f t="shared" si="29"/>
        <v>0</v>
      </c>
      <c r="BC73" s="23" t="s">
        <v>242</v>
      </c>
      <c r="BD73" s="23"/>
      <c r="BE73" s="23"/>
      <c r="BI73" s="90">
        <f t="shared" si="30"/>
        <v>0</v>
      </c>
      <c r="BJ73" s="26">
        <f t="shared" si="23"/>
        <v>1</v>
      </c>
      <c r="BK73" s="26">
        <v>0</v>
      </c>
      <c r="BL73" s="26" t="s">
        <v>848</v>
      </c>
      <c r="BM73" s="26">
        <v>130</v>
      </c>
      <c r="BN73" s="26">
        <v>70</v>
      </c>
      <c r="BO73" s="26">
        <v>105</v>
      </c>
      <c r="BP73" s="26">
        <v>0</v>
      </c>
      <c r="BQ73" s="26">
        <v>0</v>
      </c>
      <c r="BR73" s="224">
        <v>146</v>
      </c>
      <c r="BS73" s="225">
        <v>1</v>
      </c>
      <c r="BT73" s="230" t="s">
        <v>1161</v>
      </c>
      <c r="BU73" s="227">
        <v>4925390</v>
      </c>
      <c r="BV73" s="228">
        <v>44420</v>
      </c>
      <c r="BW73" s="225">
        <v>7.5</v>
      </c>
      <c r="BX73" s="228">
        <v>44963</v>
      </c>
      <c r="BY73" s="230">
        <v>4.3</v>
      </c>
      <c r="BZ73" s="228">
        <v>45013</v>
      </c>
      <c r="CA73" s="225">
        <v>5.4</v>
      </c>
      <c r="CB73" s="225">
        <v>5.4</v>
      </c>
      <c r="CC73" s="226"/>
      <c r="CD73" s="225">
        <v>155491505902</v>
      </c>
      <c r="CE73" s="225">
        <v>0</v>
      </c>
    </row>
    <row r="74" spans="1:83" ht="12.75" customHeight="1" thickBot="1" x14ac:dyDescent="0.3">
      <c r="A74" s="15" t="s">
        <v>8</v>
      </c>
      <c r="B74" s="15" t="s">
        <v>113</v>
      </c>
      <c r="C74" s="23" t="s">
        <v>479</v>
      </c>
      <c r="D74" s="41" t="s">
        <v>469</v>
      </c>
      <c r="E74" s="23" t="s">
        <v>163</v>
      </c>
      <c r="F74" s="23" t="s">
        <v>179</v>
      </c>
      <c r="G74" s="23">
        <v>3</v>
      </c>
      <c r="H74" s="23">
        <v>1</v>
      </c>
      <c r="I74" s="85" t="s">
        <v>557</v>
      </c>
      <c r="J74">
        <v>2018</v>
      </c>
      <c r="L74" s="5">
        <f t="shared" ref="L74:L79" si="33">2021-J74</f>
        <v>3</v>
      </c>
      <c r="M74" s="109" t="e">
        <f>+#REF!-L74</f>
        <v>#REF!</v>
      </c>
      <c r="N74" s="23">
        <v>114</v>
      </c>
      <c r="O74" s="23">
        <v>1.66</v>
      </c>
      <c r="P74" s="24">
        <f>N74/(O74*O74)</f>
        <v>41.370300479024536</v>
      </c>
      <c r="Q74" s="24" t="s">
        <v>242</v>
      </c>
      <c r="R74" s="24" t="s">
        <v>487</v>
      </c>
      <c r="S74" s="23" t="s">
        <v>179</v>
      </c>
      <c r="T74" s="45" t="s">
        <v>242</v>
      </c>
      <c r="U74" s="23" t="s">
        <v>212</v>
      </c>
      <c r="V74" s="16">
        <v>44392</v>
      </c>
      <c r="W74" s="15">
        <v>8.6999999999999993</v>
      </c>
      <c r="X74" s="17" t="s">
        <v>475</v>
      </c>
      <c r="Y74" s="17" t="s">
        <v>584</v>
      </c>
      <c r="Z74" s="96" t="s">
        <v>506</v>
      </c>
      <c r="AA74" s="98" t="s">
        <v>569</v>
      </c>
      <c r="AB74" s="17">
        <v>2</v>
      </c>
      <c r="AC74" s="23" t="s">
        <v>245</v>
      </c>
      <c r="AD74" s="23" t="s">
        <v>642</v>
      </c>
      <c r="AE74" s="36">
        <v>16</v>
      </c>
      <c r="AF74" s="94">
        <v>15.6</v>
      </c>
      <c r="AG74" s="94">
        <f t="shared" si="31"/>
        <v>249.6</v>
      </c>
      <c r="AH74" s="88">
        <f t="shared" si="32"/>
        <v>2.4774193548387098</v>
      </c>
      <c r="AI74" s="25" t="s">
        <v>242</v>
      </c>
      <c r="AJ74" s="23"/>
      <c r="AK74" s="44" t="s">
        <v>179</v>
      </c>
      <c r="AL74" s="23"/>
      <c r="AM74" s="91">
        <v>3.2199999999999999E-2</v>
      </c>
      <c r="AN74" s="91">
        <f t="shared" si="26"/>
        <v>0</v>
      </c>
      <c r="AO74" s="92">
        <f t="shared" si="27"/>
        <v>0</v>
      </c>
      <c r="AP74" s="23" t="s">
        <v>242</v>
      </c>
      <c r="AQ74" s="23"/>
      <c r="AR74" s="87"/>
      <c r="AS74" s="87"/>
      <c r="AT74" s="88">
        <f t="shared" si="28"/>
        <v>0</v>
      </c>
      <c r="AU74" s="23" t="s">
        <v>242</v>
      </c>
      <c r="AV74" s="44"/>
      <c r="AW74" s="23"/>
      <c r="AX74" s="44"/>
      <c r="AY74" s="44"/>
      <c r="AZ74" s="87"/>
      <c r="BA74" s="87"/>
      <c r="BB74" s="88">
        <f t="shared" si="29"/>
        <v>0</v>
      </c>
      <c r="BC74" s="23" t="s">
        <v>242</v>
      </c>
      <c r="BD74" s="23"/>
      <c r="BE74" s="23"/>
      <c r="BI74" s="90">
        <f t="shared" si="30"/>
        <v>0</v>
      </c>
      <c r="BJ74" s="26">
        <f t="shared" si="23"/>
        <v>0</v>
      </c>
      <c r="BK74" s="26">
        <v>1</v>
      </c>
      <c r="BL74" s="26" t="s">
        <v>849</v>
      </c>
      <c r="BM74" s="26">
        <v>120</v>
      </c>
      <c r="BN74" s="26">
        <v>80</v>
      </c>
      <c r="BO74" s="26">
        <v>134</v>
      </c>
      <c r="BP74" s="26">
        <v>1</v>
      </c>
      <c r="BQ74" s="26">
        <v>0</v>
      </c>
      <c r="BR74" s="224">
        <v>30</v>
      </c>
      <c r="BS74" s="225">
        <v>2</v>
      </c>
      <c r="BT74" s="230" t="s">
        <v>928</v>
      </c>
      <c r="BU74" s="227">
        <v>10158397</v>
      </c>
      <c r="BV74" s="228">
        <v>44392</v>
      </c>
      <c r="BW74" s="225">
        <v>8.6999999999999993</v>
      </c>
      <c r="BX74" s="228">
        <v>44958</v>
      </c>
      <c r="BY74" s="230">
        <v>5.5</v>
      </c>
      <c r="BZ74" s="228">
        <v>45014</v>
      </c>
      <c r="CA74" s="225">
        <v>5.0999999999999996</v>
      </c>
      <c r="CB74" s="225">
        <v>5.0999999999999996</v>
      </c>
      <c r="CC74" s="226"/>
      <c r="CD74" s="225">
        <v>465903174802</v>
      </c>
      <c r="CE74" s="225">
        <v>0</v>
      </c>
    </row>
    <row r="75" spans="1:83" ht="12.75" customHeight="1" thickBot="1" x14ac:dyDescent="0.3">
      <c r="A75" s="15" t="s">
        <v>8</v>
      </c>
      <c r="B75" s="15" t="s">
        <v>95</v>
      </c>
      <c r="C75" s="23" t="s">
        <v>480</v>
      </c>
      <c r="D75" s="41" t="s">
        <v>469</v>
      </c>
      <c r="E75" s="23" t="s">
        <v>164</v>
      </c>
      <c r="F75" s="23" t="s">
        <v>177</v>
      </c>
      <c r="G75" s="23">
        <v>2</v>
      </c>
      <c r="H75" s="23">
        <v>1</v>
      </c>
      <c r="I75" s="85" t="s">
        <v>557</v>
      </c>
      <c r="J75">
        <v>2000</v>
      </c>
      <c r="L75" s="5">
        <f t="shared" si="33"/>
        <v>21</v>
      </c>
      <c r="M75" s="109" t="e">
        <f>+#REF!-L75</f>
        <v>#REF!</v>
      </c>
      <c r="N75" s="23">
        <v>109.8</v>
      </c>
      <c r="O75" s="23">
        <v>1.58</v>
      </c>
      <c r="P75" s="24">
        <f>N75/(O75*O75)</f>
        <v>43.98333600384553</v>
      </c>
      <c r="Q75" s="24" t="s">
        <v>242</v>
      </c>
      <c r="R75" s="24" t="s">
        <v>487</v>
      </c>
      <c r="S75" s="23" t="s">
        <v>177</v>
      </c>
      <c r="T75" s="45" t="s">
        <v>242</v>
      </c>
      <c r="U75" s="23" t="s">
        <v>212</v>
      </c>
      <c r="V75" s="18">
        <v>44434</v>
      </c>
      <c r="W75" s="17">
        <v>13.2</v>
      </c>
      <c r="X75" s="17" t="s">
        <v>477</v>
      </c>
      <c r="Y75" s="17" t="s">
        <v>584</v>
      </c>
      <c r="Z75" s="96" t="s">
        <v>590</v>
      </c>
      <c r="AA75" s="98" t="s">
        <v>569</v>
      </c>
      <c r="AB75" s="17">
        <v>3</v>
      </c>
      <c r="AC75" s="23" t="s">
        <v>182</v>
      </c>
      <c r="AD75" s="23" t="s">
        <v>182</v>
      </c>
      <c r="AE75" s="36">
        <v>40</v>
      </c>
      <c r="AF75" s="94">
        <v>7.21</v>
      </c>
      <c r="AG75" s="94">
        <f t="shared" si="31"/>
        <v>288.39999999999998</v>
      </c>
      <c r="AH75" s="88">
        <f t="shared" si="32"/>
        <v>2.8625310173697267</v>
      </c>
      <c r="AI75" s="25" t="s">
        <v>243</v>
      </c>
      <c r="AJ75" s="23" t="s">
        <v>463</v>
      </c>
      <c r="AK75" s="23" t="s">
        <v>247</v>
      </c>
      <c r="AL75" s="23">
        <v>750</v>
      </c>
      <c r="AM75" s="91">
        <v>3.2199999999999999E-2</v>
      </c>
      <c r="AN75" s="91">
        <f t="shared" si="26"/>
        <v>24.15</v>
      </c>
      <c r="AO75" s="92">
        <f t="shared" si="27"/>
        <v>0.23970223325062034</v>
      </c>
      <c r="AP75" s="23" t="s">
        <v>243</v>
      </c>
      <c r="AQ75" s="23"/>
      <c r="AR75" s="87"/>
      <c r="AS75" s="87"/>
      <c r="AT75" s="88">
        <f t="shared" si="28"/>
        <v>0</v>
      </c>
      <c r="AU75" s="23" t="s">
        <v>242</v>
      </c>
      <c r="AV75" s="44"/>
      <c r="AW75" s="23"/>
      <c r="AX75" s="44"/>
      <c r="AY75" s="44"/>
      <c r="AZ75" s="87"/>
      <c r="BA75" s="87"/>
      <c r="BB75" s="88">
        <f t="shared" si="29"/>
        <v>0</v>
      </c>
      <c r="BC75" s="23" t="s">
        <v>242</v>
      </c>
      <c r="BD75" s="23"/>
      <c r="BE75" s="23"/>
      <c r="BI75" s="90">
        <f t="shared" si="30"/>
        <v>0</v>
      </c>
      <c r="BJ75" s="26">
        <f t="shared" si="23"/>
        <v>1</v>
      </c>
      <c r="BK75" s="26">
        <v>1</v>
      </c>
      <c r="BL75" s="26" t="s">
        <v>848</v>
      </c>
      <c r="BM75" s="26">
        <v>110</v>
      </c>
      <c r="BN75" s="26">
        <v>80</v>
      </c>
      <c r="BO75" s="26">
        <v>140</v>
      </c>
      <c r="BP75" s="26">
        <v>0</v>
      </c>
      <c r="BQ75" s="26">
        <v>0</v>
      </c>
      <c r="BR75" s="224">
        <v>147</v>
      </c>
      <c r="BS75" s="225">
        <v>1</v>
      </c>
      <c r="BT75" s="230" t="s">
        <v>1163</v>
      </c>
      <c r="BU75" s="227">
        <v>6264560</v>
      </c>
      <c r="BV75" s="228">
        <v>44434</v>
      </c>
      <c r="BW75" s="225">
        <v>13.2</v>
      </c>
      <c r="BX75" s="228">
        <v>44951</v>
      </c>
      <c r="BY75" s="226">
        <v>7</v>
      </c>
      <c r="BZ75" s="226"/>
      <c r="CA75" s="226"/>
      <c r="CB75" s="226"/>
      <c r="CC75" s="226"/>
      <c r="CD75" s="225">
        <v>150482743206</v>
      </c>
      <c r="CE75" s="225">
        <v>0</v>
      </c>
    </row>
    <row r="76" spans="1:83" ht="12.75" customHeight="1" thickBot="1" x14ac:dyDescent="0.3">
      <c r="A76" s="15" t="s">
        <v>8</v>
      </c>
      <c r="B76" s="15" t="s">
        <v>140</v>
      </c>
      <c r="C76" s="23" t="s">
        <v>479</v>
      </c>
      <c r="D76" s="41" t="s">
        <v>469</v>
      </c>
      <c r="E76" s="23" t="s">
        <v>164</v>
      </c>
      <c r="F76" s="23" t="s">
        <v>179</v>
      </c>
      <c r="G76" s="23">
        <v>2</v>
      </c>
      <c r="H76" s="23">
        <v>1</v>
      </c>
      <c r="I76" s="85" t="s">
        <v>557</v>
      </c>
      <c r="J76">
        <v>2007</v>
      </c>
      <c r="L76" s="5">
        <f t="shared" si="33"/>
        <v>14</v>
      </c>
      <c r="M76" s="109" t="e">
        <f>+#REF!-L76</f>
        <v>#REF!</v>
      </c>
      <c r="N76" s="23">
        <v>83</v>
      </c>
      <c r="O76" s="23">
        <v>1.43</v>
      </c>
      <c r="P76" s="24">
        <f>N76/(O76*O76)</f>
        <v>40.588781847523109</v>
      </c>
      <c r="Q76" s="24" t="s">
        <v>242</v>
      </c>
      <c r="R76" s="24" t="s">
        <v>487</v>
      </c>
      <c r="S76" s="23" t="s">
        <v>177</v>
      </c>
      <c r="T76" s="45" t="s">
        <v>242</v>
      </c>
      <c r="U76" s="23" t="s">
        <v>212</v>
      </c>
      <c r="V76" s="16">
        <v>44420</v>
      </c>
      <c r="W76" s="17">
        <v>11.9</v>
      </c>
      <c r="X76" s="17" t="s">
        <v>477</v>
      </c>
      <c r="Y76" s="17" t="s">
        <v>584</v>
      </c>
      <c r="Z76" s="96" t="s">
        <v>590</v>
      </c>
      <c r="AA76" s="98" t="s">
        <v>569</v>
      </c>
      <c r="AB76" s="17">
        <v>3</v>
      </c>
      <c r="AC76" s="23" t="s">
        <v>182</v>
      </c>
      <c r="AD76" s="23" t="s">
        <v>182</v>
      </c>
      <c r="AE76" s="36">
        <v>26</v>
      </c>
      <c r="AF76" s="94">
        <v>7.21</v>
      </c>
      <c r="AG76" s="94">
        <f t="shared" si="31"/>
        <v>187.46</v>
      </c>
      <c r="AH76" s="88">
        <f t="shared" si="32"/>
        <v>1.8606451612903228</v>
      </c>
      <c r="AI76" s="25" t="s">
        <v>243</v>
      </c>
      <c r="AJ76" s="23" t="s">
        <v>463</v>
      </c>
      <c r="AK76" s="44" t="s">
        <v>179</v>
      </c>
      <c r="AL76" s="23"/>
      <c r="AM76" s="91">
        <v>3.2199999999999999E-2</v>
      </c>
      <c r="AN76" s="91">
        <f t="shared" si="26"/>
        <v>0</v>
      </c>
      <c r="AO76" s="92">
        <f t="shared" si="27"/>
        <v>0</v>
      </c>
      <c r="AP76" s="23" t="s">
        <v>242</v>
      </c>
      <c r="AQ76" s="23"/>
      <c r="AR76" s="87"/>
      <c r="AS76" s="87"/>
      <c r="AT76" s="88">
        <f t="shared" si="28"/>
        <v>0</v>
      </c>
      <c r="AU76" s="23" t="s">
        <v>242</v>
      </c>
      <c r="AV76" s="44"/>
      <c r="AW76" s="23"/>
      <c r="AX76" s="44"/>
      <c r="AY76" s="44"/>
      <c r="AZ76" s="87"/>
      <c r="BA76" s="87"/>
      <c r="BB76" s="88">
        <f t="shared" si="29"/>
        <v>0</v>
      </c>
      <c r="BC76" s="23" t="s">
        <v>242</v>
      </c>
      <c r="BD76" s="23"/>
      <c r="BE76" s="23"/>
      <c r="BI76" s="90">
        <f t="shared" si="30"/>
        <v>0</v>
      </c>
      <c r="BJ76" s="26">
        <f t="shared" si="23"/>
        <v>0</v>
      </c>
      <c r="BK76" s="26">
        <v>1</v>
      </c>
      <c r="BL76" s="26" t="s">
        <v>850</v>
      </c>
      <c r="BM76" s="26">
        <v>140</v>
      </c>
      <c r="BN76" s="26">
        <v>80</v>
      </c>
      <c r="BO76" s="26">
        <v>125</v>
      </c>
      <c r="BP76" s="26">
        <v>1</v>
      </c>
      <c r="BQ76" s="26">
        <v>1</v>
      </c>
      <c r="BR76" s="224">
        <v>148</v>
      </c>
      <c r="BS76" s="225">
        <v>2</v>
      </c>
      <c r="BT76" s="230" t="s">
        <v>1165</v>
      </c>
      <c r="BU76" s="227">
        <v>10528250</v>
      </c>
      <c r="BV76" s="228">
        <v>44420</v>
      </c>
      <c r="BW76" s="225">
        <v>11.9</v>
      </c>
      <c r="BX76" s="226"/>
      <c r="BY76" s="226"/>
      <c r="BZ76" s="226"/>
      <c r="CA76" s="226"/>
      <c r="CB76" s="226"/>
      <c r="CC76" s="226"/>
      <c r="CD76" s="225">
        <v>150638135001</v>
      </c>
      <c r="CE76" s="225">
        <v>0</v>
      </c>
    </row>
    <row r="77" spans="1:83" ht="12.75" customHeight="1" thickBot="1" x14ac:dyDescent="0.3">
      <c r="A77" s="15" t="s">
        <v>8</v>
      </c>
      <c r="B77" s="15" t="s">
        <v>82</v>
      </c>
      <c r="C77" s="23" t="s">
        <v>479</v>
      </c>
      <c r="D77" s="41" t="s">
        <v>469</v>
      </c>
      <c r="E77" s="23" t="s">
        <v>164</v>
      </c>
      <c r="F77" s="23" t="s">
        <v>242</v>
      </c>
      <c r="G77" s="23">
        <v>1</v>
      </c>
      <c r="H77" s="23">
        <v>1</v>
      </c>
      <c r="I77" s="85" t="s">
        <v>557</v>
      </c>
      <c r="J77">
        <v>2009</v>
      </c>
      <c r="L77" s="5">
        <f t="shared" si="33"/>
        <v>12</v>
      </c>
      <c r="M77" s="109" t="e">
        <f>+#REF!-L77</f>
        <v>#REF!</v>
      </c>
      <c r="N77" s="23">
        <v>56</v>
      </c>
      <c r="O77" s="23">
        <v>1.53</v>
      </c>
      <c r="P77" s="24">
        <v>23.9</v>
      </c>
      <c r="Q77" s="24" t="s">
        <v>242</v>
      </c>
      <c r="R77" s="24" t="s">
        <v>485</v>
      </c>
      <c r="S77" s="23" t="s">
        <v>242</v>
      </c>
      <c r="T77" s="45" t="s">
        <v>242</v>
      </c>
      <c r="U77" s="23" t="s">
        <v>631</v>
      </c>
      <c r="V77" s="18">
        <v>44378</v>
      </c>
      <c r="W77" s="15">
        <v>11.2</v>
      </c>
      <c r="X77" s="17" t="s">
        <v>477</v>
      </c>
      <c r="Y77" s="17" t="s">
        <v>584</v>
      </c>
      <c r="Z77" s="96" t="s">
        <v>590</v>
      </c>
      <c r="AA77" s="98" t="s">
        <v>569</v>
      </c>
      <c r="AB77" s="17">
        <v>3</v>
      </c>
      <c r="AC77" s="23" t="s">
        <v>182</v>
      </c>
      <c r="AD77" s="23" t="s">
        <v>182</v>
      </c>
      <c r="AE77" s="36">
        <v>34</v>
      </c>
      <c r="AF77" s="94">
        <v>7.21</v>
      </c>
      <c r="AG77" s="94">
        <f t="shared" si="31"/>
        <v>245.14</v>
      </c>
      <c r="AH77" s="88">
        <f t="shared" si="32"/>
        <v>2.4331513647642677</v>
      </c>
      <c r="AI77" s="25" t="s">
        <v>242</v>
      </c>
      <c r="AJ77" s="23"/>
      <c r="AK77" s="23" t="s">
        <v>247</v>
      </c>
      <c r="AL77" s="23">
        <v>1000</v>
      </c>
      <c r="AM77" s="91">
        <v>3.2199999999999999E-2</v>
      </c>
      <c r="AN77" s="91">
        <f t="shared" si="26"/>
        <v>32.200000000000003</v>
      </c>
      <c r="AO77" s="92">
        <f t="shared" si="27"/>
        <v>0.31960297766749385</v>
      </c>
      <c r="AP77" s="23" t="s">
        <v>243</v>
      </c>
      <c r="AQ77" s="23"/>
      <c r="AR77" s="87"/>
      <c r="AS77" s="87"/>
      <c r="AT77" s="88">
        <f t="shared" si="28"/>
        <v>0</v>
      </c>
      <c r="AU77" s="23" t="s">
        <v>242</v>
      </c>
      <c r="AV77" s="44"/>
      <c r="AW77" s="23"/>
      <c r="AX77" s="44"/>
      <c r="AY77" s="44"/>
      <c r="AZ77" s="87"/>
      <c r="BA77" s="87"/>
      <c r="BB77" s="88">
        <f t="shared" si="29"/>
        <v>0</v>
      </c>
      <c r="BC77" s="23" t="s">
        <v>242</v>
      </c>
      <c r="BD77" s="23"/>
      <c r="BE77" s="23"/>
      <c r="BI77" s="90">
        <f t="shared" si="30"/>
        <v>0</v>
      </c>
      <c r="BJ77" s="26">
        <f t="shared" si="23"/>
        <v>1</v>
      </c>
      <c r="BK77" s="26">
        <v>1</v>
      </c>
      <c r="BL77" s="26" t="s">
        <v>850</v>
      </c>
      <c r="BM77" s="26">
        <v>130</v>
      </c>
      <c r="BN77" s="26">
        <v>70</v>
      </c>
      <c r="BO77" s="26">
        <v>83</v>
      </c>
      <c r="BP77" s="26">
        <v>0</v>
      </c>
      <c r="BQ77" s="26">
        <v>0</v>
      </c>
      <c r="BR77" s="224">
        <v>29</v>
      </c>
      <c r="BS77" s="225">
        <v>1</v>
      </c>
      <c r="BT77" s="230" t="s">
        <v>926</v>
      </c>
      <c r="BU77" s="227">
        <v>6730633</v>
      </c>
      <c r="BV77" s="228">
        <v>44378</v>
      </c>
      <c r="BW77" s="225">
        <v>11.2</v>
      </c>
      <c r="BX77" s="226"/>
      <c r="BY77" s="226"/>
      <c r="BZ77" s="226"/>
      <c r="CA77" s="226"/>
      <c r="CB77" s="226"/>
      <c r="CC77" s="226"/>
      <c r="CD77" s="225">
        <v>150686231302</v>
      </c>
      <c r="CE77" s="225">
        <v>0</v>
      </c>
    </row>
    <row r="78" spans="1:83" ht="12.75" customHeight="1" thickBot="1" x14ac:dyDescent="0.3">
      <c r="A78" s="15" t="s">
        <v>22</v>
      </c>
      <c r="B78" s="15" t="s">
        <v>96</v>
      </c>
      <c r="C78" s="23" t="s">
        <v>479</v>
      </c>
      <c r="D78" s="41" t="s">
        <v>469</v>
      </c>
      <c r="E78" s="23" t="s">
        <v>164</v>
      </c>
      <c r="F78" s="23" t="s">
        <v>242</v>
      </c>
      <c r="G78" s="23">
        <v>1</v>
      </c>
      <c r="H78" s="23">
        <v>1</v>
      </c>
      <c r="I78" s="85" t="s">
        <v>557</v>
      </c>
      <c r="J78">
        <v>1990</v>
      </c>
      <c r="L78" s="5">
        <f t="shared" si="33"/>
        <v>31</v>
      </c>
      <c r="M78" s="109" t="e">
        <f>+#REF!-L78</f>
        <v>#REF!</v>
      </c>
      <c r="N78" s="23">
        <v>95</v>
      </c>
      <c r="O78" s="23">
        <v>1.61</v>
      </c>
      <c r="P78" s="24">
        <f t="shared" ref="P78:P88" si="34">N78/(O78*O78)</f>
        <v>36.649820608772806</v>
      </c>
      <c r="Q78" s="24" t="s">
        <v>242</v>
      </c>
      <c r="R78" s="24" t="s">
        <v>487</v>
      </c>
      <c r="S78" s="23" t="s">
        <v>243</v>
      </c>
      <c r="T78" s="45" t="s">
        <v>242</v>
      </c>
      <c r="U78" s="23" t="s">
        <v>212</v>
      </c>
      <c r="V78" s="18">
        <v>44420</v>
      </c>
      <c r="W78" s="17">
        <v>7.1</v>
      </c>
      <c r="X78" s="17" t="s">
        <v>475</v>
      </c>
      <c r="Y78" s="17" t="s">
        <v>583</v>
      </c>
      <c r="Z78" s="97" t="s">
        <v>505</v>
      </c>
      <c r="AA78" s="99" t="s">
        <v>567</v>
      </c>
      <c r="AB78" s="15">
        <v>1</v>
      </c>
      <c r="AC78" s="23" t="s">
        <v>244</v>
      </c>
      <c r="AD78" s="23" t="s">
        <v>642</v>
      </c>
      <c r="AE78" s="36">
        <v>35</v>
      </c>
      <c r="AF78" s="94">
        <v>14.66</v>
      </c>
      <c r="AG78" s="94">
        <f t="shared" si="31"/>
        <v>513.1</v>
      </c>
      <c r="AH78" s="88">
        <f t="shared" si="32"/>
        <v>5.0928039702233256</v>
      </c>
      <c r="AI78" s="25" t="s">
        <v>242</v>
      </c>
      <c r="AJ78" s="23"/>
      <c r="AK78" s="23" t="s">
        <v>247</v>
      </c>
      <c r="AL78" s="23">
        <v>1700</v>
      </c>
      <c r="AM78" s="91">
        <v>3.2199999999999999E-2</v>
      </c>
      <c r="AN78" s="91">
        <f t="shared" si="26"/>
        <v>54.74</v>
      </c>
      <c r="AO78" s="92">
        <f t="shared" si="27"/>
        <v>0.54332506203473951</v>
      </c>
      <c r="AP78" s="23" t="s">
        <v>243</v>
      </c>
      <c r="AQ78" s="23"/>
      <c r="AR78" s="87"/>
      <c r="AS78" s="87"/>
      <c r="AT78" s="88">
        <f t="shared" si="28"/>
        <v>0</v>
      </c>
      <c r="AU78" s="23" t="s">
        <v>242</v>
      </c>
      <c r="AV78" s="44"/>
      <c r="AW78" s="23"/>
      <c r="AX78" s="44"/>
      <c r="AY78" s="44"/>
      <c r="AZ78" s="87"/>
      <c r="BA78" s="87"/>
      <c r="BB78" s="88">
        <f t="shared" si="29"/>
        <v>0</v>
      </c>
      <c r="BC78" s="23" t="s">
        <v>242</v>
      </c>
      <c r="BD78" s="23"/>
      <c r="BE78" s="23"/>
      <c r="BI78" s="90">
        <f t="shared" si="30"/>
        <v>0</v>
      </c>
      <c r="BJ78" s="26">
        <f t="shared" si="23"/>
        <v>1</v>
      </c>
      <c r="BK78" s="26">
        <v>1</v>
      </c>
      <c r="BL78" s="26" t="s">
        <v>850</v>
      </c>
      <c r="BM78" s="26">
        <v>140</v>
      </c>
      <c r="BN78" s="26">
        <v>70</v>
      </c>
      <c r="BO78" s="26">
        <v>126</v>
      </c>
      <c r="BP78" s="26">
        <v>0</v>
      </c>
      <c r="BQ78" s="26">
        <v>0</v>
      </c>
      <c r="BR78" s="224">
        <v>149</v>
      </c>
      <c r="BS78" s="225">
        <v>1</v>
      </c>
      <c r="BT78" s="230" t="s">
        <v>1167</v>
      </c>
      <c r="BU78" s="227">
        <v>12234612</v>
      </c>
      <c r="BV78" s="228">
        <v>44420</v>
      </c>
      <c r="BW78" s="225">
        <v>7.1</v>
      </c>
      <c r="BX78" s="228">
        <v>44949</v>
      </c>
      <c r="BY78" s="226">
        <v>5.6</v>
      </c>
      <c r="BZ78" s="226"/>
      <c r="CA78" s="226"/>
      <c r="CB78" s="226"/>
      <c r="CC78" s="226"/>
      <c r="CD78" s="225">
        <v>150768620306</v>
      </c>
      <c r="CE78" s="225">
        <v>0</v>
      </c>
    </row>
    <row r="79" spans="1:83" ht="12.75" customHeight="1" thickBot="1" x14ac:dyDescent="0.3">
      <c r="A79" s="15" t="s">
        <v>348</v>
      </c>
      <c r="B79" s="15" t="s">
        <v>349</v>
      </c>
      <c r="C79" s="23" t="s">
        <v>482</v>
      </c>
      <c r="D79" s="41" t="s">
        <v>470</v>
      </c>
      <c r="E79" s="23" t="s">
        <v>164</v>
      </c>
      <c r="F79" s="23" t="s">
        <v>179</v>
      </c>
      <c r="G79" s="23">
        <v>2</v>
      </c>
      <c r="H79" s="23">
        <v>1</v>
      </c>
      <c r="I79" s="85" t="s">
        <v>557</v>
      </c>
      <c r="J79" s="111">
        <v>1979</v>
      </c>
      <c r="K79" s="111"/>
      <c r="L79" s="5">
        <f t="shared" si="33"/>
        <v>42</v>
      </c>
      <c r="M79" s="109" t="e">
        <f>+#REF!-L79</f>
        <v>#REF!</v>
      </c>
      <c r="N79" s="23">
        <v>88.1</v>
      </c>
      <c r="O79" s="23">
        <v>1.61</v>
      </c>
      <c r="P79" s="24">
        <f t="shared" si="34"/>
        <v>33.987886269819832</v>
      </c>
      <c r="Q79" s="24" t="s">
        <v>242</v>
      </c>
      <c r="R79" s="24" t="s">
        <v>487</v>
      </c>
      <c r="S79" s="23" t="s">
        <v>177</v>
      </c>
      <c r="T79" s="45" t="s">
        <v>243</v>
      </c>
      <c r="U79" s="23">
        <v>20</v>
      </c>
      <c r="V79" s="16">
        <v>44392</v>
      </c>
      <c r="W79" s="15">
        <v>8.4</v>
      </c>
      <c r="X79" s="17" t="s">
        <v>475</v>
      </c>
      <c r="Y79" s="17" t="s">
        <v>584</v>
      </c>
      <c r="Z79" s="96" t="s">
        <v>506</v>
      </c>
      <c r="AA79" s="98" t="s">
        <v>569</v>
      </c>
      <c r="AB79" s="17">
        <v>2</v>
      </c>
      <c r="AC79" s="23" t="s">
        <v>244</v>
      </c>
      <c r="AD79" s="23" t="s">
        <v>642</v>
      </c>
      <c r="AE79" s="36">
        <v>40</v>
      </c>
      <c r="AF79" s="94">
        <v>14.66</v>
      </c>
      <c r="AG79" s="94">
        <f t="shared" si="31"/>
        <v>586.4</v>
      </c>
      <c r="AH79" s="88">
        <f t="shared" si="32"/>
        <v>5.820347394540943</v>
      </c>
      <c r="AI79" s="25" t="s">
        <v>243</v>
      </c>
      <c r="AJ79" s="23" t="s">
        <v>463</v>
      </c>
      <c r="AK79" s="23" t="s">
        <v>247</v>
      </c>
      <c r="AL79" s="23">
        <v>2550</v>
      </c>
      <c r="AM79" s="91">
        <v>3.2199999999999999E-2</v>
      </c>
      <c r="AN79" s="91">
        <f t="shared" si="26"/>
        <v>82.11</v>
      </c>
      <c r="AO79" s="92">
        <f t="shared" si="27"/>
        <v>0.81498759305210922</v>
      </c>
      <c r="AP79" s="23" t="s">
        <v>243</v>
      </c>
      <c r="AQ79" s="23"/>
      <c r="AR79" s="87"/>
      <c r="AS79" s="87"/>
      <c r="AT79" s="88">
        <f t="shared" si="28"/>
        <v>0</v>
      </c>
      <c r="AU79" s="23" t="s">
        <v>242</v>
      </c>
      <c r="AV79" s="44"/>
      <c r="AW79" s="23"/>
      <c r="AX79" s="44"/>
      <c r="AY79" s="44"/>
      <c r="AZ79" s="87"/>
      <c r="BA79" s="87"/>
      <c r="BB79" s="88">
        <f t="shared" si="29"/>
        <v>0</v>
      </c>
      <c r="BC79" s="23" t="s">
        <v>242</v>
      </c>
      <c r="BD79" s="23"/>
      <c r="BE79" s="23"/>
      <c r="BI79" s="90">
        <f t="shared" si="30"/>
        <v>0</v>
      </c>
      <c r="BJ79" s="26">
        <f t="shared" si="23"/>
        <v>1</v>
      </c>
      <c r="BK79" s="26">
        <v>1</v>
      </c>
      <c r="BL79" s="26" t="s">
        <v>850</v>
      </c>
      <c r="BM79" s="26">
        <v>130</v>
      </c>
      <c r="BN79" s="26">
        <v>80</v>
      </c>
      <c r="BO79" s="26">
        <v>116</v>
      </c>
      <c r="BP79" s="26">
        <v>0</v>
      </c>
      <c r="BQ79" s="26">
        <v>0</v>
      </c>
      <c r="BR79" s="224">
        <v>31</v>
      </c>
      <c r="BS79" s="225">
        <v>2</v>
      </c>
      <c r="BT79" s="230" t="s">
        <v>930</v>
      </c>
      <c r="BU79" s="227">
        <v>5243647</v>
      </c>
      <c r="BV79" s="228">
        <v>44392</v>
      </c>
      <c r="BW79" s="225">
        <v>8.4</v>
      </c>
      <c r="BX79" s="228">
        <v>45007</v>
      </c>
      <c r="BY79" s="226">
        <v>7.2</v>
      </c>
      <c r="BZ79" s="226"/>
      <c r="CA79" s="226"/>
      <c r="CB79" s="226"/>
      <c r="CC79" s="226"/>
      <c r="CD79" s="225">
        <v>150365815206</v>
      </c>
      <c r="CE79" s="225">
        <v>0</v>
      </c>
    </row>
    <row r="80" spans="1:83" ht="12.75" customHeight="1" thickBot="1" x14ac:dyDescent="0.3">
      <c r="A80" s="15" t="s">
        <v>58</v>
      </c>
      <c r="B80" s="15" t="s">
        <v>141</v>
      </c>
      <c r="C80" s="23" t="s">
        <v>479</v>
      </c>
      <c r="D80" s="41" t="s">
        <v>469</v>
      </c>
      <c r="E80" s="23" t="s">
        <v>163</v>
      </c>
      <c r="F80" s="27" t="s">
        <v>483</v>
      </c>
      <c r="G80" s="23">
        <v>2</v>
      </c>
      <c r="H80" s="23">
        <v>1</v>
      </c>
      <c r="I80" s="85" t="s">
        <v>557</v>
      </c>
      <c r="L80" s="5"/>
      <c r="M80" s="109"/>
      <c r="N80" s="23">
        <v>80</v>
      </c>
      <c r="O80" s="23">
        <v>1.76</v>
      </c>
      <c r="P80" s="24">
        <f t="shared" si="34"/>
        <v>25.826446280991735</v>
      </c>
      <c r="Q80" s="24" t="s">
        <v>243</v>
      </c>
      <c r="R80" s="24" t="s">
        <v>486</v>
      </c>
      <c r="S80" s="23" t="s">
        <v>243</v>
      </c>
      <c r="T80" s="45" t="s">
        <v>242</v>
      </c>
      <c r="U80" s="23" t="s">
        <v>212</v>
      </c>
      <c r="V80" s="16">
        <v>44420</v>
      </c>
      <c r="W80" s="17">
        <v>12.8</v>
      </c>
      <c r="X80" s="17" t="s">
        <v>477</v>
      </c>
      <c r="Y80" s="17" t="s">
        <v>584</v>
      </c>
      <c r="Z80" s="96" t="s">
        <v>590</v>
      </c>
      <c r="AA80" s="98" t="s">
        <v>569</v>
      </c>
      <c r="AB80" s="17">
        <v>3</v>
      </c>
      <c r="AC80" s="33" t="s">
        <v>245</v>
      </c>
      <c r="AD80" s="23" t="s">
        <v>642</v>
      </c>
      <c r="AE80" s="36">
        <v>70</v>
      </c>
      <c r="AF80" s="94">
        <v>15.6</v>
      </c>
      <c r="AG80" s="94">
        <f t="shared" si="31"/>
        <v>1092</v>
      </c>
      <c r="AH80" s="88">
        <f t="shared" si="32"/>
        <v>10.838709677419354</v>
      </c>
      <c r="AI80" s="25" t="s">
        <v>242</v>
      </c>
      <c r="AJ80" s="23"/>
      <c r="AK80" s="44" t="s">
        <v>179</v>
      </c>
      <c r="AL80" s="23"/>
      <c r="AM80" s="91">
        <v>3.2199999999999999E-2</v>
      </c>
      <c r="AN80" s="91">
        <f t="shared" si="26"/>
        <v>0</v>
      </c>
      <c r="AO80" s="92">
        <f t="shared" si="27"/>
        <v>0</v>
      </c>
      <c r="AP80" s="23" t="s">
        <v>242</v>
      </c>
      <c r="AQ80" s="23"/>
      <c r="AR80" s="87"/>
      <c r="AS80" s="87"/>
      <c r="AT80" s="88">
        <f t="shared" si="28"/>
        <v>0</v>
      </c>
      <c r="AU80" s="23" t="s">
        <v>242</v>
      </c>
      <c r="AV80" s="44"/>
      <c r="AW80" s="23"/>
      <c r="AX80" s="30" t="s">
        <v>249</v>
      </c>
      <c r="AY80" s="30">
        <v>100</v>
      </c>
      <c r="AZ80" s="87">
        <v>5.4</v>
      </c>
      <c r="BA80" s="87">
        <v>540</v>
      </c>
      <c r="BB80" s="88">
        <f t="shared" si="29"/>
        <v>5.3598014888337469</v>
      </c>
      <c r="BC80" s="23" t="s">
        <v>243</v>
      </c>
      <c r="BD80" s="23"/>
      <c r="BE80" s="23"/>
      <c r="BI80" s="90">
        <f t="shared" si="30"/>
        <v>0</v>
      </c>
      <c r="BJ80" s="26">
        <f t="shared" si="23"/>
        <v>1</v>
      </c>
      <c r="BK80" s="26">
        <v>1</v>
      </c>
      <c r="BL80" s="26" t="s">
        <v>850</v>
      </c>
      <c r="BM80" s="26">
        <v>130</v>
      </c>
      <c r="BN80" s="26">
        <v>90</v>
      </c>
      <c r="BO80" s="26">
        <v>126</v>
      </c>
      <c r="BP80" s="26">
        <v>0</v>
      </c>
      <c r="BQ80" s="26">
        <v>0</v>
      </c>
      <c r="BR80" s="224">
        <v>150</v>
      </c>
      <c r="BS80" s="225">
        <v>2</v>
      </c>
      <c r="BT80" s="230" t="s">
        <v>1169</v>
      </c>
      <c r="BU80" s="227">
        <v>10455875</v>
      </c>
      <c r="BV80" s="228">
        <v>44420</v>
      </c>
      <c r="BW80" s="225">
        <v>12.8</v>
      </c>
      <c r="BX80" s="228">
        <v>44908</v>
      </c>
      <c r="BY80" s="226">
        <v>5.6</v>
      </c>
      <c r="BZ80" s="226"/>
      <c r="CA80" s="226"/>
      <c r="CB80" s="226"/>
      <c r="CC80" s="226"/>
      <c r="CD80" s="225">
        <v>150757004905</v>
      </c>
      <c r="CE80" s="225">
        <v>0</v>
      </c>
    </row>
    <row r="81" spans="1:83" ht="12.75" customHeight="1" thickBot="1" x14ac:dyDescent="0.3">
      <c r="A81" s="15" t="s">
        <v>23</v>
      </c>
      <c r="B81" s="15" t="s">
        <v>97</v>
      </c>
      <c r="C81" s="23" t="s">
        <v>479</v>
      </c>
      <c r="D81" s="41" t="s">
        <v>469</v>
      </c>
      <c r="E81" s="23" t="s">
        <v>163</v>
      </c>
      <c r="F81" s="23" t="s">
        <v>179</v>
      </c>
      <c r="G81" s="23">
        <v>3</v>
      </c>
      <c r="H81" s="23">
        <v>1</v>
      </c>
      <c r="I81" s="85" t="s">
        <v>557</v>
      </c>
      <c r="J81">
        <v>1982</v>
      </c>
      <c r="L81" s="5">
        <f>2021-J81</f>
        <v>39</v>
      </c>
      <c r="M81" s="109" t="e">
        <f>+#REF!-L81</f>
        <v>#REF!</v>
      </c>
      <c r="N81" s="23">
        <v>80.3</v>
      </c>
      <c r="O81" s="23">
        <v>1.62</v>
      </c>
      <c r="P81" s="24">
        <f t="shared" si="34"/>
        <v>30.597469897881414</v>
      </c>
      <c r="Q81" s="24" t="s">
        <v>242</v>
      </c>
      <c r="R81" s="24" t="s">
        <v>487</v>
      </c>
      <c r="S81" s="23" t="s">
        <v>177</v>
      </c>
      <c r="T81" s="45" t="s">
        <v>242</v>
      </c>
      <c r="U81" s="23" t="s">
        <v>212</v>
      </c>
      <c r="V81" s="18">
        <v>44441</v>
      </c>
      <c r="W81" s="17">
        <v>12.2</v>
      </c>
      <c r="X81" s="17" t="s">
        <v>477</v>
      </c>
      <c r="Y81" s="17" t="s">
        <v>584</v>
      </c>
      <c r="Z81" s="96" t="s">
        <v>590</v>
      </c>
      <c r="AA81" s="98" t="s">
        <v>569</v>
      </c>
      <c r="AB81" s="17">
        <v>3</v>
      </c>
      <c r="AC81" s="23" t="s">
        <v>182</v>
      </c>
      <c r="AD81" s="23" t="s">
        <v>182</v>
      </c>
      <c r="AE81" s="36">
        <v>64</v>
      </c>
      <c r="AF81" s="94">
        <v>7.21</v>
      </c>
      <c r="AG81" s="94">
        <f t="shared" si="31"/>
        <v>461.44</v>
      </c>
      <c r="AH81" s="88">
        <f t="shared" si="32"/>
        <v>4.5800496277915634</v>
      </c>
      <c r="AI81" s="25" t="s">
        <v>243</v>
      </c>
      <c r="AJ81" s="23" t="s">
        <v>463</v>
      </c>
      <c r="AK81" s="23" t="s">
        <v>247</v>
      </c>
      <c r="AL81" s="23">
        <v>1500</v>
      </c>
      <c r="AM81" s="91">
        <v>3.2199999999999999E-2</v>
      </c>
      <c r="AN81" s="91">
        <f t="shared" si="26"/>
        <v>48.3</v>
      </c>
      <c r="AO81" s="92">
        <f t="shared" si="27"/>
        <v>0.47940446650124069</v>
      </c>
      <c r="AP81" s="23" t="s">
        <v>243</v>
      </c>
      <c r="AQ81" s="23"/>
      <c r="AR81" s="87"/>
      <c r="AS81" s="87"/>
      <c r="AT81" s="88">
        <f t="shared" si="28"/>
        <v>0</v>
      </c>
      <c r="AU81" s="23" t="s">
        <v>242</v>
      </c>
      <c r="AV81" s="44"/>
      <c r="AW81" s="23"/>
      <c r="AX81" s="44"/>
      <c r="AY81" s="44"/>
      <c r="AZ81" s="87"/>
      <c r="BA81" s="87"/>
      <c r="BB81" s="88">
        <f t="shared" si="29"/>
        <v>0</v>
      </c>
      <c r="BC81" s="23" t="s">
        <v>242</v>
      </c>
      <c r="BD81" s="23"/>
      <c r="BE81" s="23"/>
      <c r="BI81" s="90">
        <f t="shared" si="30"/>
        <v>0</v>
      </c>
      <c r="BJ81" s="26">
        <f t="shared" si="23"/>
        <v>1</v>
      </c>
      <c r="BK81" s="26">
        <v>0</v>
      </c>
      <c r="BL81" s="26" t="s">
        <v>849</v>
      </c>
      <c r="BM81" s="26">
        <v>110</v>
      </c>
      <c r="BN81" s="26">
        <v>70</v>
      </c>
      <c r="BO81" s="26">
        <v>108.5</v>
      </c>
      <c r="BP81" s="26">
        <v>0</v>
      </c>
      <c r="BQ81" s="26">
        <v>0</v>
      </c>
      <c r="BR81" s="224">
        <v>151</v>
      </c>
      <c r="BS81" s="225">
        <v>1</v>
      </c>
      <c r="BT81" s="230" t="s">
        <v>1171</v>
      </c>
      <c r="BU81" s="227">
        <v>11259775</v>
      </c>
      <c r="BV81" s="228">
        <v>44441</v>
      </c>
      <c r="BW81" s="225">
        <v>12.2</v>
      </c>
      <c r="BX81" s="226"/>
      <c r="BY81" s="226"/>
      <c r="BZ81" s="226"/>
      <c r="CA81" s="226"/>
      <c r="CB81" s="226"/>
      <c r="CC81" s="226"/>
      <c r="CD81" s="225">
        <v>140021625402</v>
      </c>
      <c r="CE81" s="225">
        <v>0</v>
      </c>
    </row>
    <row r="82" spans="1:83" ht="12.75" customHeight="1" thickBot="1" x14ac:dyDescent="0.3">
      <c r="A82" s="15" t="s">
        <v>24</v>
      </c>
      <c r="B82" s="15" t="s">
        <v>114</v>
      </c>
      <c r="C82" s="23" t="s">
        <v>482</v>
      </c>
      <c r="D82" s="41" t="s">
        <v>470</v>
      </c>
      <c r="E82" s="23" t="s">
        <v>164</v>
      </c>
      <c r="F82" s="23" t="s">
        <v>243</v>
      </c>
      <c r="G82" s="23">
        <v>2</v>
      </c>
      <c r="H82" s="23">
        <v>2</v>
      </c>
      <c r="I82" s="85" t="s">
        <v>558</v>
      </c>
      <c r="J82">
        <v>2003</v>
      </c>
      <c r="L82" s="5">
        <f>2021-J82</f>
        <v>18</v>
      </c>
      <c r="M82" s="109" t="e">
        <f>+#REF!-L82</f>
        <v>#REF!</v>
      </c>
      <c r="N82" s="23">
        <v>82</v>
      </c>
      <c r="O82" s="23">
        <v>1.49</v>
      </c>
      <c r="P82" s="24">
        <f t="shared" si="34"/>
        <v>36.935273185892527</v>
      </c>
      <c r="Q82" s="24" t="s">
        <v>242</v>
      </c>
      <c r="R82" s="24" t="s">
        <v>487</v>
      </c>
      <c r="S82" s="23" t="s">
        <v>243</v>
      </c>
      <c r="T82" s="45" t="s">
        <v>242</v>
      </c>
      <c r="U82" s="23" t="s">
        <v>212</v>
      </c>
      <c r="V82" s="16">
        <v>44378</v>
      </c>
      <c r="W82" s="15">
        <v>5.6</v>
      </c>
      <c r="X82" s="15" t="s">
        <v>474</v>
      </c>
      <c r="Y82" s="15" t="s">
        <v>582</v>
      </c>
      <c r="Z82" s="97" t="s">
        <v>505</v>
      </c>
      <c r="AA82" s="99" t="s">
        <v>566</v>
      </c>
      <c r="AB82" s="15">
        <v>1</v>
      </c>
      <c r="AC82" s="23" t="s">
        <v>244</v>
      </c>
      <c r="AD82" s="23" t="s">
        <v>642</v>
      </c>
      <c r="AE82" s="36">
        <v>20</v>
      </c>
      <c r="AF82" s="94">
        <v>14.66</v>
      </c>
      <c r="AG82" s="94">
        <f t="shared" si="31"/>
        <v>293.2</v>
      </c>
      <c r="AH82" s="88">
        <f t="shared" si="32"/>
        <v>2.9101736972704715</v>
      </c>
      <c r="AI82" s="25" t="s">
        <v>243</v>
      </c>
      <c r="AJ82" s="23">
        <v>4</v>
      </c>
      <c r="AK82" s="23" t="s">
        <v>242</v>
      </c>
      <c r="AL82" s="23"/>
      <c r="AM82" s="91">
        <v>3.2199999999999999E-2</v>
      </c>
      <c r="AN82" s="91">
        <f t="shared" si="26"/>
        <v>0</v>
      </c>
      <c r="AO82" s="92">
        <f t="shared" si="27"/>
        <v>0</v>
      </c>
      <c r="AP82" s="23" t="s">
        <v>242</v>
      </c>
      <c r="AQ82" s="23"/>
      <c r="AR82" s="87"/>
      <c r="AS82" s="87"/>
      <c r="AT82" s="88">
        <f t="shared" si="28"/>
        <v>0</v>
      </c>
      <c r="AU82" s="23" t="s">
        <v>242</v>
      </c>
      <c r="AV82" s="44"/>
      <c r="AW82" s="23"/>
      <c r="AX82" s="44"/>
      <c r="AY82" s="44"/>
      <c r="AZ82" s="87"/>
      <c r="BA82" s="87"/>
      <c r="BB82" s="88">
        <f t="shared" si="29"/>
        <v>0</v>
      </c>
      <c r="BC82" s="23" t="s">
        <v>242</v>
      </c>
      <c r="BD82" s="23"/>
      <c r="BE82" s="23"/>
      <c r="BI82" s="90">
        <f t="shared" si="30"/>
        <v>0</v>
      </c>
      <c r="BJ82" s="26">
        <f t="shared" si="23"/>
        <v>0</v>
      </c>
      <c r="BK82" s="26">
        <v>1</v>
      </c>
      <c r="BL82" s="26" t="s">
        <v>850</v>
      </c>
      <c r="BM82" s="26">
        <v>135</v>
      </c>
      <c r="BN82" s="26">
        <v>80</v>
      </c>
      <c r="BO82" s="26">
        <v>103</v>
      </c>
      <c r="BP82" s="26">
        <v>0</v>
      </c>
      <c r="BQ82" s="26">
        <v>0</v>
      </c>
      <c r="BR82" s="224">
        <v>32</v>
      </c>
      <c r="BS82" s="225">
        <v>2</v>
      </c>
      <c r="BT82" s="230" t="s">
        <v>932</v>
      </c>
      <c r="BU82" s="227">
        <v>93340921</v>
      </c>
      <c r="BV82" s="228">
        <v>44378</v>
      </c>
      <c r="BW82" s="225">
        <v>5.6</v>
      </c>
      <c r="BX82" s="226"/>
      <c r="BY82" s="226"/>
      <c r="BZ82" s="226"/>
      <c r="CA82" s="226"/>
      <c r="CB82" s="226"/>
      <c r="CC82" s="226"/>
      <c r="CD82" s="225">
        <v>155126422301</v>
      </c>
      <c r="CE82" s="225">
        <v>0</v>
      </c>
    </row>
    <row r="83" spans="1:83" ht="12.75" customHeight="1" thickBot="1" x14ac:dyDescent="0.3">
      <c r="A83" s="15" t="s">
        <v>24</v>
      </c>
      <c r="B83" s="15" t="s">
        <v>143</v>
      </c>
      <c r="C83" s="23" t="s">
        <v>479</v>
      </c>
      <c r="D83" s="41" t="s">
        <v>469</v>
      </c>
      <c r="E83" s="23" t="s">
        <v>163</v>
      </c>
      <c r="F83" s="23" t="s">
        <v>179</v>
      </c>
      <c r="G83" s="23">
        <v>1</v>
      </c>
      <c r="H83" s="23">
        <v>1</v>
      </c>
      <c r="I83" s="85" t="s">
        <v>557</v>
      </c>
      <c r="J83">
        <v>2015</v>
      </c>
      <c r="L83" s="5">
        <f>2021-J83</f>
        <v>6</v>
      </c>
      <c r="M83" s="109" t="e">
        <f>+#REF!-L83</f>
        <v>#REF!</v>
      </c>
      <c r="N83" s="23">
        <v>70</v>
      </c>
      <c r="O83" s="23">
        <v>1.64</v>
      </c>
      <c r="P83" s="24">
        <f t="shared" si="34"/>
        <v>26.026174895895306</v>
      </c>
      <c r="Q83" s="24" t="s">
        <v>242</v>
      </c>
      <c r="R83" s="24" t="s">
        <v>486</v>
      </c>
      <c r="S83" s="23" t="s">
        <v>177</v>
      </c>
      <c r="T83" s="45" t="s">
        <v>242</v>
      </c>
      <c r="U83" s="23" t="s">
        <v>212</v>
      </c>
      <c r="V83" s="16">
        <v>44427</v>
      </c>
      <c r="W83" s="17">
        <v>8.1999999999999993</v>
      </c>
      <c r="X83" s="17" t="s">
        <v>475</v>
      </c>
      <c r="Y83" s="17" t="s">
        <v>584</v>
      </c>
      <c r="Z83" s="96" t="s">
        <v>506</v>
      </c>
      <c r="AA83" s="98" t="s">
        <v>569</v>
      </c>
      <c r="AB83" s="17">
        <v>2</v>
      </c>
      <c r="AC83" s="23" t="s">
        <v>244</v>
      </c>
      <c r="AD83" s="23" t="s">
        <v>642</v>
      </c>
      <c r="AE83" s="36">
        <v>20</v>
      </c>
      <c r="AF83" s="94">
        <v>14.66</v>
      </c>
      <c r="AG83" s="94">
        <f t="shared" si="31"/>
        <v>293.2</v>
      </c>
      <c r="AH83" s="88">
        <f t="shared" si="32"/>
        <v>2.9101736972704715</v>
      </c>
      <c r="AI83" s="25" t="s">
        <v>242</v>
      </c>
      <c r="AJ83" s="23"/>
      <c r="AK83" s="23" t="s">
        <v>247</v>
      </c>
      <c r="AL83" s="23">
        <v>1700</v>
      </c>
      <c r="AM83" s="91">
        <v>3.2199999999999999E-2</v>
      </c>
      <c r="AN83" s="91">
        <f t="shared" si="26"/>
        <v>54.74</v>
      </c>
      <c r="AO83" s="92">
        <f t="shared" si="27"/>
        <v>0.54332506203473951</v>
      </c>
      <c r="AP83" s="23" t="s">
        <v>243</v>
      </c>
      <c r="AQ83" s="23"/>
      <c r="AR83" s="87"/>
      <c r="AS83" s="87"/>
      <c r="AT83" s="88">
        <f t="shared" si="28"/>
        <v>0</v>
      </c>
      <c r="AU83" s="23" t="s">
        <v>242</v>
      </c>
      <c r="AV83" s="44"/>
      <c r="AW83" s="23"/>
      <c r="AX83" s="44"/>
      <c r="AY83" s="44"/>
      <c r="AZ83" s="87"/>
      <c r="BA83" s="87"/>
      <c r="BB83" s="88">
        <f t="shared" si="29"/>
        <v>0</v>
      </c>
      <c r="BC83" s="23" t="s">
        <v>242</v>
      </c>
      <c r="BD83" s="23"/>
      <c r="BE83" s="23"/>
      <c r="BI83" s="90">
        <f t="shared" si="30"/>
        <v>0</v>
      </c>
      <c r="BJ83" s="26">
        <f t="shared" si="23"/>
        <v>1</v>
      </c>
      <c r="BK83" s="26">
        <v>1</v>
      </c>
      <c r="BL83" s="26" t="s">
        <v>850</v>
      </c>
      <c r="BM83" s="26">
        <v>120</v>
      </c>
      <c r="BN83" s="26">
        <v>60</v>
      </c>
      <c r="BO83" s="26">
        <v>100</v>
      </c>
      <c r="BP83" s="26">
        <v>0</v>
      </c>
      <c r="BQ83" s="26">
        <v>1</v>
      </c>
      <c r="BR83" s="224">
        <v>154</v>
      </c>
      <c r="BS83" s="225">
        <v>2</v>
      </c>
      <c r="BT83" s="230" t="s">
        <v>1177</v>
      </c>
      <c r="BU83" s="227">
        <v>10597287</v>
      </c>
      <c r="BV83" s="228">
        <v>44427</v>
      </c>
      <c r="BW83" s="225">
        <v>8.1999999999999993</v>
      </c>
      <c r="BX83" s="226"/>
      <c r="BY83" s="226"/>
      <c r="BZ83" s="226"/>
      <c r="CA83" s="226"/>
      <c r="CB83" s="226"/>
      <c r="CC83" s="226"/>
      <c r="CD83" s="225">
        <v>465908413703</v>
      </c>
      <c r="CE83" s="225">
        <v>0</v>
      </c>
    </row>
    <row r="84" spans="1:83" ht="12.75" customHeight="1" thickBot="1" x14ac:dyDescent="0.3">
      <c r="A84" s="15" t="s">
        <v>24</v>
      </c>
      <c r="B84" s="15" t="s">
        <v>142</v>
      </c>
      <c r="C84" s="23" t="s">
        <v>480</v>
      </c>
      <c r="D84" s="41" t="s">
        <v>469</v>
      </c>
      <c r="E84" s="23" t="s">
        <v>164</v>
      </c>
      <c r="F84" s="23" t="s">
        <v>243</v>
      </c>
      <c r="G84" s="23">
        <v>1</v>
      </c>
      <c r="H84" s="23">
        <v>1</v>
      </c>
      <c r="I84" s="85" t="s">
        <v>557</v>
      </c>
      <c r="J84">
        <v>2005</v>
      </c>
      <c r="L84" s="5">
        <f>2021-J84</f>
        <v>16</v>
      </c>
      <c r="M84" s="109" t="e">
        <f>+#REF!-L84</f>
        <v>#REF!</v>
      </c>
      <c r="N84" s="23">
        <v>67</v>
      </c>
      <c r="O84" s="23">
        <v>1.63</v>
      </c>
      <c r="P84" s="24">
        <f t="shared" si="34"/>
        <v>25.217358575783809</v>
      </c>
      <c r="Q84" s="24" t="s">
        <v>242</v>
      </c>
      <c r="R84" s="24" t="s">
        <v>486</v>
      </c>
      <c r="S84" s="23" t="s">
        <v>243</v>
      </c>
      <c r="T84" s="45" t="s">
        <v>242</v>
      </c>
      <c r="U84" s="23" t="s">
        <v>212</v>
      </c>
      <c r="V84" s="16">
        <v>44420</v>
      </c>
      <c r="W84" s="17">
        <v>13.4</v>
      </c>
      <c r="X84" s="17" t="s">
        <v>477</v>
      </c>
      <c r="Y84" s="17" t="s">
        <v>584</v>
      </c>
      <c r="Z84" s="96" t="s">
        <v>590</v>
      </c>
      <c r="AA84" s="98" t="s">
        <v>569</v>
      </c>
      <c r="AB84" s="17">
        <v>3</v>
      </c>
      <c r="AC84" s="23" t="s">
        <v>244</v>
      </c>
      <c r="AD84" s="23" t="s">
        <v>642</v>
      </c>
      <c r="AE84" s="36">
        <v>22</v>
      </c>
      <c r="AF84" s="94">
        <v>14.66</v>
      </c>
      <c r="AG84" s="94">
        <f t="shared" si="31"/>
        <v>322.52</v>
      </c>
      <c r="AH84" s="88">
        <f t="shared" si="32"/>
        <v>3.2011910669975183</v>
      </c>
      <c r="AI84" s="25" t="s">
        <v>242</v>
      </c>
      <c r="AJ84" s="23"/>
      <c r="AK84" s="23" t="s">
        <v>247</v>
      </c>
      <c r="AL84" s="23">
        <v>1000</v>
      </c>
      <c r="AM84" s="91">
        <v>3.2199999999999999E-2</v>
      </c>
      <c r="AN84" s="91">
        <f t="shared" si="26"/>
        <v>32.200000000000003</v>
      </c>
      <c r="AO84" s="92">
        <f t="shared" si="27"/>
        <v>0.31960297766749385</v>
      </c>
      <c r="AP84" s="23" t="s">
        <v>243</v>
      </c>
      <c r="AQ84" s="23"/>
      <c r="AR84" s="87"/>
      <c r="AS84" s="87"/>
      <c r="AT84" s="88">
        <f t="shared" si="28"/>
        <v>0</v>
      </c>
      <c r="AU84" s="23" t="s">
        <v>242</v>
      </c>
      <c r="AV84" s="44"/>
      <c r="AW84" s="23"/>
      <c r="AX84" s="44"/>
      <c r="AY84" s="44"/>
      <c r="AZ84" s="87"/>
      <c r="BA84" s="87"/>
      <c r="BB84" s="88">
        <f t="shared" si="29"/>
        <v>0</v>
      </c>
      <c r="BC84" s="23" t="s">
        <v>242</v>
      </c>
      <c r="BD84" s="23"/>
      <c r="BE84" s="23"/>
      <c r="BI84" s="90">
        <f t="shared" si="30"/>
        <v>0</v>
      </c>
      <c r="BJ84" s="26">
        <f t="shared" ref="BJ84:BJ115" si="35">COUNTIF(AP84:BI84,"SI")</f>
        <v>1</v>
      </c>
      <c r="BK84" s="26">
        <v>1</v>
      </c>
      <c r="BL84" s="26" t="s">
        <v>848</v>
      </c>
      <c r="BM84" s="26">
        <v>150</v>
      </c>
      <c r="BN84" s="26">
        <v>80</v>
      </c>
      <c r="BO84" s="26">
        <v>101</v>
      </c>
      <c r="BP84" s="26">
        <v>0</v>
      </c>
      <c r="BQ84" s="26">
        <v>0</v>
      </c>
      <c r="BR84" s="224">
        <v>152</v>
      </c>
      <c r="BS84" s="225">
        <v>2</v>
      </c>
      <c r="BT84" s="230" t="s">
        <v>1173</v>
      </c>
      <c r="BU84" s="227">
        <v>5814735</v>
      </c>
      <c r="BV84" s="228">
        <v>44420</v>
      </c>
      <c r="BW84" s="225">
        <v>13.4</v>
      </c>
      <c r="BX84" s="228">
        <v>44914</v>
      </c>
      <c r="BY84" s="226">
        <v>7.8</v>
      </c>
      <c r="BZ84" s="226"/>
      <c r="CA84" s="226"/>
      <c r="CB84" s="226"/>
      <c r="CC84" s="226"/>
      <c r="CD84" s="225">
        <v>150446905201</v>
      </c>
      <c r="CE84" s="225">
        <v>0</v>
      </c>
    </row>
    <row r="85" spans="1:83" ht="12.75" customHeight="1" thickBot="1" x14ac:dyDescent="0.3">
      <c r="A85" s="15" t="s">
        <v>350</v>
      </c>
      <c r="B85" s="15" t="s">
        <v>351</v>
      </c>
      <c r="C85" s="23" t="s">
        <v>479</v>
      </c>
      <c r="D85" s="41" t="s">
        <v>469</v>
      </c>
      <c r="E85" s="23" t="s">
        <v>163</v>
      </c>
      <c r="F85" s="23" t="s">
        <v>179</v>
      </c>
      <c r="G85" s="23">
        <v>2</v>
      </c>
      <c r="H85" s="23">
        <v>2</v>
      </c>
      <c r="I85" s="85" t="s">
        <v>558</v>
      </c>
      <c r="L85" s="5"/>
      <c r="M85" s="109" t="e">
        <f>+#REF!-L85</f>
        <v>#REF!</v>
      </c>
      <c r="N85" s="23">
        <v>112</v>
      </c>
      <c r="O85" s="23">
        <v>1.76</v>
      </c>
      <c r="P85" s="24">
        <f t="shared" si="34"/>
        <v>36.15702479338843</v>
      </c>
      <c r="Q85" s="24" t="s">
        <v>243</v>
      </c>
      <c r="R85" s="24" t="s">
        <v>487</v>
      </c>
      <c r="S85" s="23" t="s">
        <v>177</v>
      </c>
      <c r="T85" s="45" t="s">
        <v>242</v>
      </c>
      <c r="U85" s="23" t="s">
        <v>212</v>
      </c>
      <c r="V85" s="18">
        <v>44420</v>
      </c>
      <c r="W85" s="17">
        <v>6.9</v>
      </c>
      <c r="X85" s="15" t="s">
        <v>474</v>
      </c>
      <c r="Y85" s="15" t="s">
        <v>582</v>
      </c>
      <c r="Z85" s="97" t="s">
        <v>505</v>
      </c>
      <c r="AA85" s="99" t="s">
        <v>566</v>
      </c>
      <c r="AB85" s="15">
        <v>1</v>
      </c>
      <c r="AC85" s="23" t="s">
        <v>182</v>
      </c>
      <c r="AD85" s="23" t="s">
        <v>182</v>
      </c>
      <c r="AE85" s="36">
        <v>30</v>
      </c>
      <c r="AF85" s="94">
        <v>7.21</v>
      </c>
      <c r="AG85" s="94">
        <f t="shared" si="31"/>
        <v>216.3</v>
      </c>
      <c r="AH85" s="88">
        <f t="shared" si="32"/>
        <v>2.1468982630272953</v>
      </c>
      <c r="AI85" s="25" t="s">
        <v>242</v>
      </c>
      <c r="AJ85" s="23"/>
      <c r="AK85" s="23" t="s">
        <v>247</v>
      </c>
      <c r="AL85" s="23">
        <v>2000</v>
      </c>
      <c r="AM85" s="91">
        <v>3.2199999999999999E-2</v>
      </c>
      <c r="AN85" s="91">
        <f t="shared" si="26"/>
        <v>64.400000000000006</v>
      </c>
      <c r="AO85" s="92">
        <f t="shared" si="27"/>
        <v>0.6392059553349877</v>
      </c>
      <c r="AP85" s="23" t="s">
        <v>243</v>
      </c>
      <c r="AQ85" s="23" t="s">
        <v>254</v>
      </c>
      <c r="AR85" s="87">
        <v>1.069</v>
      </c>
      <c r="AS85" s="87">
        <f>+AV85*AR85</f>
        <v>64.14</v>
      </c>
      <c r="AT85" s="88">
        <f t="shared" si="28"/>
        <v>0.63662531017369728</v>
      </c>
      <c r="AU85" s="23" t="s">
        <v>243</v>
      </c>
      <c r="AV85" s="23">
        <v>60</v>
      </c>
      <c r="AW85" s="23"/>
      <c r="AX85" s="44"/>
      <c r="AY85" s="44"/>
      <c r="AZ85" s="87"/>
      <c r="BA85" s="87"/>
      <c r="BB85" s="88">
        <f t="shared" si="29"/>
        <v>0</v>
      </c>
      <c r="BC85" s="23" t="s">
        <v>242</v>
      </c>
      <c r="BD85" s="23"/>
      <c r="BE85" s="23"/>
      <c r="BI85" s="90">
        <f t="shared" si="30"/>
        <v>0</v>
      </c>
      <c r="BJ85" s="26">
        <f t="shared" si="35"/>
        <v>2</v>
      </c>
      <c r="BK85" s="26">
        <v>0</v>
      </c>
      <c r="BL85" s="26" t="s">
        <v>851</v>
      </c>
      <c r="BM85" s="26">
        <v>120</v>
      </c>
      <c r="BN85" s="26">
        <v>70</v>
      </c>
      <c r="BO85" s="26">
        <v>121</v>
      </c>
      <c r="BP85" s="26">
        <v>0</v>
      </c>
      <c r="BQ85" s="26">
        <v>0</v>
      </c>
      <c r="BR85" s="224">
        <v>153</v>
      </c>
      <c r="BS85" s="225">
        <v>1</v>
      </c>
      <c r="BT85" s="230" t="s">
        <v>1175</v>
      </c>
      <c r="BU85" s="227">
        <v>11474570</v>
      </c>
      <c r="BV85" s="228">
        <v>44420</v>
      </c>
      <c r="BW85" s="225">
        <v>6.9</v>
      </c>
      <c r="BX85" s="228">
        <v>44949</v>
      </c>
      <c r="BY85" s="226">
        <v>5.3</v>
      </c>
      <c r="BZ85" s="226"/>
      <c r="CA85" s="226"/>
      <c r="CB85" s="226"/>
      <c r="CC85" s="226"/>
      <c r="CD85" s="225">
        <v>150577931204</v>
      </c>
      <c r="CE85" s="225">
        <v>0</v>
      </c>
    </row>
    <row r="86" spans="1:83" ht="12.75" customHeight="1" thickBot="1" x14ac:dyDescent="0.3">
      <c r="A86" s="15" t="s">
        <v>352</v>
      </c>
      <c r="B86" s="15" t="s">
        <v>353</v>
      </c>
      <c r="C86" s="23" t="s">
        <v>479</v>
      </c>
      <c r="D86" s="41" t="s">
        <v>469</v>
      </c>
      <c r="E86" s="23" t="s">
        <v>164</v>
      </c>
      <c r="F86" s="23" t="s">
        <v>179</v>
      </c>
      <c r="G86" s="23">
        <v>2</v>
      </c>
      <c r="H86" s="23">
        <v>1</v>
      </c>
      <c r="I86" s="85" t="s">
        <v>557</v>
      </c>
      <c r="J86">
        <v>1999</v>
      </c>
      <c r="L86" s="5">
        <f>2021-J86</f>
        <v>22</v>
      </c>
      <c r="M86" s="109" t="e">
        <f>+#REF!-L86</f>
        <v>#REF!</v>
      </c>
      <c r="N86" s="23">
        <v>75</v>
      </c>
      <c r="O86" s="23">
        <v>1.54</v>
      </c>
      <c r="P86" s="24">
        <f t="shared" si="34"/>
        <v>31.624219935908247</v>
      </c>
      <c r="Q86" s="24" t="s">
        <v>242</v>
      </c>
      <c r="R86" s="24" t="s">
        <v>487</v>
      </c>
      <c r="S86" s="23" t="s">
        <v>177</v>
      </c>
      <c r="T86" s="45" t="s">
        <v>242</v>
      </c>
      <c r="U86" s="23" t="s">
        <v>212</v>
      </c>
      <c r="V86" s="16">
        <v>44420</v>
      </c>
      <c r="W86" s="17">
        <v>14.6</v>
      </c>
      <c r="X86" s="17" t="s">
        <v>477</v>
      </c>
      <c r="Y86" s="17" t="s">
        <v>584</v>
      </c>
      <c r="Z86" s="96" t="s">
        <v>590</v>
      </c>
      <c r="AA86" s="98" t="s">
        <v>569</v>
      </c>
      <c r="AB86" s="17">
        <v>3</v>
      </c>
      <c r="AC86" s="23" t="s">
        <v>182</v>
      </c>
      <c r="AD86" s="23" t="s">
        <v>182</v>
      </c>
      <c r="AE86" s="39">
        <v>30</v>
      </c>
      <c r="AF86" s="94">
        <v>7.21</v>
      </c>
      <c r="AG86" s="94">
        <f t="shared" si="31"/>
        <v>216.3</v>
      </c>
      <c r="AH86" s="88">
        <f t="shared" si="32"/>
        <v>2.1468982630272953</v>
      </c>
      <c r="AI86" s="25" t="s">
        <v>243</v>
      </c>
      <c r="AJ86" s="23" t="s">
        <v>463</v>
      </c>
      <c r="AK86" s="44" t="s">
        <v>179</v>
      </c>
      <c r="AL86" s="23"/>
      <c r="AM86" s="91">
        <v>3.2199999999999999E-2</v>
      </c>
      <c r="AN86" s="91">
        <f t="shared" si="26"/>
        <v>0</v>
      </c>
      <c r="AO86" s="92">
        <f t="shared" si="27"/>
        <v>0</v>
      </c>
      <c r="AP86" s="23" t="s">
        <v>242</v>
      </c>
      <c r="AQ86" s="23" t="s">
        <v>254</v>
      </c>
      <c r="AR86" s="87">
        <v>1.069</v>
      </c>
      <c r="AS86" s="87">
        <f>+AV86*AR86</f>
        <v>64.14</v>
      </c>
      <c r="AT86" s="88">
        <f t="shared" si="28"/>
        <v>0.63662531017369728</v>
      </c>
      <c r="AU86" s="23" t="s">
        <v>243</v>
      </c>
      <c r="AV86" s="23">
        <v>60</v>
      </c>
      <c r="AW86" s="23"/>
      <c r="AX86" s="23" t="s">
        <v>251</v>
      </c>
      <c r="AY86" s="23">
        <v>100</v>
      </c>
      <c r="AZ86" s="87">
        <v>1.84</v>
      </c>
      <c r="BA86" s="87">
        <f>+AY86*AZ86</f>
        <v>184</v>
      </c>
      <c r="BB86" s="88">
        <f t="shared" si="29"/>
        <v>1.8263027295285359</v>
      </c>
      <c r="BC86" s="23" t="s">
        <v>243</v>
      </c>
      <c r="BD86" s="23"/>
      <c r="BE86" s="23"/>
      <c r="BI86" s="90">
        <f t="shared" si="30"/>
        <v>0</v>
      </c>
      <c r="BJ86" s="26">
        <f t="shared" si="35"/>
        <v>2</v>
      </c>
      <c r="BK86" s="26">
        <v>1</v>
      </c>
      <c r="BL86" s="26" t="s">
        <v>850</v>
      </c>
      <c r="BM86" s="26">
        <v>120</v>
      </c>
      <c r="BN86" s="26">
        <v>70</v>
      </c>
      <c r="BO86" s="26">
        <v>106</v>
      </c>
      <c r="BP86" s="26">
        <v>0</v>
      </c>
      <c r="BQ86" s="26">
        <v>1</v>
      </c>
      <c r="BR86" s="224">
        <v>155</v>
      </c>
      <c r="BS86" s="225">
        <v>2</v>
      </c>
      <c r="BT86" s="230" t="s">
        <v>1179</v>
      </c>
      <c r="BU86" s="227">
        <v>11747198</v>
      </c>
      <c r="BV86" s="228">
        <v>44420</v>
      </c>
      <c r="BW86" s="225">
        <v>14.6</v>
      </c>
      <c r="BX86" s="228">
        <v>44914</v>
      </c>
      <c r="BY86" s="226">
        <v>6.1</v>
      </c>
      <c r="BZ86" s="226"/>
      <c r="CA86" s="226"/>
      <c r="CB86" s="226"/>
      <c r="CC86" s="226"/>
      <c r="CD86" s="225">
        <v>150754778604</v>
      </c>
      <c r="CE86" s="225">
        <v>0</v>
      </c>
    </row>
    <row r="87" spans="1:83" ht="12.75" customHeight="1" thickBot="1" x14ac:dyDescent="0.3">
      <c r="A87" s="15" t="s">
        <v>25</v>
      </c>
      <c r="B87" s="15" t="s">
        <v>98</v>
      </c>
      <c r="C87" s="23" t="s">
        <v>480</v>
      </c>
      <c r="D87" s="41" t="s">
        <v>469</v>
      </c>
      <c r="E87" s="23" t="s">
        <v>164</v>
      </c>
      <c r="F87" s="23" t="s">
        <v>179</v>
      </c>
      <c r="G87" s="23">
        <v>4</v>
      </c>
      <c r="H87" s="23">
        <v>1</v>
      </c>
      <c r="I87" s="85" t="s">
        <v>557</v>
      </c>
      <c r="J87">
        <v>2010</v>
      </c>
      <c r="L87" s="5">
        <f>2021-J87</f>
        <v>11</v>
      </c>
      <c r="M87" s="109" t="e">
        <f>+#REF!-L87</f>
        <v>#REF!</v>
      </c>
      <c r="N87" s="23">
        <v>87.4</v>
      </c>
      <c r="O87" s="23">
        <v>1.59</v>
      </c>
      <c r="P87" s="24">
        <f t="shared" si="34"/>
        <v>34.571417269886474</v>
      </c>
      <c r="Q87" s="24" t="s">
        <v>242</v>
      </c>
      <c r="R87" s="24" t="s">
        <v>487</v>
      </c>
      <c r="S87" s="23" t="s">
        <v>177</v>
      </c>
      <c r="T87" s="45" t="s">
        <v>242</v>
      </c>
      <c r="U87" s="23" t="s">
        <v>212</v>
      </c>
      <c r="V87" s="18">
        <v>44420</v>
      </c>
      <c r="W87" s="17">
        <v>9.6</v>
      </c>
      <c r="X87" s="17" t="s">
        <v>476</v>
      </c>
      <c r="Y87" s="17" t="s">
        <v>584</v>
      </c>
      <c r="Z87" s="96" t="s">
        <v>506</v>
      </c>
      <c r="AA87" s="98" t="s">
        <v>569</v>
      </c>
      <c r="AB87" s="17">
        <v>2</v>
      </c>
      <c r="AC87" s="23" t="s">
        <v>245</v>
      </c>
      <c r="AD87" s="23" t="s">
        <v>642</v>
      </c>
      <c r="AE87" s="36">
        <v>34</v>
      </c>
      <c r="AF87" s="94">
        <v>15.6</v>
      </c>
      <c r="AG87" s="94">
        <f t="shared" si="31"/>
        <v>530.4</v>
      </c>
      <c r="AH87" s="88">
        <f t="shared" si="32"/>
        <v>5.2645161290322582</v>
      </c>
      <c r="AI87" s="25" t="s">
        <v>242</v>
      </c>
      <c r="AJ87" s="23"/>
      <c r="AK87" s="23" t="s">
        <v>247</v>
      </c>
      <c r="AL87" s="23">
        <v>2000</v>
      </c>
      <c r="AM87" s="91">
        <v>3.2199999999999999E-2</v>
      </c>
      <c r="AN87" s="91">
        <f t="shared" si="26"/>
        <v>64.400000000000006</v>
      </c>
      <c r="AO87" s="92">
        <f t="shared" si="27"/>
        <v>0.6392059553349877</v>
      </c>
      <c r="AP87" s="23" t="s">
        <v>243</v>
      </c>
      <c r="AQ87" s="23"/>
      <c r="AR87" s="87"/>
      <c r="AS87" s="87"/>
      <c r="AT87" s="88">
        <f t="shared" si="28"/>
        <v>0</v>
      </c>
      <c r="AU87" s="23" t="s">
        <v>242</v>
      </c>
      <c r="AV87" s="44"/>
      <c r="AW87" s="23"/>
      <c r="AX87" s="23" t="s">
        <v>251</v>
      </c>
      <c r="AY87" s="23">
        <v>100</v>
      </c>
      <c r="AZ87" s="87">
        <v>1.84</v>
      </c>
      <c r="BA87" s="87">
        <f>+AY87*AZ87</f>
        <v>184</v>
      </c>
      <c r="BB87" s="88">
        <f t="shared" si="29"/>
        <v>1.8263027295285359</v>
      </c>
      <c r="BC87" s="23" t="s">
        <v>243</v>
      </c>
      <c r="BD87" s="23"/>
      <c r="BE87" s="23"/>
      <c r="BI87" s="90">
        <f t="shared" si="30"/>
        <v>0</v>
      </c>
      <c r="BJ87" s="26">
        <f t="shared" si="35"/>
        <v>2</v>
      </c>
      <c r="BK87" s="26">
        <v>0</v>
      </c>
      <c r="BL87" s="26" t="s">
        <v>849</v>
      </c>
      <c r="BM87" s="26">
        <v>130</v>
      </c>
      <c r="BN87" s="26">
        <v>80</v>
      </c>
      <c r="BO87" s="26">
        <v>117</v>
      </c>
      <c r="BP87" s="26">
        <v>0</v>
      </c>
      <c r="BQ87" s="26">
        <v>0</v>
      </c>
      <c r="BR87" s="224">
        <v>156</v>
      </c>
      <c r="BS87" s="225">
        <v>1</v>
      </c>
      <c r="BT87" s="230" t="s">
        <v>1181</v>
      </c>
      <c r="BU87" s="227">
        <v>5573305</v>
      </c>
      <c r="BV87" s="228">
        <v>44420</v>
      </c>
      <c r="BW87" s="225">
        <v>9.6</v>
      </c>
      <c r="BX87" s="226"/>
      <c r="BY87" s="226"/>
      <c r="BZ87" s="226"/>
      <c r="CA87" s="226"/>
      <c r="CB87" s="226"/>
      <c r="CC87" s="226"/>
      <c r="CD87" s="225">
        <v>150311510705</v>
      </c>
      <c r="CE87" s="225">
        <v>0</v>
      </c>
    </row>
    <row r="88" spans="1:83" ht="12.75" customHeight="1" thickBot="1" x14ac:dyDescent="0.3">
      <c r="A88" s="15" t="s">
        <v>59</v>
      </c>
      <c r="B88" s="15" t="s">
        <v>144</v>
      </c>
      <c r="C88" s="23" t="s">
        <v>480</v>
      </c>
      <c r="D88" s="41" t="s">
        <v>470</v>
      </c>
      <c r="E88" s="23" t="s">
        <v>164</v>
      </c>
      <c r="F88" s="23" t="s">
        <v>179</v>
      </c>
      <c r="G88" s="23">
        <v>3</v>
      </c>
      <c r="H88" s="23">
        <v>2</v>
      </c>
      <c r="I88" s="85" t="s">
        <v>558</v>
      </c>
      <c r="J88">
        <v>2009</v>
      </c>
      <c r="L88" s="5">
        <f>2021-J88</f>
        <v>12</v>
      </c>
      <c r="M88" s="109" t="e">
        <f>+#REF!-L88</f>
        <v>#REF!</v>
      </c>
      <c r="N88" s="23">
        <v>72</v>
      </c>
      <c r="O88" s="23">
        <v>1.6</v>
      </c>
      <c r="P88" s="24">
        <f t="shared" si="34"/>
        <v>28.124999999999993</v>
      </c>
      <c r="Q88" s="24" t="s">
        <v>242</v>
      </c>
      <c r="R88" s="24" t="s">
        <v>486</v>
      </c>
      <c r="S88" s="23" t="s">
        <v>177</v>
      </c>
      <c r="T88" s="45" t="s">
        <v>242</v>
      </c>
      <c r="U88" s="23" t="s">
        <v>212</v>
      </c>
      <c r="V88" s="16">
        <v>44427</v>
      </c>
      <c r="W88" s="17">
        <v>8.5</v>
      </c>
      <c r="X88" s="17" t="s">
        <v>475</v>
      </c>
      <c r="Y88" s="17" t="s">
        <v>584</v>
      </c>
      <c r="Z88" s="96" t="s">
        <v>506</v>
      </c>
      <c r="AA88" s="98" t="s">
        <v>569</v>
      </c>
      <c r="AB88" s="17">
        <v>2</v>
      </c>
      <c r="AC88" s="30" t="s">
        <v>571</v>
      </c>
      <c r="AD88" s="23" t="s">
        <v>182</v>
      </c>
      <c r="AE88" s="36">
        <v>26</v>
      </c>
      <c r="AF88" s="94">
        <v>13.87</v>
      </c>
      <c r="AG88" s="94">
        <f t="shared" si="31"/>
        <v>360.62</v>
      </c>
      <c r="AH88" s="88">
        <f t="shared" si="32"/>
        <v>3.5793548387096776</v>
      </c>
      <c r="AI88" s="25" t="s">
        <v>243</v>
      </c>
      <c r="AJ88" s="29">
        <v>26</v>
      </c>
      <c r="AK88" s="44" t="s">
        <v>179</v>
      </c>
      <c r="AL88" s="23"/>
      <c r="AM88" s="91">
        <v>3.2199999999999999E-2</v>
      </c>
      <c r="AN88" s="91">
        <f t="shared" si="26"/>
        <v>0</v>
      </c>
      <c r="AO88" s="92">
        <f t="shared" si="27"/>
        <v>0</v>
      </c>
      <c r="AP88" s="23" t="s">
        <v>242</v>
      </c>
      <c r="AQ88" s="23"/>
      <c r="AR88" s="87"/>
      <c r="AS88" s="87"/>
      <c r="AT88" s="88">
        <f t="shared" si="28"/>
        <v>0</v>
      </c>
      <c r="AU88" s="23" t="s">
        <v>242</v>
      </c>
      <c r="AV88" s="44"/>
      <c r="AW88" s="23"/>
      <c r="AX88" s="44"/>
      <c r="AY88" s="44"/>
      <c r="AZ88" s="87"/>
      <c r="BA88" s="87"/>
      <c r="BB88" s="88">
        <f t="shared" si="29"/>
        <v>0</v>
      </c>
      <c r="BC88" s="23" t="s">
        <v>242</v>
      </c>
      <c r="BD88" s="23"/>
      <c r="BE88" s="23"/>
      <c r="BI88" s="90">
        <f t="shared" si="30"/>
        <v>0</v>
      </c>
      <c r="BJ88" s="26">
        <f t="shared" si="35"/>
        <v>0</v>
      </c>
      <c r="BK88" s="26">
        <v>1</v>
      </c>
      <c r="BL88" s="26" t="s">
        <v>850</v>
      </c>
      <c r="BM88" s="26">
        <v>140</v>
      </c>
      <c r="BN88" s="26">
        <v>90</v>
      </c>
      <c r="BO88" s="26">
        <v>111</v>
      </c>
      <c r="BP88" s="26">
        <v>0</v>
      </c>
      <c r="BQ88" s="26">
        <v>0</v>
      </c>
      <c r="BR88" s="224">
        <v>157</v>
      </c>
      <c r="BS88" s="225">
        <v>2</v>
      </c>
      <c r="BT88" s="230" t="s">
        <v>1183</v>
      </c>
      <c r="BU88" s="227">
        <v>5292500</v>
      </c>
      <c r="BV88" s="228">
        <v>44427</v>
      </c>
      <c r="BW88" s="225">
        <v>8.5</v>
      </c>
      <c r="BX88" s="228">
        <v>45014</v>
      </c>
      <c r="BY88" s="226">
        <v>5.3</v>
      </c>
      <c r="BZ88" s="226"/>
      <c r="CA88" s="226"/>
      <c r="CB88" s="226"/>
      <c r="CC88" s="226"/>
      <c r="CD88" s="225">
        <v>150367794605</v>
      </c>
      <c r="CE88" s="225">
        <v>0</v>
      </c>
    </row>
    <row r="89" spans="1:83" ht="12.75" customHeight="1" thickBot="1" x14ac:dyDescent="0.3">
      <c r="A89" s="15" t="s">
        <v>354</v>
      </c>
      <c r="B89" s="15" t="s">
        <v>355</v>
      </c>
      <c r="C89" s="23" t="s">
        <v>479</v>
      </c>
      <c r="D89" s="41" t="s">
        <v>469</v>
      </c>
      <c r="E89" s="23" t="s">
        <v>164</v>
      </c>
      <c r="F89" s="23" t="s">
        <v>179</v>
      </c>
      <c r="G89" s="23">
        <v>2</v>
      </c>
      <c r="H89" s="23">
        <v>1</v>
      </c>
      <c r="I89" s="85" t="s">
        <v>557</v>
      </c>
      <c r="J89">
        <v>2003</v>
      </c>
      <c r="L89" s="5">
        <f>2021-J89</f>
        <v>18</v>
      </c>
      <c r="M89" s="109" t="e">
        <f>+#REF!-L89</f>
        <v>#REF!</v>
      </c>
      <c r="N89" s="23">
        <v>78.5</v>
      </c>
      <c r="O89" s="23">
        <v>1.64</v>
      </c>
      <c r="P89" s="24">
        <f t="shared" ref="P89:P96" si="36">N89/(O89*O89)</f>
        <v>29.186496133254021</v>
      </c>
      <c r="Q89" s="24" t="s">
        <v>242</v>
      </c>
      <c r="R89" s="24" t="s">
        <v>486</v>
      </c>
      <c r="S89" s="23" t="s">
        <v>177</v>
      </c>
      <c r="T89" s="45" t="s">
        <v>242</v>
      </c>
      <c r="U89" s="23" t="s">
        <v>212</v>
      </c>
      <c r="V89" s="16">
        <v>44427</v>
      </c>
      <c r="W89" s="17">
        <v>10.9</v>
      </c>
      <c r="X89" s="17" t="s">
        <v>476</v>
      </c>
      <c r="Y89" s="17" t="s">
        <v>584</v>
      </c>
      <c r="Z89" s="96" t="s">
        <v>590</v>
      </c>
      <c r="AA89" s="98" t="s">
        <v>569</v>
      </c>
      <c r="AB89" s="17">
        <v>2</v>
      </c>
      <c r="AC89" s="23" t="s">
        <v>245</v>
      </c>
      <c r="AD89" s="23" t="s">
        <v>642</v>
      </c>
      <c r="AE89" s="36">
        <v>76</v>
      </c>
      <c r="AF89" s="94">
        <v>15.6</v>
      </c>
      <c r="AG89" s="94">
        <f t="shared" si="31"/>
        <v>1185.5999999999999</v>
      </c>
      <c r="AH89" s="88">
        <f t="shared" si="32"/>
        <v>11.767741935483871</v>
      </c>
      <c r="AI89" s="25" t="s">
        <v>243</v>
      </c>
      <c r="AJ89" s="23">
        <v>16</v>
      </c>
      <c r="AK89" s="44" t="s">
        <v>179</v>
      </c>
      <c r="AL89" s="23"/>
      <c r="AM89" s="91">
        <v>3.2199999999999999E-2</v>
      </c>
      <c r="AN89" s="91">
        <f t="shared" si="26"/>
        <v>0</v>
      </c>
      <c r="AO89" s="92">
        <f t="shared" si="27"/>
        <v>0</v>
      </c>
      <c r="AP89" s="23" t="s">
        <v>242</v>
      </c>
      <c r="AQ89" s="23"/>
      <c r="AR89" s="87"/>
      <c r="AS89" s="87"/>
      <c r="AT89" s="88">
        <f t="shared" si="28"/>
        <v>0</v>
      </c>
      <c r="AU89" s="23" t="s">
        <v>242</v>
      </c>
      <c r="AV89" s="44"/>
      <c r="AW89" s="23"/>
      <c r="AX89" s="44"/>
      <c r="AY89" s="44"/>
      <c r="AZ89" s="87"/>
      <c r="BA89" s="87"/>
      <c r="BB89" s="88">
        <f t="shared" si="29"/>
        <v>0</v>
      </c>
      <c r="BC89" s="23" t="s">
        <v>242</v>
      </c>
      <c r="BD89" s="23"/>
      <c r="BE89" s="23"/>
      <c r="BI89" s="90">
        <f t="shared" si="30"/>
        <v>0</v>
      </c>
      <c r="BJ89" s="26">
        <f t="shared" si="35"/>
        <v>0</v>
      </c>
      <c r="BK89" s="26">
        <v>0</v>
      </c>
      <c r="BL89" s="26" t="s">
        <v>850</v>
      </c>
      <c r="BM89" s="26">
        <v>140</v>
      </c>
      <c r="BN89" s="26">
        <v>90</v>
      </c>
      <c r="BO89" s="26">
        <v>108</v>
      </c>
      <c r="BP89" s="26">
        <v>0</v>
      </c>
      <c r="BQ89" s="26">
        <v>0</v>
      </c>
      <c r="BR89" s="224">
        <v>158</v>
      </c>
      <c r="BS89" s="225">
        <v>2</v>
      </c>
      <c r="BT89" s="230" t="s">
        <v>1185</v>
      </c>
      <c r="BU89" s="227">
        <v>6214414</v>
      </c>
      <c r="BV89" s="228">
        <v>44427</v>
      </c>
      <c r="BW89" s="225">
        <v>10.9</v>
      </c>
      <c r="BX89" s="226"/>
      <c r="BY89" s="226"/>
      <c r="BZ89" s="226"/>
      <c r="CA89" s="226"/>
      <c r="CB89" s="226"/>
      <c r="CC89" s="226"/>
      <c r="CD89" s="225">
        <v>150541330105</v>
      </c>
      <c r="CE89" s="225">
        <v>0</v>
      </c>
    </row>
    <row r="90" spans="1:83" ht="12.75" customHeight="1" thickBot="1" x14ac:dyDescent="0.3">
      <c r="A90" s="15" t="s">
        <v>40</v>
      </c>
      <c r="B90" s="15" t="s">
        <v>115</v>
      </c>
      <c r="C90" s="23" t="s">
        <v>480</v>
      </c>
      <c r="D90" s="41" t="s">
        <v>469</v>
      </c>
      <c r="E90" s="23" t="s">
        <v>163</v>
      </c>
      <c r="F90" s="23" t="s">
        <v>242</v>
      </c>
      <c r="G90" s="23">
        <v>1</v>
      </c>
      <c r="H90" s="23">
        <v>1</v>
      </c>
      <c r="I90" s="85" t="s">
        <v>557</v>
      </c>
      <c r="J90">
        <v>2004</v>
      </c>
      <c r="L90" s="5">
        <f>2021-J90</f>
        <v>17</v>
      </c>
      <c r="M90" s="109" t="e">
        <f>+#REF!-L90</f>
        <v>#REF!</v>
      </c>
      <c r="N90" s="23">
        <v>104</v>
      </c>
      <c r="O90" s="23">
        <v>1.69</v>
      </c>
      <c r="P90" s="24">
        <f t="shared" si="36"/>
        <v>36.413290851160681</v>
      </c>
      <c r="Q90" s="24" t="s">
        <v>242</v>
      </c>
      <c r="R90" s="24" t="s">
        <v>487</v>
      </c>
      <c r="S90" s="23" t="s">
        <v>243</v>
      </c>
      <c r="T90" s="45" t="s">
        <v>242</v>
      </c>
      <c r="U90" s="23" t="s">
        <v>212</v>
      </c>
      <c r="V90" s="16">
        <v>44378</v>
      </c>
      <c r="W90" s="15">
        <v>4.5</v>
      </c>
      <c r="X90" s="15" t="s">
        <v>474</v>
      </c>
      <c r="Y90" s="15" t="s">
        <v>582</v>
      </c>
      <c r="Z90" s="97" t="s">
        <v>505</v>
      </c>
      <c r="AA90" s="99" t="s">
        <v>566</v>
      </c>
      <c r="AB90" s="15">
        <v>1</v>
      </c>
      <c r="AC90" s="23" t="s">
        <v>248</v>
      </c>
      <c r="AD90" s="23" t="s">
        <v>642</v>
      </c>
      <c r="AE90" s="36">
        <v>48</v>
      </c>
      <c r="AF90" s="94">
        <v>4.4400000000000004</v>
      </c>
      <c r="AG90" s="94">
        <f t="shared" si="31"/>
        <v>213.12</v>
      </c>
      <c r="AH90" s="88">
        <f t="shared" si="32"/>
        <v>2.1153349875930521</v>
      </c>
      <c r="AI90" s="25" t="s">
        <v>243</v>
      </c>
      <c r="AJ90" s="23">
        <v>15</v>
      </c>
      <c r="AK90" s="23" t="s">
        <v>247</v>
      </c>
      <c r="AL90" s="23">
        <v>2000</v>
      </c>
      <c r="AM90" s="91">
        <v>3.2199999999999999E-2</v>
      </c>
      <c r="AN90" s="91">
        <f t="shared" si="26"/>
        <v>64.400000000000006</v>
      </c>
      <c r="AO90" s="92">
        <f t="shared" si="27"/>
        <v>0.6392059553349877</v>
      </c>
      <c r="AP90" s="23" t="s">
        <v>243</v>
      </c>
      <c r="AQ90" s="23"/>
      <c r="AR90" s="87"/>
      <c r="AS90" s="87"/>
      <c r="AT90" s="88">
        <f t="shared" si="28"/>
        <v>0</v>
      </c>
      <c r="AU90" s="23" t="s">
        <v>242</v>
      </c>
      <c r="AV90" s="44"/>
      <c r="AW90" s="23"/>
      <c r="AX90" s="44"/>
      <c r="AY90" s="44"/>
      <c r="AZ90" s="87"/>
      <c r="BA90" s="87"/>
      <c r="BB90" s="88">
        <f t="shared" si="29"/>
        <v>0</v>
      </c>
      <c r="BC90" s="23" t="s">
        <v>242</v>
      </c>
      <c r="BD90" s="23"/>
      <c r="BE90" s="23"/>
      <c r="BI90" s="90">
        <f t="shared" si="30"/>
        <v>0</v>
      </c>
      <c r="BJ90" s="26">
        <f t="shared" si="35"/>
        <v>1</v>
      </c>
      <c r="BK90" s="26">
        <v>1</v>
      </c>
      <c r="BL90" s="26" t="s">
        <v>850</v>
      </c>
      <c r="BM90" s="26">
        <v>130</v>
      </c>
      <c r="BN90" s="26">
        <v>70</v>
      </c>
      <c r="BO90" s="26">
        <v>126.5</v>
      </c>
      <c r="BP90" s="26">
        <v>0</v>
      </c>
      <c r="BQ90" s="26">
        <v>0</v>
      </c>
      <c r="BR90" s="224">
        <v>33</v>
      </c>
      <c r="BS90" s="225">
        <v>2</v>
      </c>
      <c r="BT90" s="230" t="s">
        <v>934</v>
      </c>
      <c r="BU90" s="227">
        <v>5392843</v>
      </c>
      <c r="BV90" s="228">
        <v>44378</v>
      </c>
      <c r="BW90" s="225">
        <v>4.5</v>
      </c>
      <c r="BX90" s="228">
        <v>44908</v>
      </c>
      <c r="BY90" s="226">
        <v>4</v>
      </c>
      <c r="BZ90" s="226"/>
      <c r="CA90" s="226"/>
      <c r="CB90" s="226"/>
      <c r="CC90" s="226"/>
      <c r="CD90" s="225">
        <v>150591233506</v>
      </c>
      <c r="CE90" s="225">
        <v>0</v>
      </c>
    </row>
    <row r="91" spans="1:83" ht="12.75" customHeight="1" thickBot="1" x14ac:dyDescent="0.3">
      <c r="A91" s="15" t="s">
        <v>356</v>
      </c>
      <c r="B91" s="15" t="s">
        <v>357</v>
      </c>
      <c r="C91" s="23" t="s">
        <v>480</v>
      </c>
      <c r="D91" s="41" t="s">
        <v>470</v>
      </c>
      <c r="E91" s="23" t="s">
        <v>164</v>
      </c>
      <c r="F91" s="23" t="s">
        <v>179</v>
      </c>
      <c r="G91" s="23">
        <v>2</v>
      </c>
      <c r="H91" s="23">
        <v>2</v>
      </c>
      <c r="I91" s="85" t="s">
        <v>558</v>
      </c>
      <c r="J91">
        <v>1997</v>
      </c>
      <c r="L91" s="5">
        <f t="shared" ref="L91:L99" si="37">2021-J91</f>
        <v>24</v>
      </c>
      <c r="M91" s="109" t="e">
        <f>+#REF!-L91</f>
        <v>#REF!</v>
      </c>
      <c r="N91" s="23">
        <v>52.2</v>
      </c>
      <c r="O91" s="23">
        <v>1.47</v>
      </c>
      <c r="P91" s="24">
        <f t="shared" si="36"/>
        <v>24.156601416076636</v>
      </c>
      <c r="Q91" s="24" t="s">
        <v>243</v>
      </c>
      <c r="R91" s="24" t="s">
        <v>485</v>
      </c>
      <c r="S91" s="23" t="s">
        <v>179</v>
      </c>
      <c r="T91" s="45" t="s">
        <v>242</v>
      </c>
      <c r="U91" s="23" t="s">
        <v>212</v>
      </c>
      <c r="V91" s="18">
        <v>44385</v>
      </c>
      <c r="W91" s="15">
        <v>13.4</v>
      </c>
      <c r="X91" s="17" t="s">
        <v>477</v>
      </c>
      <c r="Y91" s="17" t="s">
        <v>584</v>
      </c>
      <c r="Z91" s="96" t="s">
        <v>590</v>
      </c>
      <c r="AA91" s="98" t="s">
        <v>569</v>
      </c>
      <c r="AB91" s="17">
        <v>3</v>
      </c>
      <c r="AC91" s="23" t="s">
        <v>245</v>
      </c>
      <c r="AD91" s="23" t="s">
        <v>642</v>
      </c>
      <c r="AE91" s="36">
        <v>30</v>
      </c>
      <c r="AF91" s="94">
        <v>15.6</v>
      </c>
      <c r="AG91" s="94">
        <f t="shared" si="31"/>
        <v>468</v>
      </c>
      <c r="AH91" s="88">
        <f t="shared" si="32"/>
        <v>4.645161290322581</v>
      </c>
      <c r="AI91" s="25" t="s">
        <v>242</v>
      </c>
      <c r="AJ91" s="23"/>
      <c r="AK91" s="44" t="s">
        <v>179</v>
      </c>
      <c r="AL91" s="23"/>
      <c r="AM91" s="91">
        <v>3.2199999999999999E-2</v>
      </c>
      <c r="AN91" s="91">
        <f t="shared" si="26"/>
        <v>0</v>
      </c>
      <c r="AO91" s="92">
        <f t="shared" si="27"/>
        <v>0</v>
      </c>
      <c r="AP91" s="23" t="s">
        <v>242</v>
      </c>
      <c r="AQ91" s="23"/>
      <c r="AR91" s="87"/>
      <c r="AS91" s="87"/>
      <c r="AT91" s="88">
        <f t="shared" si="28"/>
        <v>0</v>
      </c>
      <c r="AU91" s="23" t="s">
        <v>242</v>
      </c>
      <c r="AV91" s="44"/>
      <c r="AW91" s="23"/>
      <c r="AX91" s="23" t="s">
        <v>249</v>
      </c>
      <c r="AY91" s="23">
        <v>100</v>
      </c>
      <c r="AZ91" s="87">
        <v>5.4</v>
      </c>
      <c r="BA91" s="87">
        <f>+AY91*AZ91</f>
        <v>540</v>
      </c>
      <c r="BB91" s="88">
        <f t="shared" si="29"/>
        <v>5.3598014888337469</v>
      </c>
      <c r="BC91" s="23" t="s">
        <v>243</v>
      </c>
      <c r="BD91" s="23"/>
      <c r="BE91" s="23"/>
      <c r="BI91" s="90">
        <f t="shared" si="30"/>
        <v>0</v>
      </c>
      <c r="BJ91" s="26">
        <f t="shared" si="35"/>
        <v>1</v>
      </c>
      <c r="BK91" s="26">
        <v>1</v>
      </c>
      <c r="BL91" s="26" t="s">
        <v>848</v>
      </c>
      <c r="BM91" s="26">
        <v>130</v>
      </c>
      <c r="BN91" s="26">
        <v>80</v>
      </c>
      <c r="BO91" s="26">
        <v>100</v>
      </c>
      <c r="BP91" s="26">
        <v>0</v>
      </c>
      <c r="BQ91" s="26">
        <v>0</v>
      </c>
      <c r="BR91" s="224">
        <v>35</v>
      </c>
      <c r="BS91" s="225">
        <v>1</v>
      </c>
      <c r="BT91" s="230" t="s">
        <v>938</v>
      </c>
      <c r="BU91" s="227">
        <v>5404485</v>
      </c>
      <c r="BV91" s="228">
        <v>44385</v>
      </c>
      <c r="BW91" s="225">
        <v>13.4</v>
      </c>
      <c r="BX91" s="228">
        <v>44942</v>
      </c>
      <c r="BY91" s="230">
        <v>11.2</v>
      </c>
      <c r="BZ91" s="226"/>
      <c r="CA91" s="226"/>
      <c r="CB91" s="226"/>
      <c r="CC91" s="226"/>
      <c r="CD91" s="225">
        <v>150325080708</v>
      </c>
      <c r="CE91" s="225">
        <v>0</v>
      </c>
    </row>
    <row r="92" spans="1:83" ht="12.75" customHeight="1" thickBot="1" x14ac:dyDescent="0.3">
      <c r="A92" s="15" t="s">
        <v>41</v>
      </c>
      <c r="B92" s="15" t="s">
        <v>116</v>
      </c>
      <c r="C92" s="23" t="s">
        <v>480</v>
      </c>
      <c r="D92" s="41" t="s">
        <v>469</v>
      </c>
      <c r="E92" s="23" t="s">
        <v>163</v>
      </c>
      <c r="F92" s="23" t="s">
        <v>242</v>
      </c>
      <c r="G92" s="23">
        <v>2</v>
      </c>
      <c r="H92" s="23">
        <v>1</v>
      </c>
      <c r="I92" s="85" t="s">
        <v>557</v>
      </c>
      <c r="J92">
        <v>2001</v>
      </c>
      <c r="L92" s="5">
        <f t="shared" si="37"/>
        <v>20</v>
      </c>
      <c r="M92" s="109" t="e">
        <f>+#REF!-L92</f>
        <v>#REF!</v>
      </c>
      <c r="N92" s="23">
        <v>70</v>
      </c>
      <c r="O92" s="23">
        <v>1.59</v>
      </c>
      <c r="P92" s="24">
        <f t="shared" si="36"/>
        <v>27.688778133776353</v>
      </c>
      <c r="Q92" s="24" t="s">
        <v>242</v>
      </c>
      <c r="R92" s="24" t="s">
        <v>486</v>
      </c>
      <c r="S92" s="23" t="s">
        <v>243</v>
      </c>
      <c r="T92" s="45" t="s">
        <v>242</v>
      </c>
      <c r="U92" s="23" t="s">
        <v>212</v>
      </c>
      <c r="V92" s="16">
        <v>44378</v>
      </c>
      <c r="W92" s="15">
        <v>7.3</v>
      </c>
      <c r="X92" s="17" t="s">
        <v>475</v>
      </c>
      <c r="Y92" s="17" t="s">
        <v>583</v>
      </c>
      <c r="Z92" s="97" t="s">
        <v>505</v>
      </c>
      <c r="AA92" s="99" t="s">
        <v>567</v>
      </c>
      <c r="AB92" s="15">
        <v>1</v>
      </c>
      <c r="AC92" s="23" t="s">
        <v>244</v>
      </c>
      <c r="AD92" s="23" t="s">
        <v>642</v>
      </c>
      <c r="AE92" s="36">
        <v>16</v>
      </c>
      <c r="AF92" s="94">
        <v>14.66</v>
      </c>
      <c r="AG92" s="94">
        <f t="shared" si="31"/>
        <v>234.56</v>
      </c>
      <c r="AH92" s="88">
        <f t="shared" si="32"/>
        <v>2.3281389578163774</v>
      </c>
      <c r="AI92" s="25" t="s">
        <v>243</v>
      </c>
      <c r="AJ92" s="23">
        <v>10</v>
      </c>
      <c r="AK92" s="44" t="s">
        <v>179</v>
      </c>
      <c r="AL92" s="23"/>
      <c r="AM92" s="91">
        <v>3.2199999999999999E-2</v>
      </c>
      <c r="AN92" s="91">
        <f t="shared" si="26"/>
        <v>0</v>
      </c>
      <c r="AO92" s="92">
        <f t="shared" si="27"/>
        <v>0</v>
      </c>
      <c r="AP92" s="23" t="s">
        <v>242</v>
      </c>
      <c r="AQ92" s="23"/>
      <c r="AR92" s="87"/>
      <c r="AS92" s="87"/>
      <c r="AT92" s="88">
        <f t="shared" si="28"/>
        <v>0</v>
      </c>
      <c r="AU92" s="23" t="s">
        <v>242</v>
      </c>
      <c r="AV92" s="44"/>
      <c r="AW92" s="23"/>
      <c r="AX92" s="44"/>
      <c r="AY92" s="44"/>
      <c r="AZ92" s="87"/>
      <c r="BA92" s="87"/>
      <c r="BB92" s="88">
        <f t="shared" si="29"/>
        <v>0</v>
      </c>
      <c r="BC92" s="23" t="s">
        <v>242</v>
      </c>
      <c r="BD92" s="23"/>
      <c r="BE92" s="23"/>
      <c r="BI92" s="90">
        <f t="shared" si="30"/>
        <v>0</v>
      </c>
      <c r="BJ92" s="26">
        <f t="shared" si="35"/>
        <v>0</v>
      </c>
      <c r="BK92" s="26">
        <v>0</v>
      </c>
      <c r="BM92" s="26">
        <v>150</v>
      </c>
      <c r="BN92" s="26">
        <v>80</v>
      </c>
      <c r="BO92" s="26">
        <v>107</v>
      </c>
      <c r="BP92" s="26">
        <v>0</v>
      </c>
      <c r="BQ92" s="26">
        <v>0</v>
      </c>
      <c r="BR92" s="224">
        <v>34</v>
      </c>
      <c r="BS92" s="225">
        <v>2</v>
      </c>
      <c r="BT92" s="230" t="s">
        <v>936</v>
      </c>
      <c r="BU92" s="227">
        <v>16923811</v>
      </c>
      <c r="BV92" s="228">
        <v>44378</v>
      </c>
      <c r="BW92" s="225">
        <v>7.3</v>
      </c>
      <c r="BX92" s="228">
        <v>44910</v>
      </c>
      <c r="BY92" s="226">
        <v>5.6</v>
      </c>
      <c r="BZ92" s="226"/>
      <c r="CA92" s="226"/>
      <c r="CB92" s="226"/>
      <c r="CC92" s="226"/>
      <c r="CD92" s="225">
        <v>150491608303</v>
      </c>
      <c r="CE92" s="225">
        <v>0</v>
      </c>
    </row>
    <row r="93" spans="1:83" ht="12.75" customHeight="1" thickBot="1" x14ac:dyDescent="0.3">
      <c r="A93" s="15" t="s">
        <v>42</v>
      </c>
      <c r="B93" s="15" t="s">
        <v>117</v>
      </c>
      <c r="C93" s="23" t="s">
        <v>479</v>
      </c>
      <c r="D93" s="41" t="s">
        <v>469</v>
      </c>
      <c r="E93" s="23" t="s">
        <v>164</v>
      </c>
      <c r="F93" s="23" t="s">
        <v>179</v>
      </c>
      <c r="G93" s="23">
        <v>4</v>
      </c>
      <c r="H93" s="23">
        <v>1</v>
      </c>
      <c r="I93" s="85" t="s">
        <v>557</v>
      </c>
      <c r="J93">
        <v>1990</v>
      </c>
      <c r="L93" s="5">
        <f t="shared" si="37"/>
        <v>31</v>
      </c>
      <c r="M93" s="109" t="e">
        <f>+#REF!-L93</f>
        <v>#REF!</v>
      </c>
      <c r="N93" s="23">
        <v>84.5</v>
      </c>
      <c r="O93" s="23">
        <v>1.6</v>
      </c>
      <c r="P93" s="24">
        <f t="shared" si="36"/>
        <v>33.007812499999993</v>
      </c>
      <c r="Q93" s="24" t="s">
        <v>243</v>
      </c>
      <c r="R93" s="24" t="s">
        <v>487</v>
      </c>
      <c r="S93" s="23" t="s">
        <v>177</v>
      </c>
      <c r="T93" s="45" t="s">
        <v>242</v>
      </c>
      <c r="U93" s="23" t="s">
        <v>212</v>
      </c>
      <c r="V93" s="16">
        <v>44403</v>
      </c>
      <c r="W93" s="15">
        <v>8.1999999999999993</v>
      </c>
      <c r="X93" s="17" t="s">
        <v>475</v>
      </c>
      <c r="Y93" s="17" t="s">
        <v>584</v>
      </c>
      <c r="Z93" s="96" t="s">
        <v>506</v>
      </c>
      <c r="AA93" s="98" t="s">
        <v>569</v>
      </c>
      <c r="AB93" s="17">
        <v>2</v>
      </c>
      <c r="AC93" s="23" t="s">
        <v>244</v>
      </c>
      <c r="AD93" s="23" t="s">
        <v>642</v>
      </c>
      <c r="AE93" s="36">
        <v>31</v>
      </c>
      <c r="AF93" s="94">
        <v>14.66</v>
      </c>
      <c r="AG93" s="94">
        <f t="shared" si="31"/>
        <v>454.46</v>
      </c>
      <c r="AH93" s="88">
        <f t="shared" si="32"/>
        <v>4.5107692307692302</v>
      </c>
      <c r="AI93" s="25" t="s">
        <v>242</v>
      </c>
      <c r="AJ93" s="23"/>
      <c r="AK93" s="23" t="s">
        <v>247</v>
      </c>
      <c r="AL93" s="23">
        <v>1000</v>
      </c>
      <c r="AM93" s="91">
        <v>3.2199999999999999E-2</v>
      </c>
      <c r="AN93" s="91">
        <f t="shared" si="26"/>
        <v>32.200000000000003</v>
      </c>
      <c r="AO93" s="92">
        <f t="shared" si="27"/>
        <v>0.31960297766749385</v>
      </c>
      <c r="AP93" s="23" t="s">
        <v>243</v>
      </c>
      <c r="AQ93" s="23"/>
      <c r="AR93" s="87"/>
      <c r="AS93" s="87"/>
      <c r="AT93" s="88">
        <f t="shared" si="28"/>
        <v>0</v>
      </c>
      <c r="AU93" s="23" t="s">
        <v>242</v>
      </c>
      <c r="AV93" s="44"/>
      <c r="AW93" s="23"/>
      <c r="AX93" s="44"/>
      <c r="AY93" s="44"/>
      <c r="AZ93" s="87"/>
      <c r="BA93" s="87"/>
      <c r="BB93" s="88">
        <f t="shared" si="29"/>
        <v>0</v>
      </c>
      <c r="BC93" s="23" t="s">
        <v>242</v>
      </c>
      <c r="BD93" s="23"/>
      <c r="BE93" s="23"/>
      <c r="BI93" s="90">
        <f t="shared" si="30"/>
        <v>0</v>
      </c>
      <c r="BJ93" s="26">
        <f t="shared" si="35"/>
        <v>1</v>
      </c>
      <c r="BK93" s="26">
        <v>1</v>
      </c>
      <c r="BL93" s="26" t="s">
        <v>850</v>
      </c>
      <c r="BM93" s="26">
        <v>132</v>
      </c>
      <c r="BN93" s="26">
        <v>75</v>
      </c>
      <c r="BO93" s="26">
        <v>124</v>
      </c>
      <c r="BP93" s="26">
        <v>0</v>
      </c>
      <c r="BQ93" s="26">
        <v>1</v>
      </c>
      <c r="BR93" s="224">
        <v>36</v>
      </c>
      <c r="BS93" s="225">
        <v>2</v>
      </c>
      <c r="BT93" s="230" t="s">
        <v>940</v>
      </c>
      <c r="BU93" s="227">
        <v>12458379</v>
      </c>
      <c r="BV93" s="228">
        <v>44403</v>
      </c>
      <c r="BW93" s="225">
        <v>8.1999999999999993</v>
      </c>
      <c r="BX93" s="226"/>
      <c r="BY93" s="226"/>
      <c r="BZ93" s="226"/>
      <c r="CA93" s="226"/>
      <c r="CB93" s="226"/>
      <c r="CC93" s="226"/>
      <c r="CD93" s="225">
        <v>150664002308</v>
      </c>
      <c r="CE93" s="225">
        <v>0</v>
      </c>
    </row>
    <row r="94" spans="1:83" ht="12.75" customHeight="1" thickBot="1" x14ac:dyDescent="0.3">
      <c r="A94" s="15" t="s">
        <v>26</v>
      </c>
      <c r="B94" s="15" t="s">
        <v>99</v>
      </c>
      <c r="C94" s="23" t="s">
        <v>479</v>
      </c>
      <c r="D94" s="41" t="s">
        <v>469</v>
      </c>
      <c r="E94" s="23" t="s">
        <v>163</v>
      </c>
      <c r="F94" s="23" t="s">
        <v>242</v>
      </c>
      <c r="G94" s="23">
        <v>2</v>
      </c>
      <c r="H94" s="23">
        <v>2</v>
      </c>
      <c r="I94" s="85" t="s">
        <v>558</v>
      </c>
      <c r="J94">
        <v>1996</v>
      </c>
      <c r="L94" s="5">
        <f t="shared" si="37"/>
        <v>25</v>
      </c>
      <c r="M94" s="109" t="e">
        <f>+#REF!-L94</f>
        <v>#REF!</v>
      </c>
      <c r="N94" s="23">
        <v>120</v>
      </c>
      <c r="O94" s="23">
        <v>1.72</v>
      </c>
      <c r="P94" s="24">
        <f t="shared" si="36"/>
        <v>40.562466197944836</v>
      </c>
      <c r="Q94" s="24" t="s">
        <v>243</v>
      </c>
      <c r="R94" s="24" t="s">
        <v>487</v>
      </c>
      <c r="S94" s="23" t="s">
        <v>243</v>
      </c>
      <c r="T94" s="45" t="s">
        <v>242</v>
      </c>
      <c r="U94" s="23" t="s">
        <v>212</v>
      </c>
      <c r="V94" s="18">
        <v>44434</v>
      </c>
      <c r="W94" s="17">
        <v>6.3</v>
      </c>
      <c r="X94" s="15" t="s">
        <v>474</v>
      </c>
      <c r="Y94" s="15" t="s">
        <v>582</v>
      </c>
      <c r="Z94" s="97" t="s">
        <v>505</v>
      </c>
      <c r="AA94" s="99" t="s">
        <v>566</v>
      </c>
      <c r="AB94" s="15">
        <v>1</v>
      </c>
      <c r="AC94" s="23" t="s">
        <v>245</v>
      </c>
      <c r="AD94" s="23" t="s">
        <v>642</v>
      </c>
      <c r="AE94" s="36">
        <v>52</v>
      </c>
      <c r="AF94" s="94">
        <v>15.6</v>
      </c>
      <c r="AG94" s="94">
        <f t="shared" si="31"/>
        <v>811.19999999999993</v>
      </c>
      <c r="AH94" s="88">
        <f t="shared" si="32"/>
        <v>8.0516129032258057</v>
      </c>
      <c r="AI94" s="25" t="s">
        <v>242</v>
      </c>
      <c r="AJ94" s="23"/>
      <c r="AK94" s="23" t="s">
        <v>247</v>
      </c>
      <c r="AL94" s="23">
        <v>1700</v>
      </c>
      <c r="AM94" s="91">
        <v>3.2199999999999999E-2</v>
      </c>
      <c r="AN94" s="91">
        <f t="shared" si="26"/>
        <v>54.74</v>
      </c>
      <c r="AO94" s="92">
        <f t="shared" si="27"/>
        <v>0.54332506203473951</v>
      </c>
      <c r="AP94" s="23" t="s">
        <v>243</v>
      </c>
      <c r="AQ94" s="23"/>
      <c r="AR94" s="87"/>
      <c r="AS94" s="87"/>
      <c r="AT94" s="88">
        <f t="shared" si="28"/>
        <v>0</v>
      </c>
      <c r="AU94" s="23" t="s">
        <v>242</v>
      </c>
      <c r="AV94" s="44"/>
      <c r="AW94" s="23"/>
      <c r="AX94" s="23" t="s">
        <v>249</v>
      </c>
      <c r="AY94" s="23">
        <v>100</v>
      </c>
      <c r="AZ94" s="87">
        <v>5.4</v>
      </c>
      <c r="BA94" s="87">
        <f>+AY94*AZ94</f>
        <v>540</v>
      </c>
      <c r="BB94" s="88">
        <f t="shared" si="29"/>
        <v>5.3598014888337469</v>
      </c>
      <c r="BC94" s="23" t="s">
        <v>243</v>
      </c>
      <c r="BD94" s="23"/>
      <c r="BE94" s="23"/>
      <c r="BI94" s="90">
        <f t="shared" si="30"/>
        <v>0</v>
      </c>
      <c r="BJ94" s="26">
        <f t="shared" si="35"/>
        <v>2</v>
      </c>
      <c r="BK94" s="26">
        <v>1</v>
      </c>
      <c r="BL94" s="26" t="s">
        <v>850</v>
      </c>
      <c r="BM94" s="26">
        <v>130</v>
      </c>
      <c r="BN94" s="26">
        <v>80</v>
      </c>
      <c r="BO94" s="26">
        <v>134</v>
      </c>
      <c r="BP94" s="26">
        <v>0</v>
      </c>
      <c r="BQ94" s="26">
        <v>0</v>
      </c>
      <c r="BR94" s="224">
        <v>159</v>
      </c>
      <c r="BS94" s="225">
        <v>1</v>
      </c>
      <c r="BT94" s="230" t="s">
        <v>1187</v>
      </c>
      <c r="BU94" s="227">
        <v>11153775</v>
      </c>
      <c r="BV94" s="228">
        <v>44434</v>
      </c>
      <c r="BW94" s="225">
        <v>6.3</v>
      </c>
      <c r="BX94" s="228">
        <v>44949</v>
      </c>
      <c r="BY94" s="226">
        <v>6.4</v>
      </c>
      <c r="BZ94" s="226"/>
      <c r="CA94" s="226"/>
      <c r="CB94" s="226"/>
      <c r="CC94" s="226"/>
      <c r="CD94" s="225">
        <v>150744740104</v>
      </c>
      <c r="CE94" s="225">
        <v>0</v>
      </c>
    </row>
    <row r="95" spans="1:83" ht="12.75" customHeight="1" thickBot="1" x14ac:dyDescent="0.3">
      <c r="A95" s="15" t="s">
        <v>358</v>
      </c>
      <c r="B95" s="15" t="s">
        <v>359</v>
      </c>
      <c r="C95" s="23" t="s">
        <v>482</v>
      </c>
      <c r="D95" s="41" t="s">
        <v>470</v>
      </c>
      <c r="E95" s="23" t="s">
        <v>164</v>
      </c>
      <c r="F95" s="23" t="s">
        <v>179</v>
      </c>
      <c r="G95" s="23">
        <v>2</v>
      </c>
      <c r="H95" s="23">
        <v>1</v>
      </c>
      <c r="I95" s="85" t="s">
        <v>557</v>
      </c>
      <c r="J95">
        <v>2005</v>
      </c>
      <c r="L95" s="5">
        <f t="shared" si="37"/>
        <v>16</v>
      </c>
      <c r="M95" s="109" t="e">
        <f>+#REF!-L95</f>
        <v>#REF!</v>
      </c>
      <c r="N95" s="23">
        <v>90</v>
      </c>
      <c r="O95" s="23">
        <v>1.57</v>
      </c>
      <c r="P95" s="24">
        <f t="shared" si="36"/>
        <v>36.51263742951032</v>
      </c>
      <c r="Q95" s="24" t="s">
        <v>243</v>
      </c>
      <c r="R95" s="24" t="s">
        <v>487</v>
      </c>
      <c r="S95" s="23" t="s">
        <v>177</v>
      </c>
      <c r="T95" s="45" t="s">
        <v>242</v>
      </c>
      <c r="U95" s="23" t="s">
        <v>212</v>
      </c>
      <c r="V95" s="18">
        <v>44434</v>
      </c>
      <c r="W95" s="17">
        <v>9.1</v>
      </c>
      <c r="X95" s="17" t="s">
        <v>476</v>
      </c>
      <c r="Y95" s="17" t="s">
        <v>584</v>
      </c>
      <c r="Z95" s="96" t="s">
        <v>506</v>
      </c>
      <c r="AA95" s="98" t="s">
        <v>569</v>
      </c>
      <c r="AB95" s="17">
        <v>2</v>
      </c>
      <c r="AC95" s="23" t="s">
        <v>244</v>
      </c>
      <c r="AD95" s="23" t="s">
        <v>642</v>
      </c>
      <c r="AE95" s="36">
        <v>50</v>
      </c>
      <c r="AF95" s="94">
        <v>14.66</v>
      </c>
      <c r="AG95" s="94">
        <f t="shared" si="31"/>
        <v>733</v>
      </c>
      <c r="AH95" s="88">
        <f t="shared" si="32"/>
        <v>7.2754342431761785</v>
      </c>
      <c r="AI95" s="25" t="s">
        <v>242</v>
      </c>
      <c r="AJ95" s="23"/>
      <c r="AK95" s="23" t="s">
        <v>247</v>
      </c>
      <c r="AL95" s="23">
        <v>2000</v>
      </c>
      <c r="AM95" s="91">
        <v>3.2199999999999999E-2</v>
      </c>
      <c r="AN95" s="91">
        <f t="shared" si="26"/>
        <v>64.400000000000006</v>
      </c>
      <c r="AO95" s="92">
        <f t="shared" si="27"/>
        <v>0.6392059553349877</v>
      </c>
      <c r="AP95" s="23" t="s">
        <v>243</v>
      </c>
      <c r="AQ95" s="23"/>
      <c r="AR95" s="87"/>
      <c r="AS95" s="87"/>
      <c r="AT95" s="88">
        <f t="shared" si="28"/>
        <v>0</v>
      </c>
      <c r="AU95" s="23" t="s">
        <v>242</v>
      </c>
      <c r="AV95" s="44"/>
      <c r="AW95" s="23"/>
      <c r="AX95" s="44"/>
      <c r="AY95" s="44"/>
      <c r="AZ95" s="87"/>
      <c r="BA95" s="87"/>
      <c r="BB95" s="88">
        <f t="shared" si="29"/>
        <v>0</v>
      </c>
      <c r="BC95" s="23" t="s">
        <v>242</v>
      </c>
      <c r="BD95" s="23"/>
      <c r="BE95" s="23"/>
      <c r="BI95" s="90">
        <f t="shared" si="30"/>
        <v>0</v>
      </c>
      <c r="BJ95" s="26">
        <f t="shared" si="35"/>
        <v>1</v>
      </c>
      <c r="BK95" s="26">
        <v>0</v>
      </c>
      <c r="BL95" s="26" t="s">
        <v>848</v>
      </c>
      <c r="BM95" s="26">
        <v>180</v>
      </c>
      <c r="BN95" s="26">
        <v>80</v>
      </c>
      <c r="BO95" s="26">
        <v>115</v>
      </c>
      <c r="BP95" s="26">
        <v>0</v>
      </c>
      <c r="BQ95" s="26">
        <v>0</v>
      </c>
      <c r="BR95" s="224">
        <v>160</v>
      </c>
      <c r="BS95" s="225">
        <v>1</v>
      </c>
      <c r="BT95" s="230" t="s">
        <v>1189</v>
      </c>
      <c r="BU95" s="232"/>
      <c r="BV95" s="228">
        <v>44434</v>
      </c>
      <c r="BW95" s="225">
        <v>9.1</v>
      </c>
      <c r="BX95" s="226"/>
      <c r="BY95" s="226"/>
      <c r="BZ95" s="226"/>
      <c r="CA95" s="226"/>
      <c r="CB95" s="226"/>
      <c r="CC95" s="226"/>
      <c r="CD95" s="225">
        <v>150315626506</v>
      </c>
      <c r="CE95" s="225">
        <v>0</v>
      </c>
    </row>
    <row r="96" spans="1:83" ht="15" customHeight="1" thickBot="1" x14ac:dyDescent="0.3">
      <c r="A96" s="15" t="s">
        <v>27</v>
      </c>
      <c r="B96" s="15" t="s">
        <v>118</v>
      </c>
      <c r="C96" s="23" t="s">
        <v>482</v>
      </c>
      <c r="D96" s="41" t="s">
        <v>470</v>
      </c>
      <c r="E96" s="23" t="s">
        <v>164</v>
      </c>
      <c r="F96" s="23" t="s">
        <v>243</v>
      </c>
      <c r="G96" s="23">
        <v>1</v>
      </c>
      <c r="H96" s="23">
        <v>2</v>
      </c>
      <c r="I96" s="85" t="s">
        <v>558</v>
      </c>
      <c r="J96">
        <v>1990</v>
      </c>
      <c r="L96" s="5">
        <f t="shared" si="37"/>
        <v>31</v>
      </c>
      <c r="M96" s="109" t="e">
        <f>+#REF!-L96</f>
        <v>#REF!</v>
      </c>
      <c r="N96" s="23">
        <v>85</v>
      </c>
      <c r="O96" s="23">
        <v>1.57</v>
      </c>
      <c r="P96" s="24">
        <f t="shared" si="36"/>
        <v>34.484157572315304</v>
      </c>
      <c r="Q96" s="24" t="s">
        <v>242</v>
      </c>
      <c r="R96" s="24" t="s">
        <v>487</v>
      </c>
      <c r="S96" s="23" t="s">
        <v>243</v>
      </c>
      <c r="T96" s="45" t="s">
        <v>242</v>
      </c>
      <c r="U96" s="23" t="s">
        <v>212</v>
      </c>
      <c r="V96" s="16">
        <v>44378</v>
      </c>
      <c r="W96" s="15">
        <v>13.3</v>
      </c>
      <c r="X96" s="17" t="s">
        <v>477</v>
      </c>
      <c r="Y96" s="17" t="s">
        <v>584</v>
      </c>
      <c r="Z96" s="96" t="s">
        <v>590</v>
      </c>
      <c r="AA96" s="98" t="s">
        <v>569</v>
      </c>
      <c r="AB96" s="17">
        <v>3</v>
      </c>
      <c r="AC96" s="23" t="s">
        <v>244</v>
      </c>
      <c r="AD96" s="23" t="s">
        <v>642</v>
      </c>
      <c r="AE96" s="36">
        <v>20</v>
      </c>
      <c r="AF96" s="94">
        <v>14.66</v>
      </c>
      <c r="AG96" s="94">
        <f t="shared" si="31"/>
        <v>293.2</v>
      </c>
      <c r="AH96" s="88">
        <f t="shared" si="32"/>
        <v>2.9101736972704715</v>
      </c>
      <c r="AI96" s="25" t="s">
        <v>243</v>
      </c>
      <c r="AJ96" s="23">
        <v>20</v>
      </c>
      <c r="AK96" s="44" t="s">
        <v>179</v>
      </c>
      <c r="AL96" s="23"/>
      <c r="AM96" s="91">
        <v>3.2199999999999999E-2</v>
      </c>
      <c r="AN96" s="91">
        <f t="shared" si="26"/>
        <v>0</v>
      </c>
      <c r="AO96" s="92">
        <f t="shared" si="27"/>
        <v>0</v>
      </c>
      <c r="AP96" s="23" t="s">
        <v>242</v>
      </c>
      <c r="AQ96" s="23"/>
      <c r="AR96" s="87"/>
      <c r="AS96" s="87"/>
      <c r="AT96" s="88">
        <f t="shared" si="28"/>
        <v>0</v>
      </c>
      <c r="AU96" s="23" t="s">
        <v>242</v>
      </c>
      <c r="AV96" s="44"/>
      <c r="AW96" s="23"/>
      <c r="AX96" s="23" t="s">
        <v>249</v>
      </c>
      <c r="AY96" s="23">
        <v>100</v>
      </c>
      <c r="AZ96" s="87">
        <v>5.4</v>
      </c>
      <c r="BA96" s="87">
        <f>+AY96*AZ96</f>
        <v>540</v>
      </c>
      <c r="BB96" s="88">
        <f t="shared" si="29"/>
        <v>5.3598014888337469</v>
      </c>
      <c r="BC96" s="23" t="s">
        <v>243</v>
      </c>
      <c r="BD96" s="23"/>
      <c r="BE96" s="23"/>
      <c r="BI96" s="90">
        <f t="shared" si="30"/>
        <v>0</v>
      </c>
      <c r="BJ96" s="26">
        <f t="shared" si="35"/>
        <v>1</v>
      </c>
      <c r="BK96" s="26">
        <v>1</v>
      </c>
      <c r="BL96" s="26" t="s">
        <v>848</v>
      </c>
      <c r="BM96" s="26">
        <v>150</v>
      </c>
      <c r="BN96" s="26">
        <v>80</v>
      </c>
      <c r="BO96" s="26">
        <v>123</v>
      </c>
      <c r="BP96" s="26">
        <v>0</v>
      </c>
      <c r="BQ96" s="26">
        <v>0</v>
      </c>
      <c r="BR96" s="224">
        <v>37</v>
      </c>
      <c r="BS96" s="225">
        <v>2</v>
      </c>
      <c r="BT96" s="230" t="s">
        <v>942</v>
      </c>
      <c r="BU96" s="227">
        <v>4745437</v>
      </c>
      <c r="BV96" s="228">
        <v>44378</v>
      </c>
      <c r="BW96" s="225">
        <v>13.3</v>
      </c>
      <c r="BX96" s="226"/>
      <c r="BY96" s="226"/>
      <c r="BZ96" s="226"/>
      <c r="CA96" s="226"/>
      <c r="CB96" s="226"/>
      <c r="CC96" s="226"/>
      <c r="CD96" s="225">
        <v>150272558707</v>
      </c>
      <c r="CE96" s="225">
        <v>0</v>
      </c>
    </row>
    <row r="97" spans="1:83" ht="15" customHeight="1" thickBot="1" x14ac:dyDescent="0.3">
      <c r="A97" s="15" t="s">
        <v>360</v>
      </c>
      <c r="B97" s="15" t="s">
        <v>361</v>
      </c>
      <c r="C97" s="23" t="s">
        <v>479</v>
      </c>
      <c r="D97" s="41" t="s">
        <v>469</v>
      </c>
      <c r="E97" s="23" t="s">
        <v>163</v>
      </c>
      <c r="F97" s="23" t="s">
        <v>179</v>
      </c>
      <c r="G97" s="23">
        <v>3</v>
      </c>
      <c r="H97" s="23">
        <v>1</v>
      </c>
      <c r="I97" s="85" t="s">
        <v>557</v>
      </c>
      <c r="J97">
        <v>1993</v>
      </c>
      <c r="L97" s="5">
        <f t="shared" si="37"/>
        <v>28</v>
      </c>
      <c r="M97" s="109" t="e">
        <f>+#REF!-L97</f>
        <v>#REF!</v>
      </c>
      <c r="N97" s="23">
        <v>68.7</v>
      </c>
      <c r="O97" s="23">
        <v>1.58</v>
      </c>
      <c r="P97" s="24">
        <f>N97/(O97*O97)</f>
        <v>27.519628264701165</v>
      </c>
      <c r="Q97" s="24" t="s">
        <v>242</v>
      </c>
      <c r="R97" s="24" t="s">
        <v>486</v>
      </c>
      <c r="S97" s="23" t="s">
        <v>177</v>
      </c>
      <c r="T97" s="45" t="s">
        <v>242</v>
      </c>
      <c r="U97" s="23" t="s">
        <v>212</v>
      </c>
      <c r="V97" s="18">
        <v>44441</v>
      </c>
      <c r="W97" s="17">
        <v>7.3</v>
      </c>
      <c r="X97" s="17" t="s">
        <v>475</v>
      </c>
      <c r="Y97" s="17" t="s">
        <v>583</v>
      </c>
      <c r="Z97" s="97" t="s">
        <v>505</v>
      </c>
      <c r="AA97" s="99" t="s">
        <v>567</v>
      </c>
      <c r="AB97" s="15">
        <v>1</v>
      </c>
      <c r="AC97" s="23" t="s">
        <v>182</v>
      </c>
      <c r="AD97" s="23" t="s">
        <v>182</v>
      </c>
      <c r="AE97" s="36">
        <v>31</v>
      </c>
      <c r="AF97" s="94">
        <v>7.21</v>
      </c>
      <c r="AG97" s="94">
        <f t="shared" si="31"/>
        <v>223.51</v>
      </c>
      <c r="AH97" s="88">
        <f t="shared" si="32"/>
        <v>2.2184615384615385</v>
      </c>
      <c r="AI97" s="25" t="s">
        <v>242</v>
      </c>
      <c r="AJ97" s="23"/>
      <c r="AK97" s="23" t="s">
        <v>247</v>
      </c>
      <c r="AL97" s="23">
        <v>1700</v>
      </c>
      <c r="AM97" s="91">
        <v>3.2199999999999999E-2</v>
      </c>
      <c r="AN97" s="91">
        <f t="shared" si="26"/>
        <v>54.74</v>
      </c>
      <c r="AO97" s="92">
        <f t="shared" si="27"/>
        <v>0.54332506203473951</v>
      </c>
      <c r="AP97" s="23" t="s">
        <v>243</v>
      </c>
      <c r="AQ97" s="23"/>
      <c r="AR97" s="87"/>
      <c r="AS97" s="87"/>
      <c r="AT97" s="88">
        <f t="shared" si="28"/>
        <v>0</v>
      </c>
      <c r="AU97" s="23" t="s">
        <v>242</v>
      </c>
      <c r="AV97" s="44"/>
      <c r="AW97" s="23"/>
      <c r="AX97" s="44"/>
      <c r="AY97" s="44"/>
      <c r="AZ97" s="87"/>
      <c r="BA97" s="87"/>
      <c r="BB97" s="88">
        <f t="shared" si="29"/>
        <v>0</v>
      </c>
      <c r="BC97" s="23" t="s">
        <v>242</v>
      </c>
      <c r="BD97" s="23"/>
      <c r="BE97" s="23"/>
      <c r="BI97" s="90">
        <f t="shared" si="30"/>
        <v>0</v>
      </c>
      <c r="BJ97" s="26">
        <f t="shared" si="35"/>
        <v>1</v>
      </c>
      <c r="BK97" s="26">
        <v>0</v>
      </c>
      <c r="BL97" s="26" t="s">
        <v>850</v>
      </c>
      <c r="BM97" s="26">
        <v>130</v>
      </c>
      <c r="BN97" s="26">
        <v>70</v>
      </c>
      <c r="BO97" s="26">
        <v>100</v>
      </c>
      <c r="BP97" s="26">
        <v>0</v>
      </c>
      <c r="BQ97" s="26">
        <v>0</v>
      </c>
      <c r="BR97" s="224">
        <v>161</v>
      </c>
      <c r="BS97" s="225">
        <v>1</v>
      </c>
      <c r="BT97" s="230" t="s">
        <v>1191</v>
      </c>
      <c r="BU97" s="227">
        <v>92327045</v>
      </c>
      <c r="BV97" s="228">
        <v>44441</v>
      </c>
      <c r="BW97" s="225">
        <v>7.3</v>
      </c>
      <c r="BX97" s="228">
        <v>44942</v>
      </c>
      <c r="BY97" s="230">
        <v>5.9</v>
      </c>
      <c r="BZ97" s="226"/>
      <c r="CA97" s="226"/>
      <c r="CB97" s="226"/>
      <c r="CC97" s="226"/>
      <c r="CD97" s="225">
        <v>150990216300</v>
      </c>
      <c r="CE97" s="225">
        <v>0</v>
      </c>
    </row>
    <row r="98" spans="1:83" ht="15" customHeight="1" thickBot="1" x14ac:dyDescent="0.3">
      <c r="A98" s="15" t="s">
        <v>9</v>
      </c>
      <c r="B98" s="15" t="s">
        <v>119</v>
      </c>
      <c r="C98" s="23" t="s">
        <v>480</v>
      </c>
      <c r="D98" s="41" t="s">
        <v>469</v>
      </c>
      <c r="E98" s="23" t="s">
        <v>163</v>
      </c>
      <c r="F98" s="23" t="s">
        <v>243</v>
      </c>
      <c r="G98" s="23">
        <v>1</v>
      </c>
      <c r="H98" s="23">
        <v>1</v>
      </c>
      <c r="I98" s="85" t="s">
        <v>557</v>
      </c>
      <c r="J98">
        <v>1995</v>
      </c>
      <c r="L98" s="5">
        <f t="shared" si="37"/>
        <v>26</v>
      </c>
      <c r="M98" s="109" t="e">
        <f>+#REF!-L98</f>
        <v>#REF!</v>
      </c>
      <c r="N98" s="23">
        <v>67</v>
      </c>
      <c r="O98" s="23">
        <v>1.68</v>
      </c>
      <c r="P98" s="24">
        <f t="shared" ref="P98:P104" si="38">N98/(O98*O98)</f>
        <v>23.738662131519277</v>
      </c>
      <c r="Q98" s="24" t="s">
        <v>242</v>
      </c>
      <c r="R98" s="24" t="s">
        <v>485</v>
      </c>
      <c r="S98" s="23" t="s">
        <v>242</v>
      </c>
      <c r="T98" s="45" t="s">
        <v>242</v>
      </c>
      <c r="U98" s="23" t="s">
        <v>212</v>
      </c>
      <c r="V98" s="16">
        <v>44378</v>
      </c>
      <c r="W98" s="15">
        <v>10.4</v>
      </c>
      <c r="X98" s="17" t="s">
        <v>476</v>
      </c>
      <c r="Y98" s="17" t="s">
        <v>584</v>
      </c>
      <c r="Z98" s="96" t="s">
        <v>590</v>
      </c>
      <c r="AA98" s="98" t="s">
        <v>569</v>
      </c>
      <c r="AB98" s="17">
        <v>2</v>
      </c>
      <c r="AC98" s="23" t="s">
        <v>245</v>
      </c>
      <c r="AD98" s="23" t="s">
        <v>642</v>
      </c>
      <c r="AE98" s="36">
        <v>40</v>
      </c>
      <c r="AF98" s="94">
        <v>15.6</v>
      </c>
      <c r="AG98" s="94">
        <f t="shared" si="31"/>
        <v>624</v>
      </c>
      <c r="AH98" s="88">
        <f t="shared" si="32"/>
        <v>6.193548387096774</v>
      </c>
      <c r="AI98" s="25" t="s">
        <v>243</v>
      </c>
      <c r="AJ98" s="23">
        <v>6</v>
      </c>
      <c r="AK98" s="23" t="s">
        <v>247</v>
      </c>
      <c r="AL98" s="23">
        <v>1700</v>
      </c>
      <c r="AM98" s="91">
        <v>3.2199999999999999E-2</v>
      </c>
      <c r="AN98" s="91">
        <f t="shared" ref="AN98:AN129" si="39">+AL98*AM98</f>
        <v>54.74</v>
      </c>
      <c r="AO98" s="92">
        <f t="shared" ref="AO98:AO129" si="40">+AN98/100.75</f>
        <v>0.54332506203473951</v>
      </c>
      <c r="AP98" s="23" t="s">
        <v>243</v>
      </c>
      <c r="AQ98" s="23"/>
      <c r="AR98" s="87"/>
      <c r="AS98" s="87"/>
      <c r="AT98" s="88">
        <f t="shared" ref="AT98:AT129" si="41">+AS98/100.75</f>
        <v>0</v>
      </c>
      <c r="AU98" s="23" t="s">
        <v>242</v>
      </c>
      <c r="AV98" s="44"/>
      <c r="AW98" s="23"/>
      <c r="AX98" s="44"/>
      <c r="AY98" s="44"/>
      <c r="AZ98" s="87"/>
      <c r="BA98" s="87"/>
      <c r="BB98" s="88">
        <f t="shared" ref="BB98:BB129" si="42">+BA98/100.75</f>
        <v>0</v>
      </c>
      <c r="BC98" s="23" t="s">
        <v>242</v>
      </c>
      <c r="BD98" s="23"/>
      <c r="BE98" s="23"/>
      <c r="BI98" s="90">
        <f t="shared" ref="BI98:BI129" si="43">+BH98/100.75</f>
        <v>0</v>
      </c>
      <c r="BJ98" s="26">
        <f t="shared" si="35"/>
        <v>1</v>
      </c>
      <c r="BK98" s="26">
        <v>1</v>
      </c>
      <c r="BL98" s="26" t="s">
        <v>848</v>
      </c>
      <c r="BM98" s="26">
        <v>130</v>
      </c>
      <c r="BN98" s="26">
        <v>70</v>
      </c>
      <c r="BO98" s="26">
        <v>97</v>
      </c>
      <c r="BP98" s="26">
        <v>0</v>
      </c>
      <c r="BQ98" s="26">
        <v>1</v>
      </c>
      <c r="BR98" s="224">
        <v>40</v>
      </c>
      <c r="BS98" s="225">
        <v>2</v>
      </c>
      <c r="BT98" s="230" t="s">
        <v>948</v>
      </c>
      <c r="BU98" s="227">
        <v>8047647</v>
      </c>
      <c r="BV98" s="228">
        <v>44378</v>
      </c>
      <c r="BW98" s="225">
        <v>10.4</v>
      </c>
      <c r="BX98" s="226"/>
      <c r="BY98" s="226"/>
      <c r="BZ98" s="226"/>
      <c r="CA98" s="226"/>
      <c r="CB98" s="226"/>
      <c r="CC98" s="226"/>
      <c r="CD98" s="225">
        <v>150754483402</v>
      </c>
      <c r="CE98" s="225">
        <v>0</v>
      </c>
    </row>
    <row r="99" spans="1:83" ht="15" customHeight="1" thickBot="1" x14ac:dyDescent="0.3">
      <c r="A99" s="15" t="s">
        <v>9</v>
      </c>
      <c r="B99" s="15" t="s">
        <v>83</v>
      </c>
      <c r="C99" s="23" t="s">
        <v>482</v>
      </c>
      <c r="D99" s="41" t="s">
        <v>470</v>
      </c>
      <c r="E99" s="23" t="s">
        <v>163</v>
      </c>
      <c r="F99" s="23" t="s">
        <v>242</v>
      </c>
      <c r="G99" s="23">
        <v>1</v>
      </c>
      <c r="H99" s="23">
        <v>2</v>
      </c>
      <c r="I99" s="85" t="s">
        <v>558</v>
      </c>
      <c r="J99">
        <v>2014</v>
      </c>
      <c r="L99" s="5">
        <f t="shared" si="37"/>
        <v>7</v>
      </c>
      <c r="M99" s="109" t="e">
        <f>+#REF!-L99</f>
        <v>#REF!</v>
      </c>
      <c r="N99" s="23">
        <v>85</v>
      </c>
      <c r="O99" s="23">
        <v>1.65</v>
      </c>
      <c r="P99" s="24">
        <f t="shared" si="38"/>
        <v>31.221303948576679</v>
      </c>
      <c r="Q99" s="24" t="s">
        <v>243</v>
      </c>
      <c r="R99" s="24" t="s">
        <v>487</v>
      </c>
      <c r="S99" s="23" t="s">
        <v>242</v>
      </c>
      <c r="T99" s="45" t="s">
        <v>242</v>
      </c>
      <c r="U99" s="23" t="s">
        <v>212</v>
      </c>
      <c r="V99" s="18">
        <v>44378</v>
      </c>
      <c r="W99" s="15">
        <v>5.5</v>
      </c>
      <c r="X99" s="15" t="s">
        <v>474</v>
      </c>
      <c r="Y99" s="15" t="s">
        <v>582</v>
      </c>
      <c r="Z99" s="97" t="s">
        <v>505</v>
      </c>
      <c r="AA99" s="99" t="s">
        <v>566</v>
      </c>
      <c r="AB99" s="15">
        <v>1</v>
      </c>
      <c r="AC99" s="23" t="s">
        <v>250</v>
      </c>
      <c r="AD99" s="23" t="s">
        <v>642</v>
      </c>
      <c r="AE99" s="36">
        <v>10</v>
      </c>
      <c r="AF99" s="94">
        <v>13.54</v>
      </c>
      <c r="AG99" s="94">
        <f t="shared" ref="AG99:AG130" si="44">+AE99*AF99</f>
        <v>135.39999999999998</v>
      </c>
      <c r="AH99" s="88">
        <f t="shared" ref="AH99:AH130" si="45">+AG99/100.75</f>
        <v>1.3439205955334985</v>
      </c>
      <c r="AI99" s="25" t="s">
        <v>243</v>
      </c>
      <c r="AJ99" s="23">
        <v>6</v>
      </c>
      <c r="AK99" s="23" t="s">
        <v>247</v>
      </c>
      <c r="AL99" s="23">
        <v>1000</v>
      </c>
      <c r="AM99" s="91">
        <v>3.2199999999999999E-2</v>
      </c>
      <c r="AN99" s="91">
        <f t="shared" si="39"/>
        <v>32.200000000000003</v>
      </c>
      <c r="AO99" s="92">
        <f t="shared" si="40"/>
        <v>0.31960297766749385</v>
      </c>
      <c r="AP99" s="23" t="s">
        <v>243</v>
      </c>
      <c r="AQ99" s="23"/>
      <c r="AR99" s="87"/>
      <c r="AS99" s="87"/>
      <c r="AT99" s="88">
        <f t="shared" si="41"/>
        <v>0</v>
      </c>
      <c r="AU99" s="23" t="s">
        <v>242</v>
      </c>
      <c r="AV99" s="44"/>
      <c r="AW99" s="23"/>
      <c r="AX99" s="44"/>
      <c r="AY99" s="44"/>
      <c r="AZ99" s="87"/>
      <c r="BA99" s="87"/>
      <c r="BB99" s="88">
        <f t="shared" si="42"/>
        <v>0</v>
      </c>
      <c r="BC99" s="23" t="s">
        <v>242</v>
      </c>
      <c r="BD99" s="23"/>
      <c r="BE99" s="23"/>
      <c r="BI99" s="90">
        <f t="shared" si="43"/>
        <v>0</v>
      </c>
      <c r="BJ99" s="26">
        <f t="shared" si="35"/>
        <v>1</v>
      </c>
      <c r="BK99" s="26">
        <v>1</v>
      </c>
      <c r="BL99" s="26" t="s">
        <v>850</v>
      </c>
      <c r="BM99" s="26">
        <v>130</v>
      </c>
      <c r="BN99" s="26">
        <v>80</v>
      </c>
      <c r="BO99" s="26">
        <v>112</v>
      </c>
      <c r="BP99" s="26">
        <v>0</v>
      </c>
      <c r="BQ99" s="26">
        <v>0</v>
      </c>
      <c r="BR99" s="224">
        <v>38</v>
      </c>
      <c r="BS99" s="225">
        <v>1</v>
      </c>
      <c r="BT99" s="230" t="s">
        <v>944</v>
      </c>
      <c r="BU99" s="227">
        <v>7073884</v>
      </c>
      <c r="BV99" s="228">
        <v>44378</v>
      </c>
      <c r="BW99" s="225">
        <v>5.5</v>
      </c>
      <c r="BX99" s="228">
        <v>44951</v>
      </c>
      <c r="BY99" s="226">
        <v>4.7</v>
      </c>
      <c r="BZ99" s="226"/>
      <c r="CA99" s="226"/>
      <c r="CB99" s="226"/>
      <c r="CC99" s="226"/>
      <c r="CD99" s="225">
        <v>150896859307</v>
      </c>
      <c r="CE99" s="225">
        <v>0</v>
      </c>
    </row>
    <row r="100" spans="1:83" ht="15" customHeight="1" thickBot="1" x14ac:dyDescent="0.3">
      <c r="A100" s="15" t="s">
        <v>9</v>
      </c>
      <c r="B100" s="15" t="s">
        <v>84</v>
      </c>
      <c r="C100" s="23" t="s">
        <v>480</v>
      </c>
      <c r="D100" s="41" t="s">
        <v>469</v>
      </c>
      <c r="E100" s="23" t="s">
        <v>163</v>
      </c>
      <c r="F100" s="27" t="s">
        <v>483</v>
      </c>
      <c r="G100" s="23">
        <v>1</v>
      </c>
      <c r="H100" s="23">
        <v>2</v>
      </c>
      <c r="I100" s="85" t="s">
        <v>558</v>
      </c>
      <c r="L100" s="5"/>
      <c r="M100" s="109"/>
      <c r="N100" s="23">
        <v>95</v>
      </c>
      <c r="O100" s="23">
        <v>1.74</v>
      </c>
      <c r="P100" s="24">
        <f t="shared" si="38"/>
        <v>31.37798916633637</v>
      </c>
      <c r="Q100" s="24" t="s">
        <v>242</v>
      </c>
      <c r="R100" s="24" t="s">
        <v>487</v>
      </c>
      <c r="S100" s="23" t="s">
        <v>243</v>
      </c>
      <c r="T100" s="45" t="s">
        <v>242</v>
      </c>
      <c r="U100" s="23"/>
      <c r="V100" s="18">
        <v>44378</v>
      </c>
      <c r="W100" s="15">
        <v>6.7</v>
      </c>
      <c r="X100" s="15" t="s">
        <v>474</v>
      </c>
      <c r="Y100" s="15" t="s">
        <v>582</v>
      </c>
      <c r="Z100" s="97" t="s">
        <v>505</v>
      </c>
      <c r="AA100" s="99" t="s">
        <v>566</v>
      </c>
      <c r="AB100" s="15">
        <v>1</v>
      </c>
      <c r="AC100" s="33" t="s">
        <v>245</v>
      </c>
      <c r="AD100" s="23" t="s">
        <v>642</v>
      </c>
      <c r="AE100" s="36">
        <v>70</v>
      </c>
      <c r="AF100" s="94">
        <v>15.6</v>
      </c>
      <c r="AG100" s="94">
        <f t="shared" si="44"/>
        <v>1092</v>
      </c>
      <c r="AH100" s="88">
        <f t="shared" si="45"/>
        <v>10.838709677419354</v>
      </c>
      <c r="AI100" s="25" t="s">
        <v>242</v>
      </c>
      <c r="AJ100" s="23"/>
      <c r="AK100" s="23" t="s">
        <v>247</v>
      </c>
      <c r="AL100" s="23">
        <v>2000</v>
      </c>
      <c r="AM100" s="91">
        <v>3.2199999999999999E-2</v>
      </c>
      <c r="AN100" s="91">
        <f t="shared" si="39"/>
        <v>64.400000000000006</v>
      </c>
      <c r="AO100" s="92">
        <f t="shared" si="40"/>
        <v>0.6392059553349877</v>
      </c>
      <c r="AP100" s="23" t="s">
        <v>243</v>
      </c>
      <c r="AQ100" s="23"/>
      <c r="AR100" s="87"/>
      <c r="AS100" s="87"/>
      <c r="AT100" s="88">
        <f t="shared" si="41"/>
        <v>0</v>
      </c>
      <c r="AU100" s="23" t="s">
        <v>242</v>
      </c>
      <c r="AV100" s="44"/>
      <c r="AW100" s="23"/>
      <c r="AX100" s="44"/>
      <c r="AY100" s="44"/>
      <c r="AZ100" s="87"/>
      <c r="BA100" s="87"/>
      <c r="BB100" s="88">
        <f t="shared" si="42"/>
        <v>0</v>
      </c>
      <c r="BC100" s="23" t="s">
        <v>242</v>
      </c>
      <c r="BD100" s="23"/>
      <c r="BE100" s="23"/>
      <c r="BI100" s="90">
        <f t="shared" si="43"/>
        <v>0</v>
      </c>
      <c r="BJ100" s="26">
        <f t="shared" si="35"/>
        <v>1</v>
      </c>
      <c r="BR100" s="224">
        <v>39</v>
      </c>
      <c r="BS100" s="225">
        <v>1</v>
      </c>
      <c r="BT100" s="230" t="s">
        <v>946</v>
      </c>
      <c r="BU100" s="227">
        <v>8047688</v>
      </c>
      <c r="BV100" s="228">
        <v>44378</v>
      </c>
      <c r="BW100" s="226"/>
      <c r="BX100" s="228">
        <v>44946</v>
      </c>
      <c r="BY100" s="226">
        <v>6.2</v>
      </c>
      <c r="BZ100" s="226"/>
      <c r="CA100" s="226"/>
      <c r="CB100" s="226"/>
      <c r="CC100" s="226"/>
      <c r="CD100" s="225">
        <v>150689690601</v>
      </c>
      <c r="CE100" s="225">
        <v>0</v>
      </c>
    </row>
    <row r="101" spans="1:83" ht="15" customHeight="1" thickBot="1" x14ac:dyDescent="0.3">
      <c r="A101" s="15" t="s">
        <v>43</v>
      </c>
      <c r="B101" s="15" t="s">
        <v>120</v>
      </c>
      <c r="C101" s="23" t="s">
        <v>479</v>
      </c>
      <c r="D101" s="41" t="s">
        <v>469</v>
      </c>
      <c r="E101" s="23" t="s">
        <v>164</v>
      </c>
      <c r="F101" s="23" t="s">
        <v>242</v>
      </c>
      <c r="G101" s="23">
        <v>2</v>
      </c>
      <c r="H101" s="23">
        <v>1</v>
      </c>
      <c r="I101" s="85" t="s">
        <v>557</v>
      </c>
      <c r="J101">
        <v>2006</v>
      </c>
      <c r="L101" s="5">
        <f t="shared" ref="L101:L114" si="46">2021-J101</f>
        <v>15</v>
      </c>
      <c r="M101" s="109" t="e">
        <f>+#REF!-L101</f>
        <v>#REF!</v>
      </c>
      <c r="N101" s="23">
        <v>77</v>
      </c>
      <c r="O101" s="23">
        <v>1.66</v>
      </c>
      <c r="P101" s="24">
        <f t="shared" si="38"/>
        <v>27.94309769197271</v>
      </c>
      <c r="Q101" s="24" t="s">
        <v>243</v>
      </c>
      <c r="R101" s="24" t="s">
        <v>486</v>
      </c>
      <c r="S101" s="23" t="s">
        <v>243</v>
      </c>
      <c r="T101" s="45" t="s">
        <v>242</v>
      </c>
      <c r="U101" s="23" t="s">
        <v>212</v>
      </c>
      <c r="V101" s="16">
        <v>44378</v>
      </c>
      <c r="W101" s="17">
        <v>9</v>
      </c>
      <c r="X101" s="17" t="s">
        <v>475</v>
      </c>
      <c r="Y101" s="17" t="s">
        <v>584</v>
      </c>
      <c r="Z101" s="96" t="s">
        <v>506</v>
      </c>
      <c r="AA101" s="98" t="s">
        <v>569</v>
      </c>
      <c r="AB101" s="17">
        <v>2</v>
      </c>
      <c r="AC101" s="23" t="s">
        <v>244</v>
      </c>
      <c r="AD101" s="23" t="s">
        <v>642</v>
      </c>
      <c r="AE101" s="36">
        <v>24</v>
      </c>
      <c r="AF101" s="94">
        <v>14.66</v>
      </c>
      <c r="AG101" s="94">
        <f t="shared" si="44"/>
        <v>351.84000000000003</v>
      </c>
      <c r="AH101" s="88">
        <f t="shared" si="45"/>
        <v>3.492208436724566</v>
      </c>
      <c r="AI101" s="25" t="s">
        <v>243</v>
      </c>
      <c r="AJ101" s="23">
        <v>30</v>
      </c>
      <c r="AK101" s="23" t="s">
        <v>229</v>
      </c>
      <c r="AL101" s="23"/>
      <c r="AM101" s="91">
        <v>3.2199999999999999E-2</v>
      </c>
      <c r="AN101" s="91">
        <f t="shared" si="39"/>
        <v>0</v>
      </c>
      <c r="AO101" s="92">
        <f t="shared" si="40"/>
        <v>0</v>
      </c>
      <c r="AP101" s="23" t="s">
        <v>242</v>
      </c>
      <c r="AQ101" s="23"/>
      <c r="AR101" s="87"/>
      <c r="AS101" s="87"/>
      <c r="AT101" s="88">
        <f t="shared" si="41"/>
        <v>0</v>
      </c>
      <c r="AU101" s="23" t="s">
        <v>242</v>
      </c>
      <c r="AV101" s="44"/>
      <c r="AW101" s="23"/>
      <c r="AX101" s="44"/>
      <c r="AY101" s="44"/>
      <c r="AZ101" s="87"/>
      <c r="BA101" s="87"/>
      <c r="BB101" s="88">
        <f t="shared" si="42"/>
        <v>0</v>
      </c>
      <c r="BC101" s="23" t="s">
        <v>242</v>
      </c>
      <c r="BD101" s="23"/>
      <c r="BE101" s="23"/>
      <c r="BI101" s="90">
        <f t="shared" si="43"/>
        <v>0</v>
      </c>
      <c r="BJ101" s="26">
        <f t="shared" si="35"/>
        <v>0</v>
      </c>
      <c r="BK101" s="26">
        <v>1</v>
      </c>
      <c r="BL101" s="26" t="s">
        <v>850</v>
      </c>
      <c r="BM101" s="26">
        <v>150</v>
      </c>
      <c r="BN101" s="26">
        <v>90</v>
      </c>
      <c r="BO101" s="26">
        <v>100.5</v>
      </c>
      <c r="BP101" s="26">
        <v>0</v>
      </c>
      <c r="BQ101" s="26">
        <v>0</v>
      </c>
      <c r="BR101" s="224">
        <v>41</v>
      </c>
      <c r="BS101" s="225">
        <v>2</v>
      </c>
      <c r="BT101" s="230" t="s">
        <v>950</v>
      </c>
      <c r="BU101" s="227">
        <v>6551608</v>
      </c>
      <c r="BV101" s="228">
        <v>44378</v>
      </c>
      <c r="BW101" s="225">
        <v>9</v>
      </c>
      <c r="BX101" s="228">
        <v>44911</v>
      </c>
      <c r="BY101" s="226">
        <v>7.5</v>
      </c>
      <c r="BZ101" s="226"/>
      <c r="CA101" s="226"/>
      <c r="CB101" s="226"/>
      <c r="CC101" s="226"/>
      <c r="CD101" s="225">
        <v>150605966600</v>
      </c>
      <c r="CE101" s="225">
        <v>0</v>
      </c>
    </row>
    <row r="102" spans="1:83" ht="15" customHeight="1" thickBot="1" x14ac:dyDescent="0.3">
      <c r="A102" s="15" t="s">
        <v>362</v>
      </c>
      <c r="B102" s="15" t="s">
        <v>363</v>
      </c>
      <c r="C102" s="23" t="s">
        <v>482</v>
      </c>
      <c r="D102" s="41" t="s">
        <v>470</v>
      </c>
      <c r="E102" s="23" t="s">
        <v>164</v>
      </c>
      <c r="F102" s="23" t="s">
        <v>179</v>
      </c>
      <c r="G102" s="23">
        <v>2</v>
      </c>
      <c r="H102" s="23">
        <v>1</v>
      </c>
      <c r="I102" s="85" t="s">
        <v>557</v>
      </c>
      <c r="J102">
        <v>2000</v>
      </c>
      <c r="L102" s="5">
        <f t="shared" si="46"/>
        <v>21</v>
      </c>
      <c r="M102" s="109" t="e">
        <f>+#REF!-L102</f>
        <v>#REF!</v>
      </c>
      <c r="N102" s="23">
        <v>76.400000000000006</v>
      </c>
      <c r="O102" s="23">
        <v>1.55</v>
      </c>
      <c r="P102" s="24">
        <f t="shared" si="38"/>
        <v>31.800208116545264</v>
      </c>
      <c r="Q102" s="24" t="s">
        <v>242</v>
      </c>
      <c r="R102" s="24" t="s">
        <v>487</v>
      </c>
      <c r="S102" s="23" t="s">
        <v>177</v>
      </c>
      <c r="T102" s="45" t="s">
        <v>243</v>
      </c>
      <c r="U102" s="23" t="s">
        <v>212</v>
      </c>
      <c r="V102" s="16">
        <v>44392</v>
      </c>
      <c r="W102" s="15">
        <v>9.1</v>
      </c>
      <c r="X102" s="17" t="s">
        <v>476</v>
      </c>
      <c r="Y102" s="17" t="s">
        <v>584</v>
      </c>
      <c r="Z102" s="96" t="s">
        <v>506</v>
      </c>
      <c r="AA102" s="98" t="s">
        <v>569</v>
      </c>
      <c r="AB102" s="17">
        <v>2</v>
      </c>
      <c r="AC102" s="23" t="s">
        <v>245</v>
      </c>
      <c r="AD102" s="23" t="s">
        <v>642</v>
      </c>
      <c r="AE102" s="36">
        <v>26</v>
      </c>
      <c r="AF102" s="94">
        <v>15.6</v>
      </c>
      <c r="AG102" s="94">
        <f t="shared" si="44"/>
        <v>405.59999999999997</v>
      </c>
      <c r="AH102" s="88">
        <f t="shared" si="45"/>
        <v>4.0258064516129028</v>
      </c>
      <c r="AI102" s="25" t="s">
        <v>243</v>
      </c>
      <c r="AJ102" s="23">
        <v>7</v>
      </c>
      <c r="AK102" s="23" t="s">
        <v>247</v>
      </c>
      <c r="AL102" s="23">
        <v>2000</v>
      </c>
      <c r="AM102" s="91">
        <v>3.2199999999999999E-2</v>
      </c>
      <c r="AN102" s="91">
        <f t="shared" si="39"/>
        <v>64.400000000000006</v>
      </c>
      <c r="AO102" s="92">
        <f t="shared" si="40"/>
        <v>0.6392059553349877</v>
      </c>
      <c r="AP102" s="23" t="s">
        <v>243</v>
      </c>
      <c r="AQ102" s="23"/>
      <c r="AR102" s="87"/>
      <c r="AS102" s="87"/>
      <c r="AT102" s="88">
        <f t="shared" si="41"/>
        <v>0</v>
      </c>
      <c r="AU102" s="23" t="s">
        <v>242</v>
      </c>
      <c r="AV102" s="44"/>
      <c r="AW102" s="23"/>
      <c r="AX102" s="44"/>
      <c r="AY102" s="44"/>
      <c r="AZ102" s="87"/>
      <c r="BA102" s="87"/>
      <c r="BB102" s="88">
        <f t="shared" si="42"/>
        <v>0</v>
      </c>
      <c r="BC102" s="23" t="s">
        <v>242</v>
      </c>
      <c r="BD102" s="23"/>
      <c r="BE102" s="23"/>
      <c r="BI102" s="90">
        <f t="shared" si="43"/>
        <v>0</v>
      </c>
      <c r="BJ102" s="26">
        <f t="shared" si="35"/>
        <v>1</v>
      </c>
      <c r="BK102" s="26">
        <v>1</v>
      </c>
      <c r="BL102" s="26" t="s">
        <v>850</v>
      </c>
      <c r="BM102" s="26">
        <v>130</v>
      </c>
      <c r="BN102" s="26">
        <v>70</v>
      </c>
      <c r="BO102" s="26">
        <v>117</v>
      </c>
      <c r="BP102" s="26">
        <v>1</v>
      </c>
      <c r="BQ102" s="26">
        <v>0</v>
      </c>
      <c r="BR102" s="224">
        <v>42</v>
      </c>
      <c r="BS102" s="225">
        <v>2</v>
      </c>
      <c r="BT102" s="230" t="s">
        <v>952</v>
      </c>
      <c r="BU102" s="227">
        <v>5003922</v>
      </c>
      <c r="BV102" s="228">
        <v>44392</v>
      </c>
      <c r="BW102" s="225">
        <v>9.1</v>
      </c>
      <c r="BX102" s="226"/>
      <c r="BY102" s="226"/>
      <c r="BZ102" s="226"/>
      <c r="CA102" s="226"/>
      <c r="CB102" s="226"/>
      <c r="CC102" s="226"/>
      <c r="CD102" s="225">
        <v>150297658202</v>
      </c>
      <c r="CE102" s="225">
        <v>0</v>
      </c>
    </row>
    <row r="103" spans="1:83" ht="15" customHeight="1" thickBot="1" x14ac:dyDescent="0.3">
      <c r="A103" s="15" t="s">
        <v>2</v>
      </c>
      <c r="B103" s="15" t="s">
        <v>85</v>
      </c>
      <c r="C103" s="23" t="s">
        <v>480</v>
      </c>
      <c r="D103" s="41" t="s">
        <v>470</v>
      </c>
      <c r="E103" s="23" t="s">
        <v>163</v>
      </c>
      <c r="F103" s="23" t="s">
        <v>242</v>
      </c>
      <c r="G103" s="23">
        <v>3</v>
      </c>
      <c r="H103" s="23">
        <v>1</v>
      </c>
      <c r="I103" s="85" t="s">
        <v>557</v>
      </c>
      <c r="J103">
        <v>2014</v>
      </c>
      <c r="L103" s="5">
        <f t="shared" si="46"/>
        <v>7</v>
      </c>
      <c r="M103" s="109" t="e">
        <f>+#REF!-L103</f>
        <v>#REF!</v>
      </c>
      <c r="N103" s="23">
        <v>89.9</v>
      </c>
      <c r="O103" s="23">
        <v>1.64</v>
      </c>
      <c r="P103" s="24">
        <f t="shared" si="38"/>
        <v>33.425044616299829</v>
      </c>
      <c r="Q103" s="24" t="s">
        <v>242</v>
      </c>
      <c r="R103" s="24" t="s">
        <v>487</v>
      </c>
      <c r="S103" s="23" t="s">
        <v>243</v>
      </c>
      <c r="T103" s="45" t="s">
        <v>242</v>
      </c>
      <c r="U103" s="23" t="s">
        <v>212</v>
      </c>
      <c r="V103" s="18">
        <v>44378</v>
      </c>
      <c r="W103" s="15">
        <v>9.5</v>
      </c>
      <c r="X103" s="17" t="s">
        <v>476</v>
      </c>
      <c r="Y103" s="17" t="s">
        <v>584</v>
      </c>
      <c r="Z103" s="96" t="s">
        <v>506</v>
      </c>
      <c r="AA103" s="98" t="s">
        <v>569</v>
      </c>
      <c r="AB103" s="17">
        <v>2</v>
      </c>
      <c r="AC103" s="23" t="s">
        <v>248</v>
      </c>
      <c r="AD103" s="23" t="s">
        <v>642</v>
      </c>
      <c r="AE103" s="36">
        <v>48</v>
      </c>
      <c r="AF103" s="94">
        <v>4.4400000000000004</v>
      </c>
      <c r="AG103" s="94">
        <f t="shared" si="44"/>
        <v>213.12</v>
      </c>
      <c r="AH103" s="88">
        <f t="shared" si="45"/>
        <v>2.1153349875930521</v>
      </c>
      <c r="AI103" s="25" t="s">
        <v>243</v>
      </c>
      <c r="AJ103" s="23">
        <v>8</v>
      </c>
      <c r="AK103" s="44" t="s">
        <v>179</v>
      </c>
      <c r="AL103" s="23"/>
      <c r="AM103" s="91">
        <v>3.2199999999999999E-2</v>
      </c>
      <c r="AN103" s="91">
        <f t="shared" si="39"/>
        <v>0</v>
      </c>
      <c r="AO103" s="92">
        <f t="shared" si="40"/>
        <v>0</v>
      </c>
      <c r="AP103" s="23" t="s">
        <v>242</v>
      </c>
      <c r="AQ103" s="23"/>
      <c r="AR103" s="87"/>
      <c r="AS103" s="87"/>
      <c r="AT103" s="88">
        <f t="shared" si="41"/>
        <v>0</v>
      </c>
      <c r="AU103" s="23" t="s">
        <v>242</v>
      </c>
      <c r="AV103" s="44"/>
      <c r="AW103" s="23"/>
      <c r="AX103" s="44"/>
      <c r="AY103" s="44"/>
      <c r="AZ103" s="87"/>
      <c r="BA103" s="87"/>
      <c r="BB103" s="88">
        <f t="shared" si="42"/>
        <v>0</v>
      </c>
      <c r="BC103" s="23" t="s">
        <v>242</v>
      </c>
      <c r="BD103" s="23"/>
      <c r="BE103" s="23"/>
      <c r="BI103" s="90">
        <f t="shared" si="43"/>
        <v>0</v>
      </c>
      <c r="BJ103" s="26">
        <f t="shared" si="35"/>
        <v>0</v>
      </c>
      <c r="BK103" s="26">
        <v>1</v>
      </c>
      <c r="BL103" s="26" t="s">
        <v>850</v>
      </c>
      <c r="BM103" s="26">
        <v>110</v>
      </c>
      <c r="BN103" s="26">
        <v>80</v>
      </c>
      <c r="BO103" s="26">
        <v>116</v>
      </c>
      <c r="BP103" s="26">
        <v>0</v>
      </c>
      <c r="BQ103" s="26">
        <v>0</v>
      </c>
      <c r="BR103" s="224">
        <v>43</v>
      </c>
      <c r="BS103" s="225">
        <v>1</v>
      </c>
      <c r="BT103" s="230" t="s">
        <v>954</v>
      </c>
      <c r="BU103" s="227">
        <v>12363432</v>
      </c>
      <c r="BV103" s="228">
        <v>44378</v>
      </c>
      <c r="BW103" s="225">
        <v>9.5</v>
      </c>
      <c r="BX103" s="228">
        <v>44946</v>
      </c>
      <c r="BY103" s="226">
        <v>8.3000000000000007</v>
      </c>
      <c r="BZ103" s="226"/>
      <c r="CA103" s="226"/>
      <c r="CB103" s="226"/>
      <c r="CC103" s="226"/>
      <c r="CD103" s="225">
        <v>150496586805</v>
      </c>
      <c r="CE103" s="225">
        <v>0</v>
      </c>
    </row>
    <row r="104" spans="1:83" ht="15" customHeight="1" thickBot="1" x14ac:dyDescent="0.3">
      <c r="A104" s="15" t="s">
        <v>44</v>
      </c>
      <c r="B104" s="15" t="s">
        <v>121</v>
      </c>
      <c r="C104" s="23" t="s">
        <v>482</v>
      </c>
      <c r="D104" s="41" t="s">
        <v>470</v>
      </c>
      <c r="E104" s="23" t="s">
        <v>164</v>
      </c>
      <c r="F104" s="23" t="s">
        <v>242</v>
      </c>
      <c r="G104" s="23">
        <v>1</v>
      </c>
      <c r="H104" s="23">
        <v>1</v>
      </c>
      <c r="I104" s="85" t="s">
        <v>557</v>
      </c>
      <c r="J104">
        <v>2008</v>
      </c>
      <c r="L104" s="5">
        <f t="shared" si="46"/>
        <v>13</v>
      </c>
      <c r="M104" s="109" t="e">
        <f>+#REF!-L104</f>
        <v>#REF!</v>
      </c>
      <c r="N104" s="23">
        <v>58</v>
      </c>
      <c r="O104" s="23">
        <v>1.57</v>
      </c>
      <c r="P104" s="24">
        <f t="shared" si="38"/>
        <v>23.530366343462209</v>
      </c>
      <c r="Q104" s="24" t="s">
        <v>242</v>
      </c>
      <c r="R104" s="24" t="s">
        <v>485</v>
      </c>
      <c r="S104" s="23" t="s">
        <v>243</v>
      </c>
      <c r="T104" s="45" t="s">
        <v>242</v>
      </c>
      <c r="U104" s="23" t="s">
        <v>212</v>
      </c>
      <c r="V104" s="16">
        <v>44378</v>
      </c>
      <c r="W104" s="15">
        <v>9.1</v>
      </c>
      <c r="X104" s="17" t="s">
        <v>476</v>
      </c>
      <c r="Y104" s="17" t="s">
        <v>584</v>
      </c>
      <c r="Z104" s="96" t="s">
        <v>506</v>
      </c>
      <c r="AA104" s="98" t="s">
        <v>569</v>
      </c>
      <c r="AB104" s="17">
        <v>2</v>
      </c>
      <c r="AC104" s="23" t="s">
        <v>250</v>
      </c>
      <c r="AD104" s="23" t="s">
        <v>642</v>
      </c>
      <c r="AE104" s="36">
        <v>26</v>
      </c>
      <c r="AF104" s="94">
        <v>13.54</v>
      </c>
      <c r="AG104" s="94">
        <f t="shared" si="44"/>
        <v>352.03999999999996</v>
      </c>
      <c r="AH104" s="88">
        <f t="shared" si="45"/>
        <v>3.4941935483870963</v>
      </c>
      <c r="AI104" s="25" t="s">
        <v>243</v>
      </c>
      <c r="AJ104" s="23" t="s">
        <v>463</v>
      </c>
      <c r="AK104" s="30" t="s">
        <v>247</v>
      </c>
      <c r="AL104" s="23">
        <v>2000</v>
      </c>
      <c r="AM104" s="91">
        <v>3.2199999999999999E-2</v>
      </c>
      <c r="AN104" s="91">
        <f t="shared" si="39"/>
        <v>64.400000000000006</v>
      </c>
      <c r="AO104" s="92">
        <f t="shared" si="40"/>
        <v>0.6392059553349877</v>
      </c>
      <c r="AP104" s="23" t="s">
        <v>243</v>
      </c>
      <c r="AQ104" s="23"/>
      <c r="AR104" s="87"/>
      <c r="AS104" s="87"/>
      <c r="AT104" s="88">
        <f t="shared" si="41"/>
        <v>0</v>
      </c>
      <c r="AU104" s="23" t="s">
        <v>242</v>
      </c>
      <c r="AV104" s="44"/>
      <c r="AW104" s="23"/>
      <c r="AX104" s="30" t="s">
        <v>251</v>
      </c>
      <c r="AY104" s="30">
        <v>100</v>
      </c>
      <c r="AZ104" s="87">
        <v>5.4</v>
      </c>
      <c r="BA104" s="87">
        <v>540</v>
      </c>
      <c r="BB104" s="88">
        <f t="shared" si="42"/>
        <v>5.3598014888337469</v>
      </c>
      <c r="BC104" s="23" t="s">
        <v>243</v>
      </c>
      <c r="BD104" s="23"/>
      <c r="BE104" s="23"/>
      <c r="BI104" s="90">
        <f t="shared" si="43"/>
        <v>0</v>
      </c>
      <c r="BJ104" s="26">
        <f t="shared" si="35"/>
        <v>2</v>
      </c>
      <c r="BK104" s="26">
        <v>1</v>
      </c>
      <c r="BL104" s="26" t="s">
        <v>850</v>
      </c>
      <c r="BM104" s="26">
        <v>130</v>
      </c>
      <c r="BN104" s="26">
        <v>90</v>
      </c>
      <c r="BO104" s="26">
        <v>89</v>
      </c>
      <c r="BP104" s="26">
        <v>0</v>
      </c>
      <c r="BQ104" s="26">
        <v>0</v>
      </c>
      <c r="BR104" s="224">
        <v>44</v>
      </c>
      <c r="BS104" s="225">
        <v>2</v>
      </c>
      <c r="BT104" s="230" t="s">
        <v>956</v>
      </c>
      <c r="BU104" s="227">
        <v>4467814</v>
      </c>
      <c r="BV104" s="228">
        <v>44378</v>
      </c>
      <c r="BW104" s="225">
        <v>9.1</v>
      </c>
      <c r="BX104" s="228">
        <v>44910</v>
      </c>
      <c r="BY104" s="226">
        <v>6.9</v>
      </c>
      <c r="BZ104" s="226"/>
      <c r="CA104" s="226"/>
      <c r="CB104" s="226"/>
      <c r="CC104" s="226"/>
      <c r="CD104" s="225">
        <v>150139062504</v>
      </c>
      <c r="CE104" s="225">
        <v>0</v>
      </c>
    </row>
    <row r="105" spans="1:83" ht="15" customHeight="1" thickBot="1" x14ac:dyDescent="0.3">
      <c r="A105" s="15" t="s">
        <v>364</v>
      </c>
      <c r="B105" s="15" t="s">
        <v>365</v>
      </c>
      <c r="C105" s="23" t="s">
        <v>480</v>
      </c>
      <c r="D105" s="41" t="s">
        <v>469</v>
      </c>
      <c r="E105" s="23" t="s">
        <v>163</v>
      </c>
      <c r="F105" s="23" t="s">
        <v>179</v>
      </c>
      <c r="G105" s="23">
        <v>2</v>
      </c>
      <c r="H105" s="23">
        <v>1</v>
      </c>
      <c r="I105" s="85" t="s">
        <v>557</v>
      </c>
      <c r="J105">
        <v>2005</v>
      </c>
      <c r="L105" s="5">
        <f t="shared" si="46"/>
        <v>16</v>
      </c>
      <c r="M105" s="109" t="e">
        <f>+#REF!-L105</f>
        <v>#REF!</v>
      </c>
      <c r="N105" s="23">
        <v>97</v>
      </c>
      <c r="O105" s="23">
        <v>1.78</v>
      </c>
      <c r="P105" s="24">
        <f t="shared" ref="P105:P114" si="47">N105/(O105*O105)</f>
        <v>30.614821360939274</v>
      </c>
      <c r="Q105" s="24" t="s">
        <v>242</v>
      </c>
      <c r="R105" s="24" t="s">
        <v>487</v>
      </c>
      <c r="S105" s="23" t="s">
        <v>177</v>
      </c>
      <c r="T105" s="45" t="s">
        <v>242</v>
      </c>
      <c r="U105" s="23" t="s">
        <v>212</v>
      </c>
      <c r="V105" s="16">
        <v>44392</v>
      </c>
      <c r="W105" s="15">
        <v>12.4</v>
      </c>
      <c r="X105" s="17" t="s">
        <v>477</v>
      </c>
      <c r="Y105" s="17" t="s">
        <v>584</v>
      </c>
      <c r="Z105" s="96" t="s">
        <v>590</v>
      </c>
      <c r="AA105" s="98" t="s">
        <v>569</v>
      </c>
      <c r="AB105" s="17">
        <v>3</v>
      </c>
      <c r="AC105" s="23" t="s">
        <v>182</v>
      </c>
      <c r="AD105" s="23" t="s">
        <v>182</v>
      </c>
      <c r="AE105" s="36">
        <v>50</v>
      </c>
      <c r="AF105" s="94">
        <v>7.21</v>
      </c>
      <c r="AG105" s="94">
        <f t="shared" si="44"/>
        <v>360.5</v>
      </c>
      <c r="AH105" s="88">
        <f t="shared" si="45"/>
        <v>3.5781637717121586</v>
      </c>
      <c r="AI105" s="25" t="s">
        <v>242</v>
      </c>
      <c r="AJ105" s="23"/>
      <c r="AK105" s="23" t="s">
        <v>247</v>
      </c>
      <c r="AL105" s="23">
        <v>2550</v>
      </c>
      <c r="AM105" s="91">
        <v>3.2199999999999999E-2</v>
      </c>
      <c r="AN105" s="91">
        <f t="shared" si="39"/>
        <v>82.11</v>
      </c>
      <c r="AO105" s="92">
        <f t="shared" si="40"/>
        <v>0.81498759305210922</v>
      </c>
      <c r="AP105" s="23" t="s">
        <v>243</v>
      </c>
      <c r="AQ105" s="23"/>
      <c r="AR105" s="87"/>
      <c r="AS105" s="87"/>
      <c r="AT105" s="88">
        <f t="shared" si="41"/>
        <v>0</v>
      </c>
      <c r="AU105" s="23" t="s">
        <v>242</v>
      </c>
      <c r="AV105" s="44"/>
      <c r="AW105" s="23"/>
      <c r="AX105" s="44"/>
      <c r="AY105" s="44"/>
      <c r="AZ105" s="87"/>
      <c r="BA105" s="87"/>
      <c r="BB105" s="88">
        <f t="shared" si="42"/>
        <v>0</v>
      </c>
      <c r="BC105" s="23" t="s">
        <v>242</v>
      </c>
      <c r="BD105" s="23"/>
      <c r="BE105" s="23"/>
      <c r="BI105" s="90">
        <f t="shared" si="43"/>
        <v>0</v>
      </c>
      <c r="BJ105" s="26">
        <f t="shared" si="35"/>
        <v>1</v>
      </c>
      <c r="BK105" s="26">
        <v>1</v>
      </c>
      <c r="BL105" s="26" t="s">
        <v>848</v>
      </c>
      <c r="BM105" s="26">
        <v>130</v>
      </c>
      <c r="BN105" s="26">
        <v>70</v>
      </c>
      <c r="BO105" s="26">
        <v>120</v>
      </c>
      <c r="BP105" s="26">
        <v>1</v>
      </c>
      <c r="BQ105" s="26">
        <v>0</v>
      </c>
      <c r="BR105" s="224">
        <v>45</v>
      </c>
      <c r="BS105" s="225">
        <v>2</v>
      </c>
      <c r="BT105" s="230" t="s">
        <v>958</v>
      </c>
      <c r="BU105" s="227">
        <v>8787376</v>
      </c>
      <c r="BV105" s="228">
        <v>44392</v>
      </c>
      <c r="BW105" s="225">
        <v>12.4</v>
      </c>
      <c r="BX105" s="228">
        <v>45013</v>
      </c>
      <c r="BY105" s="226">
        <v>7</v>
      </c>
      <c r="BZ105" s="226"/>
      <c r="CA105" s="226"/>
      <c r="CB105" s="226"/>
      <c r="CC105" s="226"/>
      <c r="CD105" s="225">
        <v>150125191106</v>
      </c>
      <c r="CE105" s="225">
        <v>0</v>
      </c>
    </row>
    <row r="106" spans="1:83" ht="15" customHeight="1" thickBot="1" x14ac:dyDescent="0.3">
      <c r="A106" s="15" t="s">
        <v>60</v>
      </c>
      <c r="B106" s="15" t="s">
        <v>145</v>
      </c>
      <c r="C106" s="23" t="s">
        <v>480</v>
      </c>
      <c r="D106" s="41" t="s">
        <v>469</v>
      </c>
      <c r="E106" s="23" t="s">
        <v>164</v>
      </c>
      <c r="F106" s="23" t="s">
        <v>179</v>
      </c>
      <c r="G106" s="23">
        <v>2</v>
      </c>
      <c r="H106" s="23">
        <v>1</v>
      </c>
      <c r="I106" s="85" t="s">
        <v>557</v>
      </c>
      <c r="J106">
        <v>2000</v>
      </c>
      <c r="L106" s="5">
        <f t="shared" si="46"/>
        <v>21</v>
      </c>
      <c r="M106" s="109" t="e">
        <f>+#REF!-L106</f>
        <v>#REF!</v>
      </c>
      <c r="N106" s="23">
        <v>77.400000000000006</v>
      </c>
      <c r="O106" s="23">
        <v>1.62</v>
      </c>
      <c r="P106" s="24">
        <f t="shared" si="47"/>
        <v>29.49245541838134</v>
      </c>
      <c r="Q106" s="24" t="s">
        <v>242</v>
      </c>
      <c r="R106" s="24" t="s">
        <v>486</v>
      </c>
      <c r="S106" s="23" t="s">
        <v>177</v>
      </c>
      <c r="T106" s="45" t="s">
        <v>242</v>
      </c>
      <c r="U106" s="23" t="s">
        <v>212</v>
      </c>
      <c r="V106" s="16">
        <v>44434</v>
      </c>
      <c r="W106" s="17">
        <v>8.5</v>
      </c>
      <c r="X106" s="17" t="s">
        <v>475</v>
      </c>
      <c r="Y106" s="17" t="s">
        <v>584</v>
      </c>
      <c r="Z106" s="96" t="s">
        <v>506</v>
      </c>
      <c r="AA106" s="98" t="s">
        <v>569</v>
      </c>
      <c r="AB106" s="17">
        <v>2</v>
      </c>
      <c r="AC106" s="23" t="s">
        <v>182</v>
      </c>
      <c r="AD106" s="23" t="s">
        <v>182</v>
      </c>
      <c r="AE106" s="36">
        <v>50</v>
      </c>
      <c r="AF106" s="94">
        <v>7.21</v>
      </c>
      <c r="AG106" s="94">
        <f t="shared" si="44"/>
        <v>360.5</v>
      </c>
      <c r="AH106" s="88">
        <f t="shared" si="45"/>
        <v>3.5781637717121586</v>
      </c>
      <c r="AI106" s="25" t="s">
        <v>242</v>
      </c>
      <c r="AJ106" s="23"/>
      <c r="AK106" s="23" t="s">
        <v>247</v>
      </c>
      <c r="AL106" s="23">
        <v>2550</v>
      </c>
      <c r="AM106" s="91">
        <v>3.2199999999999999E-2</v>
      </c>
      <c r="AN106" s="91">
        <f t="shared" si="39"/>
        <v>82.11</v>
      </c>
      <c r="AO106" s="92">
        <f t="shared" si="40"/>
        <v>0.81498759305210922</v>
      </c>
      <c r="AP106" s="23" t="s">
        <v>243</v>
      </c>
      <c r="AQ106" s="23"/>
      <c r="AR106" s="87"/>
      <c r="AS106" s="87"/>
      <c r="AT106" s="88">
        <f t="shared" si="41"/>
        <v>0</v>
      </c>
      <c r="AU106" s="23" t="s">
        <v>242</v>
      </c>
      <c r="AV106" s="44"/>
      <c r="AW106" s="23"/>
      <c r="AX106" s="44"/>
      <c r="AY106" s="44"/>
      <c r="AZ106" s="87"/>
      <c r="BA106" s="87"/>
      <c r="BB106" s="88">
        <f t="shared" si="42"/>
        <v>0</v>
      </c>
      <c r="BC106" s="23" t="s">
        <v>242</v>
      </c>
      <c r="BD106" s="23"/>
      <c r="BE106" s="23"/>
      <c r="BI106" s="90">
        <f t="shared" si="43"/>
        <v>0</v>
      </c>
      <c r="BJ106" s="26">
        <f t="shared" si="35"/>
        <v>1</v>
      </c>
      <c r="BK106" s="26">
        <v>0</v>
      </c>
      <c r="BL106" s="26" t="s">
        <v>850</v>
      </c>
      <c r="BM106" s="26">
        <v>140</v>
      </c>
      <c r="BN106" s="26">
        <v>80</v>
      </c>
      <c r="BO106" s="26">
        <v>103</v>
      </c>
      <c r="BP106" s="26">
        <v>0</v>
      </c>
      <c r="BQ106" s="26">
        <v>1</v>
      </c>
      <c r="BR106" s="224">
        <v>162</v>
      </c>
      <c r="BS106" s="225">
        <v>2</v>
      </c>
      <c r="BT106" s="230" t="s">
        <v>1193</v>
      </c>
      <c r="BU106" s="227">
        <v>5891499</v>
      </c>
      <c r="BV106" s="228">
        <v>44434</v>
      </c>
      <c r="BW106" s="225">
        <v>8.5</v>
      </c>
      <c r="BX106" s="228">
        <v>44911</v>
      </c>
      <c r="BY106" s="226">
        <v>7.2</v>
      </c>
      <c r="BZ106" s="226"/>
      <c r="CA106" s="226"/>
      <c r="CB106" s="226"/>
      <c r="CC106" s="226"/>
      <c r="CD106" s="225">
        <v>150448300309</v>
      </c>
      <c r="CE106" s="225">
        <v>0</v>
      </c>
    </row>
    <row r="107" spans="1:83" ht="15" customHeight="1" thickBot="1" x14ac:dyDescent="0.3">
      <c r="A107" s="15" t="s">
        <v>61</v>
      </c>
      <c r="B107" s="15" t="s">
        <v>146</v>
      </c>
      <c r="C107" s="23" t="s">
        <v>480</v>
      </c>
      <c r="D107" s="41" t="s">
        <v>469</v>
      </c>
      <c r="E107" s="23" t="s">
        <v>163</v>
      </c>
      <c r="F107" s="23" t="s">
        <v>179</v>
      </c>
      <c r="G107" s="23">
        <v>3</v>
      </c>
      <c r="H107" s="23">
        <v>3</v>
      </c>
      <c r="I107" s="85" t="s">
        <v>559</v>
      </c>
      <c r="J107">
        <v>1990</v>
      </c>
      <c r="L107" s="5">
        <f t="shared" si="46"/>
        <v>31</v>
      </c>
      <c r="M107" s="109" t="e">
        <f>+#REF!-L107</f>
        <v>#REF!</v>
      </c>
      <c r="N107" s="23">
        <v>68.7</v>
      </c>
      <c r="O107" s="23">
        <v>1.65</v>
      </c>
      <c r="P107" s="24">
        <f t="shared" si="47"/>
        <v>25.23415977961433</v>
      </c>
      <c r="Q107" s="24" t="s">
        <v>242</v>
      </c>
      <c r="R107" s="24" t="s">
        <v>486</v>
      </c>
      <c r="S107" s="23" t="s">
        <v>177</v>
      </c>
      <c r="T107" s="45" t="s">
        <v>242</v>
      </c>
      <c r="U107" s="23" t="s">
        <v>212</v>
      </c>
      <c r="V107" s="16">
        <v>44434</v>
      </c>
      <c r="W107" s="17">
        <v>12.6</v>
      </c>
      <c r="X107" s="17" t="s">
        <v>477</v>
      </c>
      <c r="Y107" s="17" t="s">
        <v>584</v>
      </c>
      <c r="Z107" s="96" t="s">
        <v>590</v>
      </c>
      <c r="AA107" s="98" t="s">
        <v>569</v>
      </c>
      <c r="AB107" s="17">
        <v>3</v>
      </c>
      <c r="AC107" s="23" t="s">
        <v>244</v>
      </c>
      <c r="AD107" s="23" t="s">
        <v>642</v>
      </c>
      <c r="AE107" s="36">
        <v>32</v>
      </c>
      <c r="AF107" s="94">
        <v>14.66</v>
      </c>
      <c r="AG107" s="94">
        <f t="shared" si="44"/>
        <v>469.12</v>
      </c>
      <c r="AH107" s="88">
        <f t="shared" si="45"/>
        <v>4.6562779156327547</v>
      </c>
      <c r="AI107" s="25" t="s">
        <v>243</v>
      </c>
      <c r="AJ107" s="23">
        <v>16</v>
      </c>
      <c r="AK107" s="23" t="s">
        <v>247</v>
      </c>
      <c r="AL107" s="23">
        <v>1600</v>
      </c>
      <c r="AM107" s="91">
        <v>3.2199999999999999E-2</v>
      </c>
      <c r="AN107" s="91">
        <f t="shared" si="39"/>
        <v>51.519999999999996</v>
      </c>
      <c r="AO107" s="92">
        <f t="shared" si="40"/>
        <v>0.51136476426799005</v>
      </c>
      <c r="AP107" s="23" t="s">
        <v>243</v>
      </c>
      <c r="AQ107" s="23"/>
      <c r="AR107" s="87"/>
      <c r="AS107" s="87"/>
      <c r="AT107" s="88">
        <f t="shared" si="41"/>
        <v>0</v>
      </c>
      <c r="AU107" s="23" t="s">
        <v>242</v>
      </c>
      <c r="AV107" s="44"/>
      <c r="AW107" s="23"/>
      <c r="AX107" s="44"/>
      <c r="AY107" s="44"/>
      <c r="AZ107" s="87"/>
      <c r="BA107" s="87"/>
      <c r="BB107" s="88">
        <f t="shared" si="42"/>
        <v>0</v>
      </c>
      <c r="BC107" s="23" t="s">
        <v>242</v>
      </c>
      <c r="BD107" s="23"/>
      <c r="BE107" s="23"/>
      <c r="BI107" s="90">
        <f t="shared" si="43"/>
        <v>0</v>
      </c>
      <c r="BJ107" s="26">
        <f t="shared" si="35"/>
        <v>1</v>
      </c>
      <c r="BK107" s="26">
        <v>0</v>
      </c>
      <c r="BL107" s="26" t="s">
        <v>850</v>
      </c>
      <c r="BM107" s="26">
        <v>120</v>
      </c>
      <c r="BN107" s="26">
        <v>90</v>
      </c>
      <c r="BO107" s="26">
        <v>103</v>
      </c>
      <c r="BP107" s="26">
        <v>1</v>
      </c>
      <c r="BQ107" s="26">
        <v>0</v>
      </c>
      <c r="BR107" s="224">
        <v>163</v>
      </c>
      <c r="BS107" s="225">
        <v>2</v>
      </c>
      <c r="BT107" s="230" t="s">
        <v>1195</v>
      </c>
      <c r="BU107" s="227">
        <v>8704832</v>
      </c>
      <c r="BV107" s="228">
        <v>44434</v>
      </c>
      <c r="BW107" s="225">
        <v>12.6</v>
      </c>
      <c r="BX107" s="228">
        <v>44963</v>
      </c>
      <c r="BY107" s="230">
        <v>8.6999999999999993</v>
      </c>
      <c r="BZ107" s="226"/>
      <c r="CA107" s="226"/>
      <c r="CB107" s="226"/>
      <c r="CC107" s="226"/>
      <c r="CD107" s="225">
        <v>150583316509</v>
      </c>
      <c r="CE107" s="225">
        <v>0</v>
      </c>
    </row>
    <row r="108" spans="1:83" ht="15" customHeight="1" thickBot="1" x14ac:dyDescent="0.3">
      <c r="A108" s="15" t="s">
        <v>45</v>
      </c>
      <c r="B108" s="15" t="s">
        <v>122</v>
      </c>
      <c r="C108" s="23" t="s">
        <v>479</v>
      </c>
      <c r="D108" s="41" t="s">
        <v>469</v>
      </c>
      <c r="E108" s="23" t="s">
        <v>163</v>
      </c>
      <c r="F108" s="23" t="s">
        <v>242</v>
      </c>
      <c r="G108" s="23">
        <v>2</v>
      </c>
      <c r="H108" s="23">
        <v>2</v>
      </c>
      <c r="I108" s="85" t="s">
        <v>558</v>
      </c>
      <c r="J108">
        <v>2009</v>
      </c>
      <c r="L108" s="5">
        <f t="shared" si="46"/>
        <v>12</v>
      </c>
      <c r="M108" s="109" t="e">
        <f>+#REF!-L108</f>
        <v>#REF!</v>
      </c>
      <c r="N108" s="23">
        <v>86</v>
      </c>
      <c r="O108" s="23">
        <v>1.72</v>
      </c>
      <c r="P108" s="24">
        <f t="shared" si="47"/>
        <v>29.069767441860467</v>
      </c>
      <c r="Q108" s="24" t="s">
        <v>243</v>
      </c>
      <c r="R108" s="24" t="s">
        <v>486</v>
      </c>
      <c r="S108" s="23" t="s">
        <v>243</v>
      </c>
      <c r="T108" s="45" t="s">
        <v>242</v>
      </c>
      <c r="U108" s="23" t="s">
        <v>212</v>
      </c>
      <c r="V108" s="16">
        <v>44378</v>
      </c>
      <c r="W108" s="17">
        <v>8</v>
      </c>
      <c r="X108" s="17" t="s">
        <v>475</v>
      </c>
      <c r="Y108" s="17" t="s">
        <v>583</v>
      </c>
      <c r="Z108" s="96" t="s">
        <v>506</v>
      </c>
      <c r="AA108" s="98" t="s">
        <v>568</v>
      </c>
      <c r="AB108" s="17">
        <v>2</v>
      </c>
      <c r="AC108" s="23" t="s">
        <v>245</v>
      </c>
      <c r="AD108" s="23" t="s">
        <v>642</v>
      </c>
      <c r="AE108" s="36">
        <v>26</v>
      </c>
      <c r="AF108" s="94">
        <v>15.6</v>
      </c>
      <c r="AG108" s="94">
        <f t="shared" si="44"/>
        <v>405.59999999999997</v>
      </c>
      <c r="AH108" s="88">
        <f t="shared" si="45"/>
        <v>4.0258064516129028</v>
      </c>
      <c r="AI108" s="25" t="s">
        <v>243</v>
      </c>
      <c r="AJ108" s="23" t="s">
        <v>463</v>
      </c>
      <c r="AK108" s="23" t="s">
        <v>229</v>
      </c>
      <c r="AL108" s="23"/>
      <c r="AM108" s="91">
        <v>3.2199999999999999E-2</v>
      </c>
      <c r="AN108" s="91">
        <f t="shared" si="39"/>
        <v>0</v>
      </c>
      <c r="AO108" s="92">
        <f t="shared" si="40"/>
        <v>0</v>
      </c>
      <c r="AP108" s="23" t="s">
        <v>242</v>
      </c>
      <c r="AQ108" s="23"/>
      <c r="AR108" s="87"/>
      <c r="AS108" s="87"/>
      <c r="AT108" s="88">
        <f t="shared" si="41"/>
        <v>0</v>
      </c>
      <c r="AU108" s="23" t="s">
        <v>242</v>
      </c>
      <c r="AV108" s="44"/>
      <c r="AW108" s="23"/>
      <c r="AX108" s="44"/>
      <c r="AY108" s="44"/>
      <c r="AZ108" s="87"/>
      <c r="BA108" s="87"/>
      <c r="BB108" s="88">
        <f t="shared" si="42"/>
        <v>0</v>
      </c>
      <c r="BC108" s="23" t="s">
        <v>242</v>
      </c>
      <c r="BD108" s="23"/>
      <c r="BE108" s="23"/>
      <c r="BI108" s="90">
        <f t="shared" si="43"/>
        <v>0</v>
      </c>
      <c r="BJ108" s="26">
        <f t="shared" si="35"/>
        <v>0</v>
      </c>
      <c r="BK108" s="26">
        <v>1</v>
      </c>
      <c r="BL108" s="26" t="s">
        <v>850</v>
      </c>
      <c r="BM108" s="26">
        <v>170</v>
      </c>
      <c r="BN108" s="26">
        <v>90</v>
      </c>
      <c r="BO108" s="26">
        <v>103</v>
      </c>
      <c r="BP108" s="26">
        <v>0</v>
      </c>
      <c r="BQ108" s="26">
        <v>1</v>
      </c>
      <c r="BR108" s="224">
        <v>46</v>
      </c>
      <c r="BS108" s="225">
        <v>2</v>
      </c>
      <c r="BT108" s="230" t="s">
        <v>960</v>
      </c>
      <c r="BU108" s="227">
        <v>10869963</v>
      </c>
      <c r="BV108" s="228">
        <v>44378</v>
      </c>
      <c r="BW108" s="225">
        <v>8</v>
      </c>
      <c r="BX108" s="228">
        <v>44963</v>
      </c>
      <c r="BY108" s="230">
        <v>6.7</v>
      </c>
      <c r="BZ108" s="228">
        <v>45014</v>
      </c>
      <c r="CA108" s="225">
        <v>5.0999999999999996</v>
      </c>
      <c r="CB108" s="225">
        <v>5.0999999999999996</v>
      </c>
      <c r="CC108" s="226"/>
      <c r="CD108" s="225">
        <v>150195224807</v>
      </c>
      <c r="CE108" s="225">
        <v>1</v>
      </c>
    </row>
    <row r="109" spans="1:83" ht="15" customHeight="1" thickBot="1" x14ac:dyDescent="0.3">
      <c r="A109" s="15" t="s">
        <v>46</v>
      </c>
      <c r="B109" s="15" t="s">
        <v>123</v>
      </c>
      <c r="C109" s="23" t="s">
        <v>482</v>
      </c>
      <c r="D109" s="41" t="s">
        <v>470</v>
      </c>
      <c r="E109" s="23" t="s">
        <v>164</v>
      </c>
      <c r="F109" s="23" t="s">
        <v>179</v>
      </c>
      <c r="G109" s="23">
        <v>4</v>
      </c>
      <c r="H109" s="23">
        <v>1</v>
      </c>
      <c r="I109" s="85" t="s">
        <v>557</v>
      </c>
      <c r="J109">
        <v>2011</v>
      </c>
      <c r="L109" s="5">
        <f t="shared" si="46"/>
        <v>10</v>
      </c>
      <c r="M109" s="109" t="e">
        <f>+#REF!-L109</f>
        <v>#REF!</v>
      </c>
      <c r="N109" s="23">
        <v>85.5</v>
      </c>
      <c r="O109" s="23">
        <v>1.57</v>
      </c>
      <c r="P109" s="24">
        <f t="shared" si="47"/>
        <v>34.687005558034805</v>
      </c>
      <c r="Q109" s="24" t="s">
        <v>242</v>
      </c>
      <c r="R109" s="24" t="s">
        <v>487</v>
      </c>
      <c r="S109" s="23" t="s">
        <v>177</v>
      </c>
      <c r="T109" s="45" t="s">
        <v>242</v>
      </c>
      <c r="U109" s="23" t="s">
        <v>212</v>
      </c>
      <c r="V109" s="16">
        <v>44392</v>
      </c>
      <c r="W109" s="15">
        <v>9.3000000000000007</v>
      </c>
      <c r="X109" s="17" t="s">
        <v>476</v>
      </c>
      <c r="Y109" s="17" t="s">
        <v>584</v>
      </c>
      <c r="Z109" s="96" t="s">
        <v>506</v>
      </c>
      <c r="AA109" s="98" t="s">
        <v>569</v>
      </c>
      <c r="AB109" s="17">
        <v>2</v>
      </c>
      <c r="AC109" s="23" t="s">
        <v>245</v>
      </c>
      <c r="AD109" s="23" t="s">
        <v>642</v>
      </c>
      <c r="AE109" s="36">
        <v>60</v>
      </c>
      <c r="AF109" s="94">
        <v>15.6</v>
      </c>
      <c r="AG109" s="94">
        <f t="shared" si="44"/>
        <v>936</v>
      </c>
      <c r="AH109" s="88">
        <f t="shared" si="45"/>
        <v>9.2903225806451619</v>
      </c>
      <c r="AI109" s="25" t="s">
        <v>243</v>
      </c>
      <c r="AJ109" s="23" t="s">
        <v>463</v>
      </c>
      <c r="AK109" s="44" t="s">
        <v>179</v>
      </c>
      <c r="AL109" s="23"/>
      <c r="AM109" s="91">
        <v>3.2199999999999999E-2</v>
      </c>
      <c r="AN109" s="91">
        <f t="shared" si="39"/>
        <v>0</v>
      </c>
      <c r="AO109" s="92">
        <f t="shared" si="40"/>
        <v>0</v>
      </c>
      <c r="AP109" s="23" t="s">
        <v>242</v>
      </c>
      <c r="AQ109" s="23"/>
      <c r="AR109" s="87"/>
      <c r="AS109" s="87"/>
      <c r="AT109" s="88">
        <f t="shared" si="41"/>
        <v>0</v>
      </c>
      <c r="AU109" s="23" t="s">
        <v>242</v>
      </c>
      <c r="AV109" s="44"/>
      <c r="AW109" s="23"/>
      <c r="AX109" s="44"/>
      <c r="AY109" s="44"/>
      <c r="AZ109" s="87"/>
      <c r="BA109" s="87"/>
      <c r="BB109" s="88">
        <f t="shared" si="42"/>
        <v>0</v>
      </c>
      <c r="BC109" s="23" t="s">
        <v>242</v>
      </c>
      <c r="BD109" s="23" t="s">
        <v>466</v>
      </c>
      <c r="BE109" s="23">
        <v>25</v>
      </c>
      <c r="BF109" s="33" t="s">
        <v>243</v>
      </c>
      <c r="BG109" s="89">
        <v>26.41</v>
      </c>
      <c r="BH109" s="89">
        <f>+BE109*BG109</f>
        <v>660.25</v>
      </c>
      <c r="BI109" s="90">
        <f t="shared" si="43"/>
        <v>6.5533498759305209</v>
      </c>
      <c r="BJ109" s="26">
        <f t="shared" si="35"/>
        <v>1</v>
      </c>
      <c r="BK109" s="26">
        <v>0</v>
      </c>
      <c r="BL109" s="26" t="s">
        <v>849</v>
      </c>
      <c r="BM109" s="26">
        <v>140</v>
      </c>
      <c r="BN109" s="26">
        <v>80</v>
      </c>
      <c r="BO109" s="26">
        <v>114</v>
      </c>
      <c r="BP109" s="26">
        <v>0</v>
      </c>
      <c r="BQ109" s="26">
        <v>0</v>
      </c>
      <c r="BR109" s="224">
        <v>47</v>
      </c>
      <c r="BS109" s="225">
        <v>2</v>
      </c>
      <c r="BT109" s="230" t="s">
        <v>962</v>
      </c>
      <c r="BU109" s="227">
        <v>4472414</v>
      </c>
      <c r="BV109" s="228">
        <v>44392</v>
      </c>
      <c r="BW109" s="225">
        <v>9.3000000000000007</v>
      </c>
      <c r="BX109" s="228">
        <v>44958</v>
      </c>
      <c r="BY109" s="230">
        <v>5.4</v>
      </c>
      <c r="BZ109" s="226"/>
      <c r="CA109" s="226"/>
      <c r="CB109" s="226"/>
      <c r="CC109" s="226"/>
      <c r="CD109" s="225">
        <v>150190799101</v>
      </c>
      <c r="CE109" s="225">
        <v>0</v>
      </c>
    </row>
    <row r="110" spans="1:83" ht="15" customHeight="1" thickBot="1" x14ac:dyDescent="0.3">
      <c r="A110" s="15" t="s">
        <v>62</v>
      </c>
      <c r="B110" s="15" t="s">
        <v>147</v>
      </c>
      <c r="C110" s="23" t="s">
        <v>480</v>
      </c>
      <c r="D110" s="41" t="s">
        <v>469</v>
      </c>
      <c r="E110" s="23" t="s">
        <v>163</v>
      </c>
      <c r="F110" s="23" t="s">
        <v>179</v>
      </c>
      <c r="G110" s="23">
        <v>2</v>
      </c>
      <c r="H110" s="23">
        <v>1</v>
      </c>
      <c r="I110" s="85" t="s">
        <v>557</v>
      </c>
      <c r="J110">
        <v>2000</v>
      </c>
      <c r="L110" s="5">
        <f t="shared" si="46"/>
        <v>21</v>
      </c>
      <c r="M110" s="109" t="e">
        <f>+#REF!-L110</f>
        <v>#REF!</v>
      </c>
      <c r="N110" s="23">
        <v>78.099999999999994</v>
      </c>
      <c r="O110" s="23">
        <v>1.62</v>
      </c>
      <c r="P110" s="24">
        <f t="shared" si="47"/>
        <v>29.759183051364115</v>
      </c>
      <c r="Q110" s="24" t="s">
        <v>242</v>
      </c>
      <c r="R110" s="24" t="s">
        <v>486</v>
      </c>
      <c r="S110" s="23" t="s">
        <v>177</v>
      </c>
      <c r="T110" s="45" t="s">
        <v>242</v>
      </c>
      <c r="U110" s="23" t="s">
        <v>212</v>
      </c>
      <c r="V110" s="16">
        <v>44441</v>
      </c>
      <c r="W110" s="17">
        <v>8.5</v>
      </c>
      <c r="X110" s="17" t="s">
        <v>475</v>
      </c>
      <c r="Y110" s="17" t="s">
        <v>584</v>
      </c>
      <c r="Z110" s="96" t="s">
        <v>506</v>
      </c>
      <c r="AA110" s="98" t="s">
        <v>569</v>
      </c>
      <c r="AB110" s="17">
        <v>2</v>
      </c>
      <c r="AC110" s="23" t="s">
        <v>182</v>
      </c>
      <c r="AD110" s="23" t="s">
        <v>182</v>
      </c>
      <c r="AE110" s="36">
        <v>10</v>
      </c>
      <c r="AF110" s="94">
        <v>7.21</v>
      </c>
      <c r="AG110" s="94">
        <f t="shared" si="44"/>
        <v>72.099999999999994</v>
      </c>
      <c r="AH110" s="88">
        <f t="shared" si="45"/>
        <v>0.71563275434243168</v>
      </c>
      <c r="AI110" s="25" t="s">
        <v>242</v>
      </c>
      <c r="AJ110" s="23"/>
      <c r="AK110" s="23" t="s">
        <v>247</v>
      </c>
      <c r="AL110" s="23">
        <v>2000</v>
      </c>
      <c r="AM110" s="91">
        <v>3.2199999999999999E-2</v>
      </c>
      <c r="AN110" s="91">
        <f t="shared" si="39"/>
        <v>64.400000000000006</v>
      </c>
      <c r="AO110" s="92">
        <f t="shared" si="40"/>
        <v>0.6392059553349877</v>
      </c>
      <c r="AP110" s="23" t="s">
        <v>243</v>
      </c>
      <c r="AQ110" s="23"/>
      <c r="AR110" s="87"/>
      <c r="AS110" s="87"/>
      <c r="AT110" s="88">
        <f t="shared" si="41"/>
        <v>0</v>
      </c>
      <c r="AU110" s="23" t="s">
        <v>242</v>
      </c>
      <c r="AV110" s="44"/>
      <c r="AW110" s="23"/>
      <c r="AX110" s="44"/>
      <c r="AY110" s="44"/>
      <c r="AZ110" s="87"/>
      <c r="BA110" s="87"/>
      <c r="BB110" s="88">
        <f t="shared" si="42"/>
        <v>0</v>
      </c>
      <c r="BC110" s="23" t="s">
        <v>242</v>
      </c>
      <c r="BD110" s="23"/>
      <c r="BE110" s="23"/>
      <c r="BI110" s="90">
        <f t="shared" si="43"/>
        <v>0</v>
      </c>
      <c r="BJ110" s="26">
        <f t="shared" si="35"/>
        <v>1</v>
      </c>
      <c r="BK110" s="26">
        <v>1</v>
      </c>
      <c r="BL110" s="26" t="s">
        <v>850</v>
      </c>
      <c r="BM110" s="26">
        <v>140</v>
      </c>
      <c r="BN110" s="26">
        <v>70</v>
      </c>
      <c r="BO110" s="26">
        <v>102.5</v>
      </c>
      <c r="BP110" s="26">
        <v>1</v>
      </c>
      <c r="BQ110" s="26">
        <v>0</v>
      </c>
      <c r="BR110" s="224">
        <v>164</v>
      </c>
      <c r="BS110" s="225">
        <v>2</v>
      </c>
      <c r="BT110" s="230" t="s">
        <v>1197</v>
      </c>
      <c r="BU110" s="227">
        <v>7381953</v>
      </c>
      <c r="BV110" s="228">
        <v>44441</v>
      </c>
      <c r="BW110" s="225">
        <v>8.5</v>
      </c>
      <c r="BX110" s="228">
        <v>45013</v>
      </c>
      <c r="BY110" s="226">
        <v>6.6</v>
      </c>
      <c r="BZ110" s="226"/>
      <c r="CA110" s="226"/>
      <c r="CB110" s="226"/>
      <c r="CC110" s="226"/>
      <c r="CD110" s="225">
        <v>150685758602</v>
      </c>
      <c r="CE110" s="225">
        <v>0</v>
      </c>
    </row>
    <row r="111" spans="1:83" ht="15" customHeight="1" thickBot="1" x14ac:dyDescent="0.3">
      <c r="A111" s="15" t="s">
        <v>366</v>
      </c>
      <c r="B111" s="15" t="s">
        <v>367</v>
      </c>
      <c r="C111" s="23" t="s">
        <v>479</v>
      </c>
      <c r="D111" s="41" t="s">
        <v>469</v>
      </c>
      <c r="E111" s="23" t="s">
        <v>164</v>
      </c>
      <c r="F111" s="23" t="s">
        <v>179</v>
      </c>
      <c r="G111" s="23">
        <v>3</v>
      </c>
      <c r="H111" s="23">
        <v>1</v>
      </c>
      <c r="I111" s="85" t="s">
        <v>557</v>
      </c>
      <c r="J111">
        <v>1990</v>
      </c>
      <c r="L111" s="5">
        <f t="shared" si="46"/>
        <v>31</v>
      </c>
      <c r="M111" s="109" t="e">
        <f>+#REF!-L111</f>
        <v>#REF!</v>
      </c>
      <c r="N111" s="23">
        <v>67</v>
      </c>
      <c r="O111" s="23">
        <v>1.45</v>
      </c>
      <c r="P111" s="24">
        <f t="shared" si="47"/>
        <v>31.866825208085611</v>
      </c>
      <c r="Q111" s="24" t="s">
        <v>243</v>
      </c>
      <c r="R111" s="24" t="s">
        <v>487</v>
      </c>
      <c r="S111" s="23" t="s">
        <v>177</v>
      </c>
      <c r="T111" s="45" t="s">
        <v>242</v>
      </c>
      <c r="U111" s="23" t="s">
        <v>212</v>
      </c>
      <c r="V111" s="18">
        <v>44420</v>
      </c>
      <c r="W111" s="17">
        <v>9.5</v>
      </c>
      <c r="X111" s="17" t="s">
        <v>476</v>
      </c>
      <c r="Y111" s="17" t="s">
        <v>584</v>
      </c>
      <c r="Z111" s="96" t="s">
        <v>506</v>
      </c>
      <c r="AA111" s="98" t="s">
        <v>569</v>
      </c>
      <c r="AB111" s="17">
        <v>2</v>
      </c>
      <c r="AC111" s="23" t="s">
        <v>244</v>
      </c>
      <c r="AD111" s="23" t="s">
        <v>642</v>
      </c>
      <c r="AE111" s="36">
        <v>56</v>
      </c>
      <c r="AF111" s="94">
        <v>14.66</v>
      </c>
      <c r="AG111" s="94">
        <f t="shared" si="44"/>
        <v>820.96</v>
      </c>
      <c r="AH111" s="88">
        <f t="shared" si="45"/>
        <v>8.1484863523573203</v>
      </c>
      <c r="AI111" s="25" t="s">
        <v>243</v>
      </c>
      <c r="AJ111" s="29">
        <v>30</v>
      </c>
      <c r="AK111" s="23" t="s">
        <v>247</v>
      </c>
      <c r="AL111" s="23">
        <v>2550</v>
      </c>
      <c r="AM111" s="91">
        <v>3.2199999999999999E-2</v>
      </c>
      <c r="AN111" s="91">
        <f t="shared" si="39"/>
        <v>82.11</v>
      </c>
      <c r="AO111" s="92">
        <f t="shared" si="40"/>
        <v>0.81498759305210922</v>
      </c>
      <c r="AP111" s="23" t="s">
        <v>243</v>
      </c>
      <c r="AQ111" s="23"/>
      <c r="AR111" s="87"/>
      <c r="AS111" s="87"/>
      <c r="AT111" s="88">
        <f t="shared" si="41"/>
        <v>0</v>
      </c>
      <c r="AU111" s="23" t="s">
        <v>242</v>
      </c>
      <c r="AV111" s="44"/>
      <c r="AW111" s="23"/>
      <c r="AX111" s="44"/>
      <c r="AY111" s="44"/>
      <c r="AZ111" s="87"/>
      <c r="BA111" s="87"/>
      <c r="BB111" s="88">
        <f t="shared" si="42"/>
        <v>0</v>
      </c>
      <c r="BC111" s="23" t="s">
        <v>242</v>
      </c>
      <c r="BD111" s="23"/>
      <c r="BE111" s="23"/>
      <c r="BI111" s="90">
        <f t="shared" si="43"/>
        <v>0</v>
      </c>
      <c r="BJ111" s="26">
        <f t="shared" si="35"/>
        <v>1</v>
      </c>
      <c r="BK111" s="26">
        <v>0</v>
      </c>
      <c r="BL111" s="26" t="s">
        <v>850</v>
      </c>
      <c r="BM111" s="26">
        <v>150</v>
      </c>
      <c r="BN111" s="26">
        <v>80</v>
      </c>
      <c r="BO111" s="26">
        <v>107</v>
      </c>
      <c r="BP111" s="26">
        <v>0</v>
      </c>
      <c r="BQ111" s="26">
        <v>0</v>
      </c>
      <c r="BR111" s="224">
        <v>165</v>
      </c>
      <c r="BS111" s="225">
        <v>1</v>
      </c>
      <c r="BT111" s="230" t="s">
        <v>1199</v>
      </c>
      <c r="BU111" s="227">
        <v>11743151</v>
      </c>
      <c r="BV111" s="228">
        <v>44420</v>
      </c>
      <c r="BW111" s="225">
        <v>9.5</v>
      </c>
      <c r="BX111" s="228">
        <v>44949</v>
      </c>
      <c r="BY111" s="226">
        <v>6.8</v>
      </c>
      <c r="BZ111" s="226"/>
      <c r="CA111" s="226"/>
      <c r="CB111" s="226"/>
      <c r="CC111" s="226"/>
      <c r="CD111" s="225">
        <v>150717632008</v>
      </c>
      <c r="CE111" s="225">
        <v>0</v>
      </c>
    </row>
    <row r="112" spans="1:83" ht="15" customHeight="1" thickBot="1" x14ac:dyDescent="0.3">
      <c r="A112" s="15" t="s">
        <v>10</v>
      </c>
      <c r="B112" s="15" t="s">
        <v>86</v>
      </c>
      <c r="C112" s="23" t="s">
        <v>479</v>
      </c>
      <c r="D112" s="41" t="s">
        <v>469</v>
      </c>
      <c r="E112" s="23" t="s">
        <v>163</v>
      </c>
      <c r="F112" s="23" t="s">
        <v>242</v>
      </c>
      <c r="G112" s="23">
        <v>3</v>
      </c>
      <c r="H112" s="23">
        <v>2</v>
      </c>
      <c r="I112" s="85" t="s">
        <v>558</v>
      </c>
      <c r="J112">
        <v>2003</v>
      </c>
      <c r="L112" s="5">
        <f t="shared" si="46"/>
        <v>18</v>
      </c>
      <c r="M112" s="109" t="e">
        <f>+#REF!-L112</f>
        <v>#REF!</v>
      </c>
      <c r="N112" s="23">
        <v>94</v>
      </c>
      <c r="O112" s="23">
        <v>1.76</v>
      </c>
      <c r="P112" s="24">
        <f t="shared" si="47"/>
        <v>30.346074380165291</v>
      </c>
      <c r="Q112" s="24" t="s">
        <v>243</v>
      </c>
      <c r="R112" s="24" t="s">
        <v>487</v>
      </c>
      <c r="S112" s="23" t="s">
        <v>243</v>
      </c>
      <c r="T112" s="45" t="s">
        <v>242</v>
      </c>
      <c r="U112" s="23" t="s">
        <v>212</v>
      </c>
      <c r="V112" s="18">
        <v>44378</v>
      </c>
      <c r="W112" s="15">
        <v>6.5</v>
      </c>
      <c r="X112" s="15" t="s">
        <v>474</v>
      </c>
      <c r="Y112" s="15" t="s">
        <v>582</v>
      </c>
      <c r="Z112" s="97" t="s">
        <v>505</v>
      </c>
      <c r="AA112" s="99" t="s">
        <v>566</v>
      </c>
      <c r="AB112" s="15">
        <v>1</v>
      </c>
      <c r="AC112" s="23" t="s">
        <v>244</v>
      </c>
      <c r="AD112" s="23" t="s">
        <v>642</v>
      </c>
      <c r="AE112" s="36">
        <v>12</v>
      </c>
      <c r="AF112" s="94">
        <v>14.66</v>
      </c>
      <c r="AG112" s="94">
        <f t="shared" si="44"/>
        <v>175.92000000000002</v>
      </c>
      <c r="AH112" s="88">
        <f t="shared" si="45"/>
        <v>1.746104218362283</v>
      </c>
      <c r="AI112" s="25" t="s">
        <v>242</v>
      </c>
      <c r="AJ112" s="23"/>
      <c r="AK112" s="23" t="s">
        <v>247</v>
      </c>
      <c r="AL112" s="23">
        <v>1700</v>
      </c>
      <c r="AM112" s="91">
        <v>3.2199999999999999E-2</v>
      </c>
      <c r="AN112" s="91">
        <f t="shared" si="39"/>
        <v>54.74</v>
      </c>
      <c r="AO112" s="92">
        <f t="shared" si="40"/>
        <v>0.54332506203473951</v>
      </c>
      <c r="AP112" s="23" t="s">
        <v>243</v>
      </c>
      <c r="AQ112" s="23"/>
      <c r="AR112" s="87"/>
      <c r="AS112" s="87"/>
      <c r="AT112" s="88">
        <f t="shared" si="41"/>
        <v>0</v>
      </c>
      <c r="AU112" s="23" t="s">
        <v>242</v>
      </c>
      <c r="AV112" s="44"/>
      <c r="AW112" s="23"/>
      <c r="AX112" s="23" t="s">
        <v>249</v>
      </c>
      <c r="AY112" s="23">
        <v>100</v>
      </c>
      <c r="AZ112" s="87">
        <v>5.4</v>
      </c>
      <c r="BA112" s="87">
        <f>+AY112*AZ112</f>
        <v>540</v>
      </c>
      <c r="BB112" s="88">
        <f t="shared" si="42"/>
        <v>5.3598014888337469</v>
      </c>
      <c r="BC112" s="23" t="s">
        <v>243</v>
      </c>
      <c r="BD112" s="23"/>
      <c r="BE112" s="23"/>
      <c r="BI112" s="90">
        <f t="shared" si="43"/>
        <v>0</v>
      </c>
      <c r="BJ112" s="26">
        <f t="shared" si="35"/>
        <v>2</v>
      </c>
      <c r="BK112" s="26">
        <v>1</v>
      </c>
      <c r="BL112" s="26" t="s">
        <v>850</v>
      </c>
      <c r="BM112" s="26">
        <v>140</v>
      </c>
      <c r="BN112" s="26">
        <v>90</v>
      </c>
      <c r="BO112" s="26">
        <v>107</v>
      </c>
      <c r="BP112" s="26">
        <v>0</v>
      </c>
      <c r="BQ112" s="26">
        <v>0</v>
      </c>
      <c r="BR112" s="224">
        <v>48</v>
      </c>
      <c r="BS112" s="225">
        <v>1</v>
      </c>
      <c r="BT112" s="230" t="s">
        <v>964</v>
      </c>
      <c r="BU112" s="227">
        <v>10780220</v>
      </c>
      <c r="BV112" s="228">
        <v>44378</v>
      </c>
      <c r="BW112" s="225">
        <v>6.5</v>
      </c>
      <c r="BX112" s="228">
        <v>44942</v>
      </c>
      <c r="BY112" s="230">
        <v>5.6</v>
      </c>
      <c r="BZ112" s="226"/>
      <c r="CA112" s="226"/>
      <c r="CB112" s="226"/>
      <c r="CC112" s="226"/>
      <c r="CD112" s="225">
        <v>150915241500</v>
      </c>
      <c r="CE112" s="225">
        <v>0</v>
      </c>
    </row>
    <row r="113" spans="1:83" ht="15" customHeight="1" thickBot="1" x14ac:dyDescent="0.3">
      <c r="A113" s="15" t="s">
        <v>368</v>
      </c>
      <c r="B113" s="15" t="s">
        <v>369</v>
      </c>
      <c r="C113" s="23" t="s">
        <v>480</v>
      </c>
      <c r="D113" s="41" t="s">
        <v>469</v>
      </c>
      <c r="E113" s="23" t="s">
        <v>163</v>
      </c>
      <c r="F113" s="23" t="s">
        <v>177</v>
      </c>
      <c r="G113" s="23">
        <v>2</v>
      </c>
      <c r="H113" s="23">
        <v>3</v>
      </c>
      <c r="I113" s="85" t="s">
        <v>559</v>
      </c>
      <c r="J113">
        <v>1997</v>
      </c>
      <c r="L113" s="5">
        <f t="shared" si="46"/>
        <v>24</v>
      </c>
      <c r="M113" s="109" t="e">
        <f>+#REF!-L113</f>
        <v>#REF!</v>
      </c>
      <c r="N113" s="23">
        <v>90.3</v>
      </c>
      <c r="O113" s="23">
        <v>1.65</v>
      </c>
      <c r="P113" s="24">
        <f t="shared" si="47"/>
        <v>33.168044077134986</v>
      </c>
      <c r="Q113" s="24" t="s">
        <v>242</v>
      </c>
      <c r="R113" s="24" t="s">
        <v>487</v>
      </c>
      <c r="S113" s="23" t="s">
        <v>177</v>
      </c>
      <c r="T113" s="45" t="s">
        <v>242</v>
      </c>
      <c r="U113" s="23" t="s">
        <v>212</v>
      </c>
      <c r="V113" s="18">
        <v>44392</v>
      </c>
      <c r="W113" s="15">
        <v>13.3</v>
      </c>
      <c r="X113" s="17" t="s">
        <v>477</v>
      </c>
      <c r="Y113" s="17" t="s">
        <v>584</v>
      </c>
      <c r="Z113" s="96" t="s">
        <v>590</v>
      </c>
      <c r="AA113" s="98" t="s">
        <v>569</v>
      </c>
      <c r="AB113" s="17">
        <v>3</v>
      </c>
      <c r="AC113" s="23" t="s">
        <v>244</v>
      </c>
      <c r="AD113" s="23" t="s">
        <v>642</v>
      </c>
      <c r="AE113" s="36">
        <v>65</v>
      </c>
      <c r="AF113" s="94">
        <v>14.66</v>
      </c>
      <c r="AG113" s="94">
        <f t="shared" si="44"/>
        <v>952.9</v>
      </c>
      <c r="AH113" s="88">
        <f t="shared" si="45"/>
        <v>9.4580645161290313</v>
      </c>
      <c r="AI113" s="25" t="s">
        <v>243</v>
      </c>
      <c r="AJ113" s="23" t="s">
        <v>463</v>
      </c>
      <c r="AK113" s="44" t="s">
        <v>179</v>
      </c>
      <c r="AL113" s="23"/>
      <c r="AM113" s="91">
        <v>3.2199999999999999E-2</v>
      </c>
      <c r="AN113" s="91">
        <f t="shared" si="39"/>
        <v>0</v>
      </c>
      <c r="AO113" s="92">
        <f t="shared" si="40"/>
        <v>0</v>
      </c>
      <c r="AP113" s="23" t="s">
        <v>242</v>
      </c>
      <c r="AQ113" s="23"/>
      <c r="AR113" s="87"/>
      <c r="AS113" s="87"/>
      <c r="AT113" s="88">
        <f t="shared" si="41"/>
        <v>0</v>
      </c>
      <c r="AU113" s="23" t="s">
        <v>242</v>
      </c>
      <c r="AV113" s="44"/>
      <c r="AW113" s="23"/>
      <c r="AX113" s="30" t="s">
        <v>465</v>
      </c>
      <c r="AY113" s="30">
        <v>5</v>
      </c>
      <c r="AZ113" s="87">
        <v>66.150000000000006</v>
      </c>
      <c r="BA113" s="87">
        <v>330.75</v>
      </c>
      <c r="BB113" s="88">
        <f t="shared" si="42"/>
        <v>3.2828784119106698</v>
      </c>
      <c r="BC113" s="23" t="s">
        <v>242</v>
      </c>
      <c r="BD113" s="23"/>
      <c r="BE113" s="23"/>
      <c r="BI113" s="90">
        <f t="shared" si="43"/>
        <v>0</v>
      </c>
      <c r="BJ113" s="26">
        <f t="shared" si="35"/>
        <v>0</v>
      </c>
      <c r="BK113" s="26">
        <v>1</v>
      </c>
      <c r="BL113" s="26" t="s">
        <v>851</v>
      </c>
      <c r="BM113" s="26">
        <v>140</v>
      </c>
      <c r="BN113" s="26">
        <v>80</v>
      </c>
      <c r="BO113" s="26">
        <v>120</v>
      </c>
      <c r="BP113" s="26">
        <v>0</v>
      </c>
      <c r="BQ113" s="26">
        <v>1</v>
      </c>
      <c r="BR113" s="224">
        <v>49</v>
      </c>
      <c r="BS113" s="225">
        <v>1</v>
      </c>
      <c r="BT113" s="230" t="s">
        <v>966</v>
      </c>
      <c r="BU113" s="227">
        <v>8708013</v>
      </c>
      <c r="BV113" s="228">
        <v>44392</v>
      </c>
      <c r="BW113" s="225">
        <v>13.3</v>
      </c>
      <c r="BX113" s="228">
        <v>44942</v>
      </c>
      <c r="BY113" s="230">
        <v>10.4</v>
      </c>
      <c r="BZ113" s="226"/>
      <c r="CA113" s="226"/>
      <c r="CB113" s="226"/>
      <c r="CC113" s="226"/>
      <c r="CD113" s="225">
        <v>150571986600</v>
      </c>
      <c r="CE113" s="225">
        <v>0</v>
      </c>
    </row>
    <row r="114" spans="1:83" ht="15" customHeight="1" thickBot="1" x14ac:dyDescent="0.3">
      <c r="A114" s="15" t="s">
        <v>370</v>
      </c>
      <c r="B114" s="15" t="s">
        <v>371</v>
      </c>
      <c r="C114" s="23" t="s">
        <v>479</v>
      </c>
      <c r="D114" s="41" t="s">
        <v>469</v>
      </c>
      <c r="E114" s="23" t="s">
        <v>163</v>
      </c>
      <c r="F114" s="23" t="s">
        <v>179</v>
      </c>
      <c r="G114" s="23">
        <v>2</v>
      </c>
      <c r="H114" s="23">
        <v>4</v>
      </c>
      <c r="I114" s="85" t="s">
        <v>560</v>
      </c>
      <c r="J114">
        <v>2000</v>
      </c>
      <c r="L114" s="5">
        <f t="shared" si="46"/>
        <v>21</v>
      </c>
      <c r="M114" s="109" t="e">
        <f>+#REF!-L114</f>
        <v>#REF!</v>
      </c>
      <c r="N114" s="23">
        <v>91.7</v>
      </c>
      <c r="O114" s="23">
        <v>1.75</v>
      </c>
      <c r="P114" s="24">
        <f t="shared" si="47"/>
        <v>29.942857142857143</v>
      </c>
      <c r="Q114" s="24" t="s">
        <v>242</v>
      </c>
      <c r="R114" s="24" t="s">
        <v>486</v>
      </c>
      <c r="S114" s="23" t="s">
        <v>177</v>
      </c>
      <c r="T114" s="45" t="s">
        <v>242</v>
      </c>
      <c r="U114" s="23" t="s">
        <v>212</v>
      </c>
      <c r="V114" s="16">
        <v>44385</v>
      </c>
      <c r="W114" s="15">
        <v>14.4</v>
      </c>
      <c r="X114" s="17" t="s">
        <v>477</v>
      </c>
      <c r="Y114" s="17" t="s">
        <v>584</v>
      </c>
      <c r="Z114" s="96" t="s">
        <v>590</v>
      </c>
      <c r="AA114" s="98" t="s">
        <v>569</v>
      </c>
      <c r="AB114" s="17">
        <v>3</v>
      </c>
      <c r="AC114" s="23" t="s">
        <v>245</v>
      </c>
      <c r="AD114" s="23" t="s">
        <v>642</v>
      </c>
      <c r="AE114" s="36">
        <v>50</v>
      </c>
      <c r="AF114" s="94">
        <v>15.6</v>
      </c>
      <c r="AG114" s="94">
        <f t="shared" si="44"/>
        <v>780</v>
      </c>
      <c r="AH114" s="88">
        <f t="shared" si="45"/>
        <v>7.741935483870968</v>
      </c>
      <c r="AI114" s="25" t="s">
        <v>243</v>
      </c>
      <c r="AJ114" s="23" t="s">
        <v>463</v>
      </c>
      <c r="AK114" s="44" t="s">
        <v>179</v>
      </c>
      <c r="AL114" s="23"/>
      <c r="AM114" s="91">
        <v>3.2199999999999999E-2</v>
      </c>
      <c r="AN114" s="91">
        <f t="shared" si="39"/>
        <v>0</v>
      </c>
      <c r="AO114" s="92">
        <f t="shared" si="40"/>
        <v>0</v>
      </c>
      <c r="AP114" s="23" t="s">
        <v>242</v>
      </c>
      <c r="AQ114" s="23"/>
      <c r="AR114" s="87"/>
      <c r="AS114" s="87"/>
      <c r="AT114" s="88">
        <f t="shared" si="41"/>
        <v>0</v>
      </c>
      <c r="AU114" s="23" t="s">
        <v>242</v>
      </c>
      <c r="AV114" s="44"/>
      <c r="AW114" s="23"/>
      <c r="AX114" s="44"/>
      <c r="AY114" s="44"/>
      <c r="AZ114" s="87"/>
      <c r="BA114" s="87"/>
      <c r="BB114" s="88">
        <f t="shared" si="42"/>
        <v>0</v>
      </c>
      <c r="BC114" s="23" t="s">
        <v>242</v>
      </c>
      <c r="BD114" s="23"/>
      <c r="BE114" s="23"/>
      <c r="BI114" s="90">
        <f t="shared" si="43"/>
        <v>0</v>
      </c>
      <c r="BJ114" s="26">
        <f t="shared" si="35"/>
        <v>0</v>
      </c>
      <c r="BK114" s="26">
        <v>0</v>
      </c>
      <c r="BL114" s="26" t="s">
        <v>850</v>
      </c>
      <c r="BM114" s="26">
        <v>150</v>
      </c>
      <c r="BN114" s="26">
        <v>80</v>
      </c>
      <c r="BO114" s="26">
        <v>117</v>
      </c>
      <c r="BP114" s="26">
        <v>0</v>
      </c>
      <c r="BQ114" s="26">
        <v>0</v>
      </c>
      <c r="BR114" s="224">
        <v>50</v>
      </c>
      <c r="BS114" s="225">
        <v>2</v>
      </c>
      <c r="BT114" s="230" t="s">
        <v>968</v>
      </c>
      <c r="BU114" s="227">
        <v>10967797</v>
      </c>
      <c r="BV114" s="228">
        <v>44385</v>
      </c>
      <c r="BW114" s="225">
        <v>14.4</v>
      </c>
      <c r="BX114" s="228">
        <v>44908</v>
      </c>
      <c r="BY114" s="230">
        <v>8.9</v>
      </c>
      <c r="BZ114" s="226"/>
      <c r="CA114" s="226"/>
      <c r="CB114" s="226"/>
      <c r="CC114" s="226"/>
      <c r="CD114" s="225">
        <v>150466721907</v>
      </c>
      <c r="CE114" s="225">
        <v>0</v>
      </c>
    </row>
    <row r="115" spans="1:83" ht="15" customHeight="1" thickBot="1" x14ac:dyDescent="0.3">
      <c r="A115" s="15" t="s">
        <v>370</v>
      </c>
      <c r="B115" s="15" t="s">
        <v>372</v>
      </c>
      <c r="C115" s="23" t="s">
        <v>479</v>
      </c>
      <c r="D115" s="41" t="s">
        <v>469</v>
      </c>
      <c r="E115" s="23" t="s">
        <v>164</v>
      </c>
      <c r="F115" s="23" t="s">
        <v>179</v>
      </c>
      <c r="G115" s="23">
        <v>2</v>
      </c>
      <c r="H115" s="23">
        <v>1</v>
      </c>
      <c r="I115" s="85" t="s">
        <v>557</v>
      </c>
      <c r="J115">
        <v>2000</v>
      </c>
      <c r="L115" s="5">
        <f t="shared" ref="L115:L129" si="48">2021-J115</f>
        <v>21</v>
      </c>
      <c r="M115" s="109" t="e">
        <f>+#REF!-L115</f>
        <v>#REF!</v>
      </c>
      <c r="N115" s="23">
        <v>75.2</v>
      </c>
      <c r="O115" s="23">
        <v>1.62</v>
      </c>
      <c r="P115" s="24">
        <f t="shared" ref="P115:P124" si="49">N115/(O115*O115)</f>
        <v>28.654168571864041</v>
      </c>
      <c r="Q115" s="24" t="s">
        <v>243</v>
      </c>
      <c r="R115" s="24" t="s">
        <v>486</v>
      </c>
      <c r="S115" s="23" t="s">
        <v>177</v>
      </c>
      <c r="T115" s="45" t="s">
        <v>242</v>
      </c>
      <c r="U115" s="23" t="s">
        <v>212</v>
      </c>
      <c r="V115" s="18">
        <v>44403</v>
      </c>
      <c r="W115" s="17">
        <v>12</v>
      </c>
      <c r="X115" s="17" t="s">
        <v>477</v>
      </c>
      <c r="Y115" s="17" t="s">
        <v>584</v>
      </c>
      <c r="Z115" s="96" t="s">
        <v>590</v>
      </c>
      <c r="AA115" s="98" t="s">
        <v>569</v>
      </c>
      <c r="AB115" s="17">
        <v>3</v>
      </c>
      <c r="AC115" s="23" t="s">
        <v>182</v>
      </c>
      <c r="AD115" s="23" t="s">
        <v>182</v>
      </c>
      <c r="AE115" s="36">
        <v>75</v>
      </c>
      <c r="AF115" s="94">
        <v>7.21</v>
      </c>
      <c r="AG115" s="94">
        <f t="shared" si="44"/>
        <v>540.75</v>
      </c>
      <c r="AH115" s="88">
        <f t="shared" si="45"/>
        <v>5.3672456575682386</v>
      </c>
      <c r="AI115" s="25" t="s">
        <v>243</v>
      </c>
      <c r="AJ115" s="23"/>
      <c r="AK115" s="23" t="s">
        <v>247</v>
      </c>
      <c r="AL115" s="23">
        <v>2000</v>
      </c>
      <c r="AM115" s="91">
        <v>3.2199999999999999E-2</v>
      </c>
      <c r="AN115" s="91">
        <f t="shared" si="39"/>
        <v>64.400000000000006</v>
      </c>
      <c r="AO115" s="92">
        <f t="shared" si="40"/>
        <v>0.6392059553349877</v>
      </c>
      <c r="AP115" s="23" t="s">
        <v>243</v>
      </c>
      <c r="AQ115" s="23"/>
      <c r="AR115" s="87"/>
      <c r="AS115" s="87"/>
      <c r="AT115" s="88">
        <f t="shared" si="41"/>
        <v>0</v>
      </c>
      <c r="AU115" s="23" t="s">
        <v>242</v>
      </c>
      <c r="AV115" s="44"/>
      <c r="AW115" s="23"/>
      <c r="AX115" s="44"/>
      <c r="AY115" s="44"/>
      <c r="AZ115" s="87"/>
      <c r="BA115" s="87"/>
      <c r="BB115" s="88">
        <f t="shared" si="42"/>
        <v>0</v>
      </c>
      <c r="BC115" s="23" t="s">
        <v>242</v>
      </c>
      <c r="BD115" s="23"/>
      <c r="BE115" s="23"/>
      <c r="BI115" s="90">
        <f t="shared" si="43"/>
        <v>0</v>
      </c>
      <c r="BJ115" s="26">
        <f t="shared" si="35"/>
        <v>1</v>
      </c>
      <c r="BK115" s="26">
        <v>0</v>
      </c>
      <c r="BL115" s="26" t="s">
        <v>851</v>
      </c>
      <c r="BM115" s="26">
        <v>145</v>
      </c>
      <c r="BN115" s="26">
        <v>85</v>
      </c>
      <c r="BO115" s="26">
        <v>102</v>
      </c>
      <c r="BP115" s="26">
        <v>0</v>
      </c>
      <c r="BQ115" s="26">
        <v>0</v>
      </c>
      <c r="BR115" s="224">
        <v>51</v>
      </c>
      <c r="BS115" s="225">
        <v>1</v>
      </c>
      <c r="BT115" s="230" t="s">
        <v>970</v>
      </c>
      <c r="BU115" s="227">
        <v>11990046</v>
      </c>
      <c r="BV115" s="228">
        <v>44403</v>
      </c>
      <c r="BW115" s="225">
        <v>12</v>
      </c>
      <c r="BX115" s="226"/>
      <c r="BY115" s="226"/>
      <c r="BZ115" s="226"/>
      <c r="CA115" s="226"/>
      <c r="CB115" s="226"/>
      <c r="CC115" s="226"/>
      <c r="CD115" s="225">
        <v>150715538404</v>
      </c>
      <c r="CE115" s="225">
        <v>0</v>
      </c>
    </row>
    <row r="116" spans="1:83" ht="15" customHeight="1" thickBot="1" x14ac:dyDescent="0.3">
      <c r="A116" s="15" t="s">
        <v>63</v>
      </c>
      <c r="B116" s="15" t="s">
        <v>86</v>
      </c>
      <c r="C116" s="23" t="s">
        <v>480</v>
      </c>
      <c r="D116" s="41" t="s">
        <v>469</v>
      </c>
      <c r="E116" s="23" t="s">
        <v>163</v>
      </c>
      <c r="F116" s="23" t="s">
        <v>179</v>
      </c>
      <c r="G116" s="23">
        <v>2</v>
      </c>
      <c r="H116" s="23">
        <v>1</v>
      </c>
      <c r="I116" s="85" t="s">
        <v>557</v>
      </c>
      <c r="J116">
        <v>1998</v>
      </c>
      <c r="L116" s="5">
        <f t="shared" si="48"/>
        <v>23</v>
      </c>
      <c r="M116" s="109" t="e">
        <f>+#REF!-L116</f>
        <v>#REF!</v>
      </c>
      <c r="N116" s="23">
        <v>94.5</v>
      </c>
      <c r="O116" s="23">
        <v>1.66</v>
      </c>
      <c r="P116" s="24">
        <f t="shared" si="49"/>
        <v>34.293801712875599</v>
      </c>
      <c r="Q116" s="24" t="s">
        <v>243</v>
      </c>
      <c r="R116" s="24" t="s">
        <v>487</v>
      </c>
      <c r="S116" s="23" t="s">
        <v>177</v>
      </c>
      <c r="T116" s="45" t="s">
        <v>242</v>
      </c>
      <c r="U116" s="23" t="s">
        <v>212</v>
      </c>
      <c r="V116" s="16">
        <v>44434</v>
      </c>
      <c r="W116" s="17">
        <v>7.8</v>
      </c>
      <c r="X116" s="17" t="s">
        <v>475</v>
      </c>
      <c r="Y116" s="17" t="s">
        <v>583</v>
      </c>
      <c r="Z116" s="96" t="s">
        <v>506</v>
      </c>
      <c r="AA116" s="98" t="s">
        <v>568</v>
      </c>
      <c r="AB116" s="17">
        <v>2</v>
      </c>
      <c r="AC116" s="23" t="s">
        <v>245</v>
      </c>
      <c r="AD116" s="23" t="s">
        <v>642</v>
      </c>
      <c r="AE116" s="36">
        <v>32</v>
      </c>
      <c r="AF116" s="94">
        <v>15.6</v>
      </c>
      <c r="AG116" s="94">
        <f t="shared" si="44"/>
        <v>499.2</v>
      </c>
      <c r="AH116" s="88">
        <f t="shared" si="45"/>
        <v>4.9548387096774196</v>
      </c>
      <c r="AI116" s="25" t="s">
        <v>242</v>
      </c>
      <c r="AJ116" s="23"/>
      <c r="AK116" s="23" t="s">
        <v>247</v>
      </c>
      <c r="AL116" s="23">
        <v>2000</v>
      </c>
      <c r="AM116" s="91">
        <v>3.2199999999999999E-2</v>
      </c>
      <c r="AN116" s="91">
        <f t="shared" si="39"/>
        <v>64.400000000000006</v>
      </c>
      <c r="AO116" s="92">
        <f t="shared" si="40"/>
        <v>0.6392059553349877</v>
      </c>
      <c r="AP116" s="23" t="s">
        <v>243</v>
      </c>
      <c r="AQ116" s="23"/>
      <c r="AR116" s="87"/>
      <c r="AS116" s="87"/>
      <c r="AT116" s="88">
        <f t="shared" si="41"/>
        <v>0</v>
      </c>
      <c r="AU116" s="23" t="s">
        <v>242</v>
      </c>
      <c r="AV116" s="44"/>
      <c r="AW116" s="23"/>
      <c r="AX116" s="23" t="s">
        <v>251</v>
      </c>
      <c r="AY116" s="23">
        <v>100</v>
      </c>
      <c r="AZ116" s="87">
        <v>1.84</v>
      </c>
      <c r="BA116" s="87">
        <f>+AY116*AZ116</f>
        <v>184</v>
      </c>
      <c r="BB116" s="88">
        <f t="shared" si="42"/>
        <v>1.8263027295285359</v>
      </c>
      <c r="BC116" s="23" t="s">
        <v>243</v>
      </c>
      <c r="BD116" s="23"/>
      <c r="BE116" s="23"/>
      <c r="BI116" s="90">
        <f t="shared" si="43"/>
        <v>0</v>
      </c>
      <c r="BJ116" s="26">
        <f t="shared" ref="BJ116:BJ123" si="50">COUNTIF(AP116:BI116,"SI")</f>
        <v>2</v>
      </c>
      <c r="BK116" s="26">
        <v>0</v>
      </c>
      <c r="BL116" s="26" t="s">
        <v>850</v>
      </c>
      <c r="BM116" s="26">
        <v>130</v>
      </c>
      <c r="BN116" s="26">
        <v>80</v>
      </c>
      <c r="BO116" s="26">
        <v>118</v>
      </c>
      <c r="BP116" s="26">
        <v>0</v>
      </c>
      <c r="BQ116" s="26">
        <v>1</v>
      </c>
      <c r="BR116" s="224">
        <v>166</v>
      </c>
      <c r="BS116" s="225">
        <v>2</v>
      </c>
      <c r="BT116" s="230" t="s">
        <v>1201</v>
      </c>
      <c r="BU116" s="227">
        <v>7822955</v>
      </c>
      <c r="BV116" s="228">
        <v>44434</v>
      </c>
      <c r="BW116" s="226"/>
      <c r="BX116" s="228">
        <v>44911</v>
      </c>
      <c r="BY116" s="226">
        <v>6.4</v>
      </c>
      <c r="BZ116" s="226"/>
      <c r="CA116" s="226"/>
      <c r="CB116" s="226"/>
      <c r="CC116" s="226"/>
      <c r="CD116" s="225">
        <v>150714120302</v>
      </c>
      <c r="CE116" s="225">
        <v>0</v>
      </c>
    </row>
    <row r="117" spans="1:83" ht="15" customHeight="1" thickBot="1" x14ac:dyDescent="0.3">
      <c r="A117" s="15" t="s">
        <v>373</v>
      </c>
      <c r="B117" s="15" t="s">
        <v>374</v>
      </c>
      <c r="C117" s="23" t="s">
        <v>479</v>
      </c>
      <c r="D117" s="41" t="s">
        <v>469</v>
      </c>
      <c r="E117" s="23" t="s">
        <v>163</v>
      </c>
      <c r="F117" s="23" t="s">
        <v>179</v>
      </c>
      <c r="G117" s="23">
        <v>2</v>
      </c>
      <c r="H117" s="23">
        <v>1</v>
      </c>
      <c r="I117" s="85" t="s">
        <v>557</v>
      </c>
      <c r="J117">
        <v>2015</v>
      </c>
      <c r="L117" s="5">
        <f t="shared" si="48"/>
        <v>6</v>
      </c>
      <c r="M117" s="109" t="e">
        <f>+#REF!-L117</f>
        <v>#REF!</v>
      </c>
      <c r="N117" s="23">
        <v>85</v>
      </c>
      <c r="O117" s="23">
        <v>1.64</v>
      </c>
      <c r="P117" s="24">
        <f t="shared" si="49"/>
        <v>31.603212373587155</v>
      </c>
      <c r="Q117" s="24" t="s">
        <v>242</v>
      </c>
      <c r="R117" s="24" t="s">
        <v>487</v>
      </c>
      <c r="S117" s="23" t="s">
        <v>177</v>
      </c>
      <c r="T117" s="45" t="s">
        <v>242</v>
      </c>
      <c r="U117" s="23" t="s">
        <v>212</v>
      </c>
      <c r="V117" s="18">
        <v>44392</v>
      </c>
      <c r="W117" s="15">
        <v>11.8</v>
      </c>
      <c r="X117" s="17" t="s">
        <v>477</v>
      </c>
      <c r="Y117" s="17" t="s">
        <v>584</v>
      </c>
      <c r="Z117" s="96" t="s">
        <v>590</v>
      </c>
      <c r="AA117" s="98" t="s">
        <v>569</v>
      </c>
      <c r="AB117" s="17">
        <v>3</v>
      </c>
      <c r="AC117" s="23" t="s">
        <v>244</v>
      </c>
      <c r="AD117" s="23" t="s">
        <v>642</v>
      </c>
      <c r="AE117" s="36">
        <v>48</v>
      </c>
      <c r="AF117" s="94">
        <v>14.66</v>
      </c>
      <c r="AG117" s="94">
        <f t="shared" si="44"/>
        <v>703.68000000000006</v>
      </c>
      <c r="AH117" s="88">
        <f t="shared" si="45"/>
        <v>6.9844168734491321</v>
      </c>
      <c r="AI117" s="25" t="s">
        <v>243</v>
      </c>
      <c r="AJ117" s="23" t="s">
        <v>463</v>
      </c>
      <c r="AK117" s="23" t="s">
        <v>247</v>
      </c>
      <c r="AL117" s="23">
        <v>1000</v>
      </c>
      <c r="AM117" s="91">
        <v>3.2199999999999999E-2</v>
      </c>
      <c r="AN117" s="91">
        <f t="shared" si="39"/>
        <v>32.200000000000003</v>
      </c>
      <c r="AO117" s="92">
        <f t="shared" si="40"/>
        <v>0.31960297766749385</v>
      </c>
      <c r="AP117" s="23" t="s">
        <v>243</v>
      </c>
      <c r="AQ117" s="23"/>
      <c r="AR117" s="87"/>
      <c r="AS117" s="87"/>
      <c r="AT117" s="88">
        <f t="shared" si="41"/>
        <v>0</v>
      </c>
      <c r="AU117" s="23" t="s">
        <v>242</v>
      </c>
      <c r="AV117" s="44"/>
      <c r="AW117" s="23"/>
      <c r="AX117" s="44"/>
      <c r="AY117" s="44"/>
      <c r="AZ117" s="87"/>
      <c r="BA117" s="87"/>
      <c r="BB117" s="88">
        <f t="shared" si="42"/>
        <v>0</v>
      </c>
      <c r="BC117" s="23" t="s">
        <v>242</v>
      </c>
      <c r="BD117" s="23"/>
      <c r="BE117" s="23"/>
      <c r="BI117" s="90">
        <f t="shared" si="43"/>
        <v>0</v>
      </c>
      <c r="BJ117" s="26">
        <f t="shared" si="50"/>
        <v>1</v>
      </c>
      <c r="BK117" s="26">
        <v>1</v>
      </c>
      <c r="BL117" s="26" t="s">
        <v>850</v>
      </c>
      <c r="BM117" s="26">
        <v>140</v>
      </c>
      <c r="BN117" s="26">
        <v>70</v>
      </c>
      <c r="BP117" s="26">
        <v>0</v>
      </c>
      <c r="BQ117" s="26">
        <v>0</v>
      </c>
      <c r="BR117" s="224">
        <v>52</v>
      </c>
      <c r="BS117" s="225">
        <v>1</v>
      </c>
      <c r="BT117" s="230" t="s">
        <v>972</v>
      </c>
      <c r="BU117" s="227">
        <v>11598804</v>
      </c>
      <c r="BV117" s="228">
        <v>44392</v>
      </c>
      <c r="BW117" s="225">
        <v>11.8</v>
      </c>
      <c r="BX117" s="228">
        <v>44946</v>
      </c>
      <c r="BY117" s="226">
        <v>6.5</v>
      </c>
      <c r="BZ117" s="226"/>
      <c r="CA117" s="226"/>
      <c r="CB117" s="226"/>
      <c r="CC117" s="226"/>
      <c r="CD117" s="225">
        <v>465012021800</v>
      </c>
      <c r="CE117" s="225">
        <v>0</v>
      </c>
    </row>
    <row r="118" spans="1:83" ht="15" customHeight="1" thickBot="1" x14ac:dyDescent="0.3">
      <c r="A118" s="15" t="s">
        <v>28</v>
      </c>
      <c r="B118" s="15" t="s">
        <v>100</v>
      </c>
      <c r="C118" s="23" t="s">
        <v>479</v>
      </c>
      <c r="D118" s="41" t="s">
        <v>469</v>
      </c>
      <c r="E118" s="23" t="s">
        <v>163</v>
      </c>
      <c r="F118" s="23" t="s">
        <v>179</v>
      </c>
      <c r="G118" s="23">
        <v>3</v>
      </c>
      <c r="H118" s="23">
        <v>1</v>
      </c>
      <c r="I118" s="85" t="s">
        <v>557</v>
      </c>
      <c r="J118">
        <v>2005</v>
      </c>
      <c r="L118" s="5">
        <f t="shared" si="48"/>
        <v>16</v>
      </c>
      <c r="M118" s="109" t="e">
        <f>+#REF!-L118</f>
        <v>#REF!</v>
      </c>
      <c r="N118" s="23">
        <v>106.7</v>
      </c>
      <c r="O118" s="23">
        <v>1.7</v>
      </c>
      <c r="P118" s="24">
        <f t="shared" si="49"/>
        <v>36.920415224913498</v>
      </c>
      <c r="Q118" s="24" t="s">
        <v>243</v>
      </c>
      <c r="R118" s="24" t="s">
        <v>487</v>
      </c>
      <c r="S118" s="23" t="s">
        <v>177</v>
      </c>
      <c r="T118" s="45" t="s">
        <v>242</v>
      </c>
      <c r="U118" s="23" t="s">
        <v>212</v>
      </c>
      <c r="V118" s="18">
        <v>44420</v>
      </c>
      <c r="W118" s="17">
        <v>11</v>
      </c>
      <c r="X118" s="17" t="s">
        <v>476</v>
      </c>
      <c r="Y118" s="17" t="s">
        <v>584</v>
      </c>
      <c r="Z118" s="96" t="s">
        <v>590</v>
      </c>
      <c r="AA118" s="98" t="s">
        <v>569</v>
      </c>
      <c r="AB118" s="17">
        <v>2</v>
      </c>
      <c r="AC118" s="23" t="s">
        <v>244</v>
      </c>
      <c r="AD118" s="23" t="s">
        <v>642</v>
      </c>
      <c r="AE118" s="36">
        <v>60</v>
      </c>
      <c r="AF118" s="94">
        <v>14.66</v>
      </c>
      <c r="AG118" s="94">
        <f t="shared" si="44"/>
        <v>879.6</v>
      </c>
      <c r="AH118" s="88">
        <f t="shared" si="45"/>
        <v>8.7305210918114149</v>
      </c>
      <c r="AI118" s="25" t="s">
        <v>243</v>
      </c>
      <c r="AJ118" s="23" t="s">
        <v>463</v>
      </c>
      <c r="AK118" s="23" t="s">
        <v>229</v>
      </c>
      <c r="AL118" s="23"/>
      <c r="AM118" s="91">
        <v>3.2199999999999999E-2</v>
      </c>
      <c r="AN118" s="91">
        <f t="shared" si="39"/>
        <v>0</v>
      </c>
      <c r="AO118" s="92">
        <f t="shared" si="40"/>
        <v>0</v>
      </c>
      <c r="AP118" s="23" t="s">
        <v>242</v>
      </c>
      <c r="AQ118" s="23"/>
      <c r="AR118" s="87"/>
      <c r="AS118" s="87"/>
      <c r="AT118" s="88">
        <f t="shared" si="41"/>
        <v>0</v>
      </c>
      <c r="AU118" s="23" t="s">
        <v>242</v>
      </c>
      <c r="AV118" s="44"/>
      <c r="AW118" s="23"/>
      <c r="AX118" s="44"/>
      <c r="AY118" s="44"/>
      <c r="AZ118" s="87"/>
      <c r="BA118" s="87"/>
      <c r="BB118" s="88">
        <f t="shared" si="42"/>
        <v>0</v>
      </c>
      <c r="BC118" s="23" t="s">
        <v>242</v>
      </c>
      <c r="BD118" s="23"/>
      <c r="BE118" s="23"/>
      <c r="BI118" s="90">
        <f t="shared" si="43"/>
        <v>0</v>
      </c>
      <c r="BJ118" s="26">
        <f t="shared" si="50"/>
        <v>0</v>
      </c>
      <c r="BK118" s="26">
        <v>1</v>
      </c>
      <c r="BL118" s="26" t="s">
        <v>850</v>
      </c>
      <c r="BM118" s="26">
        <v>150</v>
      </c>
      <c r="BN118" s="26">
        <v>80</v>
      </c>
      <c r="BO118" s="26">
        <v>124</v>
      </c>
      <c r="BP118" s="26">
        <v>0</v>
      </c>
      <c r="BQ118" s="26">
        <v>1</v>
      </c>
      <c r="BR118" s="224">
        <v>167</v>
      </c>
      <c r="BS118" s="225">
        <v>1</v>
      </c>
      <c r="BT118" s="230" t="s">
        <v>1203</v>
      </c>
      <c r="BU118" s="227">
        <v>10370630</v>
      </c>
      <c r="BV118" s="228">
        <v>44420</v>
      </c>
      <c r="BW118" s="225">
        <v>11</v>
      </c>
      <c r="BX118" s="226"/>
      <c r="BY118" s="226"/>
      <c r="BZ118" s="226"/>
      <c r="CA118" s="226"/>
      <c r="CB118" s="226"/>
      <c r="CC118" s="226"/>
      <c r="CD118" s="225">
        <v>150528508801</v>
      </c>
      <c r="CE118" s="225">
        <v>0</v>
      </c>
    </row>
    <row r="119" spans="1:83" ht="15" customHeight="1" thickBot="1" x14ac:dyDescent="0.3">
      <c r="A119" s="15" t="s">
        <v>375</v>
      </c>
      <c r="B119" s="15" t="s">
        <v>376</v>
      </c>
      <c r="C119" s="23" t="s">
        <v>480</v>
      </c>
      <c r="D119" s="41" t="s">
        <v>469</v>
      </c>
      <c r="E119" s="23" t="s">
        <v>164</v>
      </c>
      <c r="F119" s="23" t="s">
        <v>177</v>
      </c>
      <c r="G119" s="23">
        <v>3</v>
      </c>
      <c r="H119" s="23">
        <v>1</v>
      </c>
      <c r="I119" s="85" t="s">
        <v>557</v>
      </c>
      <c r="J119">
        <v>1995</v>
      </c>
      <c r="L119" s="5">
        <f t="shared" si="48"/>
        <v>26</v>
      </c>
      <c r="M119" s="109" t="e">
        <f>+#REF!-L119</f>
        <v>#REF!</v>
      </c>
      <c r="N119" s="23">
        <v>63.2</v>
      </c>
      <c r="O119" s="23">
        <v>1.65</v>
      </c>
      <c r="P119" s="24">
        <f t="shared" si="49"/>
        <v>23.21395775941231</v>
      </c>
      <c r="Q119" s="24" t="s">
        <v>243</v>
      </c>
      <c r="R119" s="24" t="s">
        <v>485</v>
      </c>
      <c r="S119" s="23" t="s">
        <v>179</v>
      </c>
      <c r="T119" s="45" t="s">
        <v>242</v>
      </c>
      <c r="U119" s="23" t="s">
        <v>212</v>
      </c>
      <c r="V119" s="18">
        <v>44392</v>
      </c>
      <c r="W119" s="15">
        <v>13.2</v>
      </c>
      <c r="X119" s="17" t="s">
        <v>477</v>
      </c>
      <c r="Y119" s="17" t="s">
        <v>584</v>
      </c>
      <c r="Z119" s="96" t="s">
        <v>590</v>
      </c>
      <c r="AA119" s="98" t="s">
        <v>569</v>
      </c>
      <c r="AB119" s="17">
        <v>3</v>
      </c>
      <c r="AC119" s="23" t="s">
        <v>182</v>
      </c>
      <c r="AD119" s="23" t="s">
        <v>182</v>
      </c>
      <c r="AE119" s="36">
        <v>40</v>
      </c>
      <c r="AF119" s="94">
        <v>7.21</v>
      </c>
      <c r="AG119" s="94">
        <f t="shared" si="44"/>
        <v>288.39999999999998</v>
      </c>
      <c r="AH119" s="88">
        <f t="shared" si="45"/>
        <v>2.8625310173697267</v>
      </c>
      <c r="AI119" s="25" t="s">
        <v>242</v>
      </c>
      <c r="AJ119" s="23"/>
      <c r="AK119" s="23" t="s">
        <v>247</v>
      </c>
      <c r="AL119" s="23">
        <v>2000</v>
      </c>
      <c r="AM119" s="91">
        <v>3.2199999999999999E-2</v>
      </c>
      <c r="AN119" s="91">
        <f t="shared" si="39"/>
        <v>64.400000000000006</v>
      </c>
      <c r="AO119" s="92">
        <f t="shared" si="40"/>
        <v>0.6392059553349877</v>
      </c>
      <c r="AP119" s="23" t="s">
        <v>243</v>
      </c>
      <c r="AQ119" s="23"/>
      <c r="AR119" s="87"/>
      <c r="AS119" s="87"/>
      <c r="AT119" s="88">
        <f t="shared" si="41"/>
        <v>0</v>
      </c>
      <c r="AU119" s="23" t="s">
        <v>242</v>
      </c>
      <c r="AV119" s="44"/>
      <c r="AW119" s="23"/>
      <c r="AX119" s="44"/>
      <c r="AY119" s="44"/>
      <c r="AZ119" s="87"/>
      <c r="BA119" s="87"/>
      <c r="BB119" s="88">
        <f t="shared" si="42"/>
        <v>0</v>
      </c>
      <c r="BC119" s="23" t="s">
        <v>242</v>
      </c>
      <c r="BD119" s="23"/>
      <c r="BE119" s="23"/>
      <c r="BI119" s="90">
        <f t="shared" si="43"/>
        <v>0</v>
      </c>
      <c r="BJ119" s="26">
        <f t="shared" si="50"/>
        <v>1</v>
      </c>
      <c r="BK119" s="26">
        <v>0</v>
      </c>
      <c r="BL119" s="26" t="s">
        <v>848</v>
      </c>
      <c r="BM119" s="26">
        <v>140</v>
      </c>
      <c r="BN119" s="26">
        <v>80</v>
      </c>
      <c r="BO119" s="26">
        <v>109</v>
      </c>
      <c r="BP119" s="26">
        <v>1</v>
      </c>
      <c r="BQ119" s="26">
        <v>0</v>
      </c>
      <c r="BR119" s="224">
        <v>53</v>
      </c>
      <c r="BS119" s="225">
        <v>1</v>
      </c>
      <c r="BT119" s="230" t="s">
        <v>974</v>
      </c>
      <c r="BU119" s="227">
        <v>6271233</v>
      </c>
      <c r="BV119" s="228">
        <v>44392</v>
      </c>
      <c r="BW119" s="225">
        <v>13.2</v>
      </c>
      <c r="BX119" s="228">
        <v>44942</v>
      </c>
      <c r="BY119" s="230">
        <v>6.6</v>
      </c>
      <c r="BZ119" s="226"/>
      <c r="CA119" s="226"/>
      <c r="CB119" s="226"/>
      <c r="CC119" s="226"/>
      <c r="CD119" s="225">
        <v>150487744206</v>
      </c>
      <c r="CE119" s="225">
        <v>0</v>
      </c>
    </row>
    <row r="120" spans="1:83" ht="15" customHeight="1" thickBot="1" x14ac:dyDescent="0.3">
      <c r="A120" s="15" t="s">
        <v>11</v>
      </c>
      <c r="B120" s="15" t="s">
        <v>87</v>
      </c>
      <c r="C120" s="23" t="s">
        <v>482</v>
      </c>
      <c r="D120" s="41" t="s">
        <v>470</v>
      </c>
      <c r="E120" s="23" t="s">
        <v>163</v>
      </c>
      <c r="F120" s="23" t="s">
        <v>242</v>
      </c>
      <c r="G120" s="23">
        <v>2</v>
      </c>
      <c r="H120" s="23">
        <v>2</v>
      </c>
      <c r="I120" s="85" t="s">
        <v>558</v>
      </c>
      <c r="J120">
        <v>1986</v>
      </c>
      <c r="L120" s="5">
        <f t="shared" si="48"/>
        <v>35</v>
      </c>
      <c r="M120" s="109" t="e">
        <f>+#REF!-L120</f>
        <v>#REF!</v>
      </c>
      <c r="N120" s="23">
        <v>78</v>
      </c>
      <c r="O120" s="23">
        <v>1.6</v>
      </c>
      <c r="P120" s="24">
        <f t="shared" si="49"/>
        <v>30.468749999999993</v>
      </c>
      <c r="Q120" s="24" t="s">
        <v>243</v>
      </c>
      <c r="R120" s="24" t="s">
        <v>487</v>
      </c>
      <c r="S120" s="23" t="s">
        <v>243</v>
      </c>
      <c r="T120" s="45" t="s">
        <v>242</v>
      </c>
      <c r="U120" s="23" t="s">
        <v>212</v>
      </c>
      <c r="V120" s="18">
        <v>44403</v>
      </c>
      <c r="W120" s="17">
        <v>9</v>
      </c>
      <c r="X120" s="17" t="s">
        <v>475</v>
      </c>
      <c r="Y120" s="17" t="s">
        <v>584</v>
      </c>
      <c r="Z120" s="96" t="s">
        <v>506</v>
      </c>
      <c r="AA120" s="98" t="s">
        <v>569</v>
      </c>
      <c r="AB120" s="17">
        <v>2</v>
      </c>
      <c r="AC120" s="23" t="s">
        <v>248</v>
      </c>
      <c r="AD120" s="23" t="s">
        <v>642</v>
      </c>
      <c r="AE120" s="36">
        <v>70</v>
      </c>
      <c r="AF120" s="94">
        <v>4.4400000000000004</v>
      </c>
      <c r="AG120" s="94">
        <f t="shared" si="44"/>
        <v>310.8</v>
      </c>
      <c r="AH120" s="88">
        <f t="shared" si="45"/>
        <v>3.0848635235732011</v>
      </c>
      <c r="AI120" s="25" t="s">
        <v>242</v>
      </c>
      <c r="AJ120" s="23"/>
      <c r="AK120" s="23" t="s">
        <v>247</v>
      </c>
      <c r="AL120" s="23">
        <v>1000</v>
      </c>
      <c r="AM120" s="91">
        <v>3.2199999999999999E-2</v>
      </c>
      <c r="AN120" s="91">
        <f t="shared" si="39"/>
        <v>32.200000000000003</v>
      </c>
      <c r="AO120" s="92">
        <f t="shared" si="40"/>
        <v>0.31960297766749385</v>
      </c>
      <c r="AP120" s="23" t="s">
        <v>243</v>
      </c>
      <c r="AQ120" s="23"/>
      <c r="AR120" s="87"/>
      <c r="AS120" s="87"/>
      <c r="AT120" s="88">
        <f t="shared" si="41"/>
        <v>0</v>
      </c>
      <c r="AU120" s="23" t="s">
        <v>242</v>
      </c>
      <c r="AV120" s="44"/>
      <c r="AW120" s="23"/>
      <c r="AX120" s="23" t="s">
        <v>249</v>
      </c>
      <c r="AY120" s="23">
        <v>100</v>
      </c>
      <c r="AZ120" s="87">
        <v>5.4</v>
      </c>
      <c r="BA120" s="87">
        <f>+AY120*AZ120</f>
        <v>540</v>
      </c>
      <c r="BB120" s="88">
        <f t="shared" si="42"/>
        <v>5.3598014888337469</v>
      </c>
      <c r="BC120" s="23" t="s">
        <v>243</v>
      </c>
      <c r="BD120" s="23"/>
      <c r="BE120" s="23"/>
      <c r="BI120" s="90">
        <f t="shared" si="43"/>
        <v>0</v>
      </c>
      <c r="BJ120" s="26">
        <f t="shared" si="50"/>
        <v>2</v>
      </c>
      <c r="BK120" s="26">
        <v>0</v>
      </c>
      <c r="BL120" s="26" t="s">
        <v>850</v>
      </c>
      <c r="BM120" s="26">
        <v>125</v>
      </c>
      <c r="BN120" s="26">
        <v>65</v>
      </c>
      <c r="BO120" s="26">
        <v>113</v>
      </c>
      <c r="BP120" s="26">
        <v>0</v>
      </c>
      <c r="BQ120" s="26">
        <v>0</v>
      </c>
      <c r="BR120" s="224">
        <v>54</v>
      </c>
      <c r="BS120" s="225">
        <v>1</v>
      </c>
      <c r="BT120" s="230" t="s">
        <v>976</v>
      </c>
      <c r="BU120" s="227">
        <v>5316833</v>
      </c>
      <c r="BV120" s="228">
        <v>44403</v>
      </c>
      <c r="BW120" s="225">
        <v>9</v>
      </c>
      <c r="BX120" s="226"/>
      <c r="BY120" s="226"/>
      <c r="BZ120" s="226"/>
      <c r="CA120" s="226"/>
      <c r="CB120" s="226"/>
      <c r="CC120" s="226"/>
      <c r="CD120" s="225">
        <v>150812441507</v>
      </c>
      <c r="CE120" s="225">
        <v>0</v>
      </c>
    </row>
    <row r="121" spans="1:83" ht="15" customHeight="1" thickBot="1" x14ac:dyDescent="0.3">
      <c r="A121" s="15" t="s">
        <v>377</v>
      </c>
      <c r="B121" s="15" t="s">
        <v>378</v>
      </c>
      <c r="C121" s="23" t="s">
        <v>482</v>
      </c>
      <c r="D121" s="41" t="s">
        <v>470</v>
      </c>
      <c r="E121" s="23" t="s">
        <v>163</v>
      </c>
      <c r="F121" s="23" t="s">
        <v>179</v>
      </c>
      <c r="G121" s="23">
        <v>3</v>
      </c>
      <c r="H121" s="23">
        <v>1</v>
      </c>
      <c r="I121" s="85" t="s">
        <v>557</v>
      </c>
      <c r="J121">
        <v>2013</v>
      </c>
      <c r="L121" s="5">
        <f t="shared" si="48"/>
        <v>8</v>
      </c>
      <c r="M121" s="109" t="e">
        <f>+#REF!-L121</f>
        <v>#REF!</v>
      </c>
      <c r="N121" s="23">
        <v>85</v>
      </c>
      <c r="O121" s="23">
        <v>1.62</v>
      </c>
      <c r="P121" s="24">
        <f t="shared" si="49"/>
        <v>32.38835543362292</v>
      </c>
      <c r="Q121" s="24" t="s">
        <v>243</v>
      </c>
      <c r="R121" s="24" t="s">
        <v>487</v>
      </c>
      <c r="S121" s="23" t="s">
        <v>177</v>
      </c>
      <c r="T121" s="45" t="s">
        <v>242</v>
      </c>
      <c r="U121" s="23" t="s">
        <v>212</v>
      </c>
      <c r="V121" s="22">
        <v>44392</v>
      </c>
      <c r="W121" s="15">
        <v>8.9</v>
      </c>
      <c r="X121" s="17" t="s">
        <v>475</v>
      </c>
      <c r="Y121" s="17" t="s">
        <v>584</v>
      </c>
      <c r="Z121" s="96" t="s">
        <v>506</v>
      </c>
      <c r="AA121" s="98" t="s">
        <v>569</v>
      </c>
      <c r="AB121" s="17">
        <v>2</v>
      </c>
      <c r="AC121" s="23" t="s">
        <v>244</v>
      </c>
      <c r="AD121" s="23" t="s">
        <v>642</v>
      </c>
      <c r="AE121" s="36">
        <v>13</v>
      </c>
      <c r="AF121" s="94">
        <v>14.66</v>
      </c>
      <c r="AG121" s="94">
        <f t="shared" si="44"/>
        <v>190.58</v>
      </c>
      <c r="AH121" s="88">
        <f t="shared" si="45"/>
        <v>1.8916129032258067</v>
      </c>
      <c r="AI121" s="25" t="s">
        <v>242</v>
      </c>
      <c r="AJ121" s="23"/>
      <c r="AK121" s="23" t="s">
        <v>247</v>
      </c>
      <c r="AL121" s="23">
        <v>2000</v>
      </c>
      <c r="AM121" s="91">
        <v>3.2199999999999999E-2</v>
      </c>
      <c r="AN121" s="91">
        <f t="shared" si="39"/>
        <v>64.400000000000006</v>
      </c>
      <c r="AO121" s="92">
        <f t="shared" si="40"/>
        <v>0.6392059553349877</v>
      </c>
      <c r="AP121" s="23" t="s">
        <v>243</v>
      </c>
      <c r="AQ121" s="23"/>
      <c r="AR121" s="87"/>
      <c r="AS121" s="87"/>
      <c r="AT121" s="88">
        <f t="shared" si="41"/>
        <v>0</v>
      </c>
      <c r="AU121" s="23" t="s">
        <v>242</v>
      </c>
      <c r="AV121" s="44"/>
      <c r="AW121" s="23"/>
      <c r="AX121" s="44"/>
      <c r="AY121" s="44"/>
      <c r="AZ121" s="87"/>
      <c r="BA121" s="87"/>
      <c r="BB121" s="88">
        <f t="shared" si="42"/>
        <v>0</v>
      </c>
      <c r="BC121" s="23" t="s">
        <v>242</v>
      </c>
      <c r="BD121" s="23"/>
      <c r="BE121" s="23"/>
      <c r="BI121" s="90">
        <f t="shared" si="43"/>
        <v>0</v>
      </c>
      <c r="BJ121" s="26">
        <f t="shared" si="50"/>
        <v>1</v>
      </c>
      <c r="BK121" s="26">
        <v>0</v>
      </c>
      <c r="BL121" s="26" t="s">
        <v>850</v>
      </c>
      <c r="BM121" s="26">
        <v>130</v>
      </c>
      <c r="BN121" s="26">
        <v>70</v>
      </c>
      <c r="BO121" s="26">
        <v>105</v>
      </c>
      <c r="BP121" s="26">
        <v>0</v>
      </c>
      <c r="BQ121" s="26">
        <v>0</v>
      </c>
      <c r="BR121" s="224">
        <v>55</v>
      </c>
      <c r="BS121" s="225">
        <v>2</v>
      </c>
      <c r="BT121" s="230" t="s">
        <v>978</v>
      </c>
      <c r="BU121" s="227">
        <v>5323864</v>
      </c>
      <c r="BV121" s="228">
        <v>44392</v>
      </c>
      <c r="BW121" s="225">
        <v>8.9</v>
      </c>
      <c r="BX121" s="226"/>
      <c r="BY121" s="226"/>
      <c r="BZ121" s="226"/>
      <c r="CA121" s="226"/>
      <c r="CB121" s="226"/>
      <c r="CC121" s="226"/>
      <c r="CD121" s="225">
        <v>150437093506</v>
      </c>
      <c r="CE121" s="225">
        <v>0</v>
      </c>
    </row>
    <row r="122" spans="1:83" ht="15" customHeight="1" thickBot="1" x14ac:dyDescent="0.3">
      <c r="A122" s="15" t="s">
        <v>64</v>
      </c>
      <c r="B122" s="15" t="s">
        <v>89</v>
      </c>
      <c r="C122" s="23" t="s">
        <v>480</v>
      </c>
      <c r="D122" s="41" t="s">
        <v>469</v>
      </c>
      <c r="E122" s="23" t="s">
        <v>163</v>
      </c>
      <c r="F122" s="23" t="s">
        <v>179</v>
      </c>
      <c r="G122" s="23">
        <v>3</v>
      </c>
      <c r="H122" s="23">
        <v>1</v>
      </c>
      <c r="I122" s="85" t="s">
        <v>557</v>
      </c>
      <c r="J122">
        <v>2001</v>
      </c>
      <c r="L122" s="5">
        <f t="shared" si="48"/>
        <v>20</v>
      </c>
      <c r="M122" s="109" t="e">
        <f>+#REF!-L122</f>
        <v>#REF!</v>
      </c>
      <c r="N122" s="23">
        <v>101.5</v>
      </c>
      <c r="O122" s="23">
        <v>1.56</v>
      </c>
      <c r="P122" s="24">
        <f t="shared" si="49"/>
        <v>41.707758053911896</v>
      </c>
      <c r="Q122" s="24" t="s">
        <v>243</v>
      </c>
      <c r="R122" s="24" t="s">
        <v>487</v>
      </c>
      <c r="S122" s="23" t="s">
        <v>177</v>
      </c>
      <c r="T122" s="45" t="s">
        <v>242</v>
      </c>
      <c r="U122" s="23" t="s">
        <v>212</v>
      </c>
      <c r="V122" s="16">
        <v>44427</v>
      </c>
      <c r="W122" s="17">
        <v>10.4</v>
      </c>
      <c r="X122" s="17" t="s">
        <v>476</v>
      </c>
      <c r="Y122" s="17" t="s">
        <v>584</v>
      </c>
      <c r="Z122" s="96" t="s">
        <v>590</v>
      </c>
      <c r="AA122" s="98" t="s">
        <v>569</v>
      </c>
      <c r="AB122" s="17">
        <v>2</v>
      </c>
      <c r="AC122" s="23" t="s">
        <v>248</v>
      </c>
      <c r="AD122" s="23" t="s">
        <v>642</v>
      </c>
      <c r="AE122" s="36">
        <v>60</v>
      </c>
      <c r="AF122" s="94">
        <v>4.4400000000000004</v>
      </c>
      <c r="AG122" s="94">
        <f t="shared" si="44"/>
        <v>266.40000000000003</v>
      </c>
      <c r="AH122" s="88">
        <f t="shared" si="45"/>
        <v>2.6441687344913154</v>
      </c>
      <c r="AI122" s="25" t="s">
        <v>243</v>
      </c>
      <c r="AJ122" s="23" t="s">
        <v>463</v>
      </c>
      <c r="AK122" s="23" t="s">
        <v>247</v>
      </c>
      <c r="AL122" s="23">
        <v>2000</v>
      </c>
      <c r="AM122" s="91">
        <v>3.2199999999999999E-2</v>
      </c>
      <c r="AN122" s="91">
        <f t="shared" si="39"/>
        <v>64.400000000000006</v>
      </c>
      <c r="AO122" s="92">
        <f t="shared" si="40"/>
        <v>0.6392059553349877</v>
      </c>
      <c r="AP122" s="23" t="s">
        <v>243</v>
      </c>
      <c r="AQ122" s="23" t="s">
        <v>246</v>
      </c>
      <c r="AR122" s="87">
        <v>13.41</v>
      </c>
      <c r="AS122" s="87">
        <f>+AR122*AV122</f>
        <v>26.82</v>
      </c>
      <c r="AT122" s="88">
        <f t="shared" si="41"/>
        <v>0.26620347394540944</v>
      </c>
      <c r="AU122" s="23" t="s">
        <v>243</v>
      </c>
      <c r="AV122" s="23">
        <v>2</v>
      </c>
      <c r="AW122" s="23"/>
      <c r="AX122" s="44"/>
      <c r="AY122" s="44"/>
      <c r="AZ122" s="87"/>
      <c r="BA122" s="87"/>
      <c r="BB122" s="88">
        <f t="shared" si="42"/>
        <v>0</v>
      </c>
      <c r="BC122" s="23" t="s">
        <v>242</v>
      </c>
      <c r="BD122" s="23"/>
      <c r="BE122" s="23"/>
      <c r="BI122" s="90">
        <f t="shared" si="43"/>
        <v>0</v>
      </c>
      <c r="BJ122" s="26">
        <f t="shared" si="50"/>
        <v>2</v>
      </c>
      <c r="BK122" s="26">
        <v>1</v>
      </c>
      <c r="BL122" s="26" t="s">
        <v>850</v>
      </c>
      <c r="BM122" s="26">
        <v>130</v>
      </c>
      <c r="BN122" s="26">
        <v>80</v>
      </c>
      <c r="BO122" s="26">
        <v>135</v>
      </c>
      <c r="BP122" s="26">
        <v>0</v>
      </c>
      <c r="BQ122" s="26">
        <v>1</v>
      </c>
      <c r="BR122" s="224">
        <v>168</v>
      </c>
      <c r="BS122" s="225">
        <v>2</v>
      </c>
      <c r="BT122" s="230" t="s">
        <v>1205</v>
      </c>
      <c r="BU122" s="227">
        <v>14319381</v>
      </c>
      <c r="BV122" s="228">
        <v>44392</v>
      </c>
      <c r="BW122" s="225">
        <v>5.8</v>
      </c>
      <c r="BX122" s="228">
        <v>44909</v>
      </c>
      <c r="BY122" s="226">
        <v>5.7</v>
      </c>
      <c r="BZ122" s="226"/>
      <c r="CA122" s="226"/>
      <c r="CB122" s="226"/>
      <c r="CC122" s="226"/>
      <c r="CD122" s="225">
        <v>150431692706</v>
      </c>
      <c r="CE122" s="225">
        <v>0</v>
      </c>
    </row>
    <row r="123" spans="1:83" ht="15" customHeight="1" thickBot="1" x14ac:dyDescent="0.3">
      <c r="A123" s="15" t="s">
        <v>379</v>
      </c>
      <c r="B123" s="15" t="s">
        <v>109</v>
      </c>
      <c r="C123" s="23" t="s">
        <v>480</v>
      </c>
      <c r="D123" s="41" t="s">
        <v>469</v>
      </c>
      <c r="E123" s="23" t="s">
        <v>164</v>
      </c>
      <c r="F123" s="23" t="s">
        <v>179</v>
      </c>
      <c r="G123" s="23">
        <v>2</v>
      </c>
      <c r="H123" s="23">
        <v>2</v>
      </c>
      <c r="I123" s="85" t="s">
        <v>558</v>
      </c>
      <c r="J123">
        <v>1990</v>
      </c>
      <c r="L123" s="5">
        <f t="shared" si="48"/>
        <v>31</v>
      </c>
      <c r="M123" s="109" t="e">
        <f>+#REF!-L123</f>
        <v>#REF!</v>
      </c>
      <c r="N123" s="23">
        <v>74.5</v>
      </c>
      <c r="O123" s="23">
        <v>1.59</v>
      </c>
      <c r="P123" s="24">
        <f t="shared" si="49"/>
        <v>29.46877101380483</v>
      </c>
      <c r="Q123" s="24" t="s">
        <v>243</v>
      </c>
      <c r="R123" s="24" t="s">
        <v>486</v>
      </c>
      <c r="S123" s="23" t="s">
        <v>177</v>
      </c>
      <c r="T123" s="45" t="s">
        <v>242</v>
      </c>
      <c r="U123" s="23" t="s">
        <v>212</v>
      </c>
      <c r="V123" s="16">
        <v>44392</v>
      </c>
      <c r="W123" s="15">
        <v>5.8</v>
      </c>
      <c r="X123" s="15" t="s">
        <v>474</v>
      </c>
      <c r="Y123" s="15" t="s">
        <v>582</v>
      </c>
      <c r="Z123" s="97" t="s">
        <v>505</v>
      </c>
      <c r="AA123" s="99" t="s">
        <v>566</v>
      </c>
      <c r="AB123" s="15">
        <v>1</v>
      </c>
      <c r="AC123" s="23" t="s">
        <v>244</v>
      </c>
      <c r="AD123" s="23" t="s">
        <v>642</v>
      </c>
      <c r="AE123" s="36">
        <v>12</v>
      </c>
      <c r="AF123" s="94">
        <v>14.66</v>
      </c>
      <c r="AG123" s="94">
        <f t="shared" si="44"/>
        <v>175.92000000000002</v>
      </c>
      <c r="AH123" s="88">
        <f t="shared" si="45"/>
        <v>1.746104218362283</v>
      </c>
      <c r="AI123" s="25" t="s">
        <v>243</v>
      </c>
      <c r="AJ123" s="23">
        <v>6</v>
      </c>
      <c r="AK123" s="44" t="s">
        <v>179</v>
      </c>
      <c r="AL123" s="23"/>
      <c r="AM123" s="91">
        <v>3.2199999999999999E-2</v>
      </c>
      <c r="AN123" s="91">
        <f t="shared" si="39"/>
        <v>0</v>
      </c>
      <c r="AO123" s="92">
        <f t="shared" si="40"/>
        <v>0</v>
      </c>
      <c r="AP123" s="23" t="s">
        <v>242</v>
      </c>
      <c r="AQ123" s="23"/>
      <c r="AR123" s="87"/>
      <c r="AS123" s="87"/>
      <c r="AT123" s="88">
        <f t="shared" si="41"/>
        <v>0</v>
      </c>
      <c r="AU123" s="23" t="s">
        <v>242</v>
      </c>
      <c r="AV123" s="44"/>
      <c r="AW123" s="23"/>
      <c r="AX123" s="44"/>
      <c r="AY123" s="44"/>
      <c r="AZ123" s="87"/>
      <c r="BA123" s="87"/>
      <c r="BB123" s="88">
        <f t="shared" si="42"/>
        <v>0</v>
      </c>
      <c r="BC123" s="23" t="s">
        <v>242</v>
      </c>
      <c r="BD123" s="23"/>
      <c r="BE123" s="23"/>
      <c r="BI123" s="90">
        <f t="shared" si="43"/>
        <v>0</v>
      </c>
      <c r="BJ123" s="26">
        <f t="shared" si="50"/>
        <v>0</v>
      </c>
      <c r="BK123" s="26">
        <v>0</v>
      </c>
      <c r="BL123" s="26" t="s">
        <v>849</v>
      </c>
      <c r="BM123" s="26">
        <v>120</v>
      </c>
      <c r="BN123" s="26">
        <v>70</v>
      </c>
      <c r="BO123" s="26">
        <v>93</v>
      </c>
      <c r="BP123" s="26">
        <v>0</v>
      </c>
      <c r="BQ123" s="26">
        <v>0</v>
      </c>
      <c r="BR123" s="224">
        <v>56</v>
      </c>
      <c r="BS123" s="225">
        <v>2</v>
      </c>
      <c r="BT123" s="230" t="s">
        <v>980</v>
      </c>
      <c r="BU123" s="227">
        <v>5592916</v>
      </c>
      <c r="BV123" s="228">
        <v>44392</v>
      </c>
      <c r="BW123" s="225">
        <v>5.8</v>
      </c>
      <c r="BX123" s="228">
        <v>44909</v>
      </c>
      <c r="BY123" s="226">
        <v>5.7</v>
      </c>
      <c r="BZ123" s="226"/>
      <c r="CA123" s="226"/>
      <c r="CB123" s="226"/>
      <c r="CC123" s="226"/>
      <c r="CD123" s="225">
        <v>150431692706</v>
      </c>
      <c r="CE123" s="225">
        <v>0</v>
      </c>
    </row>
    <row r="124" spans="1:83" ht="15" customHeight="1" thickBot="1" x14ac:dyDescent="0.3">
      <c r="A124" s="15" t="s">
        <v>380</v>
      </c>
      <c r="B124" s="15" t="s">
        <v>101</v>
      </c>
      <c r="C124" s="23" t="s">
        <v>482</v>
      </c>
      <c r="D124" s="41" t="s">
        <v>470</v>
      </c>
      <c r="E124" s="23" t="s">
        <v>164</v>
      </c>
      <c r="F124" s="23" t="s">
        <v>179</v>
      </c>
      <c r="G124" s="23">
        <v>3</v>
      </c>
      <c r="H124" s="23">
        <v>1</v>
      </c>
      <c r="I124" s="85" t="s">
        <v>557</v>
      </c>
      <c r="J124">
        <v>2011</v>
      </c>
      <c r="L124" s="5">
        <f t="shared" si="48"/>
        <v>10</v>
      </c>
      <c r="M124" s="109" t="e">
        <f>+#REF!-L124</f>
        <v>#REF!</v>
      </c>
      <c r="N124" s="23">
        <v>84.5</v>
      </c>
      <c r="O124" s="23">
        <v>1.56</v>
      </c>
      <c r="P124" s="24">
        <f t="shared" si="49"/>
        <v>34.722222222222221</v>
      </c>
      <c r="Q124" s="24" t="s">
        <v>243</v>
      </c>
      <c r="R124" s="24" t="s">
        <v>487</v>
      </c>
      <c r="S124" s="23" t="s">
        <v>177</v>
      </c>
      <c r="T124" s="45" t="s">
        <v>242</v>
      </c>
      <c r="U124" s="23" t="s">
        <v>212</v>
      </c>
      <c r="V124" s="18">
        <v>44420</v>
      </c>
      <c r="W124" s="17">
        <v>9.4</v>
      </c>
      <c r="X124" s="17" t="s">
        <v>476</v>
      </c>
      <c r="Y124" s="17" t="s">
        <v>584</v>
      </c>
      <c r="Z124" s="96" t="s">
        <v>506</v>
      </c>
      <c r="AA124" s="98" t="s">
        <v>569</v>
      </c>
      <c r="AB124" s="17">
        <v>2</v>
      </c>
      <c r="AC124" s="23" t="s">
        <v>244</v>
      </c>
      <c r="AD124" s="23" t="s">
        <v>642</v>
      </c>
      <c r="AE124" s="36">
        <v>60</v>
      </c>
      <c r="AF124" s="94">
        <v>14.66</v>
      </c>
      <c r="AG124" s="94">
        <f t="shared" si="44"/>
        <v>879.6</v>
      </c>
      <c r="AH124" s="88">
        <f t="shared" si="45"/>
        <v>8.7305210918114149</v>
      </c>
      <c r="AI124" s="25" t="s">
        <v>243</v>
      </c>
      <c r="AJ124" s="23" t="s">
        <v>463</v>
      </c>
      <c r="AK124" s="44" t="s">
        <v>179</v>
      </c>
      <c r="AL124" s="23"/>
      <c r="AM124" s="91">
        <v>3.2199999999999999E-2</v>
      </c>
      <c r="AN124" s="91">
        <f t="shared" si="39"/>
        <v>0</v>
      </c>
      <c r="AO124" s="92">
        <f t="shared" si="40"/>
        <v>0</v>
      </c>
      <c r="AP124" s="23" t="s">
        <v>242</v>
      </c>
      <c r="AQ124" s="23"/>
      <c r="AR124" s="87"/>
      <c r="AS124" s="87"/>
      <c r="AT124" s="88">
        <f t="shared" si="41"/>
        <v>0</v>
      </c>
      <c r="AU124" s="23" t="s">
        <v>242</v>
      </c>
      <c r="AV124" s="44"/>
      <c r="AW124" s="23"/>
      <c r="AX124" s="44"/>
      <c r="AY124" s="44"/>
      <c r="AZ124" s="87"/>
      <c r="BA124" s="87"/>
      <c r="BB124" s="88">
        <f t="shared" si="42"/>
        <v>0</v>
      </c>
      <c r="BC124" s="23" t="s">
        <v>242</v>
      </c>
      <c r="BD124" s="23" t="s">
        <v>466</v>
      </c>
      <c r="BE124" s="23">
        <v>25</v>
      </c>
      <c r="BF124" s="33" t="s">
        <v>243</v>
      </c>
      <c r="BG124" s="89">
        <v>26.41</v>
      </c>
      <c r="BH124" s="89">
        <v>660.25</v>
      </c>
      <c r="BI124" s="90">
        <f t="shared" si="43"/>
        <v>6.5533498759305209</v>
      </c>
      <c r="BJ124" s="26">
        <v>1</v>
      </c>
      <c r="BK124" s="26">
        <v>1</v>
      </c>
      <c r="BL124" s="26" t="s">
        <v>850</v>
      </c>
      <c r="BM124" s="26">
        <v>140</v>
      </c>
      <c r="BN124" s="26">
        <v>80</v>
      </c>
      <c r="BO124" s="26">
        <v>112</v>
      </c>
      <c r="BP124" s="26">
        <v>0</v>
      </c>
      <c r="BQ124" s="26">
        <v>1</v>
      </c>
      <c r="BR124" s="224">
        <v>169</v>
      </c>
      <c r="BS124" s="225">
        <v>1</v>
      </c>
      <c r="BT124" s="230" t="s">
        <v>1207</v>
      </c>
      <c r="BU124" s="227">
        <v>5018420</v>
      </c>
      <c r="BV124" s="228">
        <v>44420</v>
      </c>
      <c r="BW124" s="225">
        <v>9.4</v>
      </c>
      <c r="BX124" s="226"/>
      <c r="BY124" s="226"/>
      <c r="BZ124" s="226"/>
      <c r="CA124" s="226"/>
      <c r="CB124" s="226"/>
      <c r="CC124" s="226"/>
      <c r="CD124" s="225">
        <v>150213465306</v>
      </c>
      <c r="CE124" s="225">
        <v>0</v>
      </c>
    </row>
    <row r="125" spans="1:83" ht="15" customHeight="1" thickBot="1" x14ac:dyDescent="0.3">
      <c r="A125" s="15" t="s">
        <v>381</v>
      </c>
      <c r="B125" s="15" t="s">
        <v>382</v>
      </c>
      <c r="C125" s="23" t="s">
        <v>480</v>
      </c>
      <c r="D125" s="41" t="s">
        <v>469</v>
      </c>
      <c r="E125" s="23" t="s">
        <v>163</v>
      </c>
      <c r="F125" s="27" t="s">
        <v>483</v>
      </c>
      <c r="G125" s="23">
        <v>1</v>
      </c>
      <c r="H125" s="23">
        <v>1</v>
      </c>
      <c r="I125" s="85" t="s">
        <v>557</v>
      </c>
      <c r="J125">
        <v>2007</v>
      </c>
      <c r="K125" s="111"/>
      <c r="L125" s="5">
        <f t="shared" si="48"/>
        <v>14</v>
      </c>
      <c r="M125" s="109" t="e">
        <f>+#REF!-L125</f>
        <v>#REF!</v>
      </c>
      <c r="N125" s="23">
        <v>78</v>
      </c>
      <c r="O125" s="23">
        <v>1.6</v>
      </c>
      <c r="P125" s="24">
        <v>30.5</v>
      </c>
      <c r="Q125" s="24" t="s">
        <v>243</v>
      </c>
      <c r="R125" s="24" t="s">
        <v>487</v>
      </c>
      <c r="S125" s="23" t="s">
        <v>242</v>
      </c>
      <c r="T125" s="45" t="s">
        <v>242</v>
      </c>
      <c r="U125" s="23" t="s">
        <v>212</v>
      </c>
      <c r="V125" s="18">
        <v>44420</v>
      </c>
      <c r="W125" s="17">
        <v>7.2</v>
      </c>
      <c r="X125" s="17" t="s">
        <v>475</v>
      </c>
      <c r="Y125" s="17" t="s">
        <v>583</v>
      </c>
      <c r="Z125" s="97" t="s">
        <v>505</v>
      </c>
      <c r="AA125" s="99" t="s">
        <v>567</v>
      </c>
      <c r="AB125" s="15">
        <v>1</v>
      </c>
      <c r="AC125" s="23" t="s">
        <v>182</v>
      </c>
      <c r="AD125" s="23" t="s">
        <v>182</v>
      </c>
      <c r="AE125" s="36">
        <v>30</v>
      </c>
      <c r="AF125" s="94">
        <v>7.21</v>
      </c>
      <c r="AG125" s="94">
        <f t="shared" si="44"/>
        <v>216.3</v>
      </c>
      <c r="AH125" s="88">
        <f t="shared" si="45"/>
        <v>2.1468982630272953</v>
      </c>
      <c r="AI125" s="25" t="s">
        <v>243</v>
      </c>
      <c r="AJ125" s="23" t="s">
        <v>463</v>
      </c>
      <c r="AK125" s="23" t="s">
        <v>247</v>
      </c>
      <c r="AL125" s="23">
        <v>2000</v>
      </c>
      <c r="AM125" s="91">
        <v>3.2199999999999999E-2</v>
      </c>
      <c r="AN125" s="91">
        <f t="shared" si="39"/>
        <v>64.400000000000006</v>
      </c>
      <c r="AO125" s="92">
        <f t="shared" si="40"/>
        <v>0.6392059553349877</v>
      </c>
      <c r="AP125" s="23" t="s">
        <v>243</v>
      </c>
      <c r="AQ125" s="23"/>
      <c r="AR125" s="87"/>
      <c r="AS125" s="87"/>
      <c r="AT125" s="88">
        <f t="shared" si="41"/>
        <v>0</v>
      </c>
      <c r="AU125" s="23" t="s">
        <v>242</v>
      </c>
      <c r="AV125" s="44"/>
      <c r="AW125" s="23"/>
      <c r="AX125" s="23" t="s">
        <v>251</v>
      </c>
      <c r="AY125" s="23">
        <v>100</v>
      </c>
      <c r="AZ125" s="87">
        <v>1.84</v>
      </c>
      <c r="BA125" s="87">
        <f>+AY125*AZ125</f>
        <v>184</v>
      </c>
      <c r="BB125" s="88">
        <f t="shared" si="42"/>
        <v>1.8263027295285359</v>
      </c>
      <c r="BC125" s="23" t="s">
        <v>243</v>
      </c>
      <c r="BD125" s="23"/>
      <c r="BE125" s="23"/>
      <c r="BI125" s="90">
        <f t="shared" si="43"/>
        <v>0</v>
      </c>
      <c r="BJ125" s="26">
        <f t="shared" ref="BJ125:BJ156" si="51">COUNTIF(AP125:BI125,"SI")</f>
        <v>2</v>
      </c>
      <c r="BK125" s="26">
        <v>1</v>
      </c>
      <c r="BL125" s="26" t="s">
        <v>850</v>
      </c>
      <c r="BM125" s="26">
        <v>120</v>
      </c>
      <c r="BN125" s="26">
        <v>70</v>
      </c>
      <c r="BO125" s="26">
        <v>108</v>
      </c>
      <c r="BP125" s="26">
        <v>0</v>
      </c>
      <c r="BQ125" s="26">
        <v>0</v>
      </c>
      <c r="BR125" s="224">
        <v>170</v>
      </c>
      <c r="BS125" s="225">
        <v>1</v>
      </c>
      <c r="BT125" s="230" t="s">
        <v>1209</v>
      </c>
      <c r="BU125" s="227">
        <v>8100852</v>
      </c>
      <c r="BV125" s="228">
        <v>44420</v>
      </c>
      <c r="BW125" s="225">
        <v>7.2</v>
      </c>
      <c r="BX125" s="228">
        <v>44949</v>
      </c>
      <c r="BY125" s="226">
        <v>4.5999999999999996</v>
      </c>
      <c r="BZ125" s="226"/>
      <c r="CA125" s="226"/>
      <c r="CB125" s="226"/>
      <c r="CC125" s="226"/>
      <c r="CD125" s="225">
        <v>150346072304</v>
      </c>
      <c r="CE125" s="225">
        <v>0</v>
      </c>
    </row>
    <row r="126" spans="1:83" ht="15" customHeight="1" thickBot="1" x14ac:dyDescent="0.3">
      <c r="A126" s="15" t="s">
        <v>383</v>
      </c>
      <c r="B126" s="15" t="s">
        <v>384</v>
      </c>
      <c r="C126" s="23" t="s">
        <v>480</v>
      </c>
      <c r="D126" s="41" t="s">
        <v>469</v>
      </c>
      <c r="E126" s="23" t="s">
        <v>163</v>
      </c>
      <c r="F126" s="23" t="s">
        <v>179</v>
      </c>
      <c r="G126" s="23">
        <v>2</v>
      </c>
      <c r="H126" s="23">
        <v>1</v>
      </c>
      <c r="I126" s="85" t="s">
        <v>557</v>
      </c>
      <c r="J126">
        <v>1999</v>
      </c>
      <c r="L126" s="5">
        <f t="shared" si="48"/>
        <v>22</v>
      </c>
      <c r="M126" s="109" t="e">
        <f>+#REF!-L126</f>
        <v>#REF!</v>
      </c>
      <c r="N126" s="23">
        <v>113.8</v>
      </c>
      <c r="O126" s="23">
        <v>1.7</v>
      </c>
      <c r="P126" s="24">
        <f>N126/(O126*O126)</f>
        <v>39.377162629757791</v>
      </c>
      <c r="Q126" s="24" t="s">
        <v>242</v>
      </c>
      <c r="R126" s="24" t="s">
        <v>487</v>
      </c>
      <c r="S126" s="23" t="s">
        <v>177</v>
      </c>
      <c r="T126" s="45" t="s">
        <v>242</v>
      </c>
      <c r="U126" s="23" t="s">
        <v>212</v>
      </c>
      <c r="V126" s="18">
        <v>44420</v>
      </c>
      <c r="W126" s="17">
        <v>9.9</v>
      </c>
      <c r="X126" s="17" t="s">
        <v>476</v>
      </c>
      <c r="Y126" s="17" t="s">
        <v>584</v>
      </c>
      <c r="Z126" s="96" t="s">
        <v>506</v>
      </c>
      <c r="AA126" s="98" t="s">
        <v>569</v>
      </c>
      <c r="AB126" s="17">
        <v>2</v>
      </c>
      <c r="AC126" s="23" t="s">
        <v>245</v>
      </c>
      <c r="AD126" s="23" t="s">
        <v>642</v>
      </c>
      <c r="AE126" s="36">
        <v>10</v>
      </c>
      <c r="AF126" s="94">
        <v>15.6</v>
      </c>
      <c r="AG126" s="94">
        <f t="shared" si="44"/>
        <v>156</v>
      </c>
      <c r="AH126" s="88">
        <f t="shared" si="45"/>
        <v>1.5483870967741935</v>
      </c>
      <c r="AI126" s="25" t="s">
        <v>243</v>
      </c>
      <c r="AJ126" s="23" t="s">
        <v>463</v>
      </c>
      <c r="AK126" s="30" t="s">
        <v>247</v>
      </c>
      <c r="AL126" s="23">
        <v>2000</v>
      </c>
      <c r="AM126" s="91">
        <v>3.2199999999999999E-2</v>
      </c>
      <c r="AN126" s="91">
        <f t="shared" si="39"/>
        <v>64.400000000000006</v>
      </c>
      <c r="AO126" s="92">
        <f t="shared" si="40"/>
        <v>0.6392059553349877</v>
      </c>
      <c r="AP126" s="23" t="s">
        <v>243</v>
      </c>
      <c r="AQ126" s="23"/>
      <c r="AR126" s="87"/>
      <c r="AS126" s="87"/>
      <c r="AT126" s="88">
        <f t="shared" si="41"/>
        <v>0</v>
      </c>
      <c r="AU126" s="23" t="s">
        <v>242</v>
      </c>
      <c r="AV126" s="44"/>
      <c r="AW126" s="23"/>
      <c r="AX126" s="30" t="s">
        <v>249</v>
      </c>
      <c r="AY126" s="30">
        <v>100</v>
      </c>
      <c r="AZ126" s="87">
        <v>5.4</v>
      </c>
      <c r="BA126" s="87">
        <v>184</v>
      </c>
      <c r="BB126" s="88">
        <f t="shared" si="42"/>
        <v>1.8263027295285359</v>
      </c>
      <c r="BC126" s="23" t="s">
        <v>243</v>
      </c>
      <c r="BD126" s="23"/>
      <c r="BE126" s="23"/>
      <c r="BI126" s="90">
        <f t="shared" si="43"/>
        <v>0</v>
      </c>
      <c r="BJ126" s="26">
        <f t="shared" si="51"/>
        <v>2</v>
      </c>
      <c r="BK126" s="26">
        <v>0</v>
      </c>
      <c r="BL126" s="26" t="s">
        <v>850</v>
      </c>
      <c r="BM126" s="26">
        <v>130</v>
      </c>
      <c r="BN126" s="26">
        <v>80</v>
      </c>
      <c r="BO126" s="26">
        <v>132</v>
      </c>
      <c r="BP126" s="26">
        <v>0</v>
      </c>
      <c r="BQ126" s="26">
        <v>0</v>
      </c>
      <c r="BR126" s="224">
        <v>171</v>
      </c>
      <c r="BS126" s="225">
        <v>1</v>
      </c>
      <c r="BT126" s="230" t="s">
        <v>1211</v>
      </c>
      <c r="BU126" s="227">
        <v>8286353</v>
      </c>
      <c r="BV126" s="228">
        <v>44420</v>
      </c>
      <c r="BW126" s="225">
        <v>9.9</v>
      </c>
      <c r="BX126" s="226"/>
      <c r="BY126" s="226"/>
      <c r="BZ126" s="226"/>
      <c r="CA126" s="226"/>
      <c r="CB126" s="226"/>
      <c r="CC126" s="226"/>
      <c r="CD126" s="225">
        <v>150384803402</v>
      </c>
      <c r="CE126" s="225">
        <v>0</v>
      </c>
    </row>
    <row r="127" spans="1:83" ht="15" customHeight="1" thickBot="1" x14ac:dyDescent="0.3">
      <c r="A127" s="15" t="s">
        <v>236</v>
      </c>
      <c r="B127" s="15" t="s">
        <v>237</v>
      </c>
      <c r="C127" s="23" t="s">
        <v>482</v>
      </c>
      <c r="D127" s="41" t="s">
        <v>470</v>
      </c>
      <c r="E127" s="23" t="s">
        <v>164</v>
      </c>
      <c r="F127" s="23" t="s">
        <v>243</v>
      </c>
      <c r="G127" s="23">
        <v>1</v>
      </c>
      <c r="H127" s="23">
        <v>1</v>
      </c>
      <c r="I127" s="85" t="s">
        <v>557</v>
      </c>
      <c r="J127">
        <v>1990</v>
      </c>
      <c r="L127" s="5">
        <f t="shared" si="48"/>
        <v>31</v>
      </c>
      <c r="M127" s="109" t="e">
        <f>+#REF!-L127</f>
        <v>#REF!</v>
      </c>
      <c r="N127" s="23">
        <v>69</v>
      </c>
      <c r="O127" s="23">
        <v>1.51</v>
      </c>
      <c r="P127" s="24">
        <f>N127/(O127*O127)</f>
        <v>30.261830621463972</v>
      </c>
      <c r="Q127" s="24" t="s">
        <v>242</v>
      </c>
      <c r="R127" s="24" t="s">
        <v>487</v>
      </c>
      <c r="S127" s="23" t="s">
        <v>243</v>
      </c>
      <c r="T127" s="45" t="s">
        <v>242</v>
      </c>
      <c r="U127" s="23" t="s">
        <v>242</v>
      </c>
      <c r="V127" s="16">
        <v>44420</v>
      </c>
      <c r="W127" s="17">
        <v>6.6</v>
      </c>
      <c r="X127" s="15" t="s">
        <v>474</v>
      </c>
      <c r="Y127" s="15" t="s">
        <v>582</v>
      </c>
      <c r="Z127" s="97" t="s">
        <v>505</v>
      </c>
      <c r="AA127" s="99" t="s">
        <v>566</v>
      </c>
      <c r="AB127" s="15">
        <v>1</v>
      </c>
      <c r="AC127" s="23" t="s">
        <v>250</v>
      </c>
      <c r="AD127" s="23" t="s">
        <v>642</v>
      </c>
      <c r="AE127" s="36">
        <v>40</v>
      </c>
      <c r="AF127" s="94">
        <v>13.54</v>
      </c>
      <c r="AG127" s="94">
        <f t="shared" si="44"/>
        <v>541.59999999999991</v>
      </c>
      <c r="AH127" s="88">
        <f t="shared" si="45"/>
        <v>5.3756823821339941</v>
      </c>
      <c r="AI127" s="25" t="s">
        <v>242</v>
      </c>
      <c r="AJ127" s="23"/>
      <c r="AK127" s="23" t="s">
        <v>247</v>
      </c>
      <c r="AL127" s="23">
        <v>1700</v>
      </c>
      <c r="AM127" s="91">
        <v>3.2199999999999999E-2</v>
      </c>
      <c r="AN127" s="91">
        <f t="shared" si="39"/>
        <v>54.74</v>
      </c>
      <c r="AO127" s="92">
        <f t="shared" si="40"/>
        <v>0.54332506203473951</v>
      </c>
      <c r="AP127" s="23" t="s">
        <v>243</v>
      </c>
      <c r="AQ127" s="23"/>
      <c r="AR127" s="87"/>
      <c r="AS127" s="87"/>
      <c r="AT127" s="88">
        <f t="shared" si="41"/>
        <v>0</v>
      </c>
      <c r="AU127" s="23" t="s">
        <v>242</v>
      </c>
      <c r="AV127" s="44"/>
      <c r="AW127" s="23"/>
      <c r="AX127" s="23" t="s">
        <v>251</v>
      </c>
      <c r="AY127" s="23">
        <v>100</v>
      </c>
      <c r="AZ127" s="87">
        <v>1.84</v>
      </c>
      <c r="BA127" s="87">
        <f>+AY127*AZ127</f>
        <v>184</v>
      </c>
      <c r="BB127" s="88">
        <f t="shared" si="42"/>
        <v>1.8263027295285359</v>
      </c>
      <c r="BC127" s="23" t="s">
        <v>243</v>
      </c>
      <c r="BD127" s="23"/>
      <c r="BE127" s="23"/>
      <c r="BI127" s="90">
        <f t="shared" si="43"/>
        <v>0</v>
      </c>
      <c r="BJ127" s="26">
        <f t="shared" si="51"/>
        <v>2</v>
      </c>
      <c r="BK127" s="26">
        <v>1</v>
      </c>
      <c r="BL127" s="26" t="s">
        <v>849</v>
      </c>
      <c r="BM127" s="26">
        <v>160</v>
      </c>
      <c r="BN127" s="26">
        <v>70</v>
      </c>
      <c r="BO127" s="26">
        <v>99</v>
      </c>
      <c r="BP127" s="26">
        <v>0</v>
      </c>
      <c r="BQ127" s="26">
        <v>0</v>
      </c>
      <c r="BR127" s="224">
        <v>172</v>
      </c>
      <c r="BS127" s="225">
        <v>2</v>
      </c>
      <c r="BT127" s="230" t="s">
        <v>1213</v>
      </c>
      <c r="BU127" s="227">
        <v>4574285</v>
      </c>
      <c r="BV127" s="228">
        <v>44420</v>
      </c>
      <c r="BW127" s="225">
        <v>6.6</v>
      </c>
      <c r="BX127" s="228">
        <v>44909</v>
      </c>
      <c r="BY127" s="226">
        <v>4.7</v>
      </c>
      <c r="BZ127" s="226"/>
      <c r="CA127" s="226"/>
      <c r="CB127" s="226"/>
      <c r="CC127" s="226"/>
      <c r="CD127" s="225">
        <v>150338301304</v>
      </c>
      <c r="CE127" s="225">
        <v>0</v>
      </c>
    </row>
    <row r="128" spans="1:83" ht="15" customHeight="1" thickBot="1" x14ac:dyDescent="0.3">
      <c r="A128" s="15" t="s">
        <v>385</v>
      </c>
      <c r="B128" s="15" t="s">
        <v>386</v>
      </c>
      <c r="C128" s="23" t="s">
        <v>480</v>
      </c>
      <c r="D128" s="41" t="s">
        <v>470</v>
      </c>
      <c r="E128" s="23" t="s">
        <v>163</v>
      </c>
      <c r="F128" s="23" t="s">
        <v>179</v>
      </c>
      <c r="G128" s="23">
        <v>4</v>
      </c>
      <c r="H128" s="23">
        <v>4</v>
      </c>
      <c r="I128" s="85" t="s">
        <v>560</v>
      </c>
      <c r="J128">
        <v>2006</v>
      </c>
      <c r="L128" s="5">
        <f t="shared" si="48"/>
        <v>15</v>
      </c>
      <c r="M128" s="109" t="e">
        <f>+#REF!-L128</f>
        <v>#REF!</v>
      </c>
      <c r="N128" s="23">
        <v>114.8</v>
      </c>
      <c r="O128" s="23">
        <v>1.73</v>
      </c>
      <c r="P128" s="24">
        <f>N128/(O128*O128)</f>
        <v>38.357445955427842</v>
      </c>
      <c r="Q128" s="24" t="s">
        <v>242</v>
      </c>
      <c r="R128" s="24" t="s">
        <v>487</v>
      </c>
      <c r="S128" s="23" t="s">
        <v>177</v>
      </c>
      <c r="T128" s="45" t="s">
        <v>242</v>
      </c>
      <c r="U128" s="23" t="s">
        <v>212</v>
      </c>
      <c r="V128" s="16">
        <v>44385</v>
      </c>
      <c r="W128" s="15">
        <v>15.2</v>
      </c>
      <c r="X128" s="17" t="s">
        <v>477</v>
      </c>
      <c r="Y128" s="17" t="s">
        <v>584</v>
      </c>
      <c r="Z128" s="96" t="s">
        <v>590</v>
      </c>
      <c r="AA128" s="98" t="s">
        <v>569</v>
      </c>
      <c r="AB128" s="17">
        <v>3</v>
      </c>
      <c r="AC128" s="23" t="s">
        <v>245</v>
      </c>
      <c r="AD128" s="23" t="s">
        <v>642</v>
      </c>
      <c r="AE128" s="36">
        <v>30</v>
      </c>
      <c r="AF128" s="94">
        <v>15.6</v>
      </c>
      <c r="AG128" s="94">
        <f t="shared" si="44"/>
        <v>468</v>
      </c>
      <c r="AH128" s="88">
        <f t="shared" si="45"/>
        <v>4.645161290322581</v>
      </c>
      <c r="AI128" s="25" t="s">
        <v>242</v>
      </c>
      <c r="AJ128" s="23"/>
      <c r="AK128" s="23" t="s">
        <v>247</v>
      </c>
      <c r="AL128" s="23">
        <v>2000</v>
      </c>
      <c r="AM128" s="91">
        <v>3.2199999999999999E-2</v>
      </c>
      <c r="AN128" s="91">
        <f t="shared" si="39"/>
        <v>64.400000000000006</v>
      </c>
      <c r="AO128" s="92">
        <f t="shared" si="40"/>
        <v>0.6392059553349877</v>
      </c>
      <c r="AP128" s="23" t="s">
        <v>243</v>
      </c>
      <c r="AQ128" s="23"/>
      <c r="AR128" s="87"/>
      <c r="AS128" s="87"/>
      <c r="AT128" s="88">
        <f t="shared" si="41"/>
        <v>0</v>
      </c>
      <c r="AU128" s="23" t="s">
        <v>242</v>
      </c>
      <c r="AV128" s="44"/>
      <c r="AW128" s="23"/>
      <c r="AX128" s="44"/>
      <c r="AY128" s="44"/>
      <c r="AZ128" s="87"/>
      <c r="BA128" s="87"/>
      <c r="BB128" s="88">
        <f t="shared" si="42"/>
        <v>0</v>
      </c>
      <c r="BC128" s="23" t="s">
        <v>242</v>
      </c>
      <c r="BD128" s="23"/>
      <c r="BE128" s="23"/>
      <c r="BI128" s="90">
        <f t="shared" si="43"/>
        <v>0</v>
      </c>
      <c r="BJ128" s="26">
        <f t="shared" si="51"/>
        <v>1</v>
      </c>
      <c r="BK128" s="26">
        <v>0</v>
      </c>
      <c r="BL128" s="26" t="s">
        <v>850</v>
      </c>
      <c r="BM128" s="26">
        <v>130</v>
      </c>
      <c r="BN128" s="26">
        <v>70</v>
      </c>
      <c r="BO128" s="26">
        <v>131</v>
      </c>
      <c r="BP128" s="26">
        <v>0</v>
      </c>
      <c r="BQ128" s="26">
        <v>1</v>
      </c>
      <c r="BR128" s="224">
        <v>57</v>
      </c>
      <c r="BS128" s="225">
        <v>2</v>
      </c>
      <c r="BT128" s="230" t="s">
        <v>982</v>
      </c>
      <c r="BU128" s="227">
        <v>7769968</v>
      </c>
      <c r="BV128" s="228">
        <v>44385</v>
      </c>
      <c r="BW128" s="225">
        <v>15.2</v>
      </c>
      <c r="BX128" s="228">
        <v>44911</v>
      </c>
      <c r="BY128" s="226">
        <v>8.5</v>
      </c>
      <c r="BZ128" s="226"/>
      <c r="CA128" s="226"/>
      <c r="CB128" s="226"/>
      <c r="CC128" s="226"/>
      <c r="CD128" s="225">
        <v>150519367901</v>
      </c>
      <c r="CE128" s="225">
        <v>0</v>
      </c>
    </row>
    <row r="129" spans="1:83" ht="15" customHeight="1" thickBot="1" x14ac:dyDescent="0.3">
      <c r="A129" s="15" t="s">
        <v>387</v>
      </c>
      <c r="B129" s="15" t="s">
        <v>388</v>
      </c>
      <c r="C129" s="23" t="s">
        <v>480</v>
      </c>
      <c r="D129" s="41" t="s">
        <v>469</v>
      </c>
      <c r="E129" s="23" t="s">
        <v>163</v>
      </c>
      <c r="F129" s="23" t="s">
        <v>179</v>
      </c>
      <c r="G129" s="23">
        <v>2</v>
      </c>
      <c r="H129" s="23">
        <v>1</v>
      </c>
      <c r="I129" s="85" t="s">
        <v>557</v>
      </c>
      <c r="J129">
        <v>2000</v>
      </c>
      <c r="L129" s="5">
        <f t="shared" si="48"/>
        <v>21</v>
      </c>
      <c r="M129" s="109" t="e">
        <f>+#REF!-L129</f>
        <v>#REF!</v>
      </c>
      <c r="N129" s="23">
        <v>85.9</v>
      </c>
      <c r="O129" s="23">
        <v>1.75</v>
      </c>
      <c r="P129" s="24">
        <f>N129/(O129*O129)</f>
        <v>28.048979591836737</v>
      </c>
      <c r="Q129" s="24" t="s">
        <v>243</v>
      </c>
      <c r="R129" s="24" t="s">
        <v>486</v>
      </c>
      <c r="S129" s="23" t="s">
        <v>177</v>
      </c>
      <c r="T129" s="45" t="s">
        <v>242</v>
      </c>
      <c r="U129" s="23" t="s">
        <v>212</v>
      </c>
      <c r="V129" s="18">
        <v>44385</v>
      </c>
      <c r="W129" s="15">
        <v>6.6</v>
      </c>
      <c r="X129" s="15" t="s">
        <v>474</v>
      </c>
      <c r="Y129" s="15" t="s">
        <v>582</v>
      </c>
      <c r="Z129" s="97" t="s">
        <v>505</v>
      </c>
      <c r="AA129" s="99" t="s">
        <v>566</v>
      </c>
      <c r="AB129" s="15">
        <v>1</v>
      </c>
      <c r="AC129" s="23" t="s">
        <v>182</v>
      </c>
      <c r="AD129" s="23" t="s">
        <v>182</v>
      </c>
      <c r="AE129" s="36">
        <v>44</v>
      </c>
      <c r="AF129" s="94">
        <v>7.21</v>
      </c>
      <c r="AG129" s="94">
        <f t="shared" si="44"/>
        <v>317.24</v>
      </c>
      <c r="AH129" s="88">
        <f t="shared" si="45"/>
        <v>3.1487841191066996</v>
      </c>
      <c r="AI129" s="25" t="s">
        <v>242</v>
      </c>
      <c r="AJ129" s="23"/>
      <c r="AK129" s="23" t="s">
        <v>247</v>
      </c>
      <c r="AL129" s="23">
        <v>2000</v>
      </c>
      <c r="AM129" s="91">
        <v>3.2199999999999999E-2</v>
      </c>
      <c r="AN129" s="91">
        <f t="shared" si="39"/>
        <v>64.400000000000006</v>
      </c>
      <c r="AO129" s="92">
        <f t="shared" si="40"/>
        <v>0.6392059553349877</v>
      </c>
      <c r="AP129" s="23" t="s">
        <v>243</v>
      </c>
      <c r="AQ129" s="23"/>
      <c r="AR129" s="87"/>
      <c r="AS129" s="87"/>
      <c r="AT129" s="88">
        <f t="shared" si="41"/>
        <v>0</v>
      </c>
      <c r="AU129" s="23" t="s">
        <v>242</v>
      </c>
      <c r="AV129" s="44"/>
      <c r="AW129" s="23"/>
      <c r="AX129" s="44"/>
      <c r="AY129" s="44"/>
      <c r="AZ129" s="87"/>
      <c r="BA129" s="87"/>
      <c r="BB129" s="88">
        <f t="shared" si="42"/>
        <v>0</v>
      </c>
      <c r="BC129" s="23" t="s">
        <v>242</v>
      </c>
      <c r="BD129" s="23"/>
      <c r="BE129" s="23"/>
      <c r="BI129" s="90">
        <f t="shared" si="43"/>
        <v>0</v>
      </c>
      <c r="BJ129" s="26">
        <f t="shared" si="51"/>
        <v>1</v>
      </c>
      <c r="BK129" s="26">
        <v>0</v>
      </c>
      <c r="BL129" s="26" t="s">
        <v>848</v>
      </c>
      <c r="BM129" s="26">
        <v>140</v>
      </c>
      <c r="BN129" s="26">
        <v>70</v>
      </c>
      <c r="BO129" s="26">
        <v>110</v>
      </c>
      <c r="BP129" s="26">
        <v>0</v>
      </c>
      <c r="BQ129" s="26">
        <v>0</v>
      </c>
      <c r="BR129" s="224">
        <v>58</v>
      </c>
      <c r="BS129" s="225">
        <v>1</v>
      </c>
      <c r="BT129" s="230" t="s">
        <v>984</v>
      </c>
      <c r="BU129" s="227">
        <v>5529610</v>
      </c>
      <c r="BV129" s="228">
        <v>44385</v>
      </c>
      <c r="BW129" s="225">
        <v>6.6</v>
      </c>
      <c r="BX129" s="226"/>
      <c r="BY129" s="226"/>
      <c r="BZ129" s="226"/>
      <c r="CA129" s="226"/>
      <c r="CB129" s="226"/>
      <c r="CC129" s="226"/>
      <c r="CD129" s="225">
        <v>150395153803</v>
      </c>
      <c r="CE129" s="225">
        <v>0</v>
      </c>
    </row>
    <row r="130" spans="1:83" ht="15" customHeight="1" thickBot="1" x14ac:dyDescent="0.3">
      <c r="A130" s="15" t="s">
        <v>3</v>
      </c>
      <c r="B130" s="15" t="s">
        <v>88</v>
      </c>
      <c r="C130" s="23" t="s">
        <v>482</v>
      </c>
      <c r="D130" s="41" t="s">
        <v>471</v>
      </c>
      <c r="E130" s="23" t="s">
        <v>163</v>
      </c>
      <c r="F130" s="27" t="s">
        <v>242</v>
      </c>
      <c r="G130" s="23">
        <v>2</v>
      </c>
      <c r="H130" s="23">
        <v>2</v>
      </c>
      <c r="I130" s="85" t="s">
        <v>558</v>
      </c>
      <c r="L130" s="5"/>
      <c r="M130" s="109" t="e">
        <f>+#REF!-L130</f>
        <v>#REF!</v>
      </c>
      <c r="N130" s="23">
        <v>76</v>
      </c>
      <c r="O130" s="23">
        <v>1.59</v>
      </c>
      <c r="P130" s="24">
        <v>30.1</v>
      </c>
      <c r="Q130" s="24" t="s">
        <v>242</v>
      </c>
      <c r="R130" s="24" t="s">
        <v>487</v>
      </c>
      <c r="S130" s="23" t="s">
        <v>242</v>
      </c>
      <c r="T130" s="45" t="s">
        <v>242</v>
      </c>
      <c r="U130" s="23" t="s">
        <v>212</v>
      </c>
      <c r="V130" s="18">
        <v>44385</v>
      </c>
      <c r="W130" s="15">
        <v>10.8</v>
      </c>
      <c r="X130" s="17" t="s">
        <v>476</v>
      </c>
      <c r="Y130" s="17" t="s">
        <v>584</v>
      </c>
      <c r="Z130" s="96" t="s">
        <v>590</v>
      </c>
      <c r="AA130" s="98" t="s">
        <v>569</v>
      </c>
      <c r="AB130" s="17">
        <v>2</v>
      </c>
      <c r="AC130" s="23" t="s">
        <v>571</v>
      </c>
      <c r="AD130" s="23" t="s">
        <v>182</v>
      </c>
      <c r="AE130" s="36">
        <v>90</v>
      </c>
      <c r="AF130" s="94">
        <v>13.87</v>
      </c>
      <c r="AG130" s="94">
        <f t="shared" si="44"/>
        <v>1248.3</v>
      </c>
      <c r="AH130" s="88">
        <f t="shared" si="45"/>
        <v>12.390074441687345</v>
      </c>
      <c r="AI130" s="25" t="s">
        <v>242</v>
      </c>
      <c r="AJ130" s="23"/>
      <c r="AK130" s="23" t="s">
        <v>247</v>
      </c>
      <c r="AL130" s="23">
        <v>1000</v>
      </c>
      <c r="AM130" s="91">
        <v>3.2199999999999999E-2</v>
      </c>
      <c r="AN130" s="91">
        <f>+AL130*AM130</f>
        <v>32.200000000000003</v>
      </c>
      <c r="AO130" s="92">
        <f>+AN130/100.75</f>
        <v>0.31960297766749385</v>
      </c>
      <c r="AP130" s="23" t="s">
        <v>243</v>
      </c>
      <c r="AQ130" s="23"/>
      <c r="AR130" s="87"/>
      <c r="AS130" s="87"/>
      <c r="AT130" s="88">
        <f>+AS130/100.75</f>
        <v>0</v>
      </c>
      <c r="AU130" s="23" t="s">
        <v>242</v>
      </c>
      <c r="AV130" s="44"/>
      <c r="AW130" s="23"/>
      <c r="AX130" s="44"/>
      <c r="AY130" s="44"/>
      <c r="AZ130" s="87"/>
      <c r="BA130" s="87"/>
      <c r="BB130" s="88">
        <f>+BA130/100.75</f>
        <v>0</v>
      </c>
      <c r="BC130" s="23" t="s">
        <v>242</v>
      </c>
      <c r="BD130" s="23"/>
      <c r="BE130" s="23"/>
      <c r="BI130" s="90">
        <f>+BH130/100.75</f>
        <v>0</v>
      </c>
      <c r="BJ130" s="26">
        <f t="shared" si="51"/>
        <v>1</v>
      </c>
      <c r="BK130" s="26">
        <v>1</v>
      </c>
      <c r="BL130" s="26" t="s">
        <v>848</v>
      </c>
      <c r="BM130" s="26">
        <v>140</v>
      </c>
      <c r="BN130" s="26">
        <v>90</v>
      </c>
      <c r="BO130" s="26">
        <v>110</v>
      </c>
      <c r="BP130" s="26">
        <v>0</v>
      </c>
      <c r="BQ130" s="26">
        <v>0</v>
      </c>
      <c r="BR130" s="224">
        <v>59</v>
      </c>
      <c r="BS130" s="225">
        <v>1</v>
      </c>
      <c r="BT130" s="230" t="s">
        <v>986</v>
      </c>
      <c r="BU130" s="227">
        <v>5308188</v>
      </c>
      <c r="BV130" s="228">
        <v>44385</v>
      </c>
      <c r="BW130" s="225">
        <v>10.8</v>
      </c>
      <c r="BX130" s="226"/>
      <c r="BY130" s="226"/>
      <c r="BZ130" s="226"/>
      <c r="CA130" s="226"/>
      <c r="CB130" s="226"/>
      <c r="CC130" s="226"/>
      <c r="CD130" s="225">
        <v>90301584406</v>
      </c>
      <c r="CE130" s="225">
        <v>0</v>
      </c>
    </row>
    <row r="131" spans="1:83" ht="15" customHeight="1" thickBot="1" x14ac:dyDescent="0.3">
      <c r="A131" s="15" t="s">
        <v>389</v>
      </c>
      <c r="B131" s="15" t="s">
        <v>390</v>
      </c>
      <c r="C131" s="23" t="s">
        <v>479</v>
      </c>
      <c r="D131" s="41" t="s">
        <v>469</v>
      </c>
      <c r="E131" s="23" t="s">
        <v>164</v>
      </c>
      <c r="F131" s="23" t="s">
        <v>242</v>
      </c>
      <c r="G131" s="23">
        <v>2</v>
      </c>
      <c r="H131" s="23">
        <v>1</v>
      </c>
      <c r="I131" s="85" t="s">
        <v>557</v>
      </c>
      <c r="J131">
        <v>2011</v>
      </c>
      <c r="L131" s="5">
        <f t="shared" ref="L131:L194" si="52">2021-J131</f>
        <v>10</v>
      </c>
      <c r="M131" s="109" t="e">
        <f>+#REF!-L131</f>
        <v>#REF!</v>
      </c>
      <c r="N131" s="23">
        <v>75</v>
      </c>
      <c r="O131" s="23">
        <v>1.58</v>
      </c>
      <c r="P131" s="24">
        <f t="shared" ref="P131:P138" si="53">N131/(O131*O131)</f>
        <v>30.043262297708697</v>
      </c>
      <c r="Q131" s="24" t="s">
        <v>243</v>
      </c>
      <c r="R131" s="24" t="s">
        <v>487</v>
      </c>
      <c r="S131" s="23" t="s">
        <v>177</v>
      </c>
      <c r="T131" s="45" t="s">
        <v>242</v>
      </c>
      <c r="U131" s="23" t="s">
        <v>212</v>
      </c>
      <c r="V131" s="18">
        <v>44434</v>
      </c>
      <c r="W131" s="17">
        <v>10.199999999999999</v>
      </c>
      <c r="X131" s="17" t="s">
        <v>476</v>
      </c>
      <c r="Y131" s="17" t="s">
        <v>584</v>
      </c>
      <c r="Z131" s="96" t="s">
        <v>590</v>
      </c>
      <c r="AA131" s="98" t="s">
        <v>569</v>
      </c>
      <c r="AB131" s="17">
        <v>2</v>
      </c>
      <c r="AC131" s="23" t="s">
        <v>245</v>
      </c>
      <c r="AD131" s="23" t="s">
        <v>642</v>
      </c>
      <c r="AE131" s="36">
        <v>60</v>
      </c>
      <c r="AF131" s="94">
        <v>15.6</v>
      </c>
      <c r="AG131" s="94">
        <f t="shared" ref="AG131:AG145" si="54">+AE131*AF131</f>
        <v>936</v>
      </c>
      <c r="AH131" s="88">
        <f t="shared" ref="AH131:AH194" si="55">+AG131/100.75</f>
        <v>9.2903225806451619</v>
      </c>
      <c r="AI131" s="25" t="s">
        <v>242</v>
      </c>
      <c r="AJ131" s="23"/>
      <c r="AK131" s="23" t="s">
        <v>247</v>
      </c>
      <c r="AL131" s="23">
        <v>2000</v>
      </c>
      <c r="AM131" s="91">
        <v>3.2199999999999999E-2</v>
      </c>
      <c r="AN131" s="91">
        <f t="shared" ref="AN131:AN194" si="56">+AL131*AM131</f>
        <v>64.400000000000006</v>
      </c>
      <c r="AO131" s="92">
        <f t="shared" ref="AO131:AO194" si="57">+AN131/100.75</f>
        <v>0.6392059553349877</v>
      </c>
      <c r="AP131" s="23" t="s">
        <v>243</v>
      </c>
      <c r="AQ131" s="23"/>
      <c r="AR131" s="87"/>
      <c r="AS131" s="87"/>
      <c r="AT131" s="88">
        <f t="shared" ref="AT131:AT194" si="58">+AS131/100.75</f>
        <v>0</v>
      </c>
      <c r="AU131" s="23" t="s">
        <v>242</v>
      </c>
      <c r="AV131" s="44"/>
      <c r="AW131" s="23"/>
      <c r="AX131" s="44"/>
      <c r="AY131" s="44"/>
      <c r="AZ131" s="87"/>
      <c r="BA131" s="87"/>
      <c r="BB131" s="88">
        <f t="shared" ref="BB131:BB194" si="59">+BA131/100.75</f>
        <v>0</v>
      </c>
      <c r="BC131" s="23" t="s">
        <v>242</v>
      </c>
      <c r="BD131" s="23"/>
      <c r="BE131" s="23"/>
      <c r="BI131" s="90">
        <f t="shared" ref="BI131:BI194" si="60">+BH131/100.75</f>
        <v>0</v>
      </c>
      <c r="BJ131" s="26">
        <f t="shared" si="51"/>
        <v>1</v>
      </c>
      <c r="BK131" s="26">
        <v>0</v>
      </c>
      <c r="BL131" s="26" t="s">
        <v>851</v>
      </c>
      <c r="BM131" s="26">
        <v>130</v>
      </c>
      <c r="BN131" s="26">
        <v>80</v>
      </c>
      <c r="BO131" s="26">
        <v>106</v>
      </c>
      <c r="BP131" s="26">
        <v>0</v>
      </c>
      <c r="BQ131" s="26">
        <v>0</v>
      </c>
      <c r="BR131" s="224">
        <v>173</v>
      </c>
      <c r="BS131" s="225">
        <v>1</v>
      </c>
      <c r="BT131" s="230" t="s">
        <v>1215</v>
      </c>
      <c r="BU131" s="227">
        <v>10115188</v>
      </c>
      <c r="BV131" s="228">
        <v>44434</v>
      </c>
      <c r="BW131" s="225">
        <v>10.199999999999999</v>
      </c>
      <c r="BX131" s="228">
        <v>44951</v>
      </c>
      <c r="BY131" s="226">
        <v>5.5</v>
      </c>
      <c r="BZ131" s="226"/>
      <c r="CA131" s="226"/>
      <c r="CB131" s="226"/>
      <c r="CC131" s="226"/>
      <c r="CD131" s="225">
        <v>150574454809</v>
      </c>
      <c r="CE131" s="225">
        <v>0</v>
      </c>
    </row>
    <row r="132" spans="1:83" ht="15" customHeight="1" thickBot="1" x14ac:dyDescent="0.3">
      <c r="A132" s="15" t="s">
        <v>391</v>
      </c>
      <c r="B132" s="15" t="s">
        <v>276</v>
      </c>
      <c r="C132" s="23" t="s">
        <v>479</v>
      </c>
      <c r="D132" s="41" t="s">
        <v>469</v>
      </c>
      <c r="E132" s="23" t="s">
        <v>163</v>
      </c>
      <c r="F132" s="23" t="s">
        <v>179</v>
      </c>
      <c r="G132" s="23">
        <v>4</v>
      </c>
      <c r="H132" s="23">
        <v>1</v>
      </c>
      <c r="I132" s="85" t="s">
        <v>557</v>
      </c>
      <c r="J132">
        <v>2016</v>
      </c>
      <c r="L132" s="5">
        <f t="shared" si="52"/>
        <v>5</v>
      </c>
      <c r="M132" s="109" t="e">
        <f>+#REF!-L132</f>
        <v>#REF!</v>
      </c>
      <c r="N132" s="23">
        <v>99.6</v>
      </c>
      <c r="O132" s="23">
        <v>1.66</v>
      </c>
      <c r="P132" s="24">
        <f t="shared" si="53"/>
        <v>36.144578313253014</v>
      </c>
      <c r="Q132" s="24" t="s">
        <v>242</v>
      </c>
      <c r="R132" s="24" t="s">
        <v>487</v>
      </c>
      <c r="S132" s="23" t="s">
        <v>177</v>
      </c>
      <c r="T132" s="45" t="s">
        <v>243</v>
      </c>
      <c r="U132" s="23" t="s">
        <v>212</v>
      </c>
      <c r="V132" s="16">
        <v>44385</v>
      </c>
      <c r="W132" s="15">
        <v>9.6999999999999993</v>
      </c>
      <c r="X132" s="17" t="s">
        <v>476</v>
      </c>
      <c r="Y132" s="17" t="s">
        <v>584</v>
      </c>
      <c r="Z132" s="96" t="s">
        <v>506</v>
      </c>
      <c r="AA132" s="98" t="s">
        <v>569</v>
      </c>
      <c r="AB132" s="17">
        <v>2</v>
      </c>
      <c r="AC132" s="23" t="s">
        <v>245</v>
      </c>
      <c r="AD132" s="23" t="s">
        <v>642</v>
      </c>
      <c r="AE132" s="36">
        <v>44</v>
      </c>
      <c r="AF132" s="94">
        <v>15.6</v>
      </c>
      <c r="AG132" s="94">
        <f t="shared" si="54"/>
        <v>686.4</v>
      </c>
      <c r="AH132" s="88">
        <f t="shared" si="55"/>
        <v>6.8129032258064512</v>
      </c>
      <c r="AI132" s="25" t="s">
        <v>242</v>
      </c>
      <c r="AJ132" s="23"/>
      <c r="AK132" s="23" t="s">
        <v>247</v>
      </c>
      <c r="AL132" s="23">
        <v>2000</v>
      </c>
      <c r="AM132" s="91">
        <v>3.2199999999999999E-2</v>
      </c>
      <c r="AN132" s="91">
        <f t="shared" si="56"/>
        <v>64.400000000000006</v>
      </c>
      <c r="AO132" s="92">
        <f t="shared" si="57"/>
        <v>0.6392059553349877</v>
      </c>
      <c r="AP132" s="23" t="s">
        <v>243</v>
      </c>
      <c r="AQ132" s="23"/>
      <c r="AR132" s="87"/>
      <c r="AS132" s="87"/>
      <c r="AT132" s="88">
        <f t="shared" si="58"/>
        <v>0</v>
      </c>
      <c r="AU132" s="23" t="s">
        <v>242</v>
      </c>
      <c r="AV132" s="44"/>
      <c r="AW132" s="23"/>
      <c r="AX132" s="44"/>
      <c r="AY132" s="44"/>
      <c r="AZ132" s="87"/>
      <c r="BA132" s="87"/>
      <c r="BB132" s="88">
        <f t="shared" si="59"/>
        <v>0</v>
      </c>
      <c r="BC132" s="23" t="s">
        <v>242</v>
      </c>
      <c r="BD132" s="23"/>
      <c r="BE132" s="23"/>
      <c r="BI132" s="90">
        <f t="shared" si="60"/>
        <v>0</v>
      </c>
      <c r="BJ132" s="26">
        <f t="shared" si="51"/>
        <v>1</v>
      </c>
      <c r="BK132" s="26">
        <v>1</v>
      </c>
      <c r="BL132" s="26" t="s">
        <v>850</v>
      </c>
      <c r="BM132" s="26">
        <v>120</v>
      </c>
      <c r="BN132" s="26">
        <v>70</v>
      </c>
      <c r="BO132" s="26">
        <v>117</v>
      </c>
      <c r="BP132" s="26">
        <v>0</v>
      </c>
      <c r="BQ132" s="26">
        <v>1</v>
      </c>
      <c r="BR132" s="224">
        <v>60</v>
      </c>
      <c r="BS132" s="225">
        <v>2</v>
      </c>
      <c r="BT132" s="230" t="s">
        <v>988</v>
      </c>
      <c r="BU132" s="227">
        <v>8574848</v>
      </c>
      <c r="BV132" s="228">
        <v>44385</v>
      </c>
      <c r="BW132" s="225">
        <v>9.6999999999999993</v>
      </c>
      <c r="BX132" s="226"/>
      <c r="BY132" s="226"/>
      <c r="BZ132" s="226"/>
      <c r="CA132" s="226"/>
      <c r="CB132" s="226"/>
      <c r="CC132" s="226"/>
      <c r="CD132" s="225">
        <v>150791268500</v>
      </c>
      <c r="CE132" s="225">
        <v>0</v>
      </c>
    </row>
    <row r="133" spans="1:83" ht="15" customHeight="1" thickBot="1" x14ac:dyDescent="0.3">
      <c r="A133" s="15" t="s">
        <v>392</v>
      </c>
      <c r="B133" s="15" t="s">
        <v>393</v>
      </c>
      <c r="C133" s="23" t="s">
        <v>480</v>
      </c>
      <c r="D133" s="41" t="s">
        <v>469</v>
      </c>
      <c r="E133" s="23" t="s">
        <v>164</v>
      </c>
      <c r="F133" s="23" t="s">
        <v>179</v>
      </c>
      <c r="G133" s="23">
        <v>2</v>
      </c>
      <c r="H133" s="23">
        <v>1</v>
      </c>
      <c r="I133" s="85" t="s">
        <v>557</v>
      </c>
      <c r="J133">
        <v>2000</v>
      </c>
      <c r="L133" s="5">
        <f t="shared" si="52"/>
        <v>21</v>
      </c>
      <c r="M133" s="109" t="e">
        <f>+#REF!-L133</f>
        <v>#REF!</v>
      </c>
      <c r="N133" s="23">
        <v>68.099999999999994</v>
      </c>
      <c r="O133" s="23">
        <v>1.55</v>
      </c>
      <c r="P133" s="24">
        <f t="shared" si="53"/>
        <v>28.345473465140472</v>
      </c>
      <c r="Q133" s="24" t="s">
        <v>242</v>
      </c>
      <c r="R133" s="24" t="s">
        <v>486</v>
      </c>
      <c r="S133" s="23" t="s">
        <v>177</v>
      </c>
      <c r="T133" s="45" t="s">
        <v>242</v>
      </c>
      <c r="U133" s="23" t="s">
        <v>212</v>
      </c>
      <c r="V133" s="18">
        <v>44385</v>
      </c>
      <c r="W133" s="15">
        <v>8.5</v>
      </c>
      <c r="X133" s="17" t="s">
        <v>475</v>
      </c>
      <c r="Y133" s="17" t="s">
        <v>584</v>
      </c>
      <c r="Z133" s="96" t="s">
        <v>506</v>
      </c>
      <c r="AA133" s="98" t="s">
        <v>569</v>
      </c>
      <c r="AB133" s="17">
        <v>2</v>
      </c>
      <c r="AC133" s="23" t="s">
        <v>244</v>
      </c>
      <c r="AD133" s="23" t="s">
        <v>642</v>
      </c>
      <c r="AE133" s="36">
        <v>22</v>
      </c>
      <c r="AF133" s="94">
        <v>14.66</v>
      </c>
      <c r="AG133" s="94">
        <f t="shared" si="54"/>
        <v>322.52</v>
      </c>
      <c r="AH133" s="88">
        <f t="shared" si="55"/>
        <v>3.2011910669975183</v>
      </c>
      <c r="AI133" s="25" t="s">
        <v>243</v>
      </c>
      <c r="AJ133" s="23" t="s">
        <v>463</v>
      </c>
      <c r="AK133" s="23" t="s">
        <v>247</v>
      </c>
      <c r="AL133" s="23">
        <v>2550</v>
      </c>
      <c r="AM133" s="91">
        <v>3.2199999999999999E-2</v>
      </c>
      <c r="AN133" s="91">
        <f t="shared" si="56"/>
        <v>82.11</v>
      </c>
      <c r="AO133" s="92">
        <f t="shared" si="57"/>
        <v>0.81498759305210922</v>
      </c>
      <c r="AP133" s="23" t="s">
        <v>243</v>
      </c>
      <c r="AQ133" s="23"/>
      <c r="AR133" s="87"/>
      <c r="AS133" s="87"/>
      <c r="AT133" s="88">
        <f t="shared" si="58"/>
        <v>0</v>
      </c>
      <c r="AU133" s="23" t="s">
        <v>242</v>
      </c>
      <c r="AV133" s="44"/>
      <c r="AW133" s="23"/>
      <c r="AX133" s="44"/>
      <c r="AY133" s="44"/>
      <c r="AZ133" s="87"/>
      <c r="BA133" s="87"/>
      <c r="BB133" s="88">
        <f t="shared" si="59"/>
        <v>0</v>
      </c>
      <c r="BC133" s="23" t="s">
        <v>242</v>
      </c>
      <c r="BD133" s="23"/>
      <c r="BE133" s="23"/>
      <c r="BI133" s="90">
        <f t="shared" si="60"/>
        <v>0</v>
      </c>
      <c r="BJ133" s="26">
        <f t="shared" si="51"/>
        <v>1</v>
      </c>
      <c r="BK133" s="26">
        <v>1</v>
      </c>
      <c r="BL133" s="26" t="s">
        <v>850</v>
      </c>
      <c r="BM133" s="26">
        <v>150</v>
      </c>
      <c r="BN133" s="26">
        <v>90</v>
      </c>
      <c r="BO133" s="26">
        <v>97</v>
      </c>
      <c r="BP133" s="26">
        <v>0</v>
      </c>
      <c r="BQ133" s="26">
        <v>0</v>
      </c>
      <c r="BR133" s="224">
        <v>61</v>
      </c>
      <c r="BS133" s="225">
        <v>1</v>
      </c>
      <c r="BT133" s="230" t="s">
        <v>990</v>
      </c>
      <c r="BU133" s="227">
        <v>93572249</v>
      </c>
      <c r="BV133" s="228">
        <v>44385</v>
      </c>
      <c r="BW133" s="225">
        <v>8.5</v>
      </c>
      <c r="BX133" s="228">
        <v>44942</v>
      </c>
      <c r="BY133" s="230">
        <v>6.1</v>
      </c>
      <c r="BZ133" s="226"/>
      <c r="CA133" s="226"/>
      <c r="CB133" s="226"/>
      <c r="CC133" s="226"/>
      <c r="CD133" s="225">
        <v>150367261601</v>
      </c>
      <c r="CE133" s="225">
        <v>0</v>
      </c>
    </row>
    <row r="134" spans="1:83" ht="15" customHeight="1" thickBot="1" x14ac:dyDescent="0.3">
      <c r="A134" s="15" t="s">
        <v>65</v>
      </c>
      <c r="B134" s="15" t="s">
        <v>148</v>
      </c>
      <c r="C134" s="23" t="s">
        <v>482</v>
      </c>
      <c r="D134" s="41" t="s">
        <v>470</v>
      </c>
      <c r="E134" s="23" t="s">
        <v>163</v>
      </c>
      <c r="F134" s="23" t="s">
        <v>179</v>
      </c>
      <c r="G134" s="23">
        <v>2</v>
      </c>
      <c r="H134" s="23">
        <v>1</v>
      </c>
      <c r="I134" s="85" t="s">
        <v>557</v>
      </c>
      <c r="J134">
        <v>1997</v>
      </c>
      <c r="L134" s="5">
        <f t="shared" si="52"/>
        <v>24</v>
      </c>
      <c r="M134" s="109" t="e">
        <f>+#REF!-L134</f>
        <v>#REF!</v>
      </c>
      <c r="N134" s="23">
        <v>85</v>
      </c>
      <c r="O134" s="23">
        <v>1.58</v>
      </c>
      <c r="P134" s="24">
        <f t="shared" si="53"/>
        <v>34.049030604069856</v>
      </c>
      <c r="Q134" s="24" t="s">
        <v>242</v>
      </c>
      <c r="R134" s="24" t="s">
        <v>487</v>
      </c>
      <c r="S134" s="23" t="s">
        <v>177</v>
      </c>
      <c r="T134" s="45" t="s">
        <v>242</v>
      </c>
      <c r="U134" s="23" t="s">
        <v>212</v>
      </c>
      <c r="V134" s="16">
        <v>44441</v>
      </c>
      <c r="W134" s="17">
        <v>9.1999999999999993</v>
      </c>
      <c r="X134" s="17" t="s">
        <v>476</v>
      </c>
      <c r="Y134" s="17" t="s">
        <v>584</v>
      </c>
      <c r="Z134" s="96" t="s">
        <v>506</v>
      </c>
      <c r="AA134" s="98" t="s">
        <v>569</v>
      </c>
      <c r="AB134" s="17">
        <v>2</v>
      </c>
      <c r="AC134" s="23" t="s">
        <v>244</v>
      </c>
      <c r="AD134" s="23" t="s">
        <v>642</v>
      </c>
      <c r="AE134" s="36">
        <v>50</v>
      </c>
      <c r="AF134" s="94">
        <v>14.66</v>
      </c>
      <c r="AG134" s="94">
        <f t="shared" si="54"/>
        <v>733</v>
      </c>
      <c r="AH134" s="88">
        <f t="shared" si="55"/>
        <v>7.2754342431761785</v>
      </c>
      <c r="AI134" s="25" t="s">
        <v>243</v>
      </c>
      <c r="AJ134" s="23" t="s">
        <v>463</v>
      </c>
      <c r="AK134" s="23" t="s">
        <v>247</v>
      </c>
      <c r="AL134" s="23">
        <v>1700</v>
      </c>
      <c r="AM134" s="91">
        <v>3.2199999999999999E-2</v>
      </c>
      <c r="AN134" s="91">
        <f t="shared" si="56"/>
        <v>54.74</v>
      </c>
      <c r="AO134" s="92">
        <f t="shared" si="57"/>
        <v>0.54332506203473951</v>
      </c>
      <c r="AP134" s="23" t="s">
        <v>243</v>
      </c>
      <c r="AQ134" s="23"/>
      <c r="AR134" s="87"/>
      <c r="AS134" s="87"/>
      <c r="AT134" s="88">
        <f t="shared" si="58"/>
        <v>0</v>
      </c>
      <c r="AU134" s="23" t="s">
        <v>242</v>
      </c>
      <c r="AV134" s="44"/>
      <c r="AW134" s="23"/>
      <c r="AX134" s="44"/>
      <c r="AY134" s="44"/>
      <c r="AZ134" s="87"/>
      <c r="BA134" s="87"/>
      <c r="BB134" s="88">
        <f t="shared" si="59"/>
        <v>0</v>
      </c>
      <c r="BC134" s="23" t="s">
        <v>242</v>
      </c>
      <c r="BD134" s="23"/>
      <c r="BE134" s="23"/>
      <c r="BI134" s="90">
        <f t="shared" si="60"/>
        <v>0</v>
      </c>
      <c r="BJ134" s="26">
        <f t="shared" si="51"/>
        <v>1</v>
      </c>
      <c r="BK134" s="26">
        <v>0</v>
      </c>
      <c r="BL134" s="26" t="s">
        <v>849</v>
      </c>
      <c r="BM134" s="26">
        <v>150</v>
      </c>
      <c r="BN134" s="26">
        <v>90</v>
      </c>
      <c r="BO134" s="26">
        <v>113</v>
      </c>
      <c r="BP134" s="26">
        <v>0</v>
      </c>
      <c r="BQ134" s="26">
        <v>0</v>
      </c>
      <c r="BR134" s="224">
        <v>174</v>
      </c>
      <c r="BS134" s="225">
        <v>2</v>
      </c>
      <c r="BT134" s="230" t="s">
        <v>1217</v>
      </c>
      <c r="BU134" s="227">
        <v>5327826</v>
      </c>
      <c r="BV134" s="228">
        <v>44441</v>
      </c>
      <c r="BW134" s="225">
        <v>9.1999999999999993</v>
      </c>
      <c r="BX134" s="228">
        <v>44914</v>
      </c>
      <c r="BY134" s="226">
        <v>6.1</v>
      </c>
      <c r="BZ134" s="226"/>
      <c r="CA134" s="226"/>
      <c r="CB134" s="226"/>
      <c r="CC134" s="226"/>
      <c r="CD134" s="225">
        <v>150387612805</v>
      </c>
      <c r="CE134" s="225">
        <v>0</v>
      </c>
    </row>
    <row r="135" spans="1:83" ht="15" customHeight="1" thickBot="1" x14ac:dyDescent="0.3">
      <c r="A135" s="15" t="s">
        <v>66</v>
      </c>
      <c r="B135" s="15" t="s">
        <v>149</v>
      </c>
      <c r="C135" s="23" t="s">
        <v>480</v>
      </c>
      <c r="D135" s="41" t="s">
        <v>469</v>
      </c>
      <c r="E135" s="23" t="s">
        <v>164</v>
      </c>
      <c r="F135" s="23" t="s">
        <v>179</v>
      </c>
      <c r="G135" s="23">
        <v>3</v>
      </c>
      <c r="H135" s="23">
        <v>1</v>
      </c>
      <c r="I135" s="85" t="s">
        <v>557</v>
      </c>
      <c r="J135">
        <v>2010</v>
      </c>
      <c r="L135" s="5">
        <f t="shared" si="52"/>
        <v>11</v>
      </c>
      <c r="M135" s="109" t="e">
        <f>+#REF!-L135</f>
        <v>#REF!</v>
      </c>
      <c r="N135" s="23">
        <v>69.400000000000006</v>
      </c>
      <c r="O135" s="23">
        <v>1.44</v>
      </c>
      <c r="P135" s="24">
        <f t="shared" si="53"/>
        <v>33.468364197530867</v>
      </c>
      <c r="Q135" s="24" t="s">
        <v>242</v>
      </c>
      <c r="R135" s="24" t="s">
        <v>487</v>
      </c>
      <c r="S135" s="23" t="s">
        <v>177</v>
      </c>
      <c r="T135" s="45" t="s">
        <v>242</v>
      </c>
      <c r="U135" s="23" t="s">
        <v>212</v>
      </c>
      <c r="V135" s="16">
        <v>44434</v>
      </c>
      <c r="W135" s="17">
        <v>7.9</v>
      </c>
      <c r="X135" s="17" t="s">
        <v>475</v>
      </c>
      <c r="Y135" s="17" t="s">
        <v>583</v>
      </c>
      <c r="Z135" s="96" t="s">
        <v>506</v>
      </c>
      <c r="AA135" s="98" t="s">
        <v>568</v>
      </c>
      <c r="AB135" s="17">
        <v>2</v>
      </c>
      <c r="AC135" s="23" t="s">
        <v>244</v>
      </c>
      <c r="AD135" s="23" t="s">
        <v>642</v>
      </c>
      <c r="AE135" s="36">
        <v>10</v>
      </c>
      <c r="AF135" s="94">
        <v>14.66</v>
      </c>
      <c r="AG135" s="94">
        <f t="shared" si="54"/>
        <v>146.6</v>
      </c>
      <c r="AH135" s="88">
        <f t="shared" si="55"/>
        <v>1.4550868486352357</v>
      </c>
      <c r="AI135" s="25" t="s">
        <v>242</v>
      </c>
      <c r="AJ135" s="23"/>
      <c r="AK135" s="44" t="s">
        <v>179</v>
      </c>
      <c r="AL135" s="23"/>
      <c r="AM135" s="91">
        <v>3.2199999999999999E-2</v>
      </c>
      <c r="AN135" s="91">
        <f t="shared" si="56"/>
        <v>0</v>
      </c>
      <c r="AO135" s="92">
        <f t="shared" si="57"/>
        <v>0</v>
      </c>
      <c r="AP135" s="23" t="s">
        <v>242</v>
      </c>
      <c r="AQ135" s="23" t="s">
        <v>254</v>
      </c>
      <c r="AR135" s="87">
        <v>1.069</v>
      </c>
      <c r="AS135" s="87">
        <f>+AV135*AR135</f>
        <v>64.14</v>
      </c>
      <c r="AT135" s="88">
        <f t="shared" si="58"/>
        <v>0.63662531017369728</v>
      </c>
      <c r="AU135" s="23" t="s">
        <v>243</v>
      </c>
      <c r="AV135" s="23">
        <v>60</v>
      </c>
      <c r="AW135" s="23"/>
      <c r="AX135" s="44"/>
      <c r="AY135" s="44"/>
      <c r="AZ135" s="87"/>
      <c r="BA135" s="87"/>
      <c r="BB135" s="88">
        <f t="shared" si="59"/>
        <v>0</v>
      </c>
      <c r="BC135" s="23" t="s">
        <v>242</v>
      </c>
      <c r="BD135" s="23"/>
      <c r="BE135" s="23"/>
      <c r="BI135" s="90">
        <f t="shared" si="60"/>
        <v>0</v>
      </c>
      <c r="BJ135" s="26">
        <f t="shared" si="51"/>
        <v>1</v>
      </c>
      <c r="BK135" s="26">
        <v>1</v>
      </c>
      <c r="BL135" s="26" t="s">
        <v>850</v>
      </c>
      <c r="BM135" s="26">
        <v>100</v>
      </c>
      <c r="BN135" s="26">
        <v>70</v>
      </c>
      <c r="BO135" s="26">
        <v>98</v>
      </c>
      <c r="BP135" s="26">
        <v>0</v>
      </c>
      <c r="BQ135" s="26">
        <v>0</v>
      </c>
      <c r="BR135" s="224">
        <v>175</v>
      </c>
      <c r="BS135" s="225">
        <v>2</v>
      </c>
      <c r="BT135" s="230" t="s">
        <v>1219</v>
      </c>
      <c r="BU135" s="227">
        <v>6256833</v>
      </c>
      <c r="BV135" s="228">
        <v>44434</v>
      </c>
      <c r="BW135" s="225">
        <v>7.9</v>
      </c>
      <c r="BX135" s="228">
        <v>44911</v>
      </c>
      <c r="BY135" s="226">
        <v>5.5</v>
      </c>
      <c r="BZ135" s="226"/>
      <c r="CA135" s="226"/>
      <c r="CB135" s="226"/>
      <c r="CC135" s="226"/>
      <c r="CD135" s="225">
        <v>150468739700</v>
      </c>
      <c r="CE135" s="225">
        <v>0</v>
      </c>
    </row>
    <row r="136" spans="1:83" ht="15" customHeight="1" thickBot="1" x14ac:dyDescent="0.3">
      <c r="A136" s="15" t="s">
        <v>394</v>
      </c>
      <c r="B136" s="15" t="s">
        <v>395</v>
      </c>
      <c r="C136" s="23" t="s">
        <v>482</v>
      </c>
      <c r="D136" s="41" t="s">
        <v>470</v>
      </c>
      <c r="E136" s="23" t="s">
        <v>163</v>
      </c>
      <c r="F136" s="23" t="s">
        <v>179</v>
      </c>
      <c r="G136" s="23">
        <v>2</v>
      </c>
      <c r="H136" s="23">
        <v>1</v>
      </c>
      <c r="I136" s="85" t="s">
        <v>557</v>
      </c>
      <c r="J136">
        <v>2010</v>
      </c>
      <c r="L136" s="5">
        <f t="shared" si="52"/>
        <v>11</v>
      </c>
      <c r="M136" s="109" t="e">
        <f>+#REF!-L136</f>
        <v>#REF!</v>
      </c>
      <c r="N136" s="23">
        <v>98.5</v>
      </c>
      <c r="O136" s="23">
        <v>1.71</v>
      </c>
      <c r="P136" s="24">
        <f t="shared" si="53"/>
        <v>33.685578468588631</v>
      </c>
      <c r="Q136" s="24" t="s">
        <v>242</v>
      </c>
      <c r="R136" s="24" t="s">
        <v>487</v>
      </c>
      <c r="S136" s="23" t="s">
        <v>177</v>
      </c>
      <c r="T136" s="45" t="s">
        <v>242</v>
      </c>
      <c r="U136" s="23" t="s">
        <v>212</v>
      </c>
      <c r="V136" s="18">
        <v>44420</v>
      </c>
      <c r="W136" s="17">
        <v>8.6</v>
      </c>
      <c r="X136" s="17" t="s">
        <v>475</v>
      </c>
      <c r="Y136" s="17" t="s">
        <v>584</v>
      </c>
      <c r="Z136" s="96" t="s">
        <v>506</v>
      </c>
      <c r="AA136" s="98" t="s">
        <v>569</v>
      </c>
      <c r="AB136" s="17">
        <v>2</v>
      </c>
      <c r="AC136" s="23" t="s">
        <v>244</v>
      </c>
      <c r="AD136" s="23" t="s">
        <v>642</v>
      </c>
      <c r="AE136" s="36">
        <v>36</v>
      </c>
      <c r="AF136" s="94">
        <v>14.66</v>
      </c>
      <c r="AG136" s="94">
        <f t="shared" si="54"/>
        <v>527.76</v>
      </c>
      <c r="AH136" s="88">
        <f t="shared" si="55"/>
        <v>5.2383126550868484</v>
      </c>
      <c r="AI136" s="25" t="s">
        <v>243</v>
      </c>
      <c r="AJ136" s="23">
        <v>8</v>
      </c>
      <c r="AK136" s="30" t="s">
        <v>247</v>
      </c>
      <c r="AL136" s="23">
        <v>1000</v>
      </c>
      <c r="AM136" s="91">
        <v>3.2199999999999999E-2</v>
      </c>
      <c r="AN136" s="91">
        <f t="shared" si="56"/>
        <v>32.200000000000003</v>
      </c>
      <c r="AO136" s="92">
        <f t="shared" si="57"/>
        <v>0.31960297766749385</v>
      </c>
      <c r="AP136" s="23" t="s">
        <v>243</v>
      </c>
      <c r="AQ136" s="23"/>
      <c r="AR136" s="87"/>
      <c r="AS136" s="87"/>
      <c r="AT136" s="88">
        <f t="shared" si="58"/>
        <v>0</v>
      </c>
      <c r="AU136" s="23" t="s">
        <v>242</v>
      </c>
      <c r="AV136" s="44"/>
      <c r="AW136" s="23"/>
      <c r="AX136" s="44"/>
      <c r="AY136" s="44"/>
      <c r="AZ136" s="87"/>
      <c r="BA136" s="87"/>
      <c r="BB136" s="88">
        <f t="shared" si="59"/>
        <v>0</v>
      </c>
      <c r="BC136" s="23" t="s">
        <v>242</v>
      </c>
      <c r="BD136" s="23"/>
      <c r="BE136" s="23"/>
      <c r="BI136" s="90">
        <f t="shared" si="60"/>
        <v>0</v>
      </c>
      <c r="BJ136" s="26">
        <f t="shared" si="51"/>
        <v>1</v>
      </c>
      <c r="BK136" s="26">
        <v>1</v>
      </c>
      <c r="BL136" s="26" t="s">
        <v>850</v>
      </c>
      <c r="BM136" s="26">
        <v>160</v>
      </c>
      <c r="BN136" s="26">
        <v>80</v>
      </c>
      <c r="BO136" s="26">
        <v>126</v>
      </c>
      <c r="BP136" s="26">
        <v>1</v>
      </c>
      <c r="BQ136" s="26">
        <v>0</v>
      </c>
      <c r="BR136" s="224">
        <v>176</v>
      </c>
      <c r="BS136" s="225">
        <v>1</v>
      </c>
      <c r="BT136" s="230" t="s">
        <v>1221</v>
      </c>
      <c r="BU136" s="227">
        <v>8700341</v>
      </c>
      <c r="BV136" s="228">
        <v>44420</v>
      </c>
      <c r="BW136" s="225">
        <v>8.6</v>
      </c>
      <c r="BX136" s="228">
        <v>45015</v>
      </c>
      <c r="BY136" s="226">
        <v>4.7</v>
      </c>
      <c r="BZ136" s="226"/>
      <c r="CA136" s="226"/>
      <c r="CB136" s="226"/>
      <c r="CC136" s="226"/>
      <c r="CD136" s="225">
        <v>150261321309</v>
      </c>
      <c r="CE136" s="225">
        <v>0</v>
      </c>
    </row>
    <row r="137" spans="1:83" ht="15" customHeight="1" thickBot="1" x14ac:dyDescent="0.3">
      <c r="A137" s="15" t="s">
        <v>396</v>
      </c>
      <c r="B137" s="15" t="s">
        <v>89</v>
      </c>
      <c r="C137" s="23" t="s">
        <v>482</v>
      </c>
      <c r="D137" s="41" t="s">
        <v>470</v>
      </c>
      <c r="E137" s="23" t="s">
        <v>163</v>
      </c>
      <c r="F137" s="23" t="s">
        <v>179</v>
      </c>
      <c r="G137" s="23">
        <v>2</v>
      </c>
      <c r="H137" s="23">
        <v>1</v>
      </c>
      <c r="I137" s="85" t="s">
        <v>557</v>
      </c>
      <c r="J137">
        <v>2009</v>
      </c>
      <c r="L137" s="5">
        <f t="shared" si="52"/>
        <v>12</v>
      </c>
      <c r="M137" s="109" t="e">
        <f>+#REF!-L137</f>
        <v>#REF!</v>
      </c>
      <c r="N137" s="23">
        <v>104.5</v>
      </c>
      <c r="O137" s="23">
        <v>1.8</v>
      </c>
      <c r="P137" s="24">
        <f t="shared" si="53"/>
        <v>32.253086419753082</v>
      </c>
      <c r="Q137" s="24" t="s">
        <v>242</v>
      </c>
      <c r="R137" s="24" t="s">
        <v>487</v>
      </c>
      <c r="S137" s="23" t="s">
        <v>177</v>
      </c>
      <c r="T137" s="45" t="s">
        <v>243</v>
      </c>
      <c r="U137" s="23">
        <v>96</v>
      </c>
      <c r="V137" s="18">
        <v>44385</v>
      </c>
      <c r="W137" s="15">
        <v>8.1</v>
      </c>
      <c r="X137" s="17" t="s">
        <v>475</v>
      </c>
      <c r="Y137" s="17" t="s">
        <v>584</v>
      </c>
      <c r="Z137" s="96" t="s">
        <v>506</v>
      </c>
      <c r="AA137" s="98" t="s">
        <v>569</v>
      </c>
      <c r="AB137" s="17">
        <v>2</v>
      </c>
      <c r="AC137" s="23" t="s">
        <v>250</v>
      </c>
      <c r="AD137" s="23" t="s">
        <v>642</v>
      </c>
      <c r="AE137" s="36">
        <v>25</v>
      </c>
      <c r="AF137" s="94">
        <v>13.54</v>
      </c>
      <c r="AG137" s="94">
        <f t="shared" si="54"/>
        <v>338.5</v>
      </c>
      <c r="AH137" s="88">
        <f t="shared" si="55"/>
        <v>3.3598014888337469</v>
      </c>
      <c r="AI137" s="25" t="s">
        <v>243</v>
      </c>
      <c r="AJ137" s="23" t="s">
        <v>463</v>
      </c>
      <c r="AK137" s="23" t="s">
        <v>247</v>
      </c>
      <c r="AL137" s="23">
        <v>3000</v>
      </c>
      <c r="AM137" s="91">
        <v>3.2199999999999999E-2</v>
      </c>
      <c r="AN137" s="91">
        <f t="shared" si="56"/>
        <v>96.6</v>
      </c>
      <c r="AO137" s="92">
        <f t="shared" si="57"/>
        <v>0.95880893300248138</v>
      </c>
      <c r="AP137" s="23" t="s">
        <v>243</v>
      </c>
      <c r="AQ137" s="23"/>
      <c r="AR137" s="87"/>
      <c r="AS137" s="87"/>
      <c r="AT137" s="88">
        <f t="shared" si="58"/>
        <v>0</v>
      </c>
      <c r="AU137" s="23" t="s">
        <v>242</v>
      </c>
      <c r="AV137" s="44"/>
      <c r="AW137" s="23"/>
      <c r="AX137" s="44"/>
      <c r="AY137" s="44"/>
      <c r="AZ137" s="87"/>
      <c r="BA137" s="87"/>
      <c r="BB137" s="88">
        <f t="shared" si="59"/>
        <v>0</v>
      </c>
      <c r="BC137" s="23" t="s">
        <v>242</v>
      </c>
      <c r="BD137" s="23"/>
      <c r="BE137" s="23"/>
      <c r="BI137" s="90">
        <f t="shared" si="60"/>
        <v>0</v>
      </c>
      <c r="BJ137" s="26">
        <f t="shared" si="51"/>
        <v>1</v>
      </c>
      <c r="BK137" s="26">
        <v>1</v>
      </c>
      <c r="BL137" s="26" t="s">
        <v>850</v>
      </c>
      <c r="BM137" s="26">
        <v>140</v>
      </c>
      <c r="BN137" s="26">
        <v>80</v>
      </c>
      <c r="BO137" s="26">
        <v>125</v>
      </c>
      <c r="BP137" s="26">
        <v>0</v>
      </c>
      <c r="BQ137" s="26">
        <v>1</v>
      </c>
      <c r="BR137" s="224">
        <v>62</v>
      </c>
      <c r="BS137" s="225">
        <v>1</v>
      </c>
      <c r="BT137" s="230" t="s">
        <v>992</v>
      </c>
      <c r="BU137" s="227">
        <v>93627313</v>
      </c>
      <c r="BV137" s="228">
        <v>44385</v>
      </c>
      <c r="BW137" s="225">
        <v>8.1</v>
      </c>
      <c r="BX137" s="228">
        <v>45015</v>
      </c>
      <c r="BY137" s="226">
        <v>6.2</v>
      </c>
      <c r="BZ137" s="226"/>
      <c r="CA137" s="226"/>
      <c r="CB137" s="226"/>
      <c r="CC137" s="226"/>
      <c r="CD137" s="225">
        <v>150472693304</v>
      </c>
      <c r="CE137" s="225">
        <v>0</v>
      </c>
    </row>
    <row r="138" spans="1:83" ht="15" customHeight="1" thickBot="1" x14ac:dyDescent="0.3">
      <c r="A138" s="15" t="s">
        <v>397</v>
      </c>
      <c r="B138" s="15" t="s">
        <v>91</v>
      </c>
      <c r="C138" s="23" t="s">
        <v>480</v>
      </c>
      <c r="D138" s="41" t="s">
        <v>469</v>
      </c>
      <c r="E138" s="23" t="s">
        <v>164</v>
      </c>
      <c r="F138" s="23" t="s">
        <v>179</v>
      </c>
      <c r="G138" s="23">
        <v>3</v>
      </c>
      <c r="H138" s="23">
        <v>1</v>
      </c>
      <c r="I138" s="85" t="s">
        <v>557</v>
      </c>
      <c r="J138">
        <v>2000</v>
      </c>
      <c r="L138" s="5">
        <f t="shared" si="52"/>
        <v>21</v>
      </c>
      <c r="M138" s="109" t="e">
        <f>+#REF!-L138</f>
        <v>#REF!</v>
      </c>
      <c r="N138" s="23">
        <v>49.5</v>
      </c>
      <c r="O138" s="23">
        <v>1.54</v>
      </c>
      <c r="P138" s="24">
        <f t="shared" si="53"/>
        <v>20.871985157699445</v>
      </c>
      <c r="Q138" s="24" t="s">
        <v>242</v>
      </c>
      <c r="R138" s="24" t="s">
        <v>485</v>
      </c>
      <c r="S138" s="23" t="s">
        <v>177</v>
      </c>
      <c r="T138" s="45" t="s">
        <v>242</v>
      </c>
      <c r="U138" s="23" t="s">
        <v>212</v>
      </c>
      <c r="V138" s="16">
        <v>44385</v>
      </c>
      <c r="W138" s="15">
        <v>8.3000000000000007</v>
      </c>
      <c r="X138" s="17" t="s">
        <v>475</v>
      </c>
      <c r="Y138" s="17" t="s">
        <v>584</v>
      </c>
      <c r="Z138" s="96" t="s">
        <v>506</v>
      </c>
      <c r="AA138" s="98" t="s">
        <v>569</v>
      </c>
      <c r="AB138" s="17">
        <v>2</v>
      </c>
      <c r="AC138" s="23" t="s">
        <v>245</v>
      </c>
      <c r="AD138" s="23" t="s">
        <v>642</v>
      </c>
      <c r="AE138" s="36">
        <v>16</v>
      </c>
      <c r="AF138" s="94">
        <v>15.6</v>
      </c>
      <c r="AG138" s="94">
        <f t="shared" si="54"/>
        <v>249.6</v>
      </c>
      <c r="AH138" s="88">
        <f t="shared" si="55"/>
        <v>2.4774193548387098</v>
      </c>
      <c r="AI138" s="25" t="s">
        <v>243</v>
      </c>
      <c r="AJ138" s="23" t="s">
        <v>463</v>
      </c>
      <c r="AK138" s="23" t="s">
        <v>247</v>
      </c>
      <c r="AL138" s="23">
        <v>1700</v>
      </c>
      <c r="AM138" s="91">
        <v>3.2199999999999999E-2</v>
      </c>
      <c r="AN138" s="91">
        <f t="shared" si="56"/>
        <v>54.74</v>
      </c>
      <c r="AO138" s="92">
        <f t="shared" si="57"/>
        <v>0.54332506203473951</v>
      </c>
      <c r="AP138" s="23" t="s">
        <v>243</v>
      </c>
      <c r="AQ138" s="23"/>
      <c r="AR138" s="87"/>
      <c r="AS138" s="87"/>
      <c r="AT138" s="88">
        <f t="shared" si="58"/>
        <v>0</v>
      </c>
      <c r="AU138" s="23" t="s">
        <v>242</v>
      </c>
      <c r="AV138" s="44"/>
      <c r="AW138" s="23"/>
      <c r="AX138" s="23" t="s">
        <v>249</v>
      </c>
      <c r="AY138" s="23">
        <v>100</v>
      </c>
      <c r="AZ138" s="87">
        <v>5.4</v>
      </c>
      <c r="BA138" s="87">
        <f>+AY138*AZ138</f>
        <v>540</v>
      </c>
      <c r="BB138" s="88">
        <f t="shared" si="59"/>
        <v>5.3598014888337469</v>
      </c>
      <c r="BC138" s="23" t="s">
        <v>243</v>
      </c>
      <c r="BD138" s="23"/>
      <c r="BE138" s="23"/>
      <c r="BI138" s="90">
        <f t="shared" si="60"/>
        <v>0</v>
      </c>
      <c r="BJ138" s="26">
        <f t="shared" si="51"/>
        <v>2</v>
      </c>
      <c r="BK138" s="26">
        <v>0</v>
      </c>
      <c r="BL138" s="26" t="s">
        <v>850</v>
      </c>
      <c r="BM138" s="26">
        <v>130</v>
      </c>
      <c r="BN138" s="26">
        <v>70</v>
      </c>
      <c r="BO138" s="26">
        <v>78</v>
      </c>
      <c r="BP138" s="26">
        <v>0</v>
      </c>
      <c r="BQ138" s="26">
        <v>0</v>
      </c>
      <c r="BR138" s="224">
        <v>63</v>
      </c>
      <c r="BS138" s="225">
        <v>2</v>
      </c>
      <c r="BT138" s="230" t="s">
        <v>994</v>
      </c>
      <c r="BU138" s="227">
        <v>5497793</v>
      </c>
      <c r="BV138" s="228">
        <v>44385</v>
      </c>
      <c r="BW138" s="225">
        <v>8.3000000000000007</v>
      </c>
      <c r="BX138" s="226"/>
      <c r="BY138" s="226"/>
      <c r="BZ138" s="226"/>
      <c r="CA138" s="226"/>
      <c r="CB138" s="226"/>
      <c r="CC138" s="226"/>
      <c r="CD138" s="225">
        <v>150382435504</v>
      </c>
      <c r="CE138" s="225">
        <v>0</v>
      </c>
    </row>
    <row r="139" spans="1:83" ht="15" customHeight="1" thickBot="1" x14ac:dyDescent="0.3">
      <c r="A139" s="15" t="s">
        <v>398</v>
      </c>
      <c r="B139" s="15" t="s">
        <v>399</v>
      </c>
      <c r="C139" s="23" t="s">
        <v>479</v>
      </c>
      <c r="D139" s="42" t="s">
        <v>468</v>
      </c>
      <c r="E139" s="23" t="s">
        <v>163</v>
      </c>
      <c r="F139" s="23" t="s">
        <v>179</v>
      </c>
      <c r="G139" s="23">
        <v>3</v>
      </c>
      <c r="H139" s="23">
        <v>1</v>
      </c>
      <c r="I139" s="85" t="s">
        <v>557</v>
      </c>
      <c r="J139">
        <v>2009</v>
      </c>
      <c r="L139" s="5">
        <f t="shared" si="52"/>
        <v>12</v>
      </c>
      <c r="M139" s="109" t="e">
        <f>+#REF!-L139</f>
        <v>#REF!</v>
      </c>
      <c r="N139" s="23">
        <v>96.8</v>
      </c>
      <c r="O139" s="23">
        <v>1.73</v>
      </c>
      <c r="P139" s="24">
        <f t="shared" ref="P139:P146" si="61">N139/(O139*O139)</f>
        <v>32.343212269036719</v>
      </c>
      <c r="Q139" s="24" t="s">
        <v>242</v>
      </c>
      <c r="R139" s="24" t="s">
        <v>487</v>
      </c>
      <c r="S139" s="23" t="s">
        <v>177</v>
      </c>
      <c r="T139" s="45" t="s">
        <v>242</v>
      </c>
      <c r="U139" s="23" t="s">
        <v>212</v>
      </c>
      <c r="V139" s="18">
        <v>44434</v>
      </c>
      <c r="W139" s="15">
        <v>13.5</v>
      </c>
      <c r="X139" s="17" t="s">
        <v>477</v>
      </c>
      <c r="Y139" s="17" t="s">
        <v>584</v>
      </c>
      <c r="Z139" s="96" t="s">
        <v>590</v>
      </c>
      <c r="AA139" s="98" t="s">
        <v>569</v>
      </c>
      <c r="AB139" s="17">
        <v>3</v>
      </c>
      <c r="AC139" s="23" t="s">
        <v>182</v>
      </c>
      <c r="AD139" s="23" t="s">
        <v>182</v>
      </c>
      <c r="AE139" s="36">
        <v>64</v>
      </c>
      <c r="AF139" s="94">
        <v>7.21</v>
      </c>
      <c r="AG139" s="94">
        <f t="shared" si="54"/>
        <v>461.44</v>
      </c>
      <c r="AH139" s="88">
        <f t="shared" si="55"/>
        <v>4.5800496277915634</v>
      </c>
      <c r="AI139" s="25" t="s">
        <v>243</v>
      </c>
      <c r="AJ139" s="23" t="s">
        <v>463</v>
      </c>
      <c r="AK139" s="23" t="s">
        <v>247</v>
      </c>
      <c r="AL139" s="23">
        <v>2000</v>
      </c>
      <c r="AM139" s="91">
        <v>3.2199999999999999E-2</v>
      </c>
      <c r="AN139" s="91">
        <f t="shared" si="56"/>
        <v>64.400000000000006</v>
      </c>
      <c r="AO139" s="92">
        <f t="shared" si="57"/>
        <v>0.6392059553349877</v>
      </c>
      <c r="AP139" s="23" t="s">
        <v>243</v>
      </c>
      <c r="AQ139" s="23"/>
      <c r="AR139" s="87"/>
      <c r="AS139" s="87"/>
      <c r="AT139" s="88">
        <f t="shared" si="58"/>
        <v>0</v>
      </c>
      <c r="AU139" s="23" t="s">
        <v>242</v>
      </c>
      <c r="AV139" s="44"/>
      <c r="AW139" s="23"/>
      <c r="AX139" s="23" t="s">
        <v>249</v>
      </c>
      <c r="AY139" s="23">
        <v>100</v>
      </c>
      <c r="AZ139" s="87">
        <v>5.4</v>
      </c>
      <c r="BA139" s="87">
        <f>+AY139*AZ139</f>
        <v>540</v>
      </c>
      <c r="BB139" s="88">
        <f t="shared" si="59"/>
        <v>5.3598014888337469</v>
      </c>
      <c r="BC139" s="23" t="s">
        <v>243</v>
      </c>
      <c r="BD139" s="23"/>
      <c r="BE139" s="23"/>
      <c r="BI139" s="90">
        <f t="shared" si="60"/>
        <v>0</v>
      </c>
      <c r="BJ139" s="26">
        <f t="shared" si="51"/>
        <v>2</v>
      </c>
      <c r="BK139" s="26">
        <v>1</v>
      </c>
      <c r="BL139" s="26" t="s">
        <v>850</v>
      </c>
      <c r="BM139" s="26">
        <v>140</v>
      </c>
      <c r="BN139" s="26">
        <v>100</v>
      </c>
      <c r="BO139" s="26">
        <v>104</v>
      </c>
      <c r="BP139" s="26">
        <v>1</v>
      </c>
      <c r="BQ139" s="26">
        <v>0</v>
      </c>
      <c r="BR139" s="224">
        <v>204</v>
      </c>
      <c r="BS139" s="225">
        <v>1</v>
      </c>
      <c r="BT139" s="230" t="s">
        <v>1278</v>
      </c>
      <c r="BU139" s="227">
        <v>13923044</v>
      </c>
      <c r="BV139" s="228">
        <v>44434</v>
      </c>
      <c r="BW139" s="225">
        <v>13.5</v>
      </c>
      <c r="BX139" s="228">
        <v>44949</v>
      </c>
      <c r="BY139" s="226">
        <v>5.2</v>
      </c>
      <c r="BZ139" s="226"/>
      <c r="CA139" s="226"/>
      <c r="CB139" s="226"/>
      <c r="CC139" s="226"/>
      <c r="CD139" s="225">
        <v>150616495107</v>
      </c>
      <c r="CE139" s="225">
        <v>0</v>
      </c>
    </row>
    <row r="140" spans="1:83" ht="15" customHeight="1" thickBot="1" x14ac:dyDescent="0.3">
      <c r="A140" s="15" t="s">
        <v>400</v>
      </c>
      <c r="B140" s="15" t="s">
        <v>401</v>
      </c>
      <c r="C140" s="23" t="s">
        <v>480</v>
      </c>
      <c r="D140" s="41" t="s">
        <v>470</v>
      </c>
      <c r="E140" s="23" t="s">
        <v>163</v>
      </c>
      <c r="F140" s="23" t="s">
        <v>179</v>
      </c>
      <c r="G140" s="23">
        <v>2</v>
      </c>
      <c r="H140" s="23">
        <v>1</v>
      </c>
      <c r="I140" s="85" t="s">
        <v>557</v>
      </c>
      <c r="J140">
        <v>2004</v>
      </c>
      <c r="L140" s="5">
        <f t="shared" si="52"/>
        <v>17</v>
      </c>
      <c r="M140" s="109" t="e">
        <f>+#REF!-L140</f>
        <v>#REF!</v>
      </c>
      <c r="N140" s="23">
        <v>90.4</v>
      </c>
      <c r="O140" s="23">
        <v>1.57</v>
      </c>
      <c r="P140" s="24">
        <f t="shared" si="61"/>
        <v>36.674915818085928</v>
      </c>
      <c r="Q140" s="24" t="s">
        <v>242</v>
      </c>
      <c r="R140" s="24" t="s">
        <v>487</v>
      </c>
      <c r="S140" s="23" t="s">
        <v>177</v>
      </c>
      <c r="T140" s="45" t="s">
        <v>242</v>
      </c>
      <c r="U140" s="23" t="s">
        <v>212</v>
      </c>
      <c r="V140" s="18">
        <v>44441</v>
      </c>
      <c r="W140" s="17">
        <v>9</v>
      </c>
      <c r="X140" s="17" t="s">
        <v>475</v>
      </c>
      <c r="Y140" s="17" t="s">
        <v>584</v>
      </c>
      <c r="Z140" s="96" t="s">
        <v>506</v>
      </c>
      <c r="AA140" s="98" t="s">
        <v>569</v>
      </c>
      <c r="AB140" s="17">
        <v>2</v>
      </c>
      <c r="AC140" s="23" t="s">
        <v>244</v>
      </c>
      <c r="AD140" s="23" t="s">
        <v>642</v>
      </c>
      <c r="AE140" s="36">
        <v>45</v>
      </c>
      <c r="AF140" s="94">
        <v>14.66</v>
      </c>
      <c r="AG140" s="94">
        <f t="shared" si="54"/>
        <v>659.7</v>
      </c>
      <c r="AH140" s="88">
        <f t="shared" si="55"/>
        <v>6.5478908188585612</v>
      </c>
      <c r="AI140" s="25" t="s">
        <v>242</v>
      </c>
      <c r="AJ140" s="23"/>
      <c r="AK140" s="30" t="s">
        <v>247</v>
      </c>
      <c r="AL140" s="23">
        <v>1700</v>
      </c>
      <c r="AM140" s="91">
        <v>3.2199999999999999E-2</v>
      </c>
      <c r="AN140" s="91">
        <f t="shared" si="56"/>
        <v>54.74</v>
      </c>
      <c r="AO140" s="92">
        <f t="shared" si="57"/>
        <v>0.54332506203473951</v>
      </c>
      <c r="AP140" s="23" t="s">
        <v>243</v>
      </c>
      <c r="AQ140" s="23"/>
      <c r="AR140" s="87"/>
      <c r="AS140" s="87"/>
      <c r="AT140" s="88">
        <f t="shared" si="58"/>
        <v>0</v>
      </c>
      <c r="AU140" s="23" t="s">
        <v>242</v>
      </c>
      <c r="AV140" s="44"/>
      <c r="AW140" s="23"/>
      <c r="AX140" s="44"/>
      <c r="AY140" s="44"/>
      <c r="AZ140" s="87"/>
      <c r="BA140" s="87"/>
      <c r="BB140" s="88">
        <f t="shared" si="59"/>
        <v>0</v>
      </c>
      <c r="BC140" s="23" t="s">
        <v>242</v>
      </c>
      <c r="BD140" s="23"/>
      <c r="BE140" s="23"/>
      <c r="BI140" s="90">
        <f t="shared" si="60"/>
        <v>0</v>
      </c>
      <c r="BJ140" s="26">
        <f t="shared" si="51"/>
        <v>1</v>
      </c>
      <c r="BK140" s="26">
        <v>1</v>
      </c>
      <c r="BL140" s="26" t="s">
        <v>850</v>
      </c>
      <c r="BM140" s="26">
        <v>140</v>
      </c>
      <c r="BN140" s="26">
        <v>70</v>
      </c>
      <c r="BO140" s="26">
        <v>122</v>
      </c>
      <c r="BP140" s="26">
        <v>0</v>
      </c>
      <c r="BQ140" s="26">
        <v>1</v>
      </c>
      <c r="BR140" s="224">
        <v>177</v>
      </c>
      <c r="BS140" s="225">
        <v>1</v>
      </c>
      <c r="BT140" s="230" t="s">
        <v>1223</v>
      </c>
      <c r="BU140" s="227">
        <v>5257308</v>
      </c>
      <c r="BV140" s="228">
        <v>44441</v>
      </c>
      <c r="BW140" s="225">
        <v>9</v>
      </c>
      <c r="BX140" s="228">
        <v>45016</v>
      </c>
      <c r="BY140" s="226">
        <v>5.6</v>
      </c>
      <c r="BZ140" s="226"/>
      <c r="CA140" s="226"/>
      <c r="CB140" s="226"/>
      <c r="CC140" s="226"/>
      <c r="CD140" s="225">
        <v>150529765000</v>
      </c>
      <c r="CE140" s="225">
        <v>0</v>
      </c>
    </row>
    <row r="141" spans="1:83" ht="15" customHeight="1" thickBot="1" x14ac:dyDescent="0.3">
      <c r="A141" s="15" t="s">
        <v>402</v>
      </c>
      <c r="B141" s="15" t="s">
        <v>403</v>
      </c>
      <c r="C141" s="23" t="s">
        <v>479</v>
      </c>
      <c r="D141" s="41" t="s">
        <v>469</v>
      </c>
      <c r="E141" s="23" t="s">
        <v>164</v>
      </c>
      <c r="F141" s="23" t="s">
        <v>179</v>
      </c>
      <c r="G141" s="23">
        <v>1</v>
      </c>
      <c r="H141" s="23">
        <v>1</v>
      </c>
      <c r="I141" s="85" t="s">
        <v>557</v>
      </c>
      <c r="J141">
        <v>2000</v>
      </c>
      <c r="L141" s="5">
        <f t="shared" si="52"/>
        <v>21</v>
      </c>
      <c r="M141" s="109" t="e">
        <f>+#REF!-L141</f>
        <v>#REF!</v>
      </c>
      <c r="N141" s="23">
        <v>65.599999999999994</v>
      </c>
      <c r="O141" s="23">
        <v>1.56</v>
      </c>
      <c r="P141" s="24">
        <f t="shared" si="61"/>
        <v>26.955950032873105</v>
      </c>
      <c r="Q141" s="24" t="s">
        <v>242</v>
      </c>
      <c r="R141" s="24" t="s">
        <v>486</v>
      </c>
      <c r="S141" s="23" t="s">
        <v>177</v>
      </c>
      <c r="T141" s="45" t="s">
        <v>242</v>
      </c>
      <c r="U141" s="23" t="s">
        <v>212</v>
      </c>
      <c r="V141" s="18">
        <v>44441</v>
      </c>
      <c r="W141" s="17">
        <v>8.4</v>
      </c>
      <c r="X141" s="17" t="s">
        <v>475</v>
      </c>
      <c r="Y141" s="17" t="s">
        <v>584</v>
      </c>
      <c r="Z141" s="96" t="s">
        <v>506</v>
      </c>
      <c r="AA141" s="98" t="s">
        <v>569</v>
      </c>
      <c r="AB141" s="17">
        <v>2</v>
      </c>
      <c r="AC141" s="23" t="s">
        <v>244</v>
      </c>
      <c r="AD141" s="23" t="s">
        <v>642</v>
      </c>
      <c r="AE141" s="36">
        <v>44</v>
      </c>
      <c r="AF141" s="94">
        <v>14.66</v>
      </c>
      <c r="AG141" s="94">
        <f t="shared" si="54"/>
        <v>645.04</v>
      </c>
      <c r="AH141" s="88">
        <f t="shared" si="55"/>
        <v>6.4023821339950366</v>
      </c>
      <c r="AI141" s="25" t="s">
        <v>243</v>
      </c>
      <c r="AJ141" s="23" t="s">
        <v>463</v>
      </c>
      <c r="AK141" s="23" t="s">
        <v>247</v>
      </c>
      <c r="AL141" s="23">
        <v>1000</v>
      </c>
      <c r="AM141" s="91">
        <v>3.2199999999999999E-2</v>
      </c>
      <c r="AN141" s="91">
        <f t="shared" si="56"/>
        <v>32.200000000000003</v>
      </c>
      <c r="AO141" s="92">
        <f t="shared" si="57"/>
        <v>0.31960297766749385</v>
      </c>
      <c r="AP141" s="23" t="s">
        <v>243</v>
      </c>
      <c r="AQ141" s="23"/>
      <c r="AR141" s="87"/>
      <c r="AS141" s="87"/>
      <c r="AT141" s="88">
        <f t="shared" si="58"/>
        <v>0</v>
      </c>
      <c r="AU141" s="23" t="s">
        <v>242</v>
      </c>
      <c r="AV141" s="44"/>
      <c r="AW141" s="23"/>
      <c r="AX141" s="44"/>
      <c r="AY141" s="44"/>
      <c r="AZ141" s="87"/>
      <c r="BA141" s="87"/>
      <c r="BB141" s="88">
        <f t="shared" si="59"/>
        <v>0</v>
      </c>
      <c r="BC141" s="23" t="s">
        <v>242</v>
      </c>
      <c r="BD141" s="23"/>
      <c r="BE141" s="23"/>
      <c r="BI141" s="90">
        <f t="shared" si="60"/>
        <v>0</v>
      </c>
      <c r="BJ141" s="26">
        <f t="shared" si="51"/>
        <v>1</v>
      </c>
      <c r="BK141" s="26">
        <v>0</v>
      </c>
      <c r="BL141" s="26" t="s">
        <v>851</v>
      </c>
      <c r="BM141" s="26">
        <v>140</v>
      </c>
      <c r="BN141" s="26">
        <v>80</v>
      </c>
      <c r="BO141" s="26">
        <v>101</v>
      </c>
      <c r="BP141" s="26">
        <v>0</v>
      </c>
      <c r="BQ141" s="26">
        <v>0</v>
      </c>
      <c r="BR141" s="224">
        <v>178</v>
      </c>
      <c r="BS141" s="225">
        <v>1</v>
      </c>
      <c r="BT141" s="230" t="s">
        <v>1225</v>
      </c>
      <c r="BU141" s="227">
        <v>10967565</v>
      </c>
      <c r="BV141" s="228">
        <v>44441</v>
      </c>
      <c r="BW141" s="225">
        <v>8.4</v>
      </c>
      <c r="BX141" s="228">
        <v>44951</v>
      </c>
      <c r="BY141" s="226">
        <v>5</v>
      </c>
      <c r="BZ141" s="226"/>
      <c r="CA141" s="226"/>
      <c r="CB141" s="226"/>
      <c r="CC141" s="226"/>
      <c r="CD141" s="225">
        <v>150650668000</v>
      </c>
      <c r="CE141" s="225">
        <v>0</v>
      </c>
    </row>
    <row r="142" spans="1:83" ht="15" customHeight="1" thickBot="1" x14ac:dyDescent="0.3">
      <c r="A142" s="15" t="s">
        <v>404</v>
      </c>
      <c r="B142" s="15" t="s">
        <v>405</v>
      </c>
      <c r="C142" s="23" t="s">
        <v>482</v>
      </c>
      <c r="D142" s="41" t="s">
        <v>471</v>
      </c>
      <c r="E142" s="23" t="s">
        <v>164</v>
      </c>
      <c r="F142" s="23" t="s">
        <v>179</v>
      </c>
      <c r="G142" s="23">
        <v>4</v>
      </c>
      <c r="H142" s="23">
        <v>1</v>
      </c>
      <c r="I142" s="85" t="s">
        <v>557</v>
      </c>
      <c r="J142">
        <v>1995</v>
      </c>
      <c r="L142" s="5">
        <f t="shared" si="52"/>
        <v>26</v>
      </c>
      <c r="M142" s="109" t="e">
        <f>+#REF!-L142</f>
        <v>#REF!</v>
      </c>
      <c r="N142" s="23">
        <v>55.7</v>
      </c>
      <c r="O142" s="23">
        <v>1.51</v>
      </c>
      <c r="P142" s="24">
        <f t="shared" si="61"/>
        <v>24.428753124862947</v>
      </c>
      <c r="Q142" s="24" t="s">
        <v>242</v>
      </c>
      <c r="R142" s="24" t="s">
        <v>485</v>
      </c>
      <c r="S142" s="23" t="s">
        <v>177</v>
      </c>
      <c r="T142" s="45" t="s">
        <v>242</v>
      </c>
      <c r="U142" s="23" t="s">
        <v>212</v>
      </c>
      <c r="V142" s="16">
        <v>44420</v>
      </c>
      <c r="W142" s="17">
        <v>9.3000000000000007</v>
      </c>
      <c r="X142" s="17" t="s">
        <v>476</v>
      </c>
      <c r="Y142" s="17" t="s">
        <v>584</v>
      </c>
      <c r="Z142" s="96" t="s">
        <v>506</v>
      </c>
      <c r="AA142" s="98" t="s">
        <v>569</v>
      </c>
      <c r="AB142" s="17">
        <v>2</v>
      </c>
      <c r="AC142" s="23" t="s">
        <v>244</v>
      </c>
      <c r="AD142" s="23" t="s">
        <v>642</v>
      </c>
      <c r="AE142" s="36">
        <v>38</v>
      </c>
      <c r="AF142" s="94">
        <v>14.66</v>
      </c>
      <c r="AG142" s="94">
        <f t="shared" si="54"/>
        <v>557.08000000000004</v>
      </c>
      <c r="AH142" s="88">
        <f t="shared" si="55"/>
        <v>5.5293300248138966</v>
      </c>
      <c r="AI142" s="25" t="s">
        <v>242</v>
      </c>
      <c r="AJ142" s="23"/>
      <c r="AK142" s="23" t="s">
        <v>247</v>
      </c>
      <c r="AL142" s="23">
        <v>500</v>
      </c>
      <c r="AM142" s="91">
        <v>3.2199999999999999E-2</v>
      </c>
      <c r="AN142" s="91">
        <f t="shared" si="56"/>
        <v>16.100000000000001</v>
      </c>
      <c r="AO142" s="92">
        <f t="shared" si="57"/>
        <v>0.15980148883374692</v>
      </c>
      <c r="AP142" s="23" t="s">
        <v>243</v>
      </c>
      <c r="AQ142" s="23"/>
      <c r="AR142" s="87"/>
      <c r="AS142" s="87"/>
      <c r="AT142" s="88">
        <f t="shared" si="58"/>
        <v>0</v>
      </c>
      <c r="AU142" s="23" t="s">
        <v>242</v>
      </c>
      <c r="AV142" s="44"/>
      <c r="AW142" s="23"/>
      <c r="AX142" s="44"/>
      <c r="AY142" s="44"/>
      <c r="AZ142" s="87"/>
      <c r="BA142" s="87"/>
      <c r="BB142" s="88">
        <f t="shared" si="59"/>
        <v>0</v>
      </c>
      <c r="BC142" s="23" t="s">
        <v>242</v>
      </c>
      <c r="BD142" s="23"/>
      <c r="BE142" s="23"/>
      <c r="BI142" s="90">
        <f t="shared" si="60"/>
        <v>0</v>
      </c>
      <c r="BJ142" s="26">
        <f t="shared" si="51"/>
        <v>1</v>
      </c>
      <c r="BK142" s="26">
        <v>0</v>
      </c>
      <c r="BL142" s="26" t="s">
        <v>848</v>
      </c>
      <c r="BM142" s="26">
        <v>120</v>
      </c>
      <c r="BN142" s="26">
        <v>70</v>
      </c>
      <c r="BO142" s="26">
        <v>92</v>
      </c>
      <c r="BP142" s="26">
        <v>0</v>
      </c>
      <c r="BQ142" s="26">
        <v>1</v>
      </c>
      <c r="BR142" s="224">
        <v>179</v>
      </c>
      <c r="BS142" s="225">
        <v>2</v>
      </c>
      <c r="BT142" s="230" t="s">
        <v>1227</v>
      </c>
      <c r="BU142" s="227">
        <v>2725623</v>
      </c>
      <c r="BV142" s="228">
        <v>44420</v>
      </c>
      <c r="BW142" s="225">
        <v>9.3000000000000007</v>
      </c>
      <c r="BX142" s="228">
        <v>44914</v>
      </c>
      <c r="BY142" s="226">
        <v>5.6</v>
      </c>
      <c r="BZ142" s="226"/>
      <c r="CA142" s="226"/>
      <c r="CB142" s="226"/>
      <c r="CC142" s="226"/>
      <c r="CD142" s="225">
        <v>150348872708</v>
      </c>
      <c r="CE142" s="225">
        <v>0</v>
      </c>
    </row>
    <row r="143" spans="1:83" ht="15" customHeight="1" thickBot="1" x14ac:dyDescent="0.3">
      <c r="A143" s="15" t="s">
        <v>29</v>
      </c>
      <c r="B143" s="15" t="s">
        <v>101</v>
      </c>
      <c r="C143" s="23" t="s">
        <v>479</v>
      </c>
      <c r="D143" s="41" t="s">
        <v>469</v>
      </c>
      <c r="E143" s="23" t="s">
        <v>164</v>
      </c>
      <c r="F143" s="23" t="s">
        <v>179</v>
      </c>
      <c r="G143" s="23">
        <v>4</v>
      </c>
      <c r="H143" s="23">
        <v>2</v>
      </c>
      <c r="I143" s="85" t="s">
        <v>558</v>
      </c>
      <c r="J143">
        <v>1998</v>
      </c>
      <c r="L143" s="5">
        <f t="shared" si="52"/>
        <v>23</v>
      </c>
      <c r="M143" s="109" t="e">
        <f>+#REF!-L143</f>
        <v>#REF!</v>
      </c>
      <c r="N143" s="23">
        <v>80</v>
      </c>
      <c r="O143" s="23">
        <v>1.59</v>
      </c>
      <c r="P143" s="24">
        <f t="shared" si="61"/>
        <v>31.644317867172973</v>
      </c>
      <c r="Q143" s="24" t="s">
        <v>243</v>
      </c>
      <c r="R143" s="24" t="s">
        <v>487</v>
      </c>
      <c r="S143" s="23" t="s">
        <v>179</v>
      </c>
      <c r="T143" s="45" t="s">
        <v>242</v>
      </c>
      <c r="U143" s="23" t="s">
        <v>212</v>
      </c>
      <c r="V143" s="18">
        <v>44441</v>
      </c>
      <c r="W143" s="17">
        <v>8.3000000000000007</v>
      </c>
      <c r="X143" s="17" t="s">
        <v>475</v>
      </c>
      <c r="Y143" s="17" t="s">
        <v>584</v>
      </c>
      <c r="Z143" s="96" t="s">
        <v>506</v>
      </c>
      <c r="AA143" s="98" t="s">
        <v>569</v>
      </c>
      <c r="AB143" s="17">
        <v>2</v>
      </c>
      <c r="AC143" s="23" t="s">
        <v>252</v>
      </c>
      <c r="AD143" s="23" t="s">
        <v>642</v>
      </c>
      <c r="AE143" s="36">
        <v>80</v>
      </c>
      <c r="AF143" s="94">
        <v>4.4400000000000004</v>
      </c>
      <c r="AG143" s="94">
        <f t="shared" si="54"/>
        <v>355.20000000000005</v>
      </c>
      <c r="AH143" s="88">
        <f t="shared" si="55"/>
        <v>3.5255583126550873</v>
      </c>
      <c r="AI143" s="25" t="s">
        <v>243</v>
      </c>
      <c r="AJ143" s="23" t="s">
        <v>463</v>
      </c>
      <c r="AK143" s="23" t="s">
        <v>247</v>
      </c>
      <c r="AL143" s="23">
        <v>2000</v>
      </c>
      <c r="AM143" s="91">
        <v>3.2199999999999999E-2</v>
      </c>
      <c r="AN143" s="91">
        <f t="shared" si="56"/>
        <v>64.400000000000006</v>
      </c>
      <c r="AO143" s="92">
        <f t="shared" si="57"/>
        <v>0.6392059553349877</v>
      </c>
      <c r="AP143" s="23" t="s">
        <v>243</v>
      </c>
      <c r="AQ143" s="23"/>
      <c r="AR143" s="87"/>
      <c r="AS143" s="87"/>
      <c r="AT143" s="88">
        <f t="shared" si="58"/>
        <v>0</v>
      </c>
      <c r="AU143" s="23" t="s">
        <v>242</v>
      </c>
      <c r="AV143" s="44"/>
      <c r="AW143" s="23"/>
      <c r="AX143" s="44"/>
      <c r="AY143" s="44"/>
      <c r="AZ143" s="87"/>
      <c r="BA143" s="87"/>
      <c r="BB143" s="88">
        <f t="shared" si="59"/>
        <v>0</v>
      </c>
      <c r="BC143" s="23" t="s">
        <v>242</v>
      </c>
      <c r="BD143" s="23"/>
      <c r="BE143" s="23"/>
      <c r="BI143" s="90">
        <f t="shared" si="60"/>
        <v>0</v>
      </c>
      <c r="BJ143" s="26">
        <f t="shared" si="51"/>
        <v>1</v>
      </c>
      <c r="BK143" s="26">
        <v>1</v>
      </c>
      <c r="BL143" s="26" t="s">
        <v>848</v>
      </c>
      <c r="BM143" s="26">
        <v>140</v>
      </c>
      <c r="BN143" s="26">
        <v>90</v>
      </c>
      <c r="BO143" s="26">
        <v>117</v>
      </c>
      <c r="BP143" s="26">
        <v>0</v>
      </c>
      <c r="BQ143" s="26">
        <v>1</v>
      </c>
      <c r="BR143" s="224">
        <v>180</v>
      </c>
      <c r="BS143" s="225">
        <v>1</v>
      </c>
      <c r="BT143" s="230" t="s">
        <v>1229</v>
      </c>
      <c r="BU143" s="227">
        <v>10741228</v>
      </c>
      <c r="BV143" s="228">
        <v>44441</v>
      </c>
      <c r="BW143" s="225">
        <v>8.3000000000000007</v>
      </c>
      <c r="BX143" s="226"/>
      <c r="BY143" s="226"/>
      <c r="BZ143" s="226"/>
      <c r="CA143" s="226"/>
      <c r="CB143" s="226"/>
      <c r="CC143" s="226"/>
      <c r="CD143" s="225">
        <v>150579252404</v>
      </c>
      <c r="CE143" s="225">
        <v>0</v>
      </c>
    </row>
    <row r="144" spans="1:83" ht="15" customHeight="1" thickBot="1" x14ac:dyDescent="0.3">
      <c r="A144" s="15" t="s">
        <v>406</v>
      </c>
      <c r="B144" s="15" t="s">
        <v>78</v>
      </c>
      <c r="C144" s="23" t="s">
        <v>479</v>
      </c>
      <c r="D144" s="41" t="s">
        <v>469</v>
      </c>
      <c r="E144" s="23" t="s">
        <v>163</v>
      </c>
      <c r="F144" s="23" t="s">
        <v>179</v>
      </c>
      <c r="G144" s="23">
        <v>2</v>
      </c>
      <c r="H144" s="23">
        <v>2</v>
      </c>
      <c r="I144" s="85" t="s">
        <v>558</v>
      </c>
      <c r="J144">
        <v>1994</v>
      </c>
      <c r="L144" s="5">
        <f t="shared" si="52"/>
        <v>27</v>
      </c>
      <c r="M144" s="109" t="e">
        <f>+#REF!-L144</f>
        <v>#REF!</v>
      </c>
      <c r="N144" s="23">
        <v>101.7</v>
      </c>
      <c r="O144" s="23">
        <v>1.77</v>
      </c>
      <c r="P144" s="24">
        <f t="shared" si="61"/>
        <v>32.461936225222637</v>
      </c>
      <c r="Q144" s="24" t="s">
        <v>242</v>
      </c>
      <c r="R144" s="24" t="s">
        <v>487</v>
      </c>
      <c r="S144" s="23" t="s">
        <v>177</v>
      </c>
      <c r="T144" s="45" t="s">
        <v>242</v>
      </c>
      <c r="U144" s="23" t="s">
        <v>212</v>
      </c>
      <c r="V144" s="16">
        <v>44420</v>
      </c>
      <c r="W144" s="17">
        <v>10.1</v>
      </c>
      <c r="X144" s="17" t="s">
        <v>476</v>
      </c>
      <c r="Y144" s="17" t="s">
        <v>584</v>
      </c>
      <c r="Z144" s="96" t="s">
        <v>590</v>
      </c>
      <c r="AA144" s="98" t="s">
        <v>569</v>
      </c>
      <c r="AB144" s="17">
        <v>2</v>
      </c>
      <c r="AC144" s="23" t="s">
        <v>244</v>
      </c>
      <c r="AD144" s="23" t="s">
        <v>642</v>
      </c>
      <c r="AE144" s="36">
        <v>25</v>
      </c>
      <c r="AF144" s="94">
        <v>14.66</v>
      </c>
      <c r="AG144" s="94">
        <f t="shared" si="54"/>
        <v>366.5</v>
      </c>
      <c r="AH144" s="88">
        <f t="shared" si="55"/>
        <v>3.6377171215880892</v>
      </c>
      <c r="AI144" s="25" t="s">
        <v>242</v>
      </c>
      <c r="AJ144" s="23"/>
      <c r="AK144" s="30" t="s">
        <v>247</v>
      </c>
      <c r="AL144" s="23">
        <v>2000</v>
      </c>
      <c r="AM144" s="91">
        <v>3.2199999999999999E-2</v>
      </c>
      <c r="AN144" s="91">
        <f t="shared" si="56"/>
        <v>64.400000000000006</v>
      </c>
      <c r="AO144" s="92">
        <f t="shared" si="57"/>
        <v>0.6392059553349877</v>
      </c>
      <c r="AP144" s="23" t="s">
        <v>243</v>
      </c>
      <c r="AQ144" s="23" t="s">
        <v>254</v>
      </c>
      <c r="AR144" s="87">
        <v>1.07</v>
      </c>
      <c r="AS144" s="87">
        <v>64.14</v>
      </c>
      <c r="AT144" s="88">
        <f t="shared" si="58"/>
        <v>0.63662531017369728</v>
      </c>
      <c r="AU144" s="23" t="s">
        <v>243</v>
      </c>
      <c r="AV144" s="44"/>
      <c r="AW144" s="23"/>
      <c r="AX144" s="44"/>
      <c r="AY144" s="44"/>
      <c r="AZ144" s="87"/>
      <c r="BA144" s="87"/>
      <c r="BB144" s="88">
        <f t="shared" si="59"/>
        <v>0</v>
      </c>
      <c r="BC144" s="23" t="s">
        <v>242</v>
      </c>
      <c r="BD144" s="23"/>
      <c r="BE144" s="23"/>
      <c r="BI144" s="90">
        <f t="shared" si="60"/>
        <v>0</v>
      </c>
      <c r="BJ144" s="26">
        <f t="shared" si="51"/>
        <v>2</v>
      </c>
      <c r="BK144" s="26">
        <v>0</v>
      </c>
      <c r="BL144" s="26" t="s">
        <v>851</v>
      </c>
      <c r="BM144" s="26">
        <v>140</v>
      </c>
      <c r="BN144" s="26">
        <v>70</v>
      </c>
      <c r="BO144" s="26">
        <v>122</v>
      </c>
      <c r="BP144" s="26">
        <v>0</v>
      </c>
      <c r="BQ144" s="26">
        <v>1</v>
      </c>
      <c r="BR144" s="224">
        <v>181</v>
      </c>
      <c r="BS144" s="225">
        <v>2</v>
      </c>
      <c r="BT144" s="230" t="s">
        <v>1231</v>
      </c>
      <c r="BU144" s="227">
        <v>10537874</v>
      </c>
      <c r="BV144" s="228">
        <v>44420</v>
      </c>
      <c r="BW144" s="225">
        <v>10.1</v>
      </c>
      <c r="BX144" s="228">
        <v>44909</v>
      </c>
      <c r="BY144" s="226">
        <v>7.7</v>
      </c>
      <c r="BZ144" s="226"/>
      <c r="CA144" s="226"/>
      <c r="CB144" s="226"/>
      <c r="CC144" s="226"/>
      <c r="CD144" s="225">
        <v>150365389407</v>
      </c>
      <c r="CE144" s="225">
        <v>0</v>
      </c>
    </row>
    <row r="145" spans="1:83" ht="15" customHeight="1" thickBot="1" x14ac:dyDescent="0.3">
      <c r="A145" s="15" t="s">
        <v>407</v>
      </c>
      <c r="B145" s="15" t="s">
        <v>408</v>
      </c>
      <c r="C145" s="23" t="s">
        <v>479</v>
      </c>
      <c r="D145" s="41" t="s">
        <v>469</v>
      </c>
      <c r="E145" s="23" t="s">
        <v>164</v>
      </c>
      <c r="F145" s="23" t="s">
        <v>179</v>
      </c>
      <c r="G145" s="23">
        <v>3</v>
      </c>
      <c r="H145" s="23">
        <v>1</v>
      </c>
      <c r="I145" s="85" t="s">
        <v>557</v>
      </c>
      <c r="J145">
        <v>1980</v>
      </c>
      <c r="L145" s="5">
        <v>21</v>
      </c>
      <c r="M145" s="109" t="e">
        <f>+#REF!-L145</f>
        <v>#REF!</v>
      </c>
      <c r="N145" s="23">
        <v>60.9</v>
      </c>
      <c r="O145" s="23">
        <v>1.55</v>
      </c>
      <c r="P145" s="24">
        <f t="shared" si="61"/>
        <v>25.348595213319456</v>
      </c>
      <c r="Q145" s="24" t="s">
        <v>242</v>
      </c>
      <c r="R145" s="24" t="s">
        <v>486</v>
      </c>
      <c r="S145" s="23" t="s">
        <v>177</v>
      </c>
      <c r="T145" s="45" t="s">
        <v>242</v>
      </c>
      <c r="U145" s="23" t="s">
        <v>212</v>
      </c>
      <c r="V145" s="16">
        <v>44385</v>
      </c>
      <c r="W145" s="15">
        <v>11.6</v>
      </c>
      <c r="X145" s="17" t="s">
        <v>477</v>
      </c>
      <c r="Y145" s="17" t="s">
        <v>584</v>
      </c>
      <c r="Z145" s="96" t="s">
        <v>590</v>
      </c>
      <c r="AA145" s="98" t="s">
        <v>569</v>
      </c>
      <c r="AB145" s="17">
        <v>3</v>
      </c>
      <c r="AC145" s="23" t="s">
        <v>244</v>
      </c>
      <c r="AD145" s="23" t="s">
        <v>642</v>
      </c>
      <c r="AE145" s="36">
        <v>34</v>
      </c>
      <c r="AF145" s="94">
        <v>14.66</v>
      </c>
      <c r="AG145" s="94">
        <f t="shared" si="54"/>
        <v>498.44</v>
      </c>
      <c r="AH145" s="88">
        <f t="shared" si="55"/>
        <v>4.9472952853598011</v>
      </c>
      <c r="AI145" s="25" t="s">
        <v>243</v>
      </c>
      <c r="AJ145" s="23">
        <v>8</v>
      </c>
      <c r="AK145" s="23" t="s">
        <v>247</v>
      </c>
      <c r="AL145" s="23">
        <v>850</v>
      </c>
      <c r="AM145" s="91">
        <v>3.2199999999999999E-2</v>
      </c>
      <c r="AN145" s="91">
        <f t="shared" si="56"/>
        <v>27.37</v>
      </c>
      <c r="AO145" s="92">
        <f t="shared" si="57"/>
        <v>0.27166253101736976</v>
      </c>
      <c r="AP145" s="23" t="s">
        <v>243</v>
      </c>
      <c r="AQ145" s="23"/>
      <c r="AR145" s="87"/>
      <c r="AS145" s="87"/>
      <c r="AT145" s="88">
        <f t="shared" si="58"/>
        <v>0</v>
      </c>
      <c r="AU145" s="23" t="s">
        <v>242</v>
      </c>
      <c r="AV145" s="44"/>
      <c r="AW145" s="23"/>
      <c r="AX145" s="44"/>
      <c r="AY145" s="44"/>
      <c r="AZ145" s="87"/>
      <c r="BA145" s="87"/>
      <c r="BB145" s="88">
        <f t="shared" si="59"/>
        <v>0</v>
      </c>
      <c r="BC145" s="23" t="s">
        <v>242</v>
      </c>
      <c r="BD145" s="23"/>
      <c r="BE145" s="23"/>
      <c r="BI145" s="90">
        <f t="shared" si="60"/>
        <v>0</v>
      </c>
      <c r="BJ145" s="26">
        <f t="shared" si="51"/>
        <v>1</v>
      </c>
      <c r="BK145" s="26">
        <v>1</v>
      </c>
      <c r="BL145" s="26" t="s">
        <v>851</v>
      </c>
      <c r="BM145" s="26">
        <v>140</v>
      </c>
      <c r="BN145" s="26">
        <v>80</v>
      </c>
      <c r="BO145" s="26">
        <v>94</v>
      </c>
      <c r="BP145" s="26">
        <v>0</v>
      </c>
      <c r="BQ145" s="26">
        <v>0</v>
      </c>
      <c r="BR145" s="224">
        <v>64</v>
      </c>
      <c r="BS145" s="225">
        <v>2</v>
      </c>
      <c r="BT145" s="230" t="s">
        <v>996</v>
      </c>
      <c r="BU145" s="227">
        <v>11789003</v>
      </c>
      <c r="BV145" s="228">
        <v>44385</v>
      </c>
      <c r="BW145" s="225">
        <v>11.6</v>
      </c>
      <c r="BX145" s="228">
        <v>45014</v>
      </c>
      <c r="BY145" s="226">
        <v>7</v>
      </c>
      <c r="BZ145" s="226"/>
      <c r="CA145" s="226"/>
      <c r="CB145" s="226"/>
      <c r="CC145" s="226"/>
      <c r="CD145" s="225">
        <v>150734770007</v>
      </c>
      <c r="CE145" s="225">
        <v>0</v>
      </c>
    </row>
    <row r="146" spans="1:83" ht="15" customHeight="1" thickBot="1" x14ac:dyDescent="0.3">
      <c r="A146" s="15" t="s">
        <v>47</v>
      </c>
      <c r="B146" s="15" t="s">
        <v>124</v>
      </c>
      <c r="C146" s="23" t="s">
        <v>479</v>
      </c>
      <c r="D146" s="41" t="s">
        <v>469</v>
      </c>
      <c r="E146" s="23" t="s">
        <v>164</v>
      </c>
      <c r="F146" s="23" t="s">
        <v>242</v>
      </c>
      <c r="G146" s="23">
        <v>1</v>
      </c>
      <c r="H146" s="23">
        <v>2</v>
      </c>
      <c r="I146" s="85" t="s">
        <v>558</v>
      </c>
      <c r="J146">
        <v>1980</v>
      </c>
      <c r="L146" s="5">
        <f>2021-J146</f>
        <v>41</v>
      </c>
      <c r="M146" s="109" t="e">
        <f>+#REF!-L146</f>
        <v>#REF!</v>
      </c>
      <c r="N146" s="23">
        <v>82</v>
      </c>
      <c r="O146" s="23">
        <v>1.61</v>
      </c>
      <c r="P146" s="24">
        <f t="shared" si="61"/>
        <v>31.634581999151262</v>
      </c>
      <c r="Q146" s="24" t="s">
        <v>242</v>
      </c>
      <c r="R146" s="24" t="s">
        <v>487</v>
      </c>
      <c r="S146" s="23" t="s">
        <v>243</v>
      </c>
      <c r="T146" s="45" t="s">
        <v>242</v>
      </c>
      <c r="U146" s="23" t="s">
        <v>212</v>
      </c>
      <c r="V146" s="16">
        <v>44392</v>
      </c>
      <c r="W146" s="15">
        <v>13.4</v>
      </c>
      <c r="X146" s="17" t="s">
        <v>477</v>
      </c>
      <c r="Y146" s="17" t="s">
        <v>584</v>
      </c>
      <c r="Z146" s="96" t="s">
        <v>590</v>
      </c>
      <c r="AA146" s="98" t="s">
        <v>569</v>
      </c>
      <c r="AB146" s="17">
        <v>3</v>
      </c>
      <c r="AC146" s="23" t="s">
        <v>250</v>
      </c>
      <c r="AD146" s="23" t="s">
        <v>642</v>
      </c>
      <c r="AE146" s="36">
        <v>70</v>
      </c>
      <c r="AF146" s="94">
        <v>13.54</v>
      </c>
      <c r="AG146" s="94">
        <f t="shared" ref="AG146:AG152" si="62">+AE146*AF146</f>
        <v>947.8</v>
      </c>
      <c r="AH146" s="88">
        <f t="shared" si="55"/>
        <v>9.4074441687344912</v>
      </c>
      <c r="AI146" s="25" t="s">
        <v>243</v>
      </c>
      <c r="AJ146" s="23">
        <v>18</v>
      </c>
      <c r="AK146" s="23" t="s">
        <v>242</v>
      </c>
      <c r="AL146" s="23"/>
      <c r="AM146" s="91">
        <v>3.2199999999999999E-2</v>
      </c>
      <c r="AN146" s="91">
        <f t="shared" si="56"/>
        <v>0</v>
      </c>
      <c r="AO146" s="92">
        <f t="shared" si="57"/>
        <v>0</v>
      </c>
      <c r="AP146" s="23" t="s">
        <v>242</v>
      </c>
      <c r="AQ146" s="23"/>
      <c r="AR146" s="87"/>
      <c r="AS146" s="87"/>
      <c r="AT146" s="88">
        <f t="shared" si="58"/>
        <v>0</v>
      </c>
      <c r="AU146" s="23" t="s">
        <v>242</v>
      </c>
      <c r="AV146" s="44"/>
      <c r="AW146" s="23"/>
      <c r="AX146" s="44"/>
      <c r="AY146" s="44"/>
      <c r="AZ146" s="87"/>
      <c r="BA146" s="87"/>
      <c r="BB146" s="88">
        <f t="shared" si="59"/>
        <v>0</v>
      </c>
      <c r="BC146" s="23" t="s">
        <v>242</v>
      </c>
      <c r="BD146" s="23"/>
      <c r="BE146" s="23"/>
      <c r="BI146" s="90">
        <f t="shared" si="60"/>
        <v>0</v>
      </c>
      <c r="BJ146" s="26">
        <f t="shared" si="51"/>
        <v>0</v>
      </c>
      <c r="BK146" s="26">
        <v>1</v>
      </c>
      <c r="BL146" s="26" t="s">
        <v>850</v>
      </c>
      <c r="BM146" s="26">
        <v>160</v>
      </c>
      <c r="BN146" s="26">
        <v>90</v>
      </c>
      <c r="BO146" s="26">
        <v>121</v>
      </c>
      <c r="BP146" s="26">
        <v>0</v>
      </c>
      <c r="BQ146" s="26">
        <v>0</v>
      </c>
      <c r="BR146" s="224">
        <v>65</v>
      </c>
      <c r="BS146" s="225">
        <v>2</v>
      </c>
      <c r="BT146" s="230" t="s">
        <v>998</v>
      </c>
      <c r="BU146" s="227">
        <v>11351794</v>
      </c>
      <c r="BV146" s="228">
        <v>44392</v>
      </c>
      <c r="BW146" s="225">
        <v>13.4</v>
      </c>
      <c r="BX146" s="228">
        <v>44908</v>
      </c>
      <c r="BY146" s="226">
        <v>9.9</v>
      </c>
      <c r="BZ146" s="226"/>
      <c r="CA146" s="226"/>
      <c r="CB146" s="226"/>
      <c r="CC146" s="226"/>
      <c r="CD146" s="225">
        <v>150372307302</v>
      </c>
      <c r="CE146" s="225">
        <v>0</v>
      </c>
    </row>
    <row r="147" spans="1:83" ht="15" customHeight="1" thickBot="1" x14ac:dyDescent="0.3">
      <c r="A147" s="15" t="s">
        <v>166</v>
      </c>
      <c r="B147" s="15" t="s">
        <v>165</v>
      </c>
      <c r="C147" s="23" t="s">
        <v>480</v>
      </c>
      <c r="D147" s="41" t="s">
        <v>469</v>
      </c>
      <c r="E147" s="23" t="s">
        <v>164</v>
      </c>
      <c r="F147" s="23" t="s">
        <v>179</v>
      </c>
      <c r="G147" s="23">
        <v>2</v>
      </c>
      <c r="H147" s="23">
        <v>2</v>
      </c>
      <c r="I147" s="85" t="s">
        <v>558</v>
      </c>
      <c r="J147">
        <v>2014</v>
      </c>
      <c r="L147" s="5">
        <f t="shared" si="52"/>
        <v>7</v>
      </c>
      <c r="M147" s="109" t="e">
        <f>+#REF!-L147</f>
        <v>#REF!</v>
      </c>
      <c r="N147" s="23">
        <v>85.4</v>
      </c>
      <c r="O147" s="23">
        <v>1.61</v>
      </c>
      <c r="P147" s="24">
        <f t="shared" ref="P147:P166" si="63">N147/(O147*O147)</f>
        <v>32.946259789359978</v>
      </c>
      <c r="Q147" s="24" t="s">
        <v>242</v>
      </c>
      <c r="R147" s="24" t="s">
        <v>487</v>
      </c>
      <c r="S147" s="23" t="s">
        <v>177</v>
      </c>
      <c r="T147" s="45" t="s">
        <v>242</v>
      </c>
      <c r="U147" s="23" t="s">
        <v>212</v>
      </c>
      <c r="V147" s="18">
        <v>44403</v>
      </c>
      <c r="W147" s="15">
        <v>6.3</v>
      </c>
      <c r="X147" s="15" t="s">
        <v>474</v>
      </c>
      <c r="Y147" s="15" t="s">
        <v>582</v>
      </c>
      <c r="Z147" s="97" t="s">
        <v>505</v>
      </c>
      <c r="AA147" s="99" t="s">
        <v>566</v>
      </c>
      <c r="AB147" s="15">
        <v>1</v>
      </c>
      <c r="AC147" s="23" t="s">
        <v>182</v>
      </c>
      <c r="AD147" s="23" t="s">
        <v>182</v>
      </c>
      <c r="AE147" s="36">
        <v>60</v>
      </c>
      <c r="AF147" s="94">
        <v>7.21</v>
      </c>
      <c r="AG147" s="94">
        <f t="shared" si="62"/>
        <v>432.6</v>
      </c>
      <c r="AH147" s="88">
        <f t="shared" si="55"/>
        <v>4.2937965260545905</v>
      </c>
      <c r="AI147" s="25" t="s">
        <v>243</v>
      </c>
      <c r="AJ147" s="23" t="s">
        <v>463</v>
      </c>
      <c r="AK147" s="23" t="s">
        <v>247</v>
      </c>
      <c r="AL147" s="23">
        <v>850</v>
      </c>
      <c r="AM147" s="91">
        <v>3.2199999999999999E-2</v>
      </c>
      <c r="AN147" s="91">
        <f t="shared" si="56"/>
        <v>27.37</v>
      </c>
      <c r="AO147" s="92">
        <f t="shared" si="57"/>
        <v>0.27166253101736976</v>
      </c>
      <c r="AP147" s="23" t="s">
        <v>243</v>
      </c>
      <c r="AQ147" s="23"/>
      <c r="AR147" s="87"/>
      <c r="AS147" s="87"/>
      <c r="AT147" s="88">
        <f t="shared" si="58"/>
        <v>0</v>
      </c>
      <c r="AU147" s="23" t="s">
        <v>242</v>
      </c>
      <c r="AV147" s="44"/>
      <c r="AW147" s="23"/>
      <c r="AX147" s="44"/>
      <c r="AY147" s="44"/>
      <c r="AZ147" s="87"/>
      <c r="BA147" s="87"/>
      <c r="BB147" s="88">
        <f t="shared" si="59"/>
        <v>0</v>
      </c>
      <c r="BC147" s="23" t="s">
        <v>242</v>
      </c>
      <c r="BD147" s="23"/>
      <c r="BE147" s="23"/>
      <c r="BI147" s="90">
        <f t="shared" si="60"/>
        <v>0</v>
      </c>
      <c r="BJ147" s="26">
        <f t="shared" si="51"/>
        <v>1</v>
      </c>
      <c r="BK147" s="26">
        <v>0</v>
      </c>
      <c r="BL147" s="26" t="s">
        <v>848</v>
      </c>
      <c r="BM147" s="26">
        <v>126</v>
      </c>
      <c r="BN147" s="26">
        <v>63</v>
      </c>
      <c r="BO147" s="26">
        <v>120</v>
      </c>
      <c r="BP147" s="26">
        <v>0</v>
      </c>
      <c r="BQ147" s="26">
        <v>0</v>
      </c>
      <c r="BR147" s="224">
        <v>66</v>
      </c>
      <c r="BS147" s="225">
        <v>1</v>
      </c>
      <c r="BT147" s="230" t="s">
        <v>1000</v>
      </c>
      <c r="BU147" s="227">
        <v>93768004</v>
      </c>
      <c r="BV147" s="228">
        <v>44403</v>
      </c>
      <c r="BW147" s="225">
        <v>6.3</v>
      </c>
      <c r="BX147" s="226"/>
      <c r="BY147" s="226"/>
      <c r="BZ147" s="226"/>
      <c r="CA147" s="226"/>
      <c r="CB147" s="226"/>
      <c r="CC147" s="226"/>
      <c r="CD147" s="225">
        <v>155359300907</v>
      </c>
      <c r="CE147" s="225">
        <v>0</v>
      </c>
    </row>
    <row r="148" spans="1:83" ht="15" customHeight="1" thickBot="1" x14ac:dyDescent="0.3">
      <c r="A148" s="15" t="s">
        <v>12</v>
      </c>
      <c r="B148" s="15" t="s">
        <v>78</v>
      </c>
      <c r="C148" s="23" t="s">
        <v>480</v>
      </c>
      <c r="D148" s="41" t="s">
        <v>469</v>
      </c>
      <c r="E148" s="23" t="s">
        <v>163</v>
      </c>
      <c r="F148" s="23" t="s">
        <v>179</v>
      </c>
      <c r="G148" s="23">
        <v>2</v>
      </c>
      <c r="H148" s="23">
        <v>4</v>
      </c>
      <c r="I148" s="85" t="s">
        <v>560</v>
      </c>
      <c r="J148">
        <v>1998</v>
      </c>
      <c r="L148" s="5">
        <f t="shared" si="52"/>
        <v>23</v>
      </c>
      <c r="M148" s="109" t="e">
        <f>+#REF!-L148</f>
        <v>#REF!</v>
      </c>
      <c r="N148" s="23">
        <v>91.5</v>
      </c>
      <c r="O148" s="23">
        <v>1.74</v>
      </c>
      <c r="P148" s="24">
        <f t="shared" si="63"/>
        <v>30.221957986523979</v>
      </c>
      <c r="Q148" s="24" t="s">
        <v>242</v>
      </c>
      <c r="R148" s="24" t="s">
        <v>487</v>
      </c>
      <c r="S148" s="23" t="s">
        <v>177</v>
      </c>
      <c r="T148" s="45" t="s">
        <v>243</v>
      </c>
      <c r="U148" s="23" t="s">
        <v>212</v>
      </c>
      <c r="V148" s="18">
        <v>44385</v>
      </c>
      <c r="W148" s="15">
        <v>12.4</v>
      </c>
      <c r="X148" s="17" t="s">
        <v>477</v>
      </c>
      <c r="Y148" s="17" t="s">
        <v>584</v>
      </c>
      <c r="Z148" s="96" t="s">
        <v>590</v>
      </c>
      <c r="AA148" s="98" t="s">
        <v>569</v>
      </c>
      <c r="AB148" s="17">
        <v>3</v>
      </c>
      <c r="AC148" s="23" t="s">
        <v>182</v>
      </c>
      <c r="AD148" s="23" t="s">
        <v>182</v>
      </c>
      <c r="AE148" s="36">
        <v>60</v>
      </c>
      <c r="AF148" s="94">
        <v>7.21</v>
      </c>
      <c r="AG148" s="94">
        <f t="shared" si="62"/>
        <v>432.6</v>
      </c>
      <c r="AH148" s="88">
        <f t="shared" si="55"/>
        <v>4.2937965260545905</v>
      </c>
      <c r="AI148" s="25" t="s">
        <v>243</v>
      </c>
      <c r="AJ148" s="23" t="s">
        <v>463</v>
      </c>
      <c r="AK148" s="23" t="s">
        <v>247</v>
      </c>
      <c r="AL148" s="23">
        <v>2000</v>
      </c>
      <c r="AM148" s="91">
        <v>3.2199999999999999E-2</v>
      </c>
      <c r="AN148" s="91">
        <f t="shared" si="56"/>
        <v>64.400000000000006</v>
      </c>
      <c r="AO148" s="92">
        <f t="shared" si="57"/>
        <v>0.6392059553349877</v>
      </c>
      <c r="AP148" s="23" t="s">
        <v>243</v>
      </c>
      <c r="AQ148" s="23" t="s">
        <v>254</v>
      </c>
      <c r="AR148" s="87">
        <v>1.069</v>
      </c>
      <c r="AS148" s="87">
        <f>+AV148*AR148</f>
        <v>64.14</v>
      </c>
      <c r="AT148" s="88">
        <f t="shared" si="58"/>
        <v>0.63662531017369728</v>
      </c>
      <c r="AU148" s="23" t="s">
        <v>243</v>
      </c>
      <c r="AV148" s="23">
        <v>60</v>
      </c>
      <c r="AW148" s="23"/>
      <c r="AX148" s="23" t="s">
        <v>249</v>
      </c>
      <c r="AY148" s="23">
        <v>100</v>
      </c>
      <c r="AZ148" s="87">
        <v>5.4</v>
      </c>
      <c r="BA148" s="87">
        <f>+AY148*AZ148</f>
        <v>540</v>
      </c>
      <c r="BB148" s="88">
        <f t="shared" si="59"/>
        <v>5.3598014888337469</v>
      </c>
      <c r="BC148" s="23" t="s">
        <v>243</v>
      </c>
      <c r="BD148" s="23"/>
      <c r="BE148" s="23"/>
      <c r="BI148" s="90">
        <f t="shared" si="60"/>
        <v>0</v>
      </c>
      <c r="BJ148" s="26">
        <f t="shared" si="51"/>
        <v>3</v>
      </c>
      <c r="BK148" s="26">
        <v>1</v>
      </c>
      <c r="BL148" s="26" t="s">
        <v>850</v>
      </c>
      <c r="BM148" s="26">
        <v>130</v>
      </c>
      <c r="BN148" s="26">
        <v>80</v>
      </c>
      <c r="BO148" s="26">
        <v>110</v>
      </c>
      <c r="BP148" s="26">
        <v>0</v>
      </c>
      <c r="BQ148" s="26">
        <v>0</v>
      </c>
      <c r="BR148" s="224">
        <v>67</v>
      </c>
      <c r="BS148" s="225">
        <v>1</v>
      </c>
      <c r="BT148" s="230" t="s">
        <v>1002</v>
      </c>
      <c r="BU148" s="227">
        <v>8705129</v>
      </c>
      <c r="BV148" s="228">
        <v>44385</v>
      </c>
      <c r="BW148" s="225">
        <v>12.4</v>
      </c>
      <c r="BX148" s="226"/>
      <c r="BY148" s="226"/>
      <c r="BZ148" s="226"/>
      <c r="CA148" s="226"/>
      <c r="CB148" s="226"/>
      <c r="CC148" s="226"/>
      <c r="CD148" s="225">
        <v>150427051706</v>
      </c>
      <c r="CE148" s="225">
        <v>0</v>
      </c>
    </row>
    <row r="149" spans="1:83" ht="15" customHeight="1" thickBot="1" x14ac:dyDescent="0.3">
      <c r="A149" s="15" t="s">
        <v>36</v>
      </c>
      <c r="B149" s="15" t="s">
        <v>107</v>
      </c>
      <c r="C149" s="23" t="s">
        <v>479</v>
      </c>
      <c r="D149" s="41" t="s">
        <v>469</v>
      </c>
      <c r="E149" s="23" t="s">
        <v>163</v>
      </c>
      <c r="F149" s="23" t="s">
        <v>179</v>
      </c>
      <c r="G149" s="23">
        <v>2</v>
      </c>
      <c r="H149" s="23">
        <v>1</v>
      </c>
      <c r="I149" s="85" t="s">
        <v>557</v>
      </c>
      <c r="J149">
        <v>2019</v>
      </c>
      <c r="L149" s="5">
        <f t="shared" si="52"/>
        <v>2</v>
      </c>
      <c r="M149" s="109" t="e">
        <f>+#REF!-L149</f>
        <v>#REF!</v>
      </c>
      <c r="N149" s="23">
        <v>97.5</v>
      </c>
      <c r="O149" s="23">
        <v>1.6</v>
      </c>
      <c r="P149" s="24">
        <f t="shared" si="63"/>
        <v>38.085937499999993</v>
      </c>
      <c r="Q149" s="24" t="s">
        <v>243</v>
      </c>
      <c r="R149" s="24" t="s">
        <v>487</v>
      </c>
      <c r="S149" s="23" t="s">
        <v>177</v>
      </c>
      <c r="T149" s="45" t="s">
        <v>242</v>
      </c>
      <c r="U149" s="23" t="s">
        <v>212</v>
      </c>
      <c r="V149" s="16">
        <v>44441</v>
      </c>
      <c r="W149" s="17">
        <v>6.6</v>
      </c>
      <c r="X149" s="15" t="s">
        <v>474</v>
      </c>
      <c r="Y149" s="15" t="s">
        <v>582</v>
      </c>
      <c r="Z149" s="97" t="s">
        <v>505</v>
      </c>
      <c r="AA149" s="99" t="s">
        <v>566</v>
      </c>
      <c r="AB149" s="15">
        <v>1</v>
      </c>
      <c r="AC149" s="23" t="s">
        <v>182</v>
      </c>
      <c r="AD149" s="23" t="s">
        <v>182</v>
      </c>
      <c r="AE149" s="36">
        <v>20</v>
      </c>
      <c r="AF149" s="94">
        <v>7.21</v>
      </c>
      <c r="AG149" s="94">
        <f t="shared" si="62"/>
        <v>144.19999999999999</v>
      </c>
      <c r="AH149" s="88">
        <f t="shared" si="55"/>
        <v>1.4312655086848634</v>
      </c>
      <c r="AI149" s="25" t="s">
        <v>242</v>
      </c>
      <c r="AJ149" s="23"/>
      <c r="AK149" s="23" t="s">
        <v>247</v>
      </c>
      <c r="AL149" s="23">
        <v>1700</v>
      </c>
      <c r="AM149" s="91">
        <v>3.2199999999999999E-2</v>
      </c>
      <c r="AN149" s="91">
        <f t="shared" si="56"/>
        <v>54.74</v>
      </c>
      <c r="AO149" s="92">
        <f t="shared" si="57"/>
        <v>0.54332506203473951</v>
      </c>
      <c r="AP149" s="23" t="s">
        <v>243</v>
      </c>
      <c r="AQ149" s="23"/>
      <c r="AR149" s="87"/>
      <c r="AS149" s="87"/>
      <c r="AT149" s="88">
        <f t="shared" si="58"/>
        <v>0</v>
      </c>
      <c r="AU149" s="23" t="s">
        <v>242</v>
      </c>
      <c r="AV149" s="44"/>
      <c r="AW149" s="23"/>
      <c r="AX149" s="44"/>
      <c r="AY149" s="44"/>
      <c r="AZ149" s="87"/>
      <c r="BA149" s="87"/>
      <c r="BB149" s="88">
        <f t="shared" si="59"/>
        <v>0</v>
      </c>
      <c r="BC149" s="23" t="s">
        <v>242</v>
      </c>
      <c r="BD149" s="23"/>
      <c r="BE149" s="23"/>
      <c r="BI149" s="90">
        <f t="shared" si="60"/>
        <v>0</v>
      </c>
      <c r="BJ149" s="26">
        <f t="shared" si="51"/>
        <v>1</v>
      </c>
      <c r="BK149" s="26">
        <v>1</v>
      </c>
      <c r="BL149" s="26" t="s">
        <v>848</v>
      </c>
      <c r="BM149" s="26">
        <v>130</v>
      </c>
      <c r="BN149" s="26">
        <v>80</v>
      </c>
      <c r="BO149" s="26">
        <v>118</v>
      </c>
      <c r="BP149" s="26">
        <v>0</v>
      </c>
      <c r="BQ149" s="26">
        <v>1</v>
      </c>
      <c r="BR149" s="224">
        <v>207</v>
      </c>
      <c r="BS149" s="225">
        <v>1</v>
      </c>
      <c r="BT149" s="230" t="s">
        <v>1284</v>
      </c>
      <c r="BU149" s="227">
        <v>10273565</v>
      </c>
      <c r="BV149" s="228">
        <v>44441</v>
      </c>
      <c r="BW149" s="225">
        <v>6.6</v>
      </c>
      <c r="BX149" s="228">
        <v>44942</v>
      </c>
      <c r="BY149" s="230">
        <v>7.9</v>
      </c>
      <c r="BZ149" s="226"/>
      <c r="CA149" s="226"/>
      <c r="CB149" s="226"/>
      <c r="CC149" s="226"/>
      <c r="CD149" s="225">
        <v>465908419900</v>
      </c>
      <c r="CE149" s="225">
        <v>0</v>
      </c>
    </row>
    <row r="150" spans="1:83" ht="15" customHeight="1" thickBot="1" x14ac:dyDescent="0.3">
      <c r="A150" s="15" t="s">
        <v>13</v>
      </c>
      <c r="B150" s="15" t="s">
        <v>102</v>
      </c>
      <c r="C150" s="23" t="s">
        <v>482</v>
      </c>
      <c r="D150" s="41" t="s">
        <v>470</v>
      </c>
      <c r="E150" s="23" t="s">
        <v>163</v>
      </c>
      <c r="F150" s="23" t="s">
        <v>179</v>
      </c>
      <c r="G150" s="23">
        <v>2</v>
      </c>
      <c r="H150" s="23">
        <v>1</v>
      </c>
      <c r="I150" s="85" t="s">
        <v>557</v>
      </c>
      <c r="J150">
        <v>1996</v>
      </c>
      <c r="L150" s="5">
        <f t="shared" si="52"/>
        <v>25</v>
      </c>
      <c r="M150" s="109" t="e">
        <f>+#REF!-L150</f>
        <v>#REF!</v>
      </c>
      <c r="N150" s="23">
        <v>112.2</v>
      </c>
      <c r="O150" s="23">
        <v>1.82</v>
      </c>
      <c r="P150" s="24">
        <f>N150/(O150*O150)</f>
        <v>33.872720685907495</v>
      </c>
      <c r="Q150" s="24" t="s">
        <v>243</v>
      </c>
      <c r="R150" s="24" t="s">
        <v>487</v>
      </c>
      <c r="S150" s="23" t="s">
        <v>177</v>
      </c>
      <c r="T150" s="45" t="s">
        <v>242</v>
      </c>
      <c r="U150" s="23" t="s">
        <v>212</v>
      </c>
      <c r="V150" s="18">
        <v>44441</v>
      </c>
      <c r="W150" s="17">
        <v>9.6999999999999993</v>
      </c>
      <c r="X150" s="17" t="s">
        <v>476</v>
      </c>
      <c r="Y150" s="17" t="s">
        <v>584</v>
      </c>
      <c r="Z150" s="96" t="s">
        <v>506</v>
      </c>
      <c r="AA150" s="98" t="s">
        <v>569</v>
      </c>
      <c r="AB150" s="17">
        <v>2</v>
      </c>
      <c r="AC150" s="23" t="s">
        <v>250</v>
      </c>
      <c r="AD150" s="23" t="s">
        <v>642</v>
      </c>
      <c r="AE150" s="36">
        <v>100</v>
      </c>
      <c r="AF150" s="94">
        <v>13.54</v>
      </c>
      <c r="AG150" s="94">
        <f t="shared" si="62"/>
        <v>1354</v>
      </c>
      <c r="AH150" s="88">
        <f t="shared" si="55"/>
        <v>13.439205955334987</v>
      </c>
      <c r="AI150" s="25" t="s">
        <v>242</v>
      </c>
      <c r="AJ150" s="23"/>
      <c r="AK150" s="23" t="s">
        <v>247</v>
      </c>
      <c r="AL150" s="23">
        <v>850</v>
      </c>
      <c r="AM150" s="91">
        <v>3.2199999999999999E-2</v>
      </c>
      <c r="AN150" s="91">
        <f t="shared" si="56"/>
        <v>27.37</v>
      </c>
      <c r="AO150" s="92">
        <f t="shared" si="57"/>
        <v>0.27166253101736976</v>
      </c>
      <c r="AP150" s="23" t="s">
        <v>243</v>
      </c>
      <c r="AQ150" s="23"/>
      <c r="AR150" s="87"/>
      <c r="AS150" s="87"/>
      <c r="AT150" s="88">
        <f t="shared" si="58"/>
        <v>0</v>
      </c>
      <c r="AU150" s="23" t="s">
        <v>242</v>
      </c>
      <c r="AV150" s="44"/>
      <c r="AW150" s="23"/>
      <c r="AX150" s="44"/>
      <c r="AY150" s="44"/>
      <c r="AZ150" s="87"/>
      <c r="BA150" s="87"/>
      <c r="BB150" s="88">
        <f t="shared" si="59"/>
        <v>0</v>
      </c>
      <c r="BC150" s="23" t="s">
        <v>242</v>
      </c>
      <c r="BD150" s="23"/>
      <c r="BE150" s="23"/>
      <c r="BI150" s="90">
        <f t="shared" si="60"/>
        <v>0</v>
      </c>
      <c r="BJ150" s="26">
        <f t="shared" si="51"/>
        <v>1</v>
      </c>
      <c r="BK150" s="26">
        <v>0</v>
      </c>
      <c r="BL150" s="26" t="s">
        <v>850</v>
      </c>
      <c r="BM150" s="26">
        <v>180</v>
      </c>
      <c r="BN150" s="26">
        <v>100</v>
      </c>
      <c r="BO150" s="26">
        <v>119</v>
      </c>
      <c r="BP150" s="26">
        <v>0</v>
      </c>
      <c r="BQ150" s="26">
        <v>0</v>
      </c>
      <c r="BR150" s="224">
        <v>182</v>
      </c>
      <c r="BS150" s="225">
        <v>1</v>
      </c>
      <c r="BT150" s="230" t="s">
        <v>1233</v>
      </c>
      <c r="BU150" s="227">
        <v>5328343</v>
      </c>
      <c r="BV150" s="228">
        <v>44441</v>
      </c>
      <c r="BW150" s="225">
        <v>9.6999999999999993</v>
      </c>
      <c r="BX150" s="228">
        <v>44949</v>
      </c>
      <c r="BY150" s="226">
        <v>6.7</v>
      </c>
      <c r="BZ150" s="226"/>
      <c r="CA150" s="226"/>
      <c r="CB150" s="226"/>
      <c r="CC150" s="226"/>
      <c r="CD150" s="225">
        <v>150496790102</v>
      </c>
      <c r="CE150" s="225">
        <v>0</v>
      </c>
    </row>
    <row r="151" spans="1:83" ht="15" customHeight="1" thickBot="1" x14ac:dyDescent="0.3">
      <c r="A151" s="15" t="s">
        <v>13</v>
      </c>
      <c r="B151" s="15" t="s">
        <v>90</v>
      </c>
      <c r="C151" s="23" t="s">
        <v>482</v>
      </c>
      <c r="D151" s="41" t="s">
        <v>470</v>
      </c>
      <c r="E151" s="23" t="s">
        <v>163</v>
      </c>
      <c r="F151" s="23" t="s">
        <v>242</v>
      </c>
      <c r="G151" s="23">
        <v>1</v>
      </c>
      <c r="H151" s="23">
        <v>1</v>
      </c>
      <c r="I151" s="85" t="s">
        <v>557</v>
      </c>
      <c r="L151" s="5"/>
      <c r="M151" s="109" t="e">
        <f>+#REF!-L151</f>
        <v>#REF!</v>
      </c>
      <c r="N151" s="23">
        <v>93</v>
      </c>
      <c r="O151" s="23">
        <v>1.66</v>
      </c>
      <c r="P151" s="24">
        <f>N151/(O151*O151)</f>
        <v>33.749455653941069</v>
      </c>
      <c r="Q151" s="24" t="s">
        <v>242</v>
      </c>
      <c r="R151" s="24" t="s">
        <v>487</v>
      </c>
      <c r="S151" s="23" t="s">
        <v>243</v>
      </c>
      <c r="T151" s="45" t="s">
        <v>242</v>
      </c>
      <c r="U151" s="23" t="s">
        <v>212</v>
      </c>
      <c r="V151" s="18">
        <v>44392</v>
      </c>
      <c r="W151" s="17">
        <v>7</v>
      </c>
      <c r="X151" s="15" t="s">
        <v>474</v>
      </c>
      <c r="Y151" s="15" t="s">
        <v>582</v>
      </c>
      <c r="Z151" s="97" t="s">
        <v>505</v>
      </c>
      <c r="AA151" s="99" t="s">
        <v>567</v>
      </c>
      <c r="AB151" s="15">
        <v>1</v>
      </c>
      <c r="AC151" s="23" t="s">
        <v>182</v>
      </c>
      <c r="AD151" s="23" t="s">
        <v>182</v>
      </c>
      <c r="AE151" s="36">
        <v>30</v>
      </c>
      <c r="AF151" s="94">
        <v>7.21</v>
      </c>
      <c r="AG151" s="94">
        <f>+AE151*AF151</f>
        <v>216.3</v>
      </c>
      <c r="AH151" s="88">
        <f>+AG151/100.75</f>
        <v>2.1468982630272953</v>
      </c>
      <c r="AI151" s="25" t="s">
        <v>243</v>
      </c>
      <c r="AJ151" s="23">
        <v>6</v>
      </c>
      <c r="AK151" s="23" t="s">
        <v>242</v>
      </c>
      <c r="AL151" s="23"/>
      <c r="AM151" s="91">
        <v>3.2199999999999999E-2</v>
      </c>
      <c r="AN151" s="91">
        <f>+AL151*AM151</f>
        <v>0</v>
      </c>
      <c r="AO151" s="92">
        <f>+AN151/100.75</f>
        <v>0</v>
      </c>
      <c r="AP151" s="23" t="s">
        <v>242</v>
      </c>
      <c r="AQ151" s="23"/>
      <c r="AR151" s="87"/>
      <c r="AS151" s="87"/>
      <c r="AT151" s="88">
        <f>+AS151/100.75</f>
        <v>0</v>
      </c>
      <c r="AU151" s="23" t="s">
        <v>242</v>
      </c>
      <c r="AV151" s="44"/>
      <c r="AW151" s="23"/>
      <c r="AX151" s="44"/>
      <c r="AY151" s="44"/>
      <c r="AZ151" s="87"/>
      <c r="BA151" s="87"/>
      <c r="BB151" s="88">
        <f>+BA151/100.75</f>
        <v>0</v>
      </c>
      <c r="BC151" s="23" t="s">
        <v>242</v>
      </c>
      <c r="BD151" s="23"/>
      <c r="BE151" s="23"/>
      <c r="BI151" s="90">
        <f>+BH151/100.75</f>
        <v>0</v>
      </c>
      <c r="BJ151" s="26">
        <f>COUNTIF(AP151:BI151,"SI")</f>
        <v>0</v>
      </c>
      <c r="BK151" s="26">
        <v>1</v>
      </c>
      <c r="BL151" s="26" t="s">
        <v>850</v>
      </c>
      <c r="BM151" s="26">
        <v>120</v>
      </c>
      <c r="BN151" s="26">
        <v>80</v>
      </c>
      <c r="BO151" s="26">
        <v>113</v>
      </c>
      <c r="BP151" s="26">
        <v>0</v>
      </c>
      <c r="BQ151" s="26">
        <v>1</v>
      </c>
      <c r="BR151" s="224">
        <v>68</v>
      </c>
      <c r="BS151" s="225">
        <v>1</v>
      </c>
      <c r="BT151" s="230" t="s">
        <v>1004</v>
      </c>
      <c r="BU151" s="227">
        <v>5320842</v>
      </c>
      <c r="BV151" s="228">
        <v>44392</v>
      </c>
      <c r="BW151" s="225">
        <v>7</v>
      </c>
      <c r="BX151" s="226"/>
      <c r="BY151" s="226"/>
      <c r="BZ151" s="226"/>
      <c r="CA151" s="226"/>
      <c r="CB151" s="226"/>
      <c r="CC151" s="226"/>
      <c r="CD151" s="225">
        <v>150286990603</v>
      </c>
      <c r="CE151" s="225">
        <v>0</v>
      </c>
    </row>
    <row r="152" spans="1:83" ht="15" customHeight="1" thickBot="1" x14ac:dyDescent="0.3">
      <c r="A152" s="15" t="s">
        <v>409</v>
      </c>
      <c r="B152" s="15" t="s">
        <v>410</v>
      </c>
      <c r="C152" s="23" t="s">
        <v>479</v>
      </c>
      <c r="D152" s="41" t="s">
        <v>469</v>
      </c>
      <c r="E152" s="23" t="s">
        <v>163</v>
      </c>
      <c r="F152" s="23" t="s">
        <v>242</v>
      </c>
      <c r="G152" s="23">
        <v>2</v>
      </c>
      <c r="H152" s="23">
        <v>1</v>
      </c>
      <c r="I152" s="85" t="s">
        <v>557</v>
      </c>
      <c r="J152">
        <v>2013</v>
      </c>
      <c r="L152" s="5">
        <f t="shared" si="52"/>
        <v>8</v>
      </c>
      <c r="M152" s="109" t="e">
        <f>+#REF!-L152</f>
        <v>#REF!</v>
      </c>
      <c r="N152" s="23">
        <v>84.4</v>
      </c>
      <c r="O152" s="23">
        <v>1.54</v>
      </c>
      <c r="P152" s="24">
        <f t="shared" si="63"/>
        <v>35.587788834542081</v>
      </c>
      <c r="Q152" s="24" t="s">
        <v>243</v>
      </c>
      <c r="R152" s="24" t="s">
        <v>487</v>
      </c>
      <c r="S152" s="23" t="s">
        <v>177</v>
      </c>
      <c r="T152" s="45" t="s">
        <v>242</v>
      </c>
      <c r="U152" s="23" t="s">
        <v>212</v>
      </c>
      <c r="V152" s="18">
        <v>44392</v>
      </c>
      <c r="W152" s="15">
        <v>12.3</v>
      </c>
      <c r="X152" s="17" t="s">
        <v>477</v>
      </c>
      <c r="Y152" s="17" t="s">
        <v>584</v>
      </c>
      <c r="Z152" s="96" t="s">
        <v>590</v>
      </c>
      <c r="AA152" s="98" t="s">
        <v>569</v>
      </c>
      <c r="AB152" s="17">
        <v>3</v>
      </c>
      <c r="AC152" s="23" t="s">
        <v>244</v>
      </c>
      <c r="AD152" s="23" t="s">
        <v>642</v>
      </c>
      <c r="AE152" s="36">
        <v>40</v>
      </c>
      <c r="AF152" s="94">
        <v>14.66</v>
      </c>
      <c r="AG152" s="94">
        <f t="shared" si="62"/>
        <v>586.4</v>
      </c>
      <c r="AH152" s="88">
        <f t="shared" si="55"/>
        <v>5.820347394540943</v>
      </c>
      <c r="AI152" s="25" t="s">
        <v>243</v>
      </c>
      <c r="AJ152" s="23" t="s">
        <v>463</v>
      </c>
      <c r="AK152" s="23" t="s">
        <v>247</v>
      </c>
      <c r="AL152" s="23">
        <v>1000</v>
      </c>
      <c r="AM152" s="91">
        <v>3.2199999999999999E-2</v>
      </c>
      <c r="AN152" s="91">
        <f t="shared" si="56"/>
        <v>32.200000000000003</v>
      </c>
      <c r="AO152" s="92">
        <f t="shared" si="57"/>
        <v>0.31960297766749385</v>
      </c>
      <c r="AP152" s="23" t="s">
        <v>243</v>
      </c>
      <c r="AQ152" s="23"/>
      <c r="AR152" s="87"/>
      <c r="AS152" s="87"/>
      <c r="AT152" s="88">
        <f t="shared" si="58"/>
        <v>0</v>
      </c>
      <c r="AU152" s="23" t="s">
        <v>242</v>
      </c>
      <c r="AV152" s="44"/>
      <c r="AW152" s="23"/>
      <c r="AX152" s="44"/>
      <c r="AY152" s="44"/>
      <c r="AZ152" s="87"/>
      <c r="BA152" s="87"/>
      <c r="BB152" s="88">
        <f t="shared" si="59"/>
        <v>0</v>
      </c>
      <c r="BC152" s="23" t="s">
        <v>242</v>
      </c>
      <c r="BD152" s="23"/>
      <c r="BE152" s="23"/>
      <c r="BI152" s="90">
        <f t="shared" si="60"/>
        <v>0</v>
      </c>
      <c r="BJ152" s="26">
        <f t="shared" si="51"/>
        <v>1</v>
      </c>
      <c r="BK152" s="26">
        <v>1</v>
      </c>
      <c r="BL152" s="26" t="s">
        <v>850</v>
      </c>
      <c r="BM152" s="26">
        <v>120</v>
      </c>
      <c r="BN152" s="26">
        <v>80</v>
      </c>
      <c r="BO152" s="26">
        <v>113</v>
      </c>
      <c r="BP152" s="26">
        <v>0</v>
      </c>
      <c r="BQ152" s="26">
        <v>1</v>
      </c>
      <c r="BR152" s="224">
        <v>69</v>
      </c>
      <c r="BS152" s="225">
        <v>1</v>
      </c>
      <c r="BT152" s="230" t="s">
        <v>1006</v>
      </c>
      <c r="BU152" s="227">
        <v>93013255</v>
      </c>
      <c r="BV152" s="228">
        <v>44392</v>
      </c>
      <c r="BW152" s="225">
        <v>12.3</v>
      </c>
      <c r="BX152" s="226"/>
      <c r="BY152" s="226"/>
      <c r="BZ152" s="226"/>
      <c r="CA152" s="226"/>
      <c r="CB152" s="226"/>
      <c r="CC152" s="226"/>
      <c r="CD152" s="225">
        <v>150725222503</v>
      </c>
      <c r="CE152" s="225">
        <v>0</v>
      </c>
    </row>
    <row r="153" spans="1:83" ht="15" customHeight="1" thickBot="1" x14ac:dyDescent="0.3">
      <c r="A153" s="31" t="s">
        <v>67</v>
      </c>
      <c r="B153" s="15" t="s">
        <v>150</v>
      </c>
      <c r="C153" s="23" t="s">
        <v>479</v>
      </c>
      <c r="D153" s="41" t="s">
        <v>469</v>
      </c>
      <c r="E153" s="23" t="s">
        <v>163</v>
      </c>
      <c r="F153" s="23" t="s">
        <v>179</v>
      </c>
      <c r="G153" s="23">
        <v>2</v>
      </c>
      <c r="H153" s="23">
        <v>1</v>
      </c>
      <c r="I153" s="85" t="s">
        <v>557</v>
      </c>
      <c r="J153">
        <v>2009</v>
      </c>
      <c r="L153" s="5">
        <f t="shared" si="52"/>
        <v>12</v>
      </c>
      <c r="M153" s="109" t="e">
        <f>+#REF!-L153</f>
        <v>#REF!</v>
      </c>
      <c r="N153" s="23">
        <v>93.3</v>
      </c>
      <c r="O153" s="23">
        <v>1.66</v>
      </c>
      <c r="P153" s="24">
        <f t="shared" si="63"/>
        <v>33.858324865727973</v>
      </c>
      <c r="Q153" s="24" t="s">
        <v>243</v>
      </c>
      <c r="R153" s="24" t="s">
        <v>487</v>
      </c>
      <c r="S153" s="23" t="s">
        <v>177</v>
      </c>
      <c r="T153" s="45" t="s">
        <v>242</v>
      </c>
      <c r="U153" s="23" t="s">
        <v>212</v>
      </c>
      <c r="V153" s="16">
        <v>44427</v>
      </c>
      <c r="W153" s="17">
        <v>11.4</v>
      </c>
      <c r="X153" s="17" t="s">
        <v>477</v>
      </c>
      <c r="Y153" s="17" t="s">
        <v>584</v>
      </c>
      <c r="Z153" s="96" t="s">
        <v>590</v>
      </c>
      <c r="AA153" s="98" t="s">
        <v>569</v>
      </c>
      <c r="AB153" s="17">
        <v>3</v>
      </c>
      <c r="AC153" s="23" t="s">
        <v>245</v>
      </c>
      <c r="AD153" s="23" t="s">
        <v>642</v>
      </c>
      <c r="AE153" s="36">
        <v>76</v>
      </c>
      <c r="AF153" s="94">
        <v>15.6</v>
      </c>
      <c r="AG153" s="94">
        <f>+AE153*AF153</f>
        <v>1185.5999999999999</v>
      </c>
      <c r="AH153" s="88">
        <f t="shared" si="55"/>
        <v>11.767741935483871</v>
      </c>
      <c r="AI153" s="25" t="s">
        <v>243</v>
      </c>
      <c r="AJ153" s="23" t="s">
        <v>463</v>
      </c>
      <c r="AK153" s="44" t="s">
        <v>179</v>
      </c>
      <c r="AL153" s="23"/>
      <c r="AM153" s="91">
        <v>3.2199999999999999E-2</v>
      </c>
      <c r="AN153" s="91">
        <f t="shared" si="56"/>
        <v>0</v>
      </c>
      <c r="AO153" s="92">
        <f t="shared" si="57"/>
        <v>0</v>
      </c>
      <c r="AP153" s="23" t="s">
        <v>242</v>
      </c>
      <c r="AQ153" s="23"/>
      <c r="AR153" s="87"/>
      <c r="AS153" s="87"/>
      <c r="AT153" s="88">
        <f t="shared" si="58"/>
        <v>0</v>
      </c>
      <c r="AU153" s="23" t="s">
        <v>242</v>
      </c>
      <c r="AV153" s="44"/>
      <c r="AW153" s="23"/>
      <c r="AX153" s="44"/>
      <c r="AY153" s="44"/>
      <c r="AZ153" s="87"/>
      <c r="BA153" s="87"/>
      <c r="BB153" s="88">
        <f t="shared" si="59"/>
        <v>0</v>
      </c>
      <c r="BC153" s="23" t="s">
        <v>242</v>
      </c>
      <c r="BD153" s="23"/>
      <c r="BE153" s="23"/>
      <c r="BI153" s="90">
        <f t="shared" si="60"/>
        <v>0</v>
      </c>
      <c r="BJ153" s="26">
        <f t="shared" si="51"/>
        <v>0</v>
      </c>
      <c r="BK153" s="26">
        <v>0</v>
      </c>
      <c r="BL153" s="26" t="s">
        <v>850</v>
      </c>
      <c r="BM153" s="26">
        <v>110</v>
      </c>
      <c r="BN153" s="26">
        <v>70</v>
      </c>
      <c r="BO153" s="26">
        <v>113</v>
      </c>
      <c r="BP153" s="26">
        <v>0</v>
      </c>
      <c r="BQ153" s="26">
        <v>1</v>
      </c>
      <c r="BR153" s="224">
        <v>183</v>
      </c>
      <c r="BS153" s="225">
        <v>2</v>
      </c>
      <c r="BT153" s="230" t="s">
        <v>1235</v>
      </c>
      <c r="BU153" s="227">
        <v>11350083</v>
      </c>
      <c r="BV153" s="228">
        <v>44427</v>
      </c>
      <c r="BW153" s="225">
        <v>11.4</v>
      </c>
      <c r="BX153" s="228">
        <v>44909</v>
      </c>
      <c r="BY153" s="226">
        <v>10.8</v>
      </c>
      <c r="BZ153" s="226"/>
      <c r="CA153" s="226"/>
      <c r="CB153" s="226"/>
      <c r="CC153" s="226"/>
      <c r="CD153" s="225">
        <v>150066398702</v>
      </c>
      <c r="CE153" s="225">
        <v>0</v>
      </c>
    </row>
    <row r="154" spans="1:83" ht="15" customHeight="1" thickBot="1" x14ac:dyDescent="0.3">
      <c r="A154" s="15" t="s">
        <v>411</v>
      </c>
      <c r="B154" s="15" t="s">
        <v>412</v>
      </c>
      <c r="C154" s="23" t="s">
        <v>479</v>
      </c>
      <c r="D154" s="41" t="s">
        <v>469</v>
      </c>
      <c r="E154" s="23" t="s">
        <v>163</v>
      </c>
      <c r="F154" s="23" t="s">
        <v>179</v>
      </c>
      <c r="G154" s="23">
        <v>4</v>
      </c>
      <c r="H154" s="23">
        <v>1</v>
      </c>
      <c r="I154" s="85" t="s">
        <v>557</v>
      </c>
      <c r="J154">
        <v>1997</v>
      </c>
      <c r="L154" s="5">
        <f t="shared" si="52"/>
        <v>24</v>
      </c>
      <c r="M154" s="109" t="e">
        <f>+#REF!-L154</f>
        <v>#REF!</v>
      </c>
      <c r="N154" s="23">
        <v>105.5</v>
      </c>
      <c r="O154" s="23">
        <v>1.72</v>
      </c>
      <c r="P154" s="24">
        <f t="shared" si="63"/>
        <v>35.661168199026505</v>
      </c>
      <c r="Q154" s="24" t="s">
        <v>242</v>
      </c>
      <c r="R154" s="24" t="s">
        <v>487</v>
      </c>
      <c r="S154" s="23" t="s">
        <v>177</v>
      </c>
      <c r="T154" s="45" t="s">
        <v>242</v>
      </c>
      <c r="U154" s="23" t="s">
        <v>212</v>
      </c>
      <c r="V154" s="16">
        <v>44385</v>
      </c>
      <c r="W154" s="15">
        <v>5.6</v>
      </c>
      <c r="X154" s="15" t="s">
        <v>474</v>
      </c>
      <c r="Y154" s="15" t="s">
        <v>582</v>
      </c>
      <c r="Z154" s="97" t="s">
        <v>505</v>
      </c>
      <c r="AA154" s="99" t="s">
        <v>566</v>
      </c>
      <c r="AB154" s="15">
        <v>1</v>
      </c>
      <c r="AC154" s="23" t="s">
        <v>245</v>
      </c>
      <c r="AD154" s="23" t="s">
        <v>642</v>
      </c>
      <c r="AE154" s="36">
        <v>70</v>
      </c>
      <c r="AF154" s="94">
        <v>15.6</v>
      </c>
      <c r="AG154" s="94">
        <f>+AE154*AF154</f>
        <v>1092</v>
      </c>
      <c r="AH154" s="88">
        <f t="shared" si="55"/>
        <v>10.838709677419354</v>
      </c>
      <c r="AI154" s="25" t="s">
        <v>242</v>
      </c>
      <c r="AJ154" s="23"/>
      <c r="AK154" s="23" t="s">
        <v>247</v>
      </c>
      <c r="AL154" s="23">
        <v>1700</v>
      </c>
      <c r="AM154" s="91">
        <v>3.2199999999999999E-2</v>
      </c>
      <c r="AN154" s="91">
        <f t="shared" si="56"/>
        <v>54.74</v>
      </c>
      <c r="AO154" s="92">
        <f t="shared" si="57"/>
        <v>0.54332506203473951</v>
      </c>
      <c r="AP154" s="23" t="s">
        <v>243</v>
      </c>
      <c r="AQ154" s="23"/>
      <c r="AR154" s="87"/>
      <c r="AS154" s="87"/>
      <c r="AT154" s="88">
        <f t="shared" si="58"/>
        <v>0</v>
      </c>
      <c r="AU154" s="23" t="s">
        <v>242</v>
      </c>
      <c r="AV154" s="44"/>
      <c r="AW154" s="23"/>
      <c r="AX154" s="23" t="s">
        <v>251</v>
      </c>
      <c r="AY154" s="23">
        <v>100</v>
      </c>
      <c r="AZ154" s="87">
        <v>1.84</v>
      </c>
      <c r="BA154" s="87">
        <f>+AY154*AZ154</f>
        <v>184</v>
      </c>
      <c r="BB154" s="88">
        <f t="shared" si="59"/>
        <v>1.8263027295285359</v>
      </c>
      <c r="BC154" s="23" t="s">
        <v>243</v>
      </c>
      <c r="BD154" s="23"/>
      <c r="BE154" s="23"/>
      <c r="BI154" s="90">
        <f t="shared" si="60"/>
        <v>0</v>
      </c>
      <c r="BJ154" s="26">
        <f t="shared" si="51"/>
        <v>2</v>
      </c>
      <c r="BK154" s="26">
        <v>0</v>
      </c>
      <c r="BL154" s="26" t="s">
        <v>851</v>
      </c>
      <c r="BM154" s="26">
        <v>120</v>
      </c>
      <c r="BN154" s="26">
        <v>70</v>
      </c>
      <c r="BO154" s="26">
        <v>126</v>
      </c>
      <c r="BP154" s="26">
        <v>0</v>
      </c>
      <c r="BQ154" s="26">
        <v>1</v>
      </c>
      <c r="BR154" s="224">
        <v>70</v>
      </c>
      <c r="BS154" s="225">
        <v>2</v>
      </c>
      <c r="BT154" s="230" t="s">
        <v>1008</v>
      </c>
      <c r="BU154" s="227">
        <v>11816018</v>
      </c>
      <c r="BV154" s="228">
        <v>44385</v>
      </c>
      <c r="BW154" s="225">
        <v>5.6</v>
      </c>
      <c r="BX154" s="228">
        <v>44930</v>
      </c>
      <c r="BY154" s="226">
        <v>4.5</v>
      </c>
      <c r="BZ154" s="226"/>
      <c r="CA154" s="226"/>
      <c r="CB154" s="226"/>
      <c r="CC154" s="226"/>
      <c r="CD154" s="225">
        <v>150794979205</v>
      </c>
      <c r="CE154" s="225">
        <v>0</v>
      </c>
    </row>
    <row r="155" spans="1:83" ht="15" customHeight="1" thickBot="1" x14ac:dyDescent="0.3">
      <c r="A155" s="15" t="s">
        <v>253</v>
      </c>
      <c r="B155" s="15" t="s">
        <v>240</v>
      </c>
      <c r="C155" s="23" t="s">
        <v>480</v>
      </c>
      <c r="D155" s="41" t="s">
        <v>469</v>
      </c>
      <c r="E155" s="23" t="s">
        <v>164</v>
      </c>
      <c r="F155" s="23" t="s">
        <v>179</v>
      </c>
      <c r="G155" s="23">
        <v>2</v>
      </c>
      <c r="H155" s="23">
        <v>1</v>
      </c>
      <c r="I155" s="85" t="s">
        <v>557</v>
      </c>
      <c r="J155">
        <v>2010</v>
      </c>
      <c r="L155" s="5">
        <f t="shared" si="52"/>
        <v>11</v>
      </c>
      <c r="M155" s="109" t="e">
        <f>+#REF!-L155</f>
        <v>#REF!</v>
      </c>
      <c r="N155" s="23">
        <v>93.5</v>
      </c>
      <c r="O155" s="23">
        <v>1.5</v>
      </c>
      <c r="P155" s="24">
        <f t="shared" si="63"/>
        <v>41.555555555555557</v>
      </c>
      <c r="Q155" s="24" t="s">
        <v>242</v>
      </c>
      <c r="R155" s="24" t="s">
        <v>487</v>
      </c>
      <c r="S155" s="23" t="s">
        <v>177</v>
      </c>
      <c r="T155" s="45" t="s">
        <v>242</v>
      </c>
      <c r="U155" s="23" t="s">
        <v>212</v>
      </c>
      <c r="V155" s="16">
        <v>44403</v>
      </c>
      <c r="W155" s="15">
        <v>8.8000000000000007</v>
      </c>
      <c r="X155" s="17" t="s">
        <v>475</v>
      </c>
      <c r="Y155" s="17" t="s">
        <v>584</v>
      </c>
      <c r="Z155" s="96" t="s">
        <v>506</v>
      </c>
      <c r="AA155" s="98" t="s">
        <v>569</v>
      </c>
      <c r="AB155" s="17">
        <v>2</v>
      </c>
      <c r="AC155" s="23" t="s">
        <v>245</v>
      </c>
      <c r="AD155" s="23" t="s">
        <v>642</v>
      </c>
      <c r="AE155" s="36">
        <v>12</v>
      </c>
      <c r="AF155" s="94">
        <v>15.6</v>
      </c>
      <c r="AG155" s="94">
        <f>+AE155*AF155</f>
        <v>187.2</v>
      </c>
      <c r="AH155" s="88">
        <f t="shared" si="55"/>
        <v>1.8580645161290321</v>
      </c>
      <c r="AI155" s="25" t="s">
        <v>243</v>
      </c>
      <c r="AJ155" s="23" t="s">
        <v>463</v>
      </c>
      <c r="AK155" s="23" t="s">
        <v>247</v>
      </c>
      <c r="AL155" s="23">
        <v>2000</v>
      </c>
      <c r="AM155" s="91">
        <v>3.2199999999999999E-2</v>
      </c>
      <c r="AN155" s="91">
        <f t="shared" si="56"/>
        <v>64.400000000000006</v>
      </c>
      <c r="AO155" s="92">
        <f t="shared" si="57"/>
        <v>0.6392059553349877</v>
      </c>
      <c r="AP155" s="23" t="s">
        <v>243</v>
      </c>
      <c r="AQ155" s="23"/>
      <c r="AR155" s="87"/>
      <c r="AS155" s="87"/>
      <c r="AT155" s="88">
        <f t="shared" si="58"/>
        <v>0</v>
      </c>
      <c r="AU155" s="23" t="s">
        <v>242</v>
      </c>
      <c r="AV155" s="44"/>
      <c r="AW155" s="23"/>
      <c r="AX155" s="44"/>
      <c r="AY155" s="44"/>
      <c r="AZ155" s="87"/>
      <c r="BA155" s="87"/>
      <c r="BB155" s="88">
        <f t="shared" si="59"/>
        <v>0</v>
      </c>
      <c r="BC155" s="23" t="s">
        <v>242</v>
      </c>
      <c r="BD155" s="23"/>
      <c r="BE155" s="23"/>
      <c r="BI155" s="90">
        <f t="shared" si="60"/>
        <v>0</v>
      </c>
      <c r="BJ155" s="26">
        <f t="shared" si="51"/>
        <v>1</v>
      </c>
      <c r="BK155" s="26">
        <v>1</v>
      </c>
      <c r="BL155" s="26" t="s">
        <v>850</v>
      </c>
      <c r="BM155" s="26">
        <v>142</v>
      </c>
      <c r="BN155" s="26">
        <v>86</v>
      </c>
      <c r="BO155" s="26">
        <v>123</v>
      </c>
      <c r="BP155" s="26">
        <v>1</v>
      </c>
      <c r="BQ155" s="26">
        <v>0</v>
      </c>
      <c r="BR155" s="224">
        <v>71</v>
      </c>
      <c r="BS155" s="225">
        <v>2</v>
      </c>
      <c r="BT155" s="230" t="s">
        <v>1010</v>
      </c>
      <c r="BU155" s="227">
        <v>92123617</v>
      </c>
      <c r="BV155" s="228">
        <v>44403</v>
      </c>
      <c r="BW155" s="225">
        <v>8.8000000000000007</v>
      </c>
      <c r="BX155" s="226"/>
      <c r="BY155" s="226"/>
      <c r="BZ155" s="226"/>
      <c r="CA155" s="226"/>
      <c r="CB155" s="226"/>
      <c r="CC155" s="226"/>
      <c r="CD155" s="225">
        <v>150483027304</v>
      </c>
      <c r="CE155" s="225">
        <v>0</v>
      </c>
    </row>
    <row r="156" spans="1:83" ht="15" customHeight="1" thickBot="1" x14ac:dyDescent="0.3">
      <c r="A156" s="15" t="s">
        <v>413</v>
      </c>
      <c r="B156" s="15" t="s">
        <v>414</v>
      </c>
      <c r="C156" s="23" t="s">
        <v>479</v>
      </c>
      <c r="D156" s="41" t="s">
        <v>469</v>
      </c>
      <c r="E156" s="23" t="s">
        <v>164</v>
      </c>
      <c r="F156" s="23" t="s">
        <v>179</v>
      </c>
      <c r="G156" s="23">
        <v>2</v>
      </c>
      <c r="H156" s="23">
        <v>1</v>
      </c>
      <c r="I156" s="85" t="s">
        <v>557</v>
      </c>
      <c r="J156">
        <v>2001</v>
      </c>
      <c r="L156" s="5">
        <f t="shared" si="52"/>
        <v>20</v>
      </c>
      <c r="M156" s="109" t="e">
        <f>+#REF!-L156</f>
        <v>#REF!</v>
      </c>
      <c r="N156" s="23">
        <v>79.8</v>
      </c>
      <c r="O156" s="23">
        <v>1.52</v>
      </c>
      <c r="P156" s="24">
        <f t="shared" si="63"/>
        <v>34.539473684210527</v>
      </c>
      <c r="Q156" s="24" t="s">
        <v>243</v>
      </c>
      <c r="R156" s="24" t="s">
        <v>487</v>
      </c>
      <c r="S156" s="23" t="s">
        <v>177</v>
      </c>
      <c r="T156" s="45" t="s">
        <v>242</v>
      </c>
      <c r="U156" s="23" t="s">
        <v>212</v>
      </c>
      <c r="V156" s="18">
        <v>44403</v>
      </c>
      <c r="W156" s="15">
        <v>10.6</v>
      </c>
      <c r="X156" s="17" t="s">
        <v>476</v>
      </c>
      <c r="Y156" s="17" t="s">
        <v>584</v>
      </c>
      <c r="Z156" s="96" t="s">
        <v>590</v>
      </c>
      <c r="AA156" s="98" t="s">
        <v>569</v>
      </c>
      <c r="AB156" s="17">
        <v>2</v>
      </c>
      <c r="AC156" s="23" t="s">
        <v>244</v>
      </c>
      <c r="AD156" s="23" t="s">
        <v>642</v>
      </c>
      <c r="AE156" s="36">
        <v>30</v>
      </c>
      <c r="AF156" s="94">
        <v>14.66</v>
      </c>
      <c r="AG156" s="94">
        <f t="shared" ref="AG156:AG161" si="64">+AE156*AF156</f>
        <v>439.8</v>
      </c>
      <c r="AH156" s="88">
        <f t="shared" si="55"/>
        <v>4.3652605459057074</v>
      </c>
      <c r="AI156" s="25" t="s">
        <v>243</v>
      </c>
      <c r="AJ156" s="23">
        <v>10</v>
      </c>
      <c r="AK156" s="23" t="s">
        <v>247</v>
      </c>
      <c r="AL156" s="23">
        <v>1700</v>
      </c>
      <c r="AM156" s="91">
        <v>3.2199999999999999E-2</v>
      </c>
      <c r="AN156" s="91">
        <f t="shared" si="56"/>
        <v>54.74</v>
      </c>
      <c r="AO156" s="92">
        <f t="shared" si="57"/>
        <v>0.54332506203473951</v>
      </c>
      <c r="AP156" s="23" t="s">
        <v>243</v>
      </c>
      <c r="AQ156" s="23"/>
      <c r="AR156" s="87"/>
      <c r="AS156" s="87"/>
      <c r="AT156" s="88">
        <f t="shared" si="58"/>
        <v>0</v>
      </c>
      <c r="AU156" s="23" t="s">
        <v>242</v>
      </c>
      <c r="AV156" s="44"/>
      <c r="AW156" s="23"/>
      <c r="AX156" s="44"/>
      <c r="AY156" s="44"/>
      <c r="AZ156" s="87"/>
      <c r="BA156" s="87"/>
      <c r="BB156" s="88">
        <f t="shared" si="59"/>
        <v>0</v>
      </c>
      <c r="BC156" s="23" t="s">
        <v>242</v>
      </c>
      <c r="BD156" s="23"/>
      <c r="BE156" s="23"/>
      <c r="BI156" s="90">
        <f t="shared" si="60"/>
        <v>0</v>
      </c>
      <c r="BJ156" s="26">
        <f t="shared" si="51"/>
        <v>1</v>
      </c>
      <c r="BK156" s="26">
        <v>0</v>
      </c>
      <c r="BL156" s="26" t="s">
        <v>848</v>
      </c>
      <c r="BM156" s="26">
        <v>142</v>
      </c>
      <c r="BN156" s="26">
        <v>68</v>
      </c>
      <c r="BO156" s="26">
        <v>118</v>
      </c>
      <c r="BP156" s="26">
        <v>0</v>
      </c>
      <c r="BQ156" s="26">
        <v>1</v>
      </c>
      <c r="BR156" s="224">
        <v>72</v>
      </c>
      <c r="BS156" s="225">
        <v>1</v>
      </c>
      <c r="BT156" s="230" t="s">
        <v>1012</v>
      </c>
      <c r="BU156" s="227">
        <v>10592923</v>
      </c>
      <c r="BV156" s="228">
        <v>44403</v>
      </c>
      <c r="BW156" s="225">
        <v>10.6</v>
      </c>
      <c r="BX156" s="228">
        <v>44942</v>
      </c>
      <c r="BY156" s="230">
        <v>10.7</v>
      </c>
      <c r="BZ156" s="226"/>
      <c r="CA156" s="226"/>
      <c r="CB156" s="226"/>
      <c r="CC156" s="226"/>
      <c r="CD156" s="225">
        <v>150579654104</v>
      </c>
      <c r="CE156" s="225">
        <v>0</v>
      </c>
    </row>
    <row r="157" spans="1:83" ht="15" customHeight="1" thickBot="1" x14ac:dyDescent="0.3">
      <c r="A157" s="15" t="s">
        <v>48</v>
      </c>
      <c r="B157" s="15" t="s">
        <v>125</v>
      </c>
      <c r="C157" s="23" t="s">
        <v>482</v>
      </c>
      <c r="D157" s="41" t="s">
        <v>470</v>
      </c>
      <c r="E157" s="23" t="s">
        <v>163</v>
      </c>
      <c r="F157" s="23" t="s">
        <v>242</v>
      </c>
      <c r="G157" s="23">
        <v>4</v>
      </c>
      <c r="H157" s="23">
        <v>1</v>
      </c>
      <c r="I157" s="85" t="s">
        <v>557</v>
      </c>
      <c r="J157">
        <v>2010</v>
      </c>
      <c r="L157" s="5">
        <f t="shared" si="52"/>
        <v>11</v>
      </c>
      <c r="M157" s="109" t="e">
        <f>+#REF!-L157</f>
        <v>#REF!</v>
      </c>
      <c r="N157" s="23">
        <v>86</v>
      </c>
      <c r="O157" s="23">
        <v>1.68</v>
      </c>
      <c r="P157" s="24">
        <f t="shared" si="63"/>
        <v>30.470521541950117</v>
      </c>
      <c r="Q157" s="24" t="s">
        <v>243</v>
      </c>
      <c r="R157" s="24" t="s">
        <v>487</v>
      </c>
      <c r="S157" s="23" t="s">
        <v>177</v>
      </c>
      <c r="T157" s="45" t="s">
        <v>242</v>
      </c>
      <c r="U157" s="23" t="s">
        <v>212</v>
      </c>
      <c r="V157" s="16">
        <v>44413</v>
      </c>
      <c r="W157" s="17">
        <v>13.5</v>
      </c>
      <c r="X157" s="17" t="s">
        <v>477</v>
      </c>
      <c r="Y157" s="17" t="s">
        <v>584</v>
      </c>
      <c r="Z157" s="96" t="s">
        <v>590</v>
      </c>
      <c r="AA157" s="98" t="s">
        <v>569</v>
      </c>
      <c r="AB157" s="17">
        <v>3</v>
      </c>
      <c r="AC157" s="23" t="s">
        <v>245</v>
      </c>
      <c r="AD157" s="23" t="s">
        <v>642</v>
      </c>
      <c r="AE157" s="36">
        <v>80</v>
      </c>
      <c r="AF157" s="94">
        <v>15.6</v>
      </c>
      <c r="AG157" s="94">
        <f t="shared" si="64"/>
        <v>1248</v>
      </c>
      <c r="AH157" s="88">
        <f t="shared" si="55"/>
        <v>12.387096774193548</v>
      </c>
      <c r="AI157" s="25" t="s">
        <v>243</v>
      </c>
      <c r="AJ157" s="23" t="s">
        <v>463</v>
      </c>
      <c r="AK157" s="44" t="s">
        <v>179</v>
      </c>
      <c r="AL157" s="23"/>
      <c r="AM157" s="91">
        <v>3.2199999999999999E-2</v>
      </c>
      <c r="AN157" s="91">
        <f t="shared" si="56"/>
        <v>0</v>
      </c>
      <c r="AO157" s="92">
        <f t="shared" si="57"/>
        <v>0</v>
      </c>
      <c r="AP157" s="23" t="s">
        <v>242</v>
      </c>
      <c r="AQ157" s="23" t="s">
        <v>254</v>
      </c>
      <c r="AR157" s="87">
        <v>1.069</v>
      </c>
      <c r="AS157" s="87">
        <f>+AV157*AR157</f>
        <v>64.14</v>
      </c>
      <c r="AT157" s="88">
        <f t="shared" si="58"/>
        <v>0.63662531017369728</v>
      </c>
      <c r="AU157" s="23" t="s">
        <v>243</v>
      </c>
      <c r="AV157" s="23">
        <v>60</v>
      </c>
      <c r="AW157" s="23"/>
      <c r="AX157" s="44"/>
      <c r="AY157" s="44"/>
      <c r="AZ157" s="87"/>
      <c r="BA157" s="87"/>
      <c r="BB157" s="88">
        <f t="shared" si="59"/>
        <v>0</v>
      </c>
      <c r="BC157" s="23" t="s">
        <v>242</v>
      </c>
      <c r="BD157" s="23"/>
      <c r="BE157" s="23"/>
      <c r="BI157" s="90">
        <f t="shared" si="60"/>
        <v>0</v>
      </c>
      <c r="BJ157" s="26">
        <f t="shared" ref="BJ157:BJ188" si="65">COUNTIF(AP157:BI157,"SI")</f>
        <v>1</v>
      </c>
      <c r="BK157" s="26">
        <v>0</v>
      </c>
      <c r="BL157" s="26" t="s">
        <v>851</v>
      </c>
      <c r="BM157" s="26">
        <v>140</v>
      </c>
      <c r="BN157" s="26">
        <v>70</v>
      </c>
      <c r="BO157" s="26">
        <v>104</v>
      </c>
      <c r="BP157" s="26">
        <v>0</v>
      </c>
      <c r="BQ157" s="26">
        <v>1</v>
      </c>
      <c r="BR157" s="224">
        <v>73</v>
      </c>
      <c r="BS157" s="225">
        <v>2</v>
      </c>
      <c r="BT157" s="230" t="s">
        <v>1014</v>
      </c>
      <c r="BU157" s="227">
        <v>6516801</v>
      </c>
      <c r="BV157" s="228">
        <v>44413</v>
      </c>
      <c r="BW157" s="225">
        <v>13.5</v>
      </c>
      <c r="BX157" s="228">
        <v>44914</v>
      </c>
      <c r="BY157" s="226">
        <v>6.2</v>
      </c>
      <c r="BZ157" s="226"/>
      <c r="CA157" s="226"/>
      <c r="CB157" s="226"/>
      <c r="CC157" s="226"/>
      <c r="CD157" s="225">
        <v>150421127306</v>
      </c>
      <c r="CE157" s="225">
        <v>0</v>
      </c>
    </row>
    <row r="158" spans="1:83" ht="15" customHeight="1" thickBot="1" x14ac:dyDescent="0.3">
      <c r="A158" s="15" t="s">
        <v>415</v>
      </c>
      <c r="B158" s="15" t="s">
        <v>416</v>
      </c>
      <c r="C158" s="23" t="s">
        <v>479</v>
      </c>
      <c r="D158" s="41" t="s">
        <v>469</v>
      </c>
      <c r="E158" s="23" t="s">
        <v>164</v>
      </c>
      <c r="F158" s="23" t="s">
        <v>242</v>
      </c>
      <c r="G158" s="23">
        <v>2</v>
      </c>
      <c r="H158" s="23">
        <v>1</v>
      </c>
      <c r="I158" s="85" t="s">
        <v>557</v>
      </c>
      <c r="J158">
        <v>1991</v>
      </c>
      <c r="L158" s="5">
        <f t="shared" si="52"/>
        <v>30</v>
      </c>
      <c r="M158" s="109" t="e">
        <f>+#REF!-L158</f>
        <v>#REF!</v>
      </c>
      <c r="N158" s="23">
        <v>91</v>
      </c>
      <c r="O158" s="23">
        <v>1.51</v>
      </c>
      <c r="P158" s="24">
        <f t="shared" si="63"/>
        <v>39.91053023990176</v>
      </c>
      <c r="Q158" s="24" t="s">
        <v>242</v>
      </c>
      <c r="R158" s="24" t="s">
        <v>487</v>
      </c>
      <c r="S158" s="23" t="s">
        <v>177</v>
      </c>
      <c r="T158" s="45" t="s">
        <v>242</v>
      </c>
      <c r="U158" s="23" t="s">
        <v>212</v>
      </c>
      <c r="V158" s="18">
        <v>44385</v>
      </c>
      <c r="W158" s="15">
        <v>7.6</v>
      </c>
      <c r="X158" s="17" t="s">
        <v>475</v>
      </c>
      <c r="Y158" s="17" t="s">
        <v>583</v>
      </c>
      <c r="Z158" s="96" t="s">
        <v>506</v>
      </c>
      <c r="AA158" s="98" t="s">
        <v>568</v>
      </c>
      <c r="AB158" s="17">
        <v>2</v>
      </c>
      <c r="AC158" s="23" t="s">
        <v>571</v>
      </c>
      <c r="AD158" s="23" t="s">
        <v>182</v>
      </c>
      <c r="AE158" s="36">
        <v>81</v>
      </c>
      <c r="AF158" s="94">
        <v>13.87</v>
      </c>
      <c r="AG158" s="94">
        <f t="shared" si="64"/>
        <v>1123.47</v>
      </c>
      <c r="AH158" s="88">
        <f t="shared" si="55"/>
        <v>11.15106699751861</v>
      </c>
      <c r="AI158" s="25" t="s">
        <v>243</v>
      </c>
      <c r="AJ158" s="23" t="s">
        <v>463</v>
      </c>
      <c r="AK158" s="23" t="s">
        <v>247</v>
      </c>
      <c r="AL158" s="23">
        <v>1000</v>
      </c>
      <c r="AM158" s="91">
        <v>3.2199999999999999E-2</v>
      </c>
      <c r="AN158" s="91">
        <f t="shared" si="56"/>
        <v>32.200000000000003</v>
      </c>
      <c r="AO158" s="92">
        <f t="shared" si="57"/>
        <v>0.31960297766749385</v>
      </c>
      <c r="AP158" s="23" t="s">
        <v>243</v>
      </c>
      <c r="AQ158" s="23"/>
      <c r="AR158" s="87"/>
      <c r="AS158" s="87"/>
      <c r="AT158" s="88">
        <f t="shared" si="58"/>
        <v>0</v>
      </c>
      <c r="AU158" s="23" t="s">
        <v>242</v>
      </c>
      <c r="AV158" s="44"/>
      <c r="AW158" s="23"/>
      <c r="AX158" s="44"/>
      <c r="AY158" s="44"/>
      <c r="AZ158" s="87"/>
      <c r="BA158" s="87"/>
      <c r="BB158" s="88">
        <f t="shared" si="59"/>
        <v>0</v>
      </c>
      <c r="BC158" s="23" t="s">
        <v>242</v>
      </c>
      <c r="BD158" s="23"/>
      <c r="BE158" s="23"/>
      <c r="BI158" s="90">
        <f t="shared" si="60"/>
        <v>0</v>
      </c>
      <c r="BJ158" s="26">
        <f t="shared" si="65"/>
        <v>1</v>
      </c>
      <c r="BK158" s="26">
        <v>0</v>
      </c>
      <c r="BL158" s="26" t="s">
        <v>850</v>
      </c>
      <c r="BM158" s="26">
        <v>150</v>
      </c>
      <c r="BN158" s="26">
        <v>80</v>
      </c>
      <c r="BO158" s="26">
        <v>121</v>
      </c>
      <c r="BP158" s="26">
        <v>0</v>
      </c>
      <c r="BQ158" s="26">
        <v>0</v>
      </c>
      <c r="BR158" s="224">
        <v>74</v>
      </c>
      <c r="BS158" s="225">
        <v>1</v>
      </c>
      <c r="BT158" s="230" t="s">
        <v>1016</v>
      </c>
      <c r="BU158" s="227">
        <v>10757934</v>
      </c>
      <c r="BV158" s="228">
        <v>44385</v>
      </c>
      <c r="BW158" s="225">
        <v>7.6</v>
      </c>
      <c r="BX158" s="228">
        <v>44942</v>
      </c>
      <c r="BY158" s="230">
        <v>5.5</v>
      </c>
      <c r="BZ158" s="226"/>
      <c r="CA158" s="226"/>
      <c r="CB158" s="226"/>
      <c r="CC158" s="225">
        <v>7.3</v>
      </c>
      <c r="CD158" s="225">
        <v>150731925508</v>
      </c>
      <c r="CE158" s="225">
        <v>0</v>
      </c>
    </row>
    <row r="159" spans="1:83" ht="15" customHeight="1" thickBot="1" x14ac:dyDescent="0.3">
      <c r="A159" s="15" t="s">
        <v>49</v>
      </c>
      <c r="B159" s="15" t="s">
        <v>126</v>
      </c>
      <c r="C159" s="23" t="s">
        <v>480</v>
      </c>
      <c r="D159" s="41" t="s">
        <v>469</v>
      </c>
      <c r="E159" s="23" t="s">
        <v>164</v>
      </c>
      <c r="F159" s="23" t="s">
        <v>243</v>
      </c>
      <c r="G159" s="23">
        <v>1</v>
      </c>
      <c r="H159" s="23">
        <v>2</v>
      </c>
      <c r="I159" s="85" t="s">
        <v>558</v>
      </c>
      <c r="J159">
        <v>2000</v>
      </c>
      <c r="L159" s="5">
        <f t="shared" si="52"/>
        <v>21</v>
      </c>
      <c r="M159" s="109" t="e">
        <f>+#REF!-L159</f>
        <v>#REF!</v>
      </c>
      <c r="N159" s="23">
        <v>91</v>
      </c>
      <c r="O159" s="23">
        <v>1.56</v>
      </c>
      <c r="P159" s="24">
        <f t="shared" si="63"/>
        <v>37.393162393162392</v>
      </c>
      <c r="Q159" s="24" t="s">
        <v>243</v>
      </c>
      <c r="R159" s="24" t="s">
        <v>487</v>
      </c>
      <c r="S159" s="23" t="s">
        <v>243</v>
      </c>
      <c r="T159" s="45" t="s">
        <v>242</v>
      </c>
      <c r="U159" s="23" t="s">
        <v>212</v>
      </c>
      <c r="V159" s="16">
        <v>44392</v>
      </c>
      <c r="W159" s="15">
        <v>10.1</v>
      </c>
      <c r="X159" s="17" t="s">
        <v>476</v>
      </c>
      <c r="Y159" s="17" t="s">
        <v>584</v>
      </c>
      <c r="Z159" s="96" t="s">
        <v>590</v>
      </c>
      <c r="AA159" s="98" t="s">
        <v>569</v>
      </c>
      <c r="AB159" s="17">
        <v>2</v>
      </c>
      <c r="AC159" s="23" t="s">
        <v>245</v>
      </c>
      <c r="AD159" s="23" t="s">
        <v>642</v>
      </c>
      <c r="AE159" s="36">
        <v>65</v>
      </c>
      <c r="AF159" s="94">
        <v>15.6</v>
      </c>
      <c r="AG159" s="94">
        <f t="shared" si="64"/>
        <v>1014</v>
      </c>
      <c r="AH159" s="88">
        <f t="shared" si="55"/>
        <v>10.064516129032258</v>
      </c>
      <c r="AI159" s="25" t="s">
        <v>243</v>
      </c>
      <c r="AJ159" s="23">
        <v>7</v>
      </c>
      <c r="AK159" s="23" t="s">
        <v>247</v>
      </c>
      <c r="AL159" s="23">
        <v>1000</v>
      </c>
      <c r="AM159" s="91">
        <v>3.2199999999999999E-2</v>
      </c>
      <c r="AN159" s="91">
        <f t="shared" si="56"/>
        <v>32.200000000000003</v>
      </c>
      <c r="AO159" s="92">
        <f t="shared" si="57"/>
        <v>0.31960297766749385</v>
      </c>
      <c r="AP159" s="23" t="s">
        <v>243</v>
      </c>
      <c r="AQ159" s="23"/>
      <c r="AR159" s="87"/>
      <c r="AS159" s="87"/>
      <c r="AT159" s="88">
        <f t="shared" si="58"/>
        <v>0</v>
      </c>
      <c r="AU159" s="23" t="s">
        <v>242</v>
      </c>
      <c r="AV159" s="44"/>
      <c r="AW159" s="23"/>
      <c r="AX159" s="44"/>
      <c r="AY159" s="44"/>
      <c r="AZ159" s="87"/>
      <c r="BA159" s="87"/>
      <c r="BB159" s="88">
        <f t="shared" si="59"/>
        <v>0</v>
      </c>
      <c r="BC159" s="23" t="s">
        <v>242</v>
      </c>
      <c r="BD159" s="23"/>
      <c r="BE159" s="23"/>
      <c r="BI159" s="90">
        <f t="shared" si="60"/>
        <v>0</v>
      </c>
      <c r="BJ159" s="26">
        <f t="shared" si="65"/>
        <v>1</v>
      </c>
      <c r="BK159" s="26">
        <v>1</v>
      </c>
      <c r="BL159" s="26" t="s">
        <v>848</v>
      </c>
      <c r="BM159" s="26">
        <v>140</v>
      </c>
      <c r="BN159" s="26">
        <v>70</v>
      </c>
      <c r="BO159" s="26">
        <v>111</v>
      </c>
      <c r="BP159" s="26">
        <v>1</v>
      </c>
      <c r="BQ159" s="26">
        <v>0</v>
      </c>
      <c r="BR159" s="224">
        <v>75</v>
      </c>
      <c r="BS159" s="225">
        <v>2</v>
      </c>
      <c r="BT159" s="230" t="s">
        <v>1018</v>
      </c>
      <c r="BU159" s="227">
        <v>6144177</v>
      </c>
      <c r="BV159" s="228">
        <v>44392</v>
      </c>
      <c r="BW159" s="225">
        <v>10.1</v>
      </c>
      <c r="BX159" s="228">
        <v>45007</v>
      </c>
      <c r="BY159" s="226">
        <v>6.8</v>
      </c>
      <c r="BZ159" s="226"/>
      <c r="CA159" s="226"/>
      <c r="CB159" s="226"/>
      <c r="CC159" s="226"/>
      <c r="CD159" s="225">
        <v>155524783401</v>
      </c>
      <c r="CE159" s="225">
        <v>0</v>
      </c>
    </row>
    <row r="160" spans="1:83" ht="15" customHeight="1" thickBot="1" x14ac:dyDescent="0.3">
      <c r="A160" s="15" t="s">
        <v>68</v>
      </c>
      <c r="B160" s="15" t="s">
        <v>151</v>
      </c>
      <c r="C160" s="23" t="s">
        <v>480</v>
      </c>
      <c r="D160" s="41" t="s">
        <v>469</v>
      </c>
      <c r="E160" s="23" t="s">
        <v>164</v>
      </c>
      <c r="F160" s="23" t="s">
        <v>179</v>
      </c>
      <c r="G160" s="23">
        <v>4</v>
      </c>
      <c r="H160" s="23">
        <v>1</v>
      </c>
      <c r="I160" s="85" t="s">
        <v>557</v>
      </c>
      <c r="J160">
        <v>1992</v>
      </c>
      <c r="L160" s="5">
        <f t="shared" si="52"/>
        <v>29</v>
      </c>
      <c r="M160" s="109" t="e">
        <f>+#REF!-L160</f>
        <v>#REF!</v>
      </c>
      <c r="N160" s="23">
        <v>62.3</v>
      </c>
      <c r="O160" s="23">
        <v>1.51</v>
      </c>
      <c r="P160" s="24">
        <f t="shared" si="63"/>
        <v>27.323363010394278</v>
      </c>
      <c r="Q160" s="24" t="s">
        <v>242</v>
      </c>
      <c r="R160" s="24" t="s">
        <v>486</v>
      </c>
      <c r="S160" s="23" t="s">
        <v>177</v>
      </c>
      <c r="T160" s="45" t="s">
        <v>242</v>
      </c>
      <c r="U160" s="23">
        <v>10</v>
      </c>
      <c r="V160" s="16">
        <v>44427</v>
      </c>
      <c r="W160" s="17">
        <v>14.3</v>
      </c>
      <c r="X160" s="17" t="s">
        <v>477</v>
      </c>
      <c r="Y160" s="17" t="s">
        <v>584</v>
      </c>
      <c r="Z160" s="96" t="s">
        <v>590</v>
      </c>
      <c r="AA160" s="98" t="s">
        <v>569</v>
      </c>
      <c r="AB160" s="17">
        <v>3</v>
      </c>
      <c r="AC160" s="23" t="s">
        <v>244</v>
      </c>
      <c r="AD160" s="23" t="s">
        <v>642</v>
      </c>
      <c r="AE160" s="36">
        <v>14</v>
      </c>
      <c r="AF160" s="94">
        <v>14.66</v>
      </c>
      <c r="AG160" s="94">
        <f t="shared" si="64"/>
        <v>205.24</v>
      </c>
      <c r="AH160" s="88">
        <f t="shared" si="55"/>
        <v>2.0371215880893301</v>
      </c>
      <c r="AI160" s="25" t="s">
        <v>243</v>
      </c>
      <c r="AJ160" s="23" t="s">
        <v>463</v>
      </c>
      <c r="AK160" s="23" t="s">
        <v>247</v>
      </c>
      <c r="AL160" s="23">
        <v>1000</v>
      </c>
      <c r="AM160" s="91">
        <v>3.2199999999999999E-2</v>
      </c>
      <c r="AN160" s="91">
        <f t="shared" si="56"/>
        <v>32.200000000000003</v>
      </c>
      <c r="AO160" s="92">
        <f t="shared" si="57"/>
        <v>0.31960297766749385</v>
      </c>
      <c r="AP160" s="23" t="s">
        <v>243</v>
      </c>
      <c r="AQ160" s="23"/>
      <c r="AR160" s="87"/>
      <c r="AS160" s="87"/>
      <c r="AT160" s="88">
        <f t="shared" si="58"/>
        <v>0</v>
      </c>
      <c r="AU160" s="23" t="s">
        <v>242</v>
      </c>
      <c r="AV160" s="44"/>
      <c r="AW160" s="23"/>
      <c r="AX160" s="44"/>
      <c r="AY160" s="44"/>
      <c r="AZ160" s="87"/>
      <c r="BA160" s="87"/>
      <c r="BB160" s="88">
        <f t="shared" si="59"/>
        <v>0</v>
      </c>
      <c r="BC160" s="23" t="s">
        <v>242</v>
      </c>
      <c r="BD160" s="23"/>
      <c r="BE160" s="23"/>
      <c r="BI160" s="90">
        <f t="shared" si="60"/>
        <v>0</v>
      </c>
      <c r="BJ160" s="26">
        <f t="shared" si="65"/>
        <v>1</v>
      </c>
      <c r="BK160" s="26">
        <v>1</v>
      </c>
      <c r="BL160" s="26" t="s">
        <v>850</v>
      </c>
      <c r="BM160" s="26">
        <v>120</v>
      </c>
      <c r="BN160" s="26">
        <v>70</v>
      </c>
      <c r="BO160" s="26">
        <v>93</v>
      </c>
      <c r="BP160" s="26">
        <v>0</v>
      </c>
      <c r="BQ160" s="26">
        <v>0</v>
      </c>
      <c r="BR160" s="224">
        <v>184</v>
      </c>
      <c r="BS160" s="225">
        <v>2</v>
      </c>
      <c r="BT160" s="230" t="s">
        <v>1237</v>
      </c>
      <c r="BU160" s="227">
        <v>6362275</v>
      </c>
      <c r="BV160" s="228">
        <v>44427</v>
      </c>
      <c r="BW160" s="225">
        <v>14.3</v>
      </c>
      <c r="BX160" s="228">
        <v>44910</v>
      </c>
      <c r="BY160" s="226">
        <v>9.6</v>
      </c>
      <c r="BZ160" s="226"/>
      <c r="CA160" s="226"/>
      <c r="CB160" s="226"/>
      <c r="CC160" s="226"/>
      <c r="CD160" s="225">
        <v>150666630704</v>
      </c>
      <c r="CE160" s="225">
        <v>0</v>
      </c>
    </row>
    <row r="161" spans="1:83" ht="15" customHeight="1" thickBot="1" x14ac:dyDescent="0.3">
      <c r="A161" s="15" t="s">
        <v>417</v>
      </c>
      <c r="B161" s="15" t="s">
        <v>418</v>
      </c>
      <c r="C161" s="23" t="s">
        <v>480</v>
      </c>
      <c r="D161" s="41" t="s">
        <v>470</v>
      </c>
      <c r="E161" s="23" t="s">
        <v>164</v>
      </c>
      <c r="F161" s="23" t="s">
        <v>179</v>
      </c>
      <c r="G161" s="23">
        <v>2</v>
      </c>
      <c r="H161" s="23">
        <v>1</v>
      </c>
      <c r="I161" s="85" t="s">
        <v>557</v>
      </c>
      <c r="J161">
        <v>1980</v>
      </c>
      <c r="L161" s="5">
        <f t="shared" si="52"/>
        <v>41</v>
      </c>
      <c r="M161" s="109" t="e">
        <f>+#REF!-L161</f>
        <v>#REF!</v>
      </c>
      <c r="N161" s="23">
        <v>76.7</v>
      </c>
      <c r="O161" s="23">
        <v>1.58</v>
      </c>
      <c r="P161" s="24">
        <f t="shared" si="63"/>
        <v>30.724242909790092</v>
      </c>
      <c r="Q161" s="24" t="s">
        <v>242</v>
      </c>
      <c r="R161" s="24" t="s">
        <v>487</v>
      </c>
      <c r="S161" s="23" t="s">
        <v>177</v>
      </c>
      <c r="T161" s="45" t="s">
        <v>242</v>
      </c>
      <c r="U161" s="23" t="s">
        <v>212</v>
      </c>
      <c r="V161" s="18">
        <v>44385</v>
      </c>
      <c r="W161" s="15">
        <v>8.8000000000000007</v>
      </c>
      <c r="X161" s="17" t="s">
        <v>475</v>
      </c>
      <c r="Y161" s="17" t="s">
        <v>584</v>
      </c>
      <c r="Z161" s="96" t="s">
        <v>506</v>
      </c>
      <c r="AA161" s="98" t="s">
        <v>569</v>
      </c>
      <c r="AB161" s="17">
        <v>2</v>
      </c>
      <c r="AC161" s="23" t="s">
        <v>245</v>
      </c>
      <c r="AD161" s="23" t="s">
        <v>642</v>
      </c>
      <c r="AE161" s="36">
        <v>30</v>
      </c>
      <c r="AF161" s="94">
        <v>15.6</v>
      </c>
      <c r="AG161" s="94">
        <f t="shared" si="64"/>
        <v>468</v>
      </c>
      <c r="AH161" s="88">
        <f t="shared" si="55"/>
        <v>4.645161290322581</v>
      </c>
      <c r="AI161" s="25" t="s">
        <v>243</v>
      </c>
      <c r="AJ161" s="23">
        <v>10</v>
      </c>
      <c r="AK161" s="23" t="s">
        <v>247</v>
      </c>
      <c r="AL161" s="23">
        <v>1700</v>
      </c>
      <c r="AM161" s="91">
        <v>3.2199999999999999E-2</v>
      </c>
      <c r="AN161" s="91">
        <f t="shared" si="56"/>
        <v>54.74</v>
      </c>
      <c r="AO161" s="92">
        <f t="shared" si="57"/>
        <v>0.54332506203473951</v>
      </c>
      <c r="AP161" s="23" t="s">
        <v>243</v>
      </c>
      <c r="AQ161" s="23"/>
      <c r="AR161" s="87"/>
      <c r="AS161" s="87"/>
      <c r="AT161" s="88">
        <f t="shared" si="58"/>
        <v>0</v>
      </c>
      <c r="AU161" s="23" t="s">
        <v>242</v>
      </c>
      <c r="AV161" s="44"/>
      <c r="AW161" s="23"/>
      <c r="AX161" s="23" t="s">
        <v>249</v>
      </c>
      <c r="AY161" s="23">
        <v>100</v>
      </c>
      <c r="AZ161" s="87">
        <v>5.4</v>
      </c>
      <c r="BA161" s="87">
        <f>+AY161*AZ161</f>
        <v>540</v>
      </c>
      <c r="BB161" s="88">
        <f t="shared" si="59"/>
        <v>5.3598014888337469</v>
      </c>
      <c r="BC161" s="23" t="s">
        <v>243</v>
      </c>
      <c r="BD161" s="23"/>
      <c r="BE161" s="23"/>
      <c r="BI161" s="90">
        <f t="shared" si="60"/>
        <v>0</v>
      </c>
      <c r="BJ161" s="26">
        <f t="shared" si="65"/>
        <v>2</v>
      </c>
      <c r="BK161" s="26">
        <v>1</v>
      </c>
      <c r="BL161" s="26" t="s">
        <v>848</v>
      </c>
      <c r="BM161" s="26">
        <v>110</v>
      </c>
      <c r="BN161" s="26">
        <v>70</v>
      </c>
      <c r="BO161" s="26">
        <v>116</v>
      </c>
      <c r="BP161" s="26">
        <v>0</v>
      </c>
      <c r="BQ161" s="26">
        <v>1</v>
      </c>
      <c r="BR161" s="224">
        <v>76</v>
      </c>
      <c r="BS161" s="225">
        <v>1</v>
      </c>
      <c r="BT161" s="230" t="s">
        <v>1020</v>
      </c>
      <c r="BU161" s="227">
        <v>5153636</v>
      </c>
      <c r="BV161" s="228">
        <v>44385</v>
      </c>
      <c r="BW161" s="225">
        <v>8.8000000000000007</v>
      </c>
      <c r="BX161" s="226"/>
      <c r="BY161" s="226"/>
      <c r="BZ161" s="226"/>
      <c r="CA161" s="226"/>
      <c r="CB161" s="226"/>
      <c r="CC161" s="226"/>
      <c r="CD161" s="225">
        <v>150624728504</v>
      </c>
      <c r="CE161" s="225">
        <v>0</v>
      </c>
    </row>
    <row r="162" spans="1:83" ht="15" customHeight="1" thickBot="1" x14ac:dyDescent="0.3">
      <c r="A162" s="15" t="s">
        <v>50</v>
      </c>
      <c r="B162" s="15" t="s">
        <v>127</v>
      </c>
      <c r="C162" s="23" t="s">
        <v>480</v>
      </c>
      <c r="D162" s="41" t="s">
        <v>469</v>
      </c>
      <c r="E162" s="23" t="s">
        <v>163</v>
      </c>
      <c r="F162" s="23" t="s">
        <v>179</v>
      </c>
      <c r="G162" s="23">
        <v>3</v>
      </c>
      <c r="H162" s="23">
        <v>3</v>
      </c>
      <c r="I162" s="85" t="s">
        <v>559</v>
      </c>
      <c r="J162">
        <v>2011</v>
      </c>
      <c r="L162" s="5">
        <f t="shared" si="52"/>
        <v>10</v>
      </c>
      <c r="M162" s="109" t="e">
        <f>+#REF!-L162</f>
        <v>#REF!</v>
      </c>
      <c r="N162" s="23">
        <v>95.4</v>
      </c>
      <c r="O162" s="23">
        <v>1.71</v>
      </c>
      <c r="P162" s="24">
        <f t="shared" si="63"/>
        <v>32.625423207140663</v>
      </c>
      <c r="Q162" s="24" t="s">
        <v>243</v>
      </c>
      <c r="R162" s="24" t="s">
        <v>487</v>
      </c>
      <c r="S162" s="23" t="s">
        <v>177</v>
      </c>
      <c r="T162" s="45" t="s">
        <v>242</v>
      </c>
      <c r="U162" s="23" t="s">
        <v>212</v>
      </c>
      <c r="V162" s="16">
        <v>44392</v>
      </c>
      <c r="W162" s="15">
        <v>10.5</v>
      </c>
      <c r="X162" s="17" t="s">
        <v>476</v>
      </c>
      <c r="Y162" s="17" t="s">
        <v>584</v>
      </c>
      <c r="Z162" s="96" t="s">
        <v>590</v>
      </c>
      <c r="AA162" s="98" t="s">
        <v>569</v>
      </c>
      <c r="AB162" s="17">
        <v>2</v>
      </c>
      <c r="AC162" s="23" t="s">
        <v>244</v>
      </c>
      <c r="AD162" s="23" t="s">
        <v>642</v>
      </c>
      <c r="AE162" s="36">
        <v>48</v>
      </c>
      <c r="AF162" s="94">
        <v>14.66</v>
      </c>
      <c r="AG162" s="94">
        <f t="shared" ref="AG162:AG209" si="66">+AE162*AF162</f>
        <v>703.68000000000006</v>
      </c>
      <c r="AH162" s="88">
        <f t="shared" si="55"/>
        <v>6.9844168734491321</v>
      </c>
      <c r="AI162" s="25" t="s">
        <v>242</v>
      </c>
      <c r="AJ162" s="23"/>
      <c r="AK162" s="23" t="s">
        <v>247</v>
      </c>
      <c r="AL162" s="23">
        <v>2000</v>
      </c>
      <c r="AM162" s="91">
        <v>3.2199999999999999E-2</v>
      </c>
      <c r="AN162" s="91">
        <f t="shared" si="56"/>
        <v>64.400000000000006</v>
      </c>
      <c r="AO162" s="92">
        <f t="shared" si="57"/>
        <v>0.6392059553349877</v>
      </c>
      <c r="AP162" s="23" t="s">
        <v>243</v>
      </c>
      <c r="AQ162" s="23"/>
      <c r="AR162" s="87"/>
      <c r="AS162" s="87"/>
      <c r="AT162" s="88">
        <f t="shared" si="58"/>
        <v>0</v>
      </c>
      <c r="AU162" s="23" t="s">
        <v>242</v>
      </c>
      <c r="AV162" s="44"/>
      <c r="AW162" s="23"/>
      <c r="AX162" s="44"/>
      <c r="AY162" s="44"/>
      <c r="AZ162" s="87"/>
      <c r="BA162" s="87"/>
      <c r="BB162" s="88">
        <f t="shared" si="59"/>
        <v>0</v>
      </c>
      <c r="BC162" s="23" t="s">
        <v>242</v>
      </c>
      <c r="BD162" s="23"/>
      <c r="BE162" s="23"/>
      <c r="BI162" s="90">
        <f t="shared" si="60"/>
        <v>0</v>
      </c>
      <c r="BJ162" s="26">
        <f t="shared" si="65"/>
        <v>1</v>
      </c>
      <c r="BK162" s="26">
        <v>0</v>
      </c>
      <c r="BL162" s="26" t="s">
        <v>850</v>
      </c>
      <c r="BM162" s="26">
        <v>160</v>
      </c>
      <c r="BN162" s="26">
        <v>80</v>
      </c>
      <c r="BO162" s="26">
        <v>112</v>
      </c>
      <c r="BP162" s="26">
        <v>0</v>
      </c>
      <c r="BQ162" s="26">
        <v>0</v>
      </c>
      <c r="BR162" s="224">
        <v>77</v>
      </c>
      <c r="BS162" s="225">
        <v>2</v>
      </c>
      <c r="BT162" s="230" t="s">
        <v>1022</v>
      </c>
      <c r="BU162" s="227">
        <v>8037762</v>
      </c>
      <c r="BV162" s="228">
        <v>44392</v>
      </c>
      <c r="BW162" s="225">
        <v>10.5</v>
      </c>
      <c r="BX162" s="228">
        <v>44909</v>
      </c>
      <c r="BY162" s="226">
        <v>7.6</v>
      </c>
      <c r="BZ162" s="226"/>
      <c r="CA162" s="226"/>
      <c r="CB162" s="226"/>
      <c r="CC162" s="226"/>
      <c r="CD162" s="225">
        <v>150689830108</v>
      </c>
      <c r="CE162" s="225">
        <v>0</v>
      </c>
    </row>
    <row r="163" spans="1:83" ht="15" customHeight="1" thickBot="1" x14ac:dyDescent="0.3">
      <c r="A163" s="15" t="s">
        <v>69</v>
      </c>
      <c r="B163" s="15" t="s">
        <v>152</v>
      </c>
      <c r="C163" s="23" t="s">
        <v>480</v>
      </c>
      <c r="D163" s="41" t="s">
        <v>469</v>
      </c>
      <c r="E163" s="23" t="s">
        <v>164</v>
      </c>
      <c r="F163" s="23" t="s">
        <v>242</v>
      </c>
      <c r="G163" s="23">
        <v>1</v>
      </c>
      <c r="H163" s="23">
        <v>1</v>
      </c>
      <c r="I163" s="85" t="s">
        <v>557</v>
      </c>
      <c r="J163">
        <v>1995</v>
      </c>
      <c r="L163" s="5">
        <f t="shared" si="52"/>
        <v>26</v>
      </c>
      <c r="M163" s="109" t="e">
        <f>+#REF!-L163</f>
        <v>#REF!</v>
      </c>
      <c r="N163" s="23">
        <v>71</v>
      </c>
      <c r="O163" s="23">
        <v>1.61</v>
      </c>
      <c r="P163" s="24">
        <f t="shared" si="63"/>
        <v>27.390918560240728</v>
      </c>
      <c r="Q163" s="24" t="s">
        <v>243</v>
      </c>
      <c r="R163" s="24" t="s">
        <v>486</v>
      </c>
      <c r="S163" s="23" t="s">
        <v>243</v>
      </c>
      <c r="T163" s="45" t="s">
        <v>242</v>
      </c>
      <c r="U163" s="23" t="s">
        <v>212</v>
      </c>
      <c r="V163" s="16">
        <v>44427</v>
      </c>
      <c r="W163" s="17">
        <v>8.1</v>
      </c>
      <c r="X163" s="17" t="s">
        <v>475</v>
      </c>
      <c r="Y163" s="17" t="s">
        <v>584</v>
      </c>
      <c r="Z163" s="96" t="s">
        <v>506</v>
      </c>
      <c r="AA163" s="98" t="s">
        <v>569</v>
      </c>
      <c r="AB163" s="17">
        <v>2</v>
      </c>
      <c r="AC163" s="23" t="s">
        <v>244</v>
      </c>
      <c r="AD163" s="23" t="s">
        <v>642</v>
      </c>
      <c r="AE163" s="36">
        <v>40</v>
      </c>
      <c r="AF163" s="94">
        <v>14.66</v>
      </c>
      <c r="AG163" s="94">
        <f t="shared" si="66"/>
        <v>586.4</v>
      </c>
      <c r="AH163" s="88">
        <f t="shared" si="55"/>
        <v>5.820347394540943</v>
      </c>
      <c r="AI163" s="25" t="s">
        <v>242</v>
      </c>
      <c r="AJ163" s="23"/>
      <c r="AK163" s="23" t="s">
        <v>247</v>
      </c>
      <c r="AL163" s="23">
        <v>1000</v>
      </c>
      <c r="AM163" s="91">
        <v>3.2199999999999999E-2</v>
      </c>
      <c r="AN163" s="91">
        <f t="shared" si="56"/>
        <v>32.200000000000003</v>
      </c>
      <c r="AO163" s="92">
        <f t="shared" si="57"/>
        <v>0.31960297766749385</v>
      </c>
      <c r="AP163" s="23" t="s">
        <v>243</v>
      </c>
      <c r="AQ163" s="23"/>
      <c r="AR163" s="87"/>
      <c r="AS163" s="87"/>
      <c r="AT163" s="88">
        <f t="shared" si="58"/>
        <v>0</v>
      </c>
      <c r="AU163" s="23" t="s">
        <v>242</v>
      </c>
      <c r="AV163" s="44"/>
      <c r="AW163" s="23"/>
      <c r="AX163" s="44"/>
      <c r="AY163" s="44"/>
      <c r="AZ163" s="87"/>
      <c r="BA163" s="87"/>
      <c r="BB163" s="88">
        <f t="shared" si="59"/>
        <v>0</v>
      </c>
      <c r="BC163" s="23" t="s">
        <v>242</v>
      </c>
      <c r="BD163" s="23"/>
      <c r="BE163" s="23"/>
      <c r="BI163" s="90">
        <f t="shared" si="60"/>
        <v>0</v>
      </c>
      <c r="BJ163" s="26">
        <f t="shared" si="65"/>
        <v>1</v>
      </c>
      <c r="BK163" s="26">
        <v>1</v>
      </c>
      <c r="BL163" s="26" t="s">
        <v>850</v>
      </c>
      <c r="BM163" s="26">
        <v>120</v>
      </c>
      <c r="BN163" s="26">
        <v>60</v>
      </c>
      <c r="BO163" s="26">
        <v>98</v>
      </c>
      <c r="BP163" s="26">
        <v>0</v>
      </c>
      <c r="BQ163" s="26">
        <v>0</v>
      </c>
      <c r="BR163" s="224">
        <v>185</v>
      </c>
      <c r="BS163" s="225">
        <v>2</v>
      </c>
      <c r="BT163" s="230" t="s">
        <v>1239</v>
      </c>
      <c r="BU163" s="227">
        <v>6213330</v>
      </c>
      <c r="BV163" s="228">
        <v>44427</v>
      </c>
      <c r="BW163" s="225">
        <v>8.1</v>
      </c>
      <c r="BX163" s="228">
        <v>44910</v>
      </c>
      <c r="BY163" s="226">
        <v>6</v>
      </c>
      <c r="BZ163" s="226"/>
      <c r="CA163" s="226"/>
      <c r="CB163" s="226"/>
      <c r="CC163" s="226"/>
      <c r="CD163" s="225">
        <v>150728839903</v>
      </c>
      <c r="CE163" s="225">
        <v>0</v>
      </c>
    </row>
    <row r="164" spans="1:83" ht="15" customHeight="1" thickBot="1" x14ac:dyDescent="0.3">
      <c r="A164" s="15" t="s">
        <v>14</v>
      </c>
      <c r="B164" s="15" t="s">
        <v>419</v>
      </c>
      <c r="C164" s="23" t="s">
        <v>479</v>
      </c>
      <c r="D164" s="41" t="s">
        <v>469</v>
      </c>
      <c r="E164" s="23" t="s">
        <v>164</v>
      </c>
      <c r="F164" s="23" t="s">
        <v>242</v>
      </c>
      <c r="G164" s="23">
        <v>3</v>
      </c>
      <c r="H164" s="23">
        <v>2</v>
      </c>
      <c r="I164" s="85" t="s">
        <v>558</v>
      </c>
      <c r="J164">
        <v>2009</v>
      </c>
      <c r="L164" s="5">
        <f t="shared" si="52"/>
        <v>12</v>
      </c>
      <c r="M164" s="109" t="e">
        <f>+#REF!-L164</f>
        <v>#REF!</v>
      </c>
      <c r="N164" s="23">
        <v>90.8</v>
      </c>
      <c r="O164" s="23">
        <v>1.63</v>
      </c>
      <c r="P164" s="24">
        <f t="shared" si="63"/>
        <v>34.175166547480146</v>
      </c>
      <c r="Q164" s="24" t="s">
        <v>242</v>
      </c>
      <c r="R164" s="24" t="s">
        <v>487</v>
      </c>
      <c r="S164" s="23" t="s">
        <v>177</v>
      </c>
      <c r="T164" s="45" t="s">
        <v>242</v>
      </c>
      <c r="U164" s="23"/>
      <c r="V164" s="18">
        <v>44385</v>
      </c>
      <c r="W164" s="15">
        <v>14.4</v>
      </c>
      <c r="X164" s="17" t="s">
        <v>477</v>
      </c>
      <c r="Y164" s="17" t="s">
        <v>584</v>
      </c>
      <c r="Z164" s="96" t="s">
        <v>590</v>
      </c>
      <c r="AA164" s="98" t="s">
        <v>569</v>
      </c>
      <c r="AB164" s="17">
        <v>3</v>
      </c>
      <c r="AC164" s="23" t="s">
        <v>244</v>
      </c>
      <c r="AD164" s="23" t="s">
        <v>642</v>
      </c>
      <c r="AE164" s="36">
        <v>80</v>
      </c>
      <c r="AF164" s="94">
        <v>14.66</v>
      </c>
      <c r="AG164" s="94">
        <f t="shared" si="66"/>
        <v>1172.8</v>
      </c>
      <c r="AH164" s="88">
        <f t="shared" si="55"/>
        <v>11.640694789081886</v>
      </c>
      <c r="AI164" s="25" t="s">
        <v>243</v>
      </c>
      <c r="AJ164" s="23">
        <v>4</v>
      </c>
      <c r="AK164" s="23" t="s">
        <v>247</v>
      </c>
      <c r="AL164" s="23">
        <v>1700</v>
      </c>
      <c r="AM164" s="91">
        <v>3.2199999999999999E-2</v>
      </c>
      <c r="AN164" s="91">
        <f t="shared" si="56"/>
        <v>54.74</v>
      </c>
      <c r="AO164" s="92">
        <f t="shared" si="57"/>
        <v>0.54332506203473951</v>
      </c>
      <c r="AP164" s="23" t="s">
        <v>243</v>
      </c>
      <c r="AQ164" s="23"/>
      <c r="AR164" s="87"/>
      <c r="AS164" s="87"/>
      <c r="AT164" s="88">
        <f t="shared" si="58"/>
        <v>0</v>
      </c>
      <c r="AU164" s="23" t="s">
        <v>242</v>
      </c>
      <c r="AV164" s="44"/>
      <c r="AW164" s="23"/>
      <c r="AX164" s="23" t="s">
        <v>249</v>
      </c>
      <c r="AY164" s="23">
        <v>100</v>
      </c>
      <c r="AZ164" s="87">
        <v>5.4</v>
      </c>
      <c r="BA164" s="87">
        <f>+AY164*AZ164</f>
        <v>540</v>
      </c>
      <c r="BB164" s="88">
        <f t="shared" si="59"/>
        <v>5.3598014888337469</v>
      </c>
      <c r="BC164" s="23" t="s">
        <v>243</v>
      </c>
      <c r="BD164" s="23"/>
      <c r="BE164" s="23"/>
      <c r="BI164" s="90">
        <f t="shared" si="60"/>
        <v>0</v>
      </c>
      <c r="BJ164" s="26">
        <f t="shared" si="65"/>
        <v>2</v>
      </c>
      <c r="BK164" s="26">
        <v>0</v>
      </c>
      <c r="BL164" s="26" t="s">
        <v>848</v>
      </c>
      <c r="BM164" s="26">
        <v>120</v>
      </c>
      <c r="BN164" s="26">
        <v>70</v>
      </c>
      <c r="BO164" s="26">
        <v>111</v>
      </c>
      <c r="BP164" s="26">
        <v>0</v>
      </c>
      <c r="BQ164" s="26">
        <v>0</v>
      </c>
      <c r="BR164" s="224">
        <v>79</v>
      </c>
      <c r="BS164" s="225">
        <v>1</v>
      </c>
      <c r="BT164" s="230" t="s">
        <v>1026</v>
      </c>
      <c r="BU164" s="227">
        <v>11490083</v>
      </c>
      <c r="BV164" s="228">
        <v>44385</v>
      </c>
      <c r="BW164" s="225">
        <v>14.4</v>
      </c>
      <c r="BX164" s="226"/>
      <c r="BY164" s="226"/>
      <c r="BZ164" s="226"/>
      <c r="CA164" s="226"/>
      <c r="CB164" s="226"/>
      <c r="CC164" s="226"/>
      <c r="CD164" s="225">
        <v>155086873609</v>
      </c>
      <c r="CE164" s="225">
        <v>0</v>
      </c>
    </row>
    <row r="165" spans="1:83" ht="15" customHeight="1" thickBot="1" x14ac:dyDescent="0.3">
      <c r="A165" s="15" t="s">
        <v>14</v>
      </c>
      <c r="B165" s="15" t="s">
        <v>420</v>
      </c>
      <c r="C165" s="23" t="s">
        <v>480</v>
      </c>
      <c r="D165" s="41" t="s">
        <v>470</v>
      </c>
      <c r="E165" s="23" t="s">
        <v>164</v>
      </c>
      <c r="F165" s="23" t="s">
        <v>179</v>
      </c>
      <c r="G165" s="23">
        <v>2</v>
      </c>
      <c r="H165" s="23">
        <v>1</v>
      </c>
      <c r="I165" s="85" t="s">
        <v>557</v>
      </c>
      <c r="J165">
        <v>1990</v>
      </c>
      <c r="L165" s="5">
        <f t="shared" si="52"/>
        <v>31</v>
      </c>
      <c r="M165" s="109" t="e">
        <f>+#REF!-L165</f>
        <v>#REF!</v>
      </c>
      <c r="N165" s="23">
        <v>89</v>
      </c>
      <c r="O165" s="23">
        <v>1.56</v>
      </c>
      <c r="P165" s="24">
        <f t="shared" si="63"/>
        <v>36.571334648257725</v>
      </c>
      <c r="Q165" s="24" t="s">
        <v>242</v>
      </c>
      <c r="R165" s="24" t="s">
        <v>487</v>
      </c>
      <c r="S165" s="23" t="s">
        <v>177</v>
      </c>
      <c r="T165" s="45" t="s">
        <v>243</v>
      </c>
      <c r="U165" s="23">
        <v>43</v>
      </c>
      <c r="V165" s="16">
        <v>44392</v>
      </c>
      <c r="W165" s="15">
        <v>7.5</v>
      </c>
      <c r="X165" s="17" t="s">
        <v>475</v>
      </c>
      <c r="Y165" s="17" t="s">
        <v>583</v>
      </c>
      <c r="Z165" s="97" t="s">
        <v>505</v>
      </c>
      <c r="AA165" s="99" t="s">
        <v>567</v>
      </c>
      <c r="AB165" s="15">
        <v>1</v>
      </c>
      <c r="AC165" s="23" t="s">
        <v>244</v>
      </c>
      <c r="AD165" s="23" t="s">
        <v>642</v>
      </c>
      <c r="AE165" s="36">
        <v>52</v>
      </c>
      <c r="AF165" s="94">
        <v>14.66</v>
      </c>
      <c r="AG165" s="94">
        <f t="shared" si="66"/>
        <v>762.32</v>
      </c>
      <c r="AH165" s="88">
        <f t="shared" si="55"/>
        <v>7.5664516129032267</v>
      </c>
      <c r="AI165" s="25" t="s">
        <v>243</v>
      </c>
      <c r="AJ165" s="23" t="s">
        <v>463</v>
      </c>
      <c r="AK165" s="23" t="s">
        <v>247</v>
      </c>
      <c r="AL165" s="23">
        <v>3000</v>
      </c>
      <c r="AM165" s="91">
        <v>3.2199999999999999E-2</v>
      </c>
      <c r="AN165" s="91">
        <f t="shared" si="56"/>
        <v>96.6</v>
      </c>
      <c r="AO165" s="92">
        <f t="shared" si="57"/>
        <v>0.95880893300248138</v>
      </c>
      <c r="AP165" s="23" t="s">
        <v>243</v>
      </c>
      <c r="AQ165" s="23"/>
      <c r="AR165" s="87"/>
      <c r="AS165" s="87"/>
      <c r="AT165" s="88">
        <f t="shared" si="58"/>
        <v>0</v>
      </c>
      <c r="AU165" s="23" t="s">
        <v>242</v>
      </c>
      <c r="AV165" s="44"/>
      <c r="AW165" s="23"/>
      <c r="AX165" s="44"/>
      <c r="AY165" s="44"/>
      <c r="AZ165" s="87"/>
      <c r="BA165" s="87"/>
      <c r="BB165" s="88">
        <f t="shared" si="59"/>
        <v>0</v>
      </c>
      <c r="BC165" s="23" t="s">
        <v>242</v>
      </c>
      <c r="BD165" s="23"/>
      <c r="BE165" s="23"/>
      <c r="BI165" s="90">
        <f t="shared" si="60"/>
        <v>0</v>
      </c>
      <c r="BJ165" s="26">
        <f t="shared" si="65"/>
        <v>1</v>
      </c>
      <c r="BK165" s="26">
        <v>1</v>
      </c>
      <c r="BL165" s="26" t="s">
        <v>848</v>
      </c>
      <c r="BM165" s="26">
        <v>150</v>
      </c>
      <c r="BN165" s="26">
        <v>90</v>
      </c>
      <c r="BO165" s="26">
        <v>119</v>
      </c>
      <c r="BP165" s="26">
        <v>1</v>
      </c>
      <c r="BQ165" s="26">
        <v>1</v>
      </c>
      <c r="BR165" s="224">
        <v>78</v>
      </c>
      <c r="BS165" s="225">
        <v>2</v>
      </c>
      <c r="BT165" s="230" t="s">
        <v>1024</v>
      </c>
      <c r="BU165" s="227">
        <v>5214687</v>
      </c>
      <c r="BV165" s="228">
        <v>44392</v>
      </c>
      <c r="BW165" s="225">
        <v>7.5</v>
      </c>
      <c r="BX165" s="228">
        <v>45016</v>
      </c>
      <c r="BY165" s="226">
        <v>5.9</v>
      </c>
      <c r="BZ165" s="226"/>
      <c r="CA165" s="226"/>
      <c r="CB165" s="226"/>
      <c r="CC165" s="226"/>
      <c r="CD165" s="225">
        <v>150336706007</v>
      </c>
      <c r="CE165" s="225">
        <v>0</v>
      </c>
    </row>
    <row r="166" spans="1:83" ht="15" customHeight="1" thickBot="1" x14ac:dyDescent="0.3">
      <c r="A166" s="15" t="s">
        <v>14</v>
      </c>
      <c r="B166" s="15" t="s">
        <v>153</v>
      </c>
      <c r="C166" s="23" t="s">
        <v>480</v>
      </c>
      <c r="D166" s="41" t="s">
        <v>469</v>
      </c>
      <c r="E166" s="23" t="s">
        <v>164</v>
      </c>
      <c r="F166" s="23" t="s">
        <v>179</v>
      </c>
      <c r="G166" s="23">
        <v>2</v>
      </c>
      <c r="H166" s="23">
        <v>1</v>
      </c>
      <c r="I166" s="85" t="s">
        <v>557</v>
      </c>
      <c r="J166">
        <v>2003</v>
      </c>
      <c r="L166" s="5">
        <f t="shared" si="52"/>
        <v>18</v>
      </c>
      <c r="M166" s="109" t="e">
        <f>+#REF!-L166</f>
        <v>#REF!</v>
      </c>
      <c r="N166" s="23">
        <v>74.2</v>
      </c>
      <c r="O166" s="23">
        <v>1.55</v>
      </c>
      <c r="P166" s="24">
        <f t="shared" si="63"/>
        <v>30.884495317377731</v>
      </c>
      <c r="Q166" s="24" t="s">
        <v>242</v>
      </c>
      <c r="R166" s="24" t="s">
        <v>487</v>
      </c>
      <c r="S166" s="23" t="s">
        <v>177</v>
      </c>
      <c r="T166" s="45" t="s">
        <v>242</v>
      </c>
      <c r="U166" s="23" t="s">
        <v>212</v>
      </c>
      <c r="V166" s="16">
        <v>44427</v>
      </c>
      <c r="W166" s="17">
        <v>10.1</v>
      </c>
      <c r="X166" s="17" t="s">
        <v>476</v>
      </c>
      <c r="Y166" s="17" t="s">
        <v>584</v>
      </c>
      <c r="Z166" s="96" t="s">
        <v>590</v>
      </c>
      <c r="AA166" s="98" t="s">
        <v>569</v>
      </c>
      <c r="AB166" s="17">
        <v>2</v>
      </c>
      <c r="AC166" s="23" t="s">
        <v>244</v>
      </c>
      <c r="AD166" s="23" t="s">
        <v>642</v>
      </c>
      <c r="AE166" s="36">
        <v>18</v>
      </c>
      <c r="AF166" s="94">
        <v>14.66</v>
      </c>
      <c r="AG166" s="94">
        <f t="shared" si="66"/>
        <v>263.88</v>
      </c>
      <c r="AH166" s="88">
        <f t="shared" si="55"/>
        <v>2.6191563275434242</v>
      </c>
      <c r="AI166" s="25" t="s">
        <v>242</v>
      </c>
      <c r="AJ166" s="23"/>
      <c r="AK166" s="23" t="s">
        <v>247</v>
      </c>
      <c r="AL166" s="23">
        <v>2000</v>
      </c>
      <c r="AM166" s="91">
        <v>3.2199999999999999E-2</v>
      </c>
      <c r="AN166" s="91">
        <f t="shared" si="56"/>
        <v>64.400000000000006</v>
      </c>
      <c r="AO166" s="92">
        <f t="shared" si="57"/>
        <v>0.6392059553349877</v>
      </c>
      <c r="AP166" s="23" t="s">
        <v>243</v>
      </c>
      <c r="AQ166" s="23" t="s">
        <v>254</v>
      </c>
      <c r="AR166" s="87">
        <v>1.069</v>
      </c>
      <c r="AS166" s="87">
        <f>+AV166*AR166</f>
        <v>128.28</v>
      </c>
      <c r="AT166" s="88">
        <f t="shared" si="58"/>
        <v>1.2732506203473946</v>
      </c>
      <c r="AU166" s="23" t="s">
        <v>243</v>
      </c>
      <c r="AV166" s="23">
        <v>120</v>
      </c>
      <c r="AW166" s="23"/>
      <c r="AX166" s="44"/>
      <c r="AY166" s="44"/>
      <c r="AZ166" s="87"/>
      <c r="BA166" s="87"/>
      <c r="BB166" s="88">
        <f t="shared" si="59"/>
        <v>0</v>
      </c>
      <c r="BC166" s="23" t="s">
        <v>242</v>
      </c>
      <c r="BD166" s="23"/>
      <c r="BE166" s="23"/>
      <c r="BI166" s="90">
        <f t="shared" si="60"/>
        <v>0</v>
      </c>
      <c r="BJ166" s="26">
        <f t="shared" si="65"/>
        <v>2</v>
      </c>
      <c r="BK166" s="26">
        <v>0</v>
      </c>
      <c r="BL166" s="26" t="s">
        <v>850</v>
      </c>
      <c r="BM166" s="26">
        <v>180</v>
      </c>
      <c r="BN166" s="26">
        <v>110</v>
      </c>
      <c r="BO166" s="26">
        <v>105</v>
      </c>
      <c r="BP166" s="26">
        <v>1</v>
      </c>
      <c r="BQ166" s="26">
        <v>1</v>
      </c>
      <c r="BR166" s="224">
        <v>186</v>
      </c>
      <c r="BS166" s="225">
        <v>2</v>
      </c>
      <c r="BT166" s="230" t="s">
        <v>1241</v>
      </c>
      <c r="BU166" s="227">
        <v>5585359</v>
      </c>
      <c r="BV166" s="228">
        <v>44427</v>
      </c>
      <c r="BW166" s="225">
        <v>10.1</v>
      </c>
      <c r="BX166" s="228">
        <v>44909</v>
      </c>
      <c r="BY166" s="226">
        <v>10</v>
      </c>
      <c r="BZ166" s="226"/>
      <c r="CA166" s="226"/>
      <c r="CB166" s="226"/>
      <c r="CC166" s="226"/>
      <c r="CD166" s="225">
        <v>150362222506</v>
      </c>
      <c r="CE166" s="225">
        <v>0</v>
      </c>
    </row>
    <row r="167" spans="1:83" ht="15" customHeight="1" thickBot="1" x14ac:dyDescent="0.3">
      <c r="A167" s="15" t="s">
        <v>70</v>
      </c>
      <c r="B167" s="15" t="s">
        <v>154</v>
      </c>
      <c r="C167" s="23" t="s">
        <v>480</v>
      </c>
      <c r="D167" s="41" t="s">
        <v>469</v>
      </c>
      <c r="E167" s="23" t="s">
        <v>163</v>
      </c>
      <c r="F167" s="23" t="s">
        <v>179</v>
      </c>
      <c r="G167" s="23">
        <v>2</v>
      </c>
      <c r="H167" s="23">
        <v>1</v>
      </c>
      <c r="I167" s="85" t="s">
        <v>557</v>
      </c>
      <c r="J167">
        <v>1994</v>
      </c>
      <c r="L167" s="5">
        <f t="shared" si="52"/>
        <v>27</v>
      </c>
      <c r="M167" s="109" t="e">
        <f>+#REF!-L167</f>
        <v>#REF!</v>
      </c>
      <c r="N167" s="23">
        <v>90.5</v>
      </c>
      <c r="O167" s="23">
        <v>1.73</v>
      </c>
      <c r="P167" s="24">
        <f t="shared" ref="P167:P196" si="67">N167/(O167*O167)</f>
        <v>30.238230478799824</v>
      </c>
      <c r="Q167" s="24" t="s">
        <v>242</v>
      </c>
      <c r="R167" s="24" t="s">
        <v>487</v>
      </c>
      <c r="S167" s="23" t="s">
        <v>177</v>
      </c>
      <c r="T167" s="45" t="s">
        <v>242</v>
      </c>
      <c r="U167" s="23" t="s">
        <v>212</v>
      </c>
      <c r="V167" s="16">
        <v>44427</v>
      </c>
      <c r="W167" s="17">
        <v>10.7</v>
      </c>
      <c r="X167" s="17" t="s">
        <v>476</v>
      </c>
      <c r="Y167" s="17" t="s">
        <v>584</v>
      </c>
      <c r="Z167" s="96" t="s">
        <v>590</v>
      </c>
      <c r="AA167" s="98" t="s">
        <v>569</v>
      </c>
      <c r="AB167" s="17">
        <v>2</v>
      </c>
      <c r="AC167" s="23" t="s">
        <v>182</v>
      </c>
      <c r="AD167" s="23" t="s">
        <v>182</v>
      </c>
      <c r="AE167" s="36">
        <v>118</v>
      </c>
      <c r="AF167" s="94">
        <v>7.21</v>
      </c>
      <c r="AG167" s="94">
        <f t="shared" si="66"/>
        <v>850.78</v>
      </c>
      <c r="AH167" s="88">
        <f t="shared" si="55"/>
        <v>8.4444665012406936</v>
      </c>
      <c r="AI167" s="25" t="s">
        <v>243</v>
      </c>
      <c r="AJ167" s="23" t="s">
        <v>463</v>
      </c>
      <c r="AK167" s="23" t="s">
        <v>247</v>
      </c>
      <c r="AL167" s="23">
        <v>2000</v>
      </c>
      <c r="AM167" s="91">
        <v>3.2199999999999999E-2</v>
      </c>
      <c r="AN167" s="91">
        <f t="shared" si="56"/>
        <v>64.400000000000006</v>
      </c>
      <c r="AO167" s="92">
        <f t="shared" si="57"/>
        <v>0.6392059553349877</v>
      </c>
      <c r="AP167" s="23" t="s">
        <v>243</v>
      </c>
      <c r="AQ167" s="23"/>
      <c r="AR167" s="87"/>
      <c r="AS167" s="87"/>
      <c r="AT167" s="88">
        <f t="shared" si="58"/>
        <v>0</v>
      </c>
      <c r="AU167" s="23" t="s">
        <v>242</v>
      </c>
      <c r="AV167" s="44"/>
      <c r="AW167" s="23"/>
      <c r="AX167" s="44"/>
      <c r="AY167" s="44"/>
      <c r="AZ167" s="87"/>
      <c r="BA167" s="87"/>
      <c r="BB167" s="88">
        <f t="shared" si="59"/>
        <v>0</v>
      </c>
      <c r="BC167" s="23" t="s">
        <v>242</v>
      </c>
      <c r="BD167" s="23"/>
      <c r="BE167" s="23"/>
      <c r="BI167" s="90">
        <f t="shared" si="60"/>
        <v>0</v>
      </c>
      <c r="BJ167" s="26">
        <f t="shared" si="65"/>
        <v>1</v>
      </c>
      <c r="BK167" s="26">
        <v>1</v>
      </c>
      <c r="BL167" s="26" t="s">
        <v>850</v>
      </c>
      <c r="BM167" s="26">
        <v>120</v>
      </c>
      <c r="BN167" s="26">
        <v>80</v>
      </c>
      <c r="BO167" s="26">
        <v>113</v>
      </c>
      <c r="BP167" s="26">
        <v>0</v>
      </c>
      <c r="BQ167" s="26">
        <v>1</v>
      </c>
      <c r="BR167" s="224">
        <v>187</v>
      </c>
      <c r="BS167" s="225">
        <v>2</v>
      </c>
      <c r="BT167" s="230" t="s">
        <v>1243</v>
      </c>
      <c r="BU167" s="227">
        <v>5084243</v>
      </c>
      <c r="BV167" s="228">
        <v>44427</v>
      </c>
      <c r="BW167" s="225">
        <v>10.7</v>
      </c>
      <c r="BX167" s="228">
        <v>44910</v>
      </c>
      <c r="BY167" s="226">
        <v>7.8</v>
      </c>
      <c r="BZ167" s="226"/>
      <c r="CA167" s="226"/>
      <c r="CB167" s="226"/>
      <c r="CC167" s="226"/>
      <c r="CD167" s="225">
        <v>150662963105</v>
      </c>
      <c r="CE167" s="225">
        <v>0</v>
      </c>
    </row>
    <row r="168" spans="1:83" ht="15" customHeight="1" thickBot="1" x14ac:dyDescent="0.3">
      <c r="A168" s="23" t="s">
        <v>421</v>
      </c>
      <c r="B168" s="23" t="s">
        <v>422</v>
      </c>
      <c r="C168" s="23" t="s">
        <v>482</v>
      </c>
      <c r="D168" s="41" t="s">
        <v>470</v>
      </c>
      <c r="E168" s="23" t="s">
        <v>163</v>
      </c>
      <c r="F168" s="23" t="s">
        <v>179</v>
      </c>
      <c r="G168" s="23">
        <v>4</v>
      </c>
      <c r="H168" s="23">
        <v>3</v>
      </c>
      <c r="I168" s="85" t="s">
        <v>559</v>
      </c>
      <c r="J168">
        <v>2000</v>
      </c>
      <c r="L168" s="5">
        <f t="shared" si="52"/>
        <v>21</v>
      </c>
      <c r="M168" s="109" t="e">
        <f>+#REF!-L168</f>
        <v>#REF!</v>
      </c>
      <c r="N168" s="23">
        <v>87.2</v>
      </c>
      <c r="O168" s="23">
        <v>1.59</v>
      </c>
      <c r="P168" s="24">
        <f t="shared" si="67"/>
        <v>34.492306475218541</v>
      </c>
      <c r="Q168" s="24" t="s">
        <v>242</v>
      </c>
      <c r="R168" s="24" t="s">
        <v>487</v>
      </c>
      <c r="S168" s="23" t="s">
        <v>177</v>
      </c>
      <c r="T168" s="45" t="s">
        <v>242</v>
      </c>
      <c r="U168" s="23" t="s">
        <v>212</v>
      </c>
      <c r="V168" s="32"/>
      <c r="W168" s="48">
        <v>11.2</v>
      </c>
      <c r="X168" s="17" t="s">
        <v>477</v>
      </c>
      <c r="Y168" s="17" t="s">
        <v>584</v>
      </c>
      <c r="Z168" s="96" t="s">
        <v>590</v>
      </c>
      <c r="AA168" s="98" t="s">
        <v>569</v>
      </c>
      <c r="AB168" s="17">
        <v>3</v>
      </c>
      <c r="AC168" s="23" t="s">
        <v>244</v>
      </c>
      <c r="AD168" s="23" t="s">
        <v>642</v>
      </c>
      <c r="AE168" s="36">
        <v>45</v>
      </c>
      <c r="AF168" s="94">
        <v>14.66</v>
      </c>
      <c r="AG168" s="94">
        <f t="shared" si="66"/>
        <v>659.7</v>
      </c>
      <c r="AH168" s="88">
        <f t="shared" si="55"/>
        <v>6.5478908188585612</v>
      </c>
      <c r="AI168" s="25" t="s">
        <v>243</v>
      </c>
      <c r="AJ168" s="23" t="s">
        <v>463</v>
      </c>
      <c r="AK168" s="44" t="s">
        <v>179</v>
      </c>
      <c r="AL168" s="23"/>
      <c r="AM168" s="91">
        <v>3.2199999999999999E-2</v>
      </c>
      <c r="AN168" s="91">
        <f t="shared" si="56"/>
        <v>0</v>
      </c>
      <c r="AO168" s="92">
        <f t="shared" si="57"/>
        <v>0</v>
      </c>
      <c r="AP168" s="23" t="s">
        <v>242</v>
      </c>
      <c r="AQ168" s="23"/>
      <c r="AR168" s="87"/>
      <c r="AS168" s="87"/>
      <c r="AT168" s="88">
        <f t="shared" si="58"/>
        <v>0</v>
      </c>
      <c r="AU168" s="23" t="s">
        <v>242</v>
      </c>
      <c r="AV168" s="44"/>
      <c r="AW168" s="23"/>
      <c r="AX168" s="44"/>
      <c r="AY168" s="44"/>
      <c r="AZ168" s="87"/>
      <c r="BA168" s="87"/>
      <c r="BB168" s="88">
        <f t="shared" si="59"/>
        <v>0</v>
      </c>
      <c r="BC168" s="23" t="s">
        <v>242</v>
      </c>
      <c r="BD168" s="23"/>
      <c r="BE168" s="23"/>
      <c r="BI168" s="90">
        <f t="shared" si="60"/>
        <v>0</v>
      </c>
      <c r="BJ168" s="26">
        <f t="shared" si="65"/>
        <v>0</v>
      </c>
      <c r="BK168" s="26">
        <v>0</v>
      </c>
      <c r="BL168" s="26" t="s">
        <v>851</v>
      </c>
      <c r="BM168" s="26">
        <v>150</v>
      </c>
      <c r="BN168" s="26">
        <v>80</v>
      </c>
      <c r="BO168" s="26">
        <v>107</v>
      </c>
      <c r="BP168" s="26">
        <v>0</v>
      </c>
      <c r="BQ168" s="26">
        <v>1</v>
      </c>
      <c r="BT168" s="26"/>
    </row>
    <row r="169" spans="1:83" ht="15" customHeight="1" thickBot="1" x14ac:dyDescent="0.3">
      <c r="A169" s="15" t="s">
        <v>15</v>
      </c>
      <c r="B169" s="15" t="s">
        <v>423</v>
      </c>
      <c r="C169" s="23" t="s">
        <v>482</v>
      </c>
      <c r="D169" s="41" t="s">
        <v>470</v>
      </c>
      <c r="E169" s="23" t="s">
        <v>164</v>
      </c>
      <c r="F169" s="23" t="s">
        <v>242</v>
      </c>
      <c r="G169" s="23">
        <v>2</v>
      </c>
      <c r="H169" s="23">
        <v>1</v>
      </c>
      <c r="I169" s="85" t="s">
        <v>557</v>
      </c>
      <c r="J169">
        <v>2009</v>
      </c>
      <c r="L169" s="5">
        <f t="shared" si="52"/>
        <v>12</v>
      </c>
      <c r="M169" s="109" t="e">
        <f>+#REF!-L169</f>
        <v>#REF!</v>
      </c>
      <c r="N169" s="23">
        <v>80.900000000000006</v>
      </c>
      <c r="O169" s="23">
        <v>1.55</v>
      </c>
      <c r="P169" s="24">
        <f t="shared" si="67"/>
        <v>33.673257023933402</v>
      </c>
      <c r="Q169" s="24" t="s">
        <v>242</v>
      </c>
      <c r="R169" s="24" t="s">
        <v>487</v>
      </c>
      <c r="S169" s="23" t="s">
        <v>177</v>
      </c>
      <c r="T169" s="45" t="s">
        <v>242</v>
      </c>
      <c r="U169" s="23" t="s">
        <v>212</v>
      </c>
      <c r="V169" s="18">
        <v>44385</v>
      </c>
      <c r="W169" s="15">
        <v>10.7</v>
      </c>
      <c r="X169" s="17" t="s">
        <v>476</v>
      </c>
      <c r="Y169" s="17" t="s">
        <v>584</v>
      </c>
      <c r="Z169" s="96" t="s">
        <v>590</v>
      </c>
      <c r="AA169" s="98" t="s">
        <v>569</v>
      </c>
      <c r="AB169" s="17">
        <v>2</v>
      </c>
      <c r="AC169" s="23" t="s">
        <v>245</v>
      </c>
      <c r="AD169" s="23" t="s">
        <v>642</v>
      </c>
      <c r="AE169" s="36">
        <v>36</v>
      </c>
      <c r="AF169" s="94">
        <v>15.6</v>
      </c>
      <c r="AG169" s="94">
        <f t="shared" si="66"/>
        <v>561.6</v>
      </c>
      <c r="AH169" s="88">
        <f t="shared" si="55"/>
        <v>5.5741935483870968</v>
      </c>
      <c r="AI169" s="25" t="s">
        <v>242</v>
      </c>
      <c r="AJ169" s="23"/>
      <c r="AK169" s="23" t="s">
        <v>247</v>
      </c>
      <c r="AL169" s="23">
        <v>1000</v>
      </c>
      <c r="AM169" s="91">
        <v>3.2199999999999999E-2</v>
      </c>
      <c r="AN169" s="91">
        <f t="shared" si="56"/>
        <v>32.200000000000003</v>
      </c>
      <c r="AO169" s="92">
        <f t="shared" si="57"/>
        <v>0.31960297766749385</v>
      </c>
      <c r="AP169" s="23" t="s">
        <v>243</v>
      </c>
      <c r="AQ169" s="23"/>
      <c r="AR169" s="87"/>
      <c r="AS169" s="87"/>
      <c r="AT169" s="88">
        <f t="shared" si="58"/>
        <v>0</v>
      </c>
      <c r="AU169" s="23" t="s">
        <v>242</v>
      </c>
      <c r="AV169" s="44"/>
      <c r="AW169" s="23"/>
      <c r="AX169" s="44"/>
      <c r="AY169" s="44"/>
      <c r="AZ169" s="87"/>
      <c r="BA169" s="87"/>
      <c r="BB169" s="88">
        <f t="shared" si="59"/>
        <v>0</v>
      </c>
      <c r="BC169" s="23" t="s">
        <v>242</v>
      </c>
      <c r="BD169" s="23"/>
      <c r="BE169" s="23"/>
      <c r="BI169" s="90">
        <f t="shared" si="60"/>
        <v>0</v>
      </c>
      <c r="BJ169" s="26">
        <f t="shared" si="65"/>
        <v>1</v>
      </c>
      <c r="BK169" s="26">
        <v>0</v>
      </c>
      <c r="BL169" s="26" t="s">
        <v>848</v>
      </c>
      <c r="BM169" s="26">
        <v>150</v>
      </c>
      <c r="BN169" s="26">
        <v>80</v>
      </c>
      <c r="BO169" s="26">
        <v>110</v>
      </c>
      <c r="BP169" s="26">
        <v>0</v>
      </c>
      <c r="BQ169" s="26">
        <v>0</v>
      </c>
      <c r="BR169" s="224">
        <v>81</v>
      </c>
      <c r="BS169" s="225">
        <v>1</v>
      </c>
      <c r="BT169" s="230" t="s">
        <v>1030</v>
      </c>
      <c r="BU169" s="227">
        <v>3874623</v>
      </c>
      <c r="BV169" s="228">
        <v>44385</v>
      </c>
      <c r="BW169" s="225">
        <v>10.7</v>
      </c>
      <c r="BX169" s="226"/>
      <c r="BY169" s="226"/>
      <c r="BZ169" s="226"/>
      <c r="CA169" s="226"/>
      <c r="CB169" s="226"/>
      <c r="CC169" s="226"/>
      <c r="CD169" s="225">
        <v>150230428804</v>
      </c>
      <c r="CE169" s="225">
        <v>0</v>
      </c>
    </row>
    <row r="170" spans="1:83" ht="15" customHeight="1" thickBot="1" x14ac:dyDescent="0.3">
      <c r="A170" s="15" t="s">
        <v>15</v>
      </c>
      <c r="B170" s="15" t="s">
        <v>95</v>
      </c>
      <c r="C170" s="23" t="s">
        <v>482</v>
      </c>
      <c r="D170" s="41" t="s">
        <v>471</v>
      </c>
      <c r="E170" s="23" t="s">
        <v>164</v>
      </c>
      <c r="F170" s="23" t="s">
        <v>179</v>
      </c>
      <c r="G170" s="23">
        <v>3</v>
      </c>
      <c r="H170" s="23">
        <v>2</v>
      </c>
      <c r="I170" s="85" t="s">
        <v>558</v>
      </c>
      <c r="J170">
        <v>2017</v>
      </c>
      <c r="L170" s="5">
        <f t="shared" si="52"/>
        <v>4</v>
      </c>
      <c r="M170" s="109" t="e">
        <f>+#REF!-L170</f>
        <v>#REF!</v>
      </c>
      <c r="N170" s="23">
        <v>84.7</v>
      </c>
      <c r="O170" s="23">
        <v>1.56</v>
      </c>
      <c r="P170" s="24">
        <f t="shared" si="67"/>
        <v>34.804404996712684</v>
      </c>
      <c r="Q170" s="24" t="s">
        <v>242</v>
      </c>
      <c r="R170" s="24" t="s">
        <v>487</v>
      </c>
      <c r="S170" s="23" t="s">
        <v>177</v>
      </c>
      <c r="T170" s="45" t="s">
        <v>242</v>
      </c>
      <c r="U170" s="23" t="s">
        <v>212</v>
      </c>
      <c r="V170" s="16">
        <v>44392</v>
      </c>
      <c r="W170" s="15">
        <v>9.1</v>
      </c>
      <c r="X170" s="17" t="s">
        <v>476</v>
      </c>
      <c r="Y170" s="17" t="s">
        <v>584</v>
      </c>
      <c r="Z170" s="96" t="s">
        <v>506</v>
      </c>
      <c r="AA170" s="98" t="s">
        <v>569</v>
      </c>
      <c r="AB170" s="17">
        <v>2</v>
      </c>
      <c r="AC170" s="23" t="s">
        <v>244</v>
      </c>
      <c r="AD170" s="23" t="s">
        <v>642</v>
      </c>
      <c r="AE170" s="36">
        <v>40</v>
      </c>
      <c r="AF170" s="94">
        <v>14.66</v>
      </c>
      <c r="AG170" s="94">
        <f t="shared" si="66"/>
        <v>586.4</v>
      </c>
      <c r="AH170" s="88">
        <f t="shared" si="55"/>
        <v>5.820347394540943</v>
      </c>
      <c r="AI170" s="25" t="s">
        <v>242</v>
      </c>
      <c r="AJ170" s="23"/>
      <c r="AK170" s="23" t="s">
        <v>247</v>
      </c>
      <c r="AL170" s="23">
        <v>2000</v>
      </c>
      <c r="AM170" s="91">
        <v>3.2199999999999999E-2</v>
      </c>
      <c r="AN170" s="91">
        <f t="shared" si="56"/>
        <v>64.400000000000006</v>
      </c>
      <c r="AO170" s="92">
        <f t="shared" si="57"/>
        <v>0.6392059553349877</v>
      </c>
      <c r="AP170" s="23" t="s">
        <v>243</v>
      </c>
      <c r="AQ170" s="23"/>
      <c r="AR170" s="87"/>
      <c r="AS170" s="87"/>
      <c r="AT170" s="88">
        <f t="shared" si="58"/>
        <v>0</v>
      </c>
      <c r="AU170" s="23" t="s">
        <v>242</v>
      </c>
      <c r="AV170" s="44"/>
      <c r="AW170" s="23"/>
      <c r="AX170" s="44"/>
      <c r="AY170" s="44"/>
      <c r="AZ170" s="87"/>
      <c r="BA170" s="87"/>
      <c r="BB170" s="88">
        <f t="shared" si="59"/>
        <v>0</v>
      </c>
      <c r="BC170" s="23" t="s">
        <v>242</v>
      </c>
      <c r="BD170" s="23"/>
      <c r="BE170" s="23"/>
      <c r="BI170" s="90">
        <f t="shared" si="60"/>
        <v>0</v>
      </c>
      <c r="BJ170" s="26">
        <f t="shared" si="65"/>
        <v>1</v>
      </c>
      <c r="BK170" s="26">
        <v>1</v>
      </c>
      <c r="BL170" s="26" t="s">
        <v>848</v>
      </c>
      <c r="BM170" s="26">
        <v>160</v>
      </c>
      <c r="BN170" s="26">
        <v>90</v>
      </c>
      <c r="BO170" s="26">
        <v>105</v>
      </c>
      <c r="BP170" s="26">
        <v>0</v>
      </c>
      <c r="BQ170" s="26">
        <v>0</v>
      </c>
      <c r="BR170" s="224">
        <v>80</v>
      </c>
      <c r="BS170" s="225">
        <v>2</v>
      </c>
      <c r="BT170" s="230" t="s">
        <v>1028</v>
      </c>
      <c r="BU170" s="227">
        <v>1913591</v>
      </c>
      <c r="BV170" s="228">
        <v>44392</v>
      </c>
      <c r="BW170" s="225">
        <v>9.1</v>
      </c>
      <c r="BX170" s="226"/>
      <c r="BY170" s="226"/>
      <c r="BZ170" s="226"/>
      <c r="CA170" s="226"/>
      <c r="CB170" s="226"/>
      <c r="CC170" s="226"/>
      <c r="CD170" s="225">
        <v>150109510105</v>
      </c>
      <c r="CE170" s="225">
        <v>0</v>
      </c>
    </row>
    <row r="171" spans="1:83" ht="15" customHeight="1" thickBot="1" x14ac:dyDescent="0.3">
      <c r="A171" s="15" t="s">
        <v>424</v>
      </c>
      <c r="B171" s="15" t="s">
        <v>425</v>
      </c>
      <c r="C171" s="23" t="s">
        <v>480</v>
      </c>
      <c r="D171" s="41" t="s">
        <v>469</v>
      </c>
      <c r="E171" s="23" t="s">
        <v>163</v>
      </c>
      <c r="F171" s="23" t="s">
        <v>179</v>
      </c>
      <c r="G171" s="23">
        <v>2</v>
      </c>
      <c r="H171" s="23">
        <v>1</v>
      </c>
      <c r="I171" s="85" t="s">
        <v>557</v>
      </c>
      <c r="J171">
        <v>1986</v>
      </c>
      <c r="L171" s="5">
        <f t="shared" si="52"/>
        <v>35</v>
      </c>
      <c r="M171" s="109" t="e">
        <f>+#REF!-L171</f>
        <v>#REF!</v>
      </c>
      <c r="N171" s="23">
        <v>90.2</v>
      </c>
      <c r="O171" s="23">
        <v>1.71</v>
      </c>
      <c r="P171" s="24">
        <f t="shared" si="67"/>
        <v>30.847098252453751</v>
      </c>
      <c r="Q171" s="24" t="s">
        <v>243</v>
      </c>
      <c r="R171" s="24" t="s">
        <v>487</v>
      </c>
      <c r="S171" s="23" t="s">
        <v>177</v>
      </c>
      <c r="T171" s="45" t="s">
        <v>242</v>
      </c>
      <c r="U171" s="23" t="s">
        <v>212</v>
      </c>
      <c r="V171" s="18">
        <v>44385</v>
      </c>
      <c r="W171" s="15">
        <v>8.6999999999999993</v>
      </c>
      <c r="X171" s="17" t="s">
        <v>475</v>
      </c>
      <c r="Y171" s="17" t="s">
        <v>584</v>
      </c>
      <c r="Z171" s="96" t="s">
        <v>506</v>
      </c>
      <c r="AA171" s="98" t="s">
        <v>569</v>
      </c>
      <c r="AB171" s="17">
        <v>2</v>
      </c>
      <c r="AC171" s="23" t="s">
        <v>244</v>
      </c>
      <c r="AD171" s="23" t="s">
        <v>642</v>
      </c>
      <c r="AE171" s="36">
        <v>40</v>
      </c>
      <c r="AF171" s="94">
        <v>14.66</v>
      </c>
      <c r="AG171" s="94">
        <f t="shared" si="66"/>
        <v>586.4</v>
      </c>
      <c r="AH171" s="88">
        <f t="shared" si="55"/>
        <v>5.820347394540943</v>
      </c>
      <c r="AI171" s="25" t="s">
        <v>243</v>
      </c>
      <c r="AJ171" s="23">
        <v>5</v>
      </c>
      <c r="AK171" s="44" t="s">
        <v>179</v>
      </c>
      <c r="AL171" s="23"/>
      <c r="AM171" s="91">
        <v>3.2199999999999999E-2</v>
      </c>
      <c r="AN171" s="91">
        <f t="shared" si="56"/>
        <v>0</v>
      </c>
      <c r="AO171" s="92">
        <f t="shared" si="57"/>
        <v>0</v>
      </c>
      <c r="AP171" s="23" t="s">
        <v>242</v>
      </c>
      <c r="AQ171" s="23"/>
      <c r="AR171" s="87"/>
      <c r="AS171" s="87"/>
      <c r="AT171" s="88">
        <f t="shared" si="58"/>
        <v>0</v>
      </c>
      <c r="AU171" s="23" t="s">
        <v>242</v>
      </c>
      <c r="AV171" s="44"/>
      <c r="AW171" s="23"/>
      <c r="AX171" s="44"/>
      <c r="AY171" s="44"/>
      <c r="AZ171" s="87"/>
      <c r="BA171" s="87"/>
      <c r="BB171" s="88">
        <f t="shared" si="59"/>
        <v>0</v>
      </c>
      <c r="BC171" s="23" t="s">
        <v>242</v>
      </c>
      <c r="BD171" s="23"/>
      <c r="BE171" s="23"/>
      <c r="BI171" s="90">
        <f t="shared" si="60"/>
        <v>0</v>
      </c>
      <c r="BJ171" s="26">
        <f t="shared" si="65"/>
        <v>0</v>
      </c>
      <c r="BK171" s="26">
        <v>1</v>
      </c>
      <c r="BL171" s="26" t="s">
        <v>850</v>
      </c>
      <c r="BM171" s="26">
        <v>130</v>
      </c>
      <c r="BN171" s="26">
        <v>80</v>
      </c>
      <c r="BO171" s="26">
        <v>114</v>
      </c>
      <c r="BP171" s="26">
        <v>0</v>
      </c>
      <c r="BQ171" s="26">
        <v>1</v>
      </c>
      <c r="BR171" s="224">
        <v>82</v>
      </c>
      <c r="BS171" s="225">
        <v>1</v>
      </c>
      <c r="BT171" s="230" t="s">
        <v>1032</v>
      </c>
      <c r="BU171" s="227">
        <v>93731918</v>
      </c>
      <c r="BV171" s="228">
        <v>44385</v>
      </c>
      <c r="BW171" s="225">
        <v>8.6999999999999993</v>
      </c>
      <c r="BX171" s="226"/>
      <c r="BY171" s="226"/>
      <c r="BZ171" s="226"/>
      <c r="CA171" s="226"/>
      <c r="CB171" s="226"/>
      <c r="CC171" s="226"/>
      <c r="CD171" s="225">
        <v>150705172809</v>
      </c>
      <c r="CE171" s="225">
        <v>0</v>
      </c>
    </row>
    <row r="172" spans="1:83" ht="15" customHeight="1" thickBot="1" x14ac:dyDescent="0.3">
      <c r="A172" s="15" t="s">
        <v>426</v>
      </c>
      <c r="B172" s="15" t="s">
        <v>427</v>
      </c>
      <c r="C172" s="23" t="s">
        <v>479</v>
      </c>
      <c r="D172" s="41" t="s">
        <v>469</v>
      </c>
      <c r="E172" s="23" t="s">
        <v>164</v>
      </c>
      <c r="F172" s="23" t="s">
        <v>242</v>
      </c>
      <c r="G172" s="23">
        <v>2</v>
      </c>
      <c r="H172" s="23">
        <v>1</v>
      </c>
      <c r="I172" s="85" t="s">
        <v>557</v>
      </c>
      <c r="J172">
        <v>1996</v>
      </c>
      <c r="L172" s="5">
        <f t="shared" si="52"/>
        <v>25</v>
      </c>
      <c r="M172" s="109" t="e">
        <f>+#REF!-L172</f>
        <v>#REF!</v>
      </c>
      <c r="N172" s="23">
        <v>88</v>
      </c>
      <c r="O172" s="23">
        <v>1.47</v>
      </c>
      <c r="P172" s="24">
        <f t="shared" si="67"/>
        <v>40.723772502198159</v>
      </c>
      <c r="Q172" s="24" t="s">
        <v>242</v>
      </c>
      <c r="R172" s="24" t="s">
        <v>487</v>
      </c>
      <c r="S172" s="23" t="s">
        <v>177</v>
      </c>
      <c r="T172" s="45" t="s">
        <v>243</v>
      </c>
      <c r="U172" s="23">
        <v>12</v>
      </c>
      <c r="V172" s="18">
        <v>44385</v>
      </c>
      <c r="W172" s="15">
        <v>7.4</v>
      </c>
      <c r="X172" s="17" t="s">
        <v>475</v>
      </c>
      <c r="Y172" s="17" t="s">
        <v>583</v>
      </c>
      <c r="Z172" s="97" t="s">
        <v>505</v>
      </c>
      <c r="AA172" s="99" t="s">
        <v>567</v>
      </c>
      <c r="AB172" s="15">
        <v>1</v>
      </c>
      <c r="AC172" s="23" t="s">
        <v>244</v>
      </c>
      <c r="AD172" s="23" t="s">
        <v>642</v>
      </c>
      <c r="AE172" s="36">
        <v>16</v>
      </c>
      <c r="AF172" s="94">
        <v>14.66</v>
      </c>
      <c r="AG172" s="94">
        <f t="shared" si="66"/>
        <v>234.56</v>
      </c>
      <c r="AH172" s="88">
        <f t="shared" si="55"/>
        <v>2.3281389578163774</v>
      </c>
      <c r="AI172" s="25" t="s">
        <v>242</v>
      </c>
      <c r="AJ172" s="23"/>
      <c r="AK172" s="23" t="s">
        <v>247</v>
      </c>
      <c r="AL172" s="23">
        <v>1000</v>
      </c>
      <c r="AM172" s="91">
        <v>3.2199999999999999E-2</v>
      </c>
      <c r="AN172" s="91">
        <f t="shared" si="56"/>
        <v>32.200000000000003</v>
      </c>
      <c r="AO172" s="92">
        <f t="shared" si="57"/>
        <v>0.31960297766749385</v>
      </c>
      <c r="AP172" s="23" t="s">
        <v>243</v>
      </c>
      <c r="AQ172" s="23"/>
      <c r="AR172" s="87"/>
      <c r="AS172" s="87"/>
      <c r="AT172" s="88">
        <f t="shared" si="58"/>
        <v>0</v>
      </c>
      <c r="AU172" s="23" t="s">
        <v>242</v>
      </c>
      <c r="AV172" s="44"/>
      <c r="AW172" s="23"/>
      <c r="AX172" s="44"/>
      <c r="AY172" s="44"/>
      <c r="AZ172" s="87"/>
      <c r="BA172" s="87"/>
      <c r="BB172" s="88">
        <f t="shared" si="59"/>
        <v>0</v>
      </c>
      <c r="BC172" s="23" t="s">
        <v>242</v>
      </c>
      <c r="BD172" s="23"/>
      <c r="BE172" s="23"/>
      <c r="BI172" s="90">
        <f t="shared" si="60"/>
        <v>0</v>
      </c>
      <c r="BJ172" s="26">
        <f t="shared" si="65"/>
        <v>1</v>
      </c>
      <c r="BK172" s="26">
        <v>1</v>
      </c>
      <c r="BL172" s="26" t="s">
        <v>848</v>
      </c>
      <c r="BM172" s="26">
        <v>140</v>
      </c>
      <c r="BN172" s="26">
        <v>70</v>
      </c>
      <c r="BO172" s="26">
        <v>123</v>
      </c>
      <c r="BP172" s="26">
        <v>0</v>
      </c>
      <c r="BQ172" s="26">
        <v>0</v>
      </c>
      <c r="BR172" s="224">
        <v>83</v>
      </c>
      <c r="BS172" s="225">
        <v>1</v>
      </c>
      <c r="BT172" s="230" t="s">
        <v>1034</v>
      </c>
      <c r="BU172" s="227">
        <v>6518236</v>
      </c>
      <c r="BV172" s="228">
        <v>44385</v>
      </c>
      <c r="BW172" s="225">
        <v>7.4</v>
      </c>
      <c r="BX172" s="226"/>
      <c r="BY172" s="226"/>
      <c r="BZ172" s="226"/>
      <c r="CA172" s="226"/>
      <c r="CB172" s="226"/>
      <c r="CC172" s="225">
        <v>6</v>
      </c>
      <c r="CD172" s="225">
        <v>150687307609</v>
      </c>
      <c r="CE172" s="225">
        <v>0</v>
      </c>
    </row>
    <row r="173" spans="1:83" ht="15" customHeight="1" thickBot="1" x14ac:dyDescent="0.3">
      <c r="A173" s="15" t="s">
        <v>51</v>
      </c>
      <c r="B173" s="15" t="s">
        <v>128</v>
      </c>
      <c r="C173" s="23" t="s">
        <v>480</v>
      </c>
      <c r="D173" s="41" t="s">
        <v>470</v>
      </c>
      <c r="E173" s="23" t="s">
        <v>163</v>
      </c>
      <c r="F173" s="23" t="s">
        <v>242</v>
      </c>
      <c r="G173" s="23">
        <v>4</v>
      </c>
      <c r="H173" s="23">
        <v>1</v>
      </c>
      <c r="I173" s="85" t="s">
        <v>557</v>
      </c>
      <c r="J173" t="s">
        <v>612</v>
      </c>
      <c r="L173" s="5"/>
      <c r="M173" s="109" t="e">
        <f>+#REF!-L173</f>
        <v>#REF!</v>
      </c>
      <c r="N173" s="23">
        <v>81.5</v>
      </c>
      <c r="O173" s="23">
        <v>1.55</v>
      </c>
      <c r="P173" s="24">
        <f t="shared" si="67"/>
        <v>33.922996878251816</v>
      </c>
      <c r="Q173" s="24" t="s">
        <v>242</v>
      </c>
      <c r="R173" s="24" t="s">
        <v>487</v>
      </c>
      <c r="S173" s="23" t="s">
        <v>177</v>
      </c>
      <c r="T173" s="45" t="s">
        <v>242</v>
      </c>
      <c r="U173" s="23" t="s">
        <v>212</v>
      </c>
      <c r="V173" s="16">
        <v>44403</v>
      </c>
      <c r="W173" s="15">
        <v>8.6999999999999993</v>
      </c>
      <c r="X173" s="17" t="s">
        <v>475</v>
      </c>
      <c r="Y173" s="17" t="s">
        <v>584</v>
      </c>
      <c r="Z173" s="96" t="s">
        <v>506</v>
      </c>
      <c r="AA173" s="98" t="s">
        <v>569</v>
      </c>
      <c r="AB173" s="17">
        <v>2</v>
      </c>
      <c r="AC173" s="23" t="s">
        <v>245</v>
      </c>
      <c r="AD173" s="23" t="s">
        <v>642</v>
      </c>
      <c r="AE173" s="36">
        <v>40</v>
      </c>
      <c r="AF173" s="94">
        <v>15.6</v>
      </c>
      <c r="AG173" s="94">
        <f t="shared" si="66"/>
        <v>624</v>
      </c>
      <c r="AH173" s="88">
        <f t="shared" si="55"/>
        <v>6.193548387096774</v>
      </c>
      <c r="AI173" s="25" t="s">
        <v>242</v>
      </c>
      <c r="AJ173" s="23"/>
      <c r="AK173" s="44" t="s">
        <v>179</v>
      </c>
      <c r="AL173" s="23"/>
      <c r="AM173" s="91">
        <v>3.2199999999999999E-2</v>
      </c>
      <c r="AN173" s="91">
        <f t="shared" si="56"/>
        <v>0</v>
      </c>
      <c r="AO173" s="92">
        <f t="shared" si="57"/>
        <v>0</v>
      </c>
      <c r="AP173" s="23" t="s">
        <v>242</v>
      </c>
      <c r="AQ173" s="23"/>
      <c r="AR173" s="87"/>
      <c r="AS173" s="87"/>
      <c r="AT173" s="88">
        <f t="shared" si="58"/>
        <v>0</v>
      </c>
      <c r="AU173" s="23" t="s">
        <v>242</v>
      </c>
      <c r="AV173" s="44"/>
      <c r="AW173" s="23"/>
      <c r="AX173" s="44"/>
      <c r="AY173" s="44"/>
      <c r="AZ173" s="87"/>
      <c r="BA173" s="87"/>
      <c r="BB173" s="88">
        <f t="shared" si="59"/>
        <v>0</v>
      </c>
      <c r="BC173" s="23" t="s">
        <v>242</v>
      </c>
      <c r="BD173" s="23"/>
      <c r="BE173" s="23"/>
      <c r="BI173" s="90">
        <f t="shared" si="60"/>
        <v>0</v>
      </c>
      <c r="BJ173" s="26">
        <f t="shared" si="65"/>
        <v>0</v>
      </c>
      <c r="BK173" s="26">
        <v>0</v>
      </c>
      <c r="BL173" s="26" t="s">
        <v>851</v>
      </c>
      <c r="BM173" s="26">
        <v>136</v>
      </c>
      <c r="BN173" s="26">
        <v>67</v>
      </c>
      <c r="BO173" s="26">
        <v>117</v>
      </c>
      <c r="BP173" s="26">
        <v>0</v>
      </c>
      <c r="BQ173" s="26">
        <v>1</v>
      </c>
      <c r="BR173" s="224">
        <v>84</v>
      </c>
      <c r="BS173" s="225">
        <v>2</v>
      </c>
      <c r="BT173" s="230" t="s">
        <v>1036</v>
      </c>
      <c r="BU173" s="227">
        <v>18686510</v>
      </c>
      <c r="BV173" s="228">
        <v>44403</v>
      </c>
      <c r="BW173" s="225">
        <v>8.6999999999999993</v>
      </c>
      <c r="BX173" s="228">
        <v>44930</v>
      </c>
      <c r="BY173" s="226">
        <v>7.4</v>
      </c>
      <c r="BZ173" s="226"/>
      <c r="CA173" s="226"/>
      <c r="CB173" s="226"/>
      <c r="CC173" s="226"/>
      <c r="CD173" s="225">
        <v>150551267209</v>
      </c>
      <c r="CE173" s="225">
        <v>0</v>
      </c>
    </row>
    <row r="174" spans="1:83" ht="15" customHeight="1" thickBot="1" x14ac:dyDescent="0.3">
      <c r="A174" s="15" t="s">
        <v>428</v>
      </c>
      <c r="B174" s="15" t="s">
        <v>429</v>
      </c>
      <c r="C174" s="23" t="s">
        <v>480</v>
      </c>
      <c r="D174" s="41" t="s">
        <v>469</v>
      </c>
      <c r="E174" s="23" t="s">
        <v>163</v>
      </c>
      <c r="F174" s="23" t="s">
        <v>177</v>
      </c>
      <c r="G174" s="23">
        <v>4</v>
      </c>
      <c r="H174" s="23">
        <v>4</v>
      </c>
      <c r="I174" s="85" t="s">
        <v>560</v>
      </c>
      <c r="J174" s="111">
        <v>1999</v>
      </c>
      <c r="K174" s="111"/>
      <c r="L174" s="5">
        <f t="shared" si="52"/>
        <v>22</v>
      </c>
      <c r="M174" s="109" t="e">
        <f>+#REF!-L174</f>
        <v>#REF!</v>
      </c>
      <c r="N174" s="23">
        <v>85.5</v>
      </c>
      <c r="O174" s="23">
        <v>1.66</v>
      </c>
      <c r="P174" s="24">
        <f t="shared" si="67"/>
        <v>31.027725359268402</v>
      </c>
      <c r="Q174" s="24" t="s">
        <v>242</v>
      </c>
      <c r="R174" s="24" t="s">
        <v>487</v>
      </c>
      <c r="S174" s="23" t="s">
        <v>177</v>
      </c>
      <c r="T174" s="45" t="s">
        <v>243</v>
      </c>
      <c r="U174" s="23">
        <v>60</v>
      </c>
      <c r="V174" s="18">
        <v>44385</v>
      </c>
      <c r="W174" s="15">
        <v>12.5</v>
      </c>
      <c r="X174" s="17" t="s">
        <v>477</v>
      </c>
      <c r="Y174" s="17" t="s">
        <v>584</v>
      </c>
      <c r="Z174" s="96" t="s">
        <v>590</v>
      </c>
      <c r="AA174" s="98" t="s">
        <v>569</v>
      </c>
      <c r="AB174" s="17">
        <v>3</v>
      </c>
      <c r="AC174" s="23" t="s">
        <v>245</v>
      </c>
      <c r="AD174" s="23" t="s">
        <v>642</v>
      </c>
      <c r="AE174" s="36">
        <v>50</v>
      </c>
      <c r="AF174" s="94">
        <v>15.6</v>
      </c>
      <c r="AG174" s="94">
        <f t="shared" si="66"/>
        <v>780</v>
      </c>
      <c r="AH174" s="88">
        <f t="shared" si="55"/>
        <v>7.741935483870968</v>
      </c>
      <c r="AI174" s="25" t="s">
        <v>243</v>
      </c>
      <c r="AJ174" s="23" t="s">
        <v>463</v>
      </c>
      <c r="AK174" s="23" t="s">
        <v>247</v>
      </c>
      <c r="AL174" s="23">
        <v>500</v>
      </c>
      <c r="AM174" s="91">
        <v>3.2199999999999999E-2</v>
      </c>
      <c r="AN174" s="91">
        <f t="shared" si="56"/>
        <v>16.100000000000001</v>
      </c>
      <c r="AO174" s="92">
        <f t="shared" si="57"/>
        <v>0.15980148883374692</v>
      </c>
      <c r="AP174" s="23" t="s">
        <v>243</v>
      </c>
      <c r="AQ174" s="23"/>
      <c r="AR174" s="87"/>
      <c r="AS174" s="87"/>
      <c r="AT174" s="88">
        <f t="shared" si="58"/>
        <v>0</v>
      </c>
      <c r="AU174" s="23" t="s">
        <v>242</v>
      </c>
      <c r="AV174" s="44"/>
      <c r="AW174" s="23"/>
      <c r="AX174" s="44"/>
      <c r="AY174" s="44"/>
      <c r="AZ174" s="87"/>
      <c r="BA174" s="87"/>
      <c r="BB174" s="88">
        <f t="shared" si="59"/>
        <v>0</v>
      </c>
      <c r="BC174" s="23" t="s">
        <v>242</v>
      </c>
      <c r="BD174" s="23"/>
      <c r="BE174" s="23"/>
      <c r="BI174" s="90">
        <f t="shared" si="60"/>
        <v>0</v>
      </c>
      <c r="BJ174" s="26">
        <f t="shared" si="65"/>
        <v>1</v>
      </c>
      <c r="BK174" s="26">
        <v>0</v>
      </c>
      <c r="BL174" s="26" t="s">
        <v>851</v>
      </c>
      <c r="BM174" s="26">
        <v>120</v>
      </c>
      <c r="BN174" s="26">
        <v>80</v>
      </c>
      <c r="BO174" s="26">
        <v>121</v>
      </c>
      <c r="BP174" s="26">
        <v>0</v>
      </c>
      <c r="BQ174" s="26">
        <v>1</v>
      </c>
      <c r="BR174" s="224">
        <v>85</v>
      </c>
      <c r="BS174" s="225">
        <v>1</v>
      </c>
      <c r="BT174" s="230" t="s">
        <v>1038</v>
      </c>
      <c r="BU174" s="227">
        <v>8209420</v>
      </c>
      <c r="BV174" s="228">
        <v>44385</v>
      </c>
      <c r="BW174" s="225">
        <v>12.5</v>
      </c>
      <c r="BX174" s="228">
        <v>44946</v>
      </c>
      <c r="BY174" s="226">
        <v>10.3</v>
      </c>
      <c r="BZ174" s="226"/>
      <c r="CA174" s="226"/>
      <c r="CB174" s="226"/>
      <c r="CC174" s="226"/>
      <c r="CD174" s="225">
        <v>150683171501</v>
      </c>
      <c r="CE174" s="225">
        <v>0</v>
      </c>
    </row>
    <row r="175" spans="1:83" ht="15" customHeight="1" thickBot="1" x14ac:dyDescent="0.3">
      <c r="A175" s="15" t="s">
        <v>430</v>
      </c>
      <c r="B175" s="15" t="s">
        <v>431</v>
      </c>
      <c r="C175" s="23" t="s">
        <v>482</v>
      </c>
      <c r="D175" s="41" t="s">
        <v>470</v>
      </c>
      <c r="E175" s="23" t="s">
        <v>163</v>
      </c>
      <c r="F175" s="23" t="s">
        <v>242</v>
      </c>
      <c r="G175" s="23">
        <v>2</v>
      </c>
      <c r="H175" s="23">
        <v>4</v>
      </c>
      <c r="I175" s="85" t="s">
        <v>560</v>
      </c>
      <c r="J175" s="111">
        <v>2008</v>
      </c>
      <c r="K175" s="111"/>
      <c r="L175" s="5">
        <f t="shared" si="52"/>
        <v>13</v>
      </c>
      <c r="M175" s="109" t="e">
        <f>+#REF!-L175</f>
        <v>#REF!</v>
      </c>
      <c r="N175" s="23">
        <v>100</v>
      </c>
      <c r="O175" s="23">
        <v>1.67</v>
      </c>
      <c r="P175" s="24">
        <f t="shared" si="67"/>
        <v>35.856430850873103</v>
      </c>
      <c r="Q175" s="24" t="s">
        <v>242</v>
      </c>
      <c r="R175" s="24" t="s">
        <v>487</v>
      </c>
      <c r="S175" s="23" t="s">
        <v>177</v>
      </c>
      <c r="T175" s="45" t="s">
        <v>242</v>
      </c>
      <c r="U175" s="23">
        <v>14</v>
      </c>
      <c r="V175" s="16">
        <v>44385</v>
      </c>
      <c r="W175" s="15">
        <v>6.8</v>
      </c>
      <c r="X175" s="15" t="s">
        <v>474</v>
      </c>
      <c r="Y175" s="15" t="s">
        <v>582</v>
      </c>
      <c r="Z175" s="97" t="s">
        <v>505</v>
      </c>
      <c r="AA175" s="99" t="s">
        <v>566</v>
      </c>
      <c r="AB175" s="15">
        <v>1</v>
      </c>
      <c r="AC175" s="23" t="s">
        <v>244</v>
      </c>
      <c r="AD175" s="23" t="s">
        <v>642</v>
      </c>
      <c r="AE175" s="36">
        <v>70</v>
      </c>
      <c r="AF175" s="94">
        <v>14.66</v>
      </c>
      <c r="AG175" s="94">
        <f t="shared" si="66"/>
        <v>1026.2</v>
      </c>
      <c r="AH175" s="88">
        <f t="shared" si="55"/>
        <v>10.185607940446651</v>
      </c>
      <c r="AI175" s="25" t="s">
        <v>243</v>
      </c>
      <c r="AJ175" s="23">
        <v>20</v>
      </c>
      <c r="AK175" s="44" t="s">
        <v>179</v>
      </c>
      <c r="AL175" s="23"/>
      <c r="AM175" s="91">
        <v>3.2199999999999999E-2</v>
      </c>
      <c r="AN175" s="91">
        <f t="shared" si="56"/>
        <v>0</v>
      </c>
      <c r="AO175" s="92">
        <f t="shared" si="57"/>
        <v>0</v>
      </c>
      <c r="AP175" s="23" t="s">
        <v>242</v>
      </c>
      <c r="AQ175" s="23"/>
      <c r="AR175" s="87"/>
      <c r="AS175" s="87"/>
      <c r="AT175" s="88">
        <f t="shared" si="58"/>
        <v>0</v>
      </c>
      <c r="AU175" s="23" t="s">
        <v>242</v>
      </c>
      <c r="AV175" s="44"/>
      <c r="AW175" s="23"/>
      <c r="AX175" s="44"/>
      <c r="AY175" s="44"/>
      <c r="AZ175" s="87"/>
      <c r="BA175" s="87"/>
      <c r="BB175" s="88">
        <f t="shared" si="59"/>
        <v>0</v>
      </c>
      <c r="BC175" s="23" t="s">
        <v>242</v>
      </c>
      <c r="BD175" s="23"/>
      <c r="BE175" s="23"/>
      <c r="BI175" s="90">
        <f t="shared" si="60"/>
        <v>0</v>
      </c>
      <c r="BJ175" s="26">
        <f t="shared" si="65"/>
        <v>0</v>
      </c>
      <c r="BK175" s="26">
        <v>0</v>
      </c>
      <c r="BL175" s="26" t="s">
        <v>851</v>
      </c>
      <c r="BM175" s="26">
        <v>160</v>
      </c>
      <c r="BN175" s="26">
        <v>90</v>
      </c>
      <c r="BO175" s="26">
        <v>132</v>
      </c>
      <c r="BP175" s="26">
        <v>0</v>
      </c>
      <c r="BQ175" s="26">
        <v>1</v>
      </c>
      <c r="BR175" s="224">
        <v>86</v>
      </c>
      <c r="BS175" s="225">
        <v>2</v>
      </c>
      <c r="BT175" s="230" t="s">
        <v>1040</v>
      </c>
      <c r="BU175" s="227">
        <v>5324011</v>
      </c>
      <c r="BV175" s="228">
        <v>44385</v>
      </c>
      <c r="BW175" s="225">
        <v>6.8</v>
      </c>
      <c r="BX175" s="226"/>
      <c r="BY175" s="226"/>
      <c r="BZ175" s="226"/>
      <c r="CA175" s="226"/>
      <c r="CB175" s="226"/>
      <c r="CC175" s="226"/>
      <c r="CD175" s="225">
        <v>150364192904</v>
      </c>
      <c r="CE175" s="225">
        <v>0</v>
      </c>
    </row>
    <row r="176" spans="1:83" ht="15" customHeight="1" thickBot="1" x14ac:dyDescent="0.3">
      <c r="A176" s="31" t="s">
        <v>52</v>
      </c>
      <c r="B176" s="15" t="s">
        <v>129</v>
      </c>
      <c r="C176" s="23" t="s">
        <v>480</v>
      </c>
      <c r="D176" s="41" t="s">
        <v>469</v>
      </c>
      <c r="E176" s="23" t="s">
        <v>163</v>
      </c>
      <c r="F176" s="23" t="s">
        <v>179</v>
      </c>
      <c r="G176" s="23">
        <v>2</v>
      </c>
      <c r="H176" s="23">
        <v>1</v>
      </c>
      <c r="I176" s="85" t="s">
        <v>557</v>
      </c>
      <c r="J176" s="111">
        <v>2010</v>
      </c>
      <c r="K176" s="111"/>
      <c r="L176" s="5">
        <f t="shared" si="52"/>
        <v>11</v>
      </c>
      <c r="M176" s="109" t="e">
        <f>+#REF!-L176</f>
        <v>#REF!</v>
      </c>
      <c r="N176" s="23">
        <v>114</v>
      </c>
      <c r="O176" s="23">
        <v>1.8</v>
      </c>
      <c r="P176" s="24">
        <f t="shared" si="67"/>
        <v>35.185185185185183</v>
      </c>
      <c r="Q176" s="24" t="s">
        <v>242</v>
      </c>
      <c r="R176" s="24" t="s">
        <v>487</v>
      </c>
      <c r="S176" s="23" t="s">
        <v>179</v>
      </c>
      <c r="T176" s="45" t="s">
        <v>242</v>
      </c>
      <c r="U176" s="23" t="s">
        <v>212</v>
      </c>
      <c r="V176" s="16">
        <v>44413</v>
      </c>
      <c r="W176" s="17">
        <v>9.3000000000000007</v>
      </c>
      <c r="X176" s="17" t="s">
        <v>476</v>
      </c>
      <c r="Y176" s="17" t="s">
        <v>584</v>
      </c>
      <c r="Z176" s="96" t="s">
        <v>506</v>
      </c>
      <c r="AA176" s="98" t="s">
        <v>569</v>
      </c>
      <c r="AB176" s="17">
        <v>2</v>
      </c>
      <c r="AC176" s="23" t="s">
        <v>245</v>
      </c>
      <c r="AD176" s="23" t="s">
        <v>642</v>
      </c>
      <c r="AE176" s="36">
        <v>70</v>
      </c>
      <c r="AF176" s="94">
        <v>15.6</v>
      </c>
      <c r="AG176" s="94">
        <f t="shared" si="66"/>
        <v>1092</v>
      </c>
      <c r="AH176" s="88">
        <f t="shared" si="55"/>
        <v>10.838709677419354</v>
      </c>
      <c r="AI176" s="25" t="s">
        <v>242</v>
      </c>
      <c r="AJ176" s="23"/>
      <c r="AK176" s="44" t="s">
        <v>179</v>
      </c>
      <c r="AL176" s="23"/>
      <c r="AM176" s="91">
        <v>3.2199999999999999E-2</v>
      </c>
      <c r="AN176" s="91">
        <f t="shared" si="56"/>
        <v>0</v>
      </c>
      <c r="AO176" s="92">
        <f t="shared" si="57"/>
        <v>0</v>
      </c>
      <c r="AP176" s="23" t="s">
        <v>242</v>
      </c>
      <c r="AQ176" s="23"/>
      <c r="AR176" s="87"/>
      <c r="AS176" s="87"/>
      <c r="AT176" s="88">
        <f t="shared" si="58"/>
        <v>0</v>
      </c>
      <c r="AU176" s="23" t="s">
        <v>242</v>
      </c>
      <c r="AV176" s="44"/>
      <c r="AW176" s="23"/>
      <c r="AX176" s="44"/>
      <c r="AY176" s="44"/>
      <c r="AZ176" s="87"/>
      <c r="BA176" s="87"/>
      <c r="BB176" s="88">
        <f t="shared" si="59"/>
        <v>0</v>
      </c>
      <c r="BC176" s="23" t="s">
        <v>242</v>
      </c>
      <c r="BD176" s="23"/>
      <c r="BE176" s="23"/>
      <c r="BI176" s="90">
        <f t="shared" si="60"/>
        <v>0</v>
      </c>
      <c r="BJ176" s="26">
        <f t="shared" si="65"/>
        <v>0</v>
      </c>
      <c r="BK176" s="26">
        <v>1</v>
      </c>
      <c r="BL176" s="26" t="s">
        <v>850</v>
      </c>
      <c r="BM176" s="26">
        <v>130</v>
      </c>
      <c r="BN176" s="26">
        <v>80</v>
      </c>
      <c r="BO176" s="26">
        <v>125</v>
      </c>
      <c r="BP176" s="26">
        <v>0</v>
      </c>
      <c r="BQ176" s="26">
        <v>0</v>
      </c>
      <c r="BR176" s="224">
        <v>87</v>
      </c>
      <c r="BS176" s="225">
        <v>2</v>
      </c>
      <c r="BT176" s="230" t="s">
        <v>1042</v>
      </c>
      <c r="BU176" s="227">
        <v>8293539</v>
      </c>
      <c r="BV176" s="228">
        <v>44413</v>
      </c>
      <c r="BW176" s="225">
        <v>9.3000000000000007</v>
      </c>
      <c r="BX176" s="228">
        <v>44911</v>
      </c>
      <c r="BY176" s="226">
        <v>6.5</v>
      </c>
      <c r="BZ176" s="226"/>
      <c r="CA176" s="226"/>
      <c r="CB176" s="226"/>
      <c r="CC176" s="226"/>
      <c r="CD176" s="225">
        <v>150359791105</v>
      </c>
      <c r="CE176" s="225">
        <v>1</v>
      </c>
    </row>
    <row r="177" spans="1:83" ht="15" customHeight="1" thickBot="1" x14ac:dyDescent="0.3">
      <c r="A177" s="15" t="s">
        <v>432</v>
      </c>
      <c r="B177" s="15" t="s">
        <v>321</v>
      </c>
      <c r="C177" s="23" t="s">
        <v>480</v>
      </c>
      <c r="D177" s="41" t="s">
        <v>469</v>
      </c>
      <c r="E177" s="23" t="s">
        <v>163</v>
      </c>
      <c r="F177" s="23" t="s">
        <v>179</v>
      </c>
      <c r="G177" s="23">
        <v>3</v>
      </c>
      <c r="H177" s="23">
        <v>1</v>
      </c>
      <c r="I177" s="85" t="s">
        <v>557</v>
      </c>
      <c r="J177" s="111">
        <v>1990</v>
      </c>
      <c r="K177" s="111"/>
      <c r="L177" s="5">
        <f t="shared" si="52"/>
        <v>31</v>
      </c>
      <c r="M177" s="109" t="e">
        <f>+#REF!-L177</f>
        <v>#REF!</v>
      </c>
      <c r="N177" s="23">
        <v>106.7</v>
      </c>
      <c r="O177" s="23">
        <v>1.64</v>
      </c>
      <c r="P177" s="24">
        <f t="shared" si="67"/>
        <v>39.671326591314703</v>
      </c>
      <c r="Q177" s="24" t="s">
        <v>242</v>
      </c>
      <c r="R177" s="24" t="s">
        <v>487</v>
      </c>
      <c r="S177" s="23" t="s">
        <v>177</v>
      </c>
      <c r="T177" s="45" t="s">
        <v>242</v>
      </c>
      <c r="U177" s="23" t="s">
        <v>212</v>
      </c>
      <c r="V177" s="18">
        <v>44385</v>
      </c>
      <c r="W177" s="15">
        <v>11.7</v>
      </c>
      <c r="X177" s="17" t="s">
        <v>477</v>
      </c>
      <c r="Y177" s="17" t="s">
        <v>584</v>
      </c>
      <c r="Z177" s="96" t="s">
        <v>590</v>
      </c>
      <c r="AA177" s="98" t="s">
        <v>569</v>
      </c>
      <c r="AB177" s="17">
        <v>3</v>
      </c>
      <c r="AC177" s="23" t="s">
        <v>245</v>
      </c>
      <c r="AD177" s="23" t="s">
        <v>642</v>
      </c>
      <c r="AE177" s="36">
        <v>65</v>
      </c>
      <c r="AF177" s="94">
        <v>15.6</v>
      </c>
      <c r="AG177" s="94">
        <f t="shared" si="66"/>
        <v>1014</v>
      </c>
      <c r="AH177" s="88">
        <f t="shared" si="55"/>
        <v>10.064516129032258</v>
      </c>
      <c r="AI177" s="25" t="s">
        <v>243</v>
      </c>
      <c r="AJ177" s="25">
        <v>34</v>
      </c>
      <c r="AK177" s="23" t="s">
        <v>247</v>
      </c>
      <c r="AL177" s="23">
        <v>1700</v>
      </c>
      <c r="AM177" s="91">
        <v>3.2199999999999999E-2</v>
      </c>
      <c r="AN177" s="91">
        <f t="shared" si="56"/>
        <v>54.74</v>
      </c>
      <c r="AO177" s="92">
        <f t="shared" si="57"/>
        <v>0.54332506203473951</v>
      </c>
      <c r="AP177" s="23" t="s">
        <v>243</v>
      </c>
      <c r="AQ177" s="23"/>
      <c r="AR177" s="87"/>
      <c r="AS177" s="87"/>
      <c r="AT177" s="88">
        <f t="shared" si="58"/>
        <v>0</v>
      </c>
      <c r="AU177" s="23" t="s">
        <v>242</v>
      </c>
      <c r="AV177" s="44"/>
      <c r="AW177" s="23"/>
      <c r="AX177" s="44"/>
      <c r="AY177" s="44"/>
      <c r="AZ177" s="87"/>
      <c r="BA177" s="87"/>
      <c r="BB177" s="88">
        <f t="shared" si="59"/>
        <v>0</v>
      </c>
      <c r="BC177" s="23" t="s">
        <v>242</v>
      </c>
      <c r="BD177" s="23"/>
      <c r="BE177" s="23"/>
      <c r="BI177" s="90">
        <f t="shared" si="60"/>
        <v>0</v>
      </c>
      <c r="BJ177" s="26">
        <f t="shared" si="65"/>
        <v>1</v>
      </c>
      <c r="BK177" s="26">
        <v>0</v>
      </c>
      <c r="BL177" s="26" t="s">
        <v>851</v>
      </c>
      <c r="BM177" s="26">
        <v>130</v>
      </c>
      <c r="BN177" s="26">
        <v>70</v>
      </c>
      <c r="BO177" s="26">
        <v>124</v>
      </c>
      <c r="BP177" s="26">
        <v>0</v>
      </c>
      <c r="BQ177" s="26">
        <v>1</v>
      </c>
      <c r="BR177" s="224">
        <v>88</v>
      </c>
      <c r="BS177" s="225">
        <v>1</v>
      </c>
      <c r="BT177" s="230" t="s">
        <v>1044</v>
      </c>
      <c r="BU177" s="227">
        <v>4558175</v>
      </c>
      <c r="BV177" s="228">
        <v>44385</v>
      </c>
      <c r="BW177" s="225">
        <v>11.7</v>
      </c>
      <c r="BX177" s="228">
        <v>44942</v>
      </c>
      <c r="BY177" s="230">
        <v>8.6999999999999993</v>
      </c>
      <c r="BZ177" s="226"/>
      <c r="CA177" s="226"/>
      <c r="CB177" s="226"/>
      <c r="CC177" s="226"/>
      <c r="CD177" s="225">
        <v>150530037800</v>
      </c>
      <c r="CE177" s="225">
        <v>0</v>
      </c>
    </row>
    <row r="178" spans="1:83" ht="15" customHeight="1" thickBot="1" x14ac:dyDescent="0.3">
      <c r="A178" s="15" t="s">
        <v>35</v>
      </c>
      <c r="B178" s="15" t="s">
        <v>106</v>
      </c>
      <c r="C178" s="23" t="s">
        <v>479</v>
      </c>
      <c r="D178" s="42" t="s">
        <v>468</v>
      </c>
      <c r="E178" s="23" t="s">
        <v>164</v>
      </c>
      <c r="F178" s="23" t="s">
        <v>242</v>
      </c>
      <c r="G178" s="23">
        <v>2</v>
      </c>
      <c r="H178" s="23">
        <v>2</v>
      </c>
      <c r="I178" s="85" t="s">
        <v>558</v>
      </c>
      <c r="J178" s="111">
        <v>2012</v>
      </c>
      <c r="K178" s="111"/>
      <c r="L178" s="5">
        <f t="shared" si="52"/>
        <v>9</v>
      </c>
      <c r="M178" s="109" t="e">
        <f>+#REF!-L178</f>
        <v>#REF!</v>
      </c>
      <c r="N178" s="23">
        <v>60</v>
      </c>
      <c r="O178" s="23">
        <v>1.54</v>
      </c>
      <c r="P178" s="24">
        <f t="shared" si="67"/>
        <v>25.299375948726599</v>
      </c>
      <c r="Q178" s="24" t="s">
        <v>243</v>
      </c>
      <c r="R178" s="24" t="s">
        <v>486</v>
      </c>
      <c r="S178" s="23" t="s">
        <v>243</v>
      </c>
      <c r="T178" s="45" t="s">
        <v>243</v>
      </c>
      <c r="U178" s="23">
        <v>18</v>
      </c>
      <c r="V178" s="18">
        <v>44434</v>
      </c>
      <c r="W178" s="17">
        <v>10.1</v>
      </c>
      <c r="X178" s="17" t="s">
        <v>476</v>
      </c>
      <c r="Y178" s="17" t="s">
        <v>584</v>
      </c>
      <c r="Z178" s="96" t="s">
        <v>590</v>
      </c>
      <c r="AA178" s="98" t="s">
        <v>569</v>
      </c>
      <c r="AB178" s="17">
        <v>2</v>
      </c>
      <c r="AC178" s="23" t="s">
        <v>244</v>
      </c>
      <c r="AD178" s="23" t="s">
        <v>642</v>
      </c>
      <c r="AE178" s="36">
        <v>50</v>
      </c>
      <c r="AF178" s="94">
        <v>14.66</v>
      </c>
      <c r="AG178" s="94">
        <f t="shared" si="66"/>
        <v>733</v>
      </c>
      <c r="AH178" s="88">
        <f t="shared" si="55"/>
        <v>7.2754342431761785</v>
      </c>
      <c r="AI178" s="25" t="s">
        <v>242</v>
      </c>
      <c r="AJ178" s="23"/>
      <c r="AK178" s="44" t="s">
        <v>179</v>
      </c>
      <c r="AL178" s="23"/>
      <c r="AM178" s="91">
        <v>3.2199999999999999E-2</v>
      </c>
      <c r="AN178" s="91">
        <f t="shared" si="56"/>
        <v>0</v>
      </c>
      <c r="AO178" s="92">
        <f t="shared" si="57"/>
        <v>0</v>
      </c>
      <c r="AP178" s="23" t="s">
        <v>242</v>
      </c>
      <c r="AQ178" s="23"/>
      <c r="AR178" s="87"/>
      <c r="AS178" s="87"/>
      <c r="AT178" s="88">
        <f t="shared" si="58"/>
        <v>0</v>
      </c>
      <c r="AU178" s="23" t="s">
        <v>242</v>
      </c>
      <c r="AV178" s="44"/>
      <c r="AW178" s="23"/>
      <c r="AX178" s="23" t="s">
        <v>249</v>
      </c>
      <c r="AY178" s="23">
        <v>100</v>
      </c>
      <c r="AZ178" s="87">
        <v>5.4</v>
      </c>
      <c r="BA178" s="87">
        <v>540</v>
      </c>
      <c r="BB178" s="88">
        <f t="shared" si="59"/>
        <v>5.3598014888337469</v>
      </c>
      <c r="BC178" s="23" t="s">
        <v>243</v>
      </c>
      <c r="BD178" s="23" t="s">
        <v>466</v>
      </c>
      <c r="BE178" s="23">
        <v>25</v>
      </c>
      <c r="BF178" s="33" t="s">
        <v>243</v>
      </c>
      <c r="BI178" s="90">
        <f>+BH178/100.75</f>
        <v>0</v>
      </c>
      <c r="BJ178" s="26">
        <f t="shared" si="65"/>
        <v>2</v>
      </c>
      <c r="BK178" s="26">
        <v>1</v>
      </c>
      <c r="BL178" s="26" t="s">
        <v>850</v>
      </c>
      <c r="BM178" s="26">
        <v>130</v>
      </c>
      <c r="BN178" s="26">
        <v>70</v>
      </c>
      <c r="BO178" s="26">
        <v>87</v>
      </c>
      <c r="BP178" s="26">
        <v>1</v>
      </c>
      <c r="BQ178" s="26">
        <v>0</v>
      </c>
      <c r="BR178" s="224">
        <v>206</v>
      </c>
      <c r="BS178" s="225">
        <v>1</v>
      </c>
      <c r="BT178" s="230" t="s">
        <v>1282</v>
      </c>
      <c r="BU178" s="227">
        <v>17702515</v>
      </c>
      <c r="BV178" s="228">
        <v>44434</v>
      </c>
      <c r="BW178" s="225">
        <v>10.1</v>
      </c>
      <c r="BX178" s="228">
        <v>44951</v>
      </c>
      <c r="BY178" s="226">
        <v>6.4</v>
      </c>
      <c r="BZ178" s="226"/>
      <c r="CA178" s="226"/>
      <c r="CB178" s="226"/>
      <c r="CC178" s="226"/>
      <c r="CD178" s="225">
        <v>150488968801</v>
      </c>
      <c r="CE178" s="225">
        <v>0</v>
      </c>
    </row>
    <row r="179" spans="1:83" ht="15" customHeight="1" thickBot="1" x14ac:dyDescent="0.3">
      <c r="A179" s="15" t="s">
        <v>433</v>
      </c>
      <c r="B179" s="15" t="s">
        <v>434</v>
      </c>
      <c r="C179" s="23" t="s">
        <v>482</v>
      </c>
      <c r="D179" s="41" t="s">
        <v>470</v>
      </c>
      <c r="E179" s="23" t="s">
        <v>164</v>
      </c>
      <c r="F179" s="23" t="s">
        <v>242</v>
      </c>
      <c r="G179" s="23">
        <v>2</v>
      </c>
      <c r="H179" s="23">
        <v>1</v>
      </c>
      <c r="I179" s="85" t="s">
        <v>557</v>
      </c>
      <c r="J179" s="111">
        <v>1976</v>
      </c>
      <c r="K179" s="111"/>
      <c r="L179" s="5">
        <f t="shared" si="52"/>
        <v>45</v>
      </c>
      <c r="M179" s="109" t="e">
        <f>+#REF!-L179</f>
        <v>#REF!</v>
      </c>
      <c r="N179" s="23">
        <v>63.2</v>
      </c>
      <c r="O179" s="23">
        <v>1.55</v>
      </c>
      <c r="P179" s="24">
        <f t="shared" si="67"/>
        <v>26.305931321540061</v>
      </c>
      <c r="Q179" s="24" t="s">
        <v>242</v>
      </c>
      <c r="R179" s="24" t="s">
        <v>486</v>
      </c>
      <c r="S179" s="23" t="s">
        <v>179</v>
      </c>
      <c r="T179" s="45" t="s">
        <v>242</v>
      </c>
      <c r="U179" s="23" t="s">
        <v>212</v>
      </c>
      <c r="V179" s="16">
        <v>44434</v>
      </c>
      <c r="W179" s="17">
        <v>9.9</v>
      </c>
      <c r="X179" s="17" t="s">
        <v>476</v>
      </c>
      <c r="Y179" s="17" t="s">
        <v>584</v>
      </c>
      <c r="Z179" s="96" t="s">
        <v>506</v>
      </c>
      <c r="AA179" s="98" t="s">
        <v>569</v>
      </c>
      <c r="AB179" s="17">
        <v>2</v>
      </c>
      <c r="AC179" s="23" t="s">
        <v>244</v>
      </c>
      <c r="AD179" s="23" t="s">
        <v>642</v>
      </c>
      <c r="AE179" s="36">
        <v>54</v>
      </c>
      <c r="AF179" s="94">
        <v>14.66</v>
      </c>
      <c r="AG179" s="94">
        <f t="shared" si="66"/>
        <v>791.64</v>
      </c>
      <c r="AH179" s="88">
        <f t="shared" si="55"/>
        <v>7.857468982630273</v>
      </c>
      <c r="AI179" s="25" t="s">
        <v>243</v>
      </c>
      <c r="AJ179" s="23">
        <v>15</v>
      </c>
      <c r="AK179" s="23" t="s">
        <v>247</v>
      </c>
      <c r="AL179" s="23">
        <v>1700</v>
      </c>
      <c r="AM179" s="91">
        <v>3.2199999999999999E-2</v>
      </c>
      <c r="AN179" s="91">
        <f t="shared" si="56"/>
        <v>54.74</v>
      </c>
      <c r="AO179" s="92">
        <f t="shared" si="57"/>
        <v>0.54332506203473951</v>
      </c>
      <c r="AP179" s="23" t="s">
        <v>243</v>
      </c>
      <c r="AQ179" s="23"/>
      <c r="AR179" s="87"/>
      <c r="AS179" s="87"/>
      <c r="AT179" s="88">
        <f t="shared" si="58"/>
        <v>0</v>
      </c>
      <c r="AU179" s="23" t="s">
        <v>242</v>
      </c>
      <c r="AV179" s="44"/>
      <c r="AW179" s="23"/>
      <c r="AX179" s="23" t="s">
        <v>251</v>
      </c>
      <c r="AY179" s="44"/>
      <c r="AZ179" s="87">
        <v>1.84</v>
      </c>
      <c r="BA179" s="87">
        <v>92</v>
      </c>
      <c r="BB179" s="88">
        <f t="shared" si="59"/>
        <v>0.91315136476426795</v>
      </c>
      <c r="BC179" s="23" t="s">
        <v>243</v>
      </c>
      <c r="BD179" s="23"/>
      <c r="BE179" s="23"/>
      <c r="BI179" s="90">
        <f t="shared" si="60"/>
        <v>0</v>
      </c>
      <c r="BJ179" s="26">
        <f t="shared" si="65"/>
        <v>2</v>
      </c>
      <c r="BK179" s="26">
        <v>1</v>
      </c>
      <c r="BL179" s="26" t="s">
        <v>848</v>
      </c>
      <c r="BM179" s="26">
        <v>100</v>
      </c>
      <c r="BN179" s="26">
        <v>70</v>
      </c>
      <c r="BO179" s="26">
        <v>99</v>
      </c>
      <c r="BP179" s="26">
        <v>0</v>
      </c>
      <c r="BQ179" s="26">
        <v>0</v>
      </c>
      <c r="BR179" s="224">
        <v>188</v>
      </c>
      <c r="BS179" s="225">
        <v>2</v>
      </c>
      <c r="BT179" s="230" t="s">
        <v>1245</v>
      </c>
      <c r="BU179" s="227">
        <v>4980388</v>
      </c>
      <c r="BV179" s="228">
        <v>44434</v>
      </c>
      <c r="BW179" s="225">
        <v>9.9</v>
      </c>
      <c r="BX179" s="228">
        <v>44909</v>
      </c>
      <c r="BY179" s="226">
        <v>9.3000000000000007</v>
      </c>
      <c r="BZ179" s="226"/>
      <c r="CA179" s="226"/>
      <c r="CB179" s="226"/>
      <c r="CC179" s="226"/>
      <c r="CD179" s="225">
        <v>150427643608</v>
      </c>
      <c r="CE179" s="225">
        <v>0</v>
      </c>
    </row>
    <row r="180" spans="1:83" ht="15" customHeight="1" thickBot="1" x14ac:dyDescent="0.3">
      <c r="A180" s="15" t="s">
        <v>71</v>
      </c>
      <c r="B180" s="15" t="s">
        <v>155</v>
      </c>
      <c r="C180" s="23" t="s">
        <v>480</v>
      </c>
      <c r="D180" s="41" t="s">
        <v>469</v>
      </c>
      <c r="E180" s="23" t="s">
        <v>164</v>
      </c>
      <c r="F180" s="23" t="s">
        <v>243</v>
      </c>
      <c r="G180" s="23">
        <v>2</v>
      </c>
      <c r="H180" s="23">
        <v>1</v>
      </c>
      <c r="I180" s="85" t="s">
        <v>557</v>
      </c>
      <c r="J180" s="111">
        <v>1997</v>
      </c>
      <c r="K180" s="111"/>
      <c r="L180" s="5">
        <f t="shared" si="52"/>
        <v>24</v>
      </c>
      <c r="M180" s="109" t="e">
        <f>#REF!-L180</f>
        <v>#REF!</v>
      </c>
      <c r="N180" s="23">
        <v>82.5</v>
      </c>
      <c r="O180" s="23">
        <v>1.5</v>
      </c>
      <c r="P180" s="24">
        <f t="shared" si="67"/>
        <v>36.666666666666664</v>
      </c>
      <c r="Q180" s="24" t="s">
        <v>242</v>
      </c>
      <c r="R180" s="24" t="s">
        <v>487</v>
      </c>
      <c r="S180" s="23" t="s">
        <v>177</v>
      </c>
      <c r="T180" s="45" t="s">
        <v>242</v>
      </c>
      <c r="U180" s="23" t="s">
        <v>212</v>
      </c>
      <c r="V180" s="16">
        <v>44434</v>
      </c>
      <c r="W180" s="17">
        <v>8.1999999999999993</v>
      </c>
      <c r="X180" s="17" t="s">
        <v>475</v>
      </c>
      <c r="Y180" s="17" t="s">
        <v>584</v>
      </c>
      <c r="Z180" s="96" t="s">
        <v>506</v>
      </c>
      <c r="AA180" s="98" t="s">
        <v>569</v>
      </c>
      <c r="AB180" s="17">
        <v>2</v>
      </c>
      <c r="AC180" s="23" t="s">
        <v>244</v>
      </c>
      <c r="AD180" s="23" t="s">
        <v>642</v>
      </c>
      <c r="AE180" s="36">
        <v>60</v>
      </c>
      <c r="AF180" s="94">
        <v>14.66</v>
      </c>
      <c r="AG180" s="94">
        <f t="shared" si="66"/>
        <v>879.6</v>
      </c>
      <c r="AH180" s="88">
        <f t="shared" si="55"/>
        <v>8.7305210918114149</v>
      </c>
      <c r="AI180" s="25" t="s">
        <v>242</v>
      </c>
      <c r="AJ180" s="23"/>
      <c r="AK180" s="23" t="s">
        <v>247</v>
      </c>
      <c r="AL180" s="23">
        <v>2000</v>
      </c>
      <c r="AM180" s="91">
        <v>3.2199999999999999E-2</v>
      </c>
      <c r="AN180" s="91">
        <f t="shared" si="56"/>
        <v>64.400000000000006</v>
      </c>
      <c r="AO180" s="92">
        <f t="shared" si="57"/>
        <v>0.6392059553349877</v>
      </c>
      <c r="AP180" s="23" t="s">
        <v>243</v>
      </c>
      <c r="AQ180" s="23"/>
      <c r="AR180" s="87"/>
      <c r="AS180" s="87"/>
      <c r="AT180" s="88">
        <f t="shared" si="58"/>
        <v>0</v>
      </c>
      <c r="AU180" s="23" t="s">
        <v>242</v>
      </c>
      <c r="AV180" s="44"/>
      <c r="AW180" s="23"/>
      <c r="AX180" s="44"/>
      <c r="AY180" s="44"/>
      <c r="AZ180" s="87"/>
      <c r="BA180" s="87"/>
      <c r="BB180" s="88">
        <f t="shared" si="59"/>
        <v>0</v>
      </c>
      <c r="BC180" s="23" t="s">
        <v>242</v>
      </c>
      <c r="BD180" s="23"/>
      <c r="BE180" s="23"/>
      <c r="BI180" s="90">
        <f t="shared" si="60"/>
        <v>0</v>
      </c>
      <c r="BJ180" s="26">
        <f t="shared" si="65"/>
        <v>1</v>
      </c>
      <c r="BK180" s="26">
        <v>1</v>
      </c>
      <c r="BL180" s="26" t="s">
        <v>851</v>
      </c>
      <c r="BM180" s="26">
        <v>160</v>
      </c>
      <c r="BN180" s="26">
        <v>80</v>
      </c>
      <c r="BO180" s="26">
        <v>113</v>
      </c>
      <c r="BP180" s="26">
        <v>0</v>
      </c>
      <c r="BQ180" s="26">
        <v>0</v>
      </c>
      <c r="BR180" s="224">
        <v>189</v>
      </c>
      <c r="BS180" s="225">
        <v>2</v>
      </c>
      <c r="BT180" s="230" t="s">
        <v>1247</v>
      </c>
      <c r="BU180" s="227">
        <v>5465460</v>
      </c>
      <c r="BV180" s="228">
        <v>44434</v>
      </c>
      <c r="BW180" s="225">
        <v>8.1999999999999993</v>
      </c>
      <c r="BX180" s="226"/>
      <c r="BY180" s="226"/>
      <c r="BZ180" s="226"/>
      <c r="CA180" s="226"/>
      <c r="CB180" s="226"/>
      <c r="CC180" s="226"/>
      <c r="CD180" s="225">
        <v>150933196708</v>
      </c>
      <c r="CE180" s="225">
        <v>0</v>
      </c>
    </row>
    <row r="181" spans="1:83" ht="15" customHeight="1" thickBot="1" x14ac:dyDescent="0.3">
      <c r="A181" s="15" t="s">
        <v>71</v>
      </c>
      <c r="B181" s="15" t="s">
        <v>156</v>
      </c>
      <c r="C181" s="23" t="s">
        <v>482</v>
      </c>
      <c r="D181" s="41" t="s">
        <v>470</v>
      </c>
      <c r="E181" s="23" t="s">
        <v>164</v>
      </c>
      <c r="F181" s="23" t="s">
        <v>179</v>
      </c>
      <c r="G181" s="23">
        <v>2</v>
      </c>
      <c r="H181" s="23">
        <v>2</v>
      </c>
      <c r="I181" s="85" t="s">
        <v>558</v>
      </c>
      <c r="J181">
        <v>2009</v>
      </c>
      <c r="L181" s="5">
        <f t="shared" si="52"/>
        <v>12</v>
      </c>
      <c r="M181" s="109" t="e">
        <f>+#REF!-L181</f>
        <v>#REF!</v>
      </c>
      <c r="N181" s="23">
        <v>72</v>
      </c>
      <c r="O181" s="23">
        <v>1.5</v>
      </c>
      <c r="P181" s="24">
        <f t="shared" si="67"/>
        <v>32</v>
      </c>
      <c r="Q181" s="24" t="s">
        <v>242</v>
      </c>
      <c r="R181" s="24" t="s">
        <v>487</v>
      </c>
      <c r="S181" s="23" t="s">
        <v>177</v>
      </c>
      <c r="T181" s="45" t="s">
        <v>242</v>
      </c>
      <c r="U181" s="23" t="s">
        <v>212</v>
      </c>
      <c r="V181" s="16">
        <v>44441</v>
      </c>
      <c r="W181" s="17">
        <v>7.9</v>
      </c>
      <c r="X181" s="17" t="s">
        <v>475</v>
      </c>
      <c r="Y181" s="17" t="s">
        <v>583</v>
      </c>
      <c r="Z181" s="96" t="s">
        <v>506</v>
      </c>
      <c r="AA181" s="98" t="s">
        <v>568</v>
      </c>
      <c r="AB181" s="17">
        <v>2</v>
      </c>
      <c r="AC181" s="23" t="s">
        <v>182</v>
      </c>
      <c r="AD181" s="23" t="s">
        <v>182</v>
      </c>
      <c r="AE181" s="36">
        <v>28</v>
      </c>
      <c r="AF181" s="94">
        <v>7.21</v>
      </c>
      <c r="AG181" s="94">
        <f t="shared" si="66"/>
        <v>201.88</v>
      </c>
      <c r="AH181" s="88">
        <f t="shared" si="55"/>
        <v>2.0037717121588088</v>
      </c>
      <c r="AI181" s="25" t="s">
        <v>243</v>
      </c>
      <c r="AJ181" s="23">
        <v>20</v>
      </c>
      <c r="AK181" s="23" t="s">
        <v>247</v>
      </c>
      <c r="AL181" s="23">
        <v>2000</v>
      </c>
      <c r="AM181" s="91">
        <v>3.2199999999999999E-2</v>
      </c>
      <c r="AN181" s="91">
        <f t="shared" si="56"/>
        <v>64.400000000000006</v>
      </c>
      <c r="AO181" s="92">
        <f t="shared" si="57"/>
        <v>0.6392059553349877</v>
      </c>
      <c r="AP181" s="23" t="s">
        <v>243</v>
      </c>
      <c r="AQ181" s="23"/>
      <c r="AR181" s="87"/>
      <c r="AS181" s="87"/>
      <c r="AT181" s="88">
        <f t="shared" si="58"/>
        <v>0</v>
      </c>
      <c r="AU181" s="23" t="s">
        <v>242</v>
      </c>
      <c r="AV181" s="44"/>
      <c r="AW181" s="23"/>
      <c r="AX181" s="44"/>
      <c r="AY181" s="44"/>
      <c r="AZ181" s="87"/>
      <c r="BA181" s="87"/>
      <c r="BB181" s="88">
        <f t="shared" si="59"/>
        <v>0</v>
      </c>
      <c r="BC181" s="23" t="s">
        <v>242</v>
      </c>
      <c r="BD181" s="23"/>
      <c r="BE181" s="23"/>
      <c r="BI181" s="90">
        <f t="shared" si="60"/>
        <v>0</v>
      </c>
      <c r="BJ181" s="26">
        <f t="shared" si="65"/>
        <v>1</v>
      </c>
      <c r="BK181" s="26">
        <v>0</v>
      </c>
      <c r="BL181" s="26" t="s">
        <v>848</v>
      </c>
      <c r="BM181" s="26">
        <v>180</v>
      </c>
      <c r="BN181" s="26">
        <v>100</v>
      </c>
      <c r="BO181" s="26">
        <v>116</v>
      </c>
      <c r="BP181" s="26">
        <v>0</v>
      </c>
      <c r="BQ181" s="26">
        <v>0</v>
      </c>
      <c r="BR181" s="224">
        <v>190</v>
      </c>
      <c r="BS181" s="225">
        <v>2</v>
      </c>
      <c r="BT181" s="230" t="s">
        <v>1249</v>
      </c>
      <c r="BU181" s="227">
        <v>4532513</v>
      </c>
      <c r="BV181" s="228">
        <v>44441</v>
      </c>
      <c r="BW181" s="225">
        <v>7.9</v>
      </c>
      <c r="BX181" s="228">
        <v>44910</v>
      </c>
      <c r="BY181" s="226">
        <v>8.5</v>
      </c>
      <c r="BZ181" s="226"/>
      <c r="CA181" s="226"/>
      <c r="CB181" s="226"/>
      <c r="CC181" s="226"/>
      <c r="CD181" s="225">
        <v>155026556900</v>
      </c>
      <c r="CE181" s="225">
        <v>0</v>
      </c>
    </row>
    <row r="182" spans="1:83" ht="15" customHeight="1" thickBot="1" x14ac:dyDescent="0.3">
      <c r="A182" s="15" t="s">
        <v>435</v>
      </c>
      <c r="B182" s="15" t="s">
        <v>436</v>
      </c>
      <c r="C182" s="23" t="s">
        <v>479</v>
      </c>
      <c r="D182" s="41" t="s">
        <v>469</v>
      </c>
      <c r="E182" s="23" t="s">
        <v>164</v>
      </c>
      <c r="F182" s="23" t="s">
        <v>179</v>
      </c>
      <c r="G182" s="23">
        <v>2</v>
      </c>
      <c r="H182" s="23">
        <v>1</v>
      </c>
      <c r="I182" s="85" t="s">
        <v>557</v>
      </c>
      <c r="L182" s="5">
        <v>1</v>
      </c>
      <c r="M182" s="109" t="e">
        <f>+#REF!-L182</f>
        <v>#REF!</v>
      </c>
      <c r="N182" s="23">
        <v>90.3</v>
      </c>
      <c r="O182" s="23">
        <v>1.67</v>
      </c>
      <c r="P182" s="24">
        <f t="shared" si="67"/>
        <v>32.378357058338416</v>
      </c>
      <c r="Q182" s="24" t="s">
        <v>242</v>
      </c>
      <c r="R182" s="24" t="s">
        <v>487</v>
      </c>
      <c r="S182" s="23" t="s">
        <v>179</v>
      </c>
      <c r="T182" s="45" t="s">
        <v>242</v>
      </c>
      <c r="U182" s="23" t="s">
        <v>212</v>
      </c>
      <c r="V182" s="18">
        <v>44385</v>
      </c>
      <c r="W182" s="15">
        <v>9.4</v>
      </c>
      <c r="X182" s="17" t="s">
        <v>476</v>
      </c>
      <c r="Y182" s="17" t="s">
        <v>584</v>
      </c>
      <c r="Z182" s="96" t="s">
        <v>506</v>
      </c>
      <c r="AA182" s="98" t="s">
        <v>569</v>
      </c>
      <c r="AB182" s="17">
        <v>2</v>
      </c>
      <c r="AC182" s="23" t="s">
        <v>182</v>
      </c>
      <c r="AD182" s="23" t="s">
        <v>182</v>
      </c>
      <c r="AE182" s="36">
        <v>40</v>
      </c>
      <c r="AF182" s="94">
        <v>7.21</v>
      </c>
      <c r="AG182" s="94">
        <f t="shared" si="66"/>
        <v>288.39999999999998</v>
      </c>
      <c r="AH182" s="88">
        <f t="shared" si="55"/>
        <v>2.8625310173697267</v>
      </c>
      <c r="AI182" s="25" t="s">
        <v>242</v>
      </c>
      <c r="AJ182" s="23"/>
      <c r="AK182" s="23" t="s">
        <v>247</v>
      </c>
      <c r="AL182" s="23">
        <v>750</v>
      </c>
      <c r="AM182" s="91">
        <v>3.2199999999999999E-2</v>
      </c>
      <c r="AN182" s="91">
        <f t="shared" si="56"/>
        <v>24.15</v>
      </c>
      <c r="AO182" s="92">
        <f t="shared" si="57"/>
        <v>0.23970223325062034</v>
      </c>
      <c r="AP182" s="23" t="s">
        <v>243</v>
      </c>
      <c r="AQ182" s="23"/>
      <c r="AR182" s="87"/>
      <c r="AS182" s="87"/>
      <c r="AT182" s="88">
        <f t="shared" si="58"/>
        <v>0</v>
      </c>
      <c r="AU182" s="23" t="s">
        <v>242</v>
      </c>
      <c r="AV182" s="44"/>
      <c r="AW182" s="23"/>
      <c r="AX182" s="44"/>
      <c r="AY182" s="44"/>
      <c r="AZ182" s="87"/>
      <c r="BA182" s="87"/>
      <c r="BB182" s="88">
        <f t="shared" si="59"/>
        <v>0</v>
      </c>
      <c r="BC182" s="23" t="s">
        <v>242</v>
      </c>
      <c r="BD182" s="23"/>
      <c r="BE182" s="23"/>
      <c r="BI182" s="90">
        <f t="shared" si="60"/>
        <v>0</v>
      </c>
      <c r="BJ182" s="26">
        <f t="shared" si="65"/>
        <v>1</v>
      </c>
      <c r="BK182" s="26">
        <v>0</v>
      </c>
      <c r="BL182" s="26" t="s">
        <v>850</v>
      </c>
      <c r="BM182" s="26">
        <v>140</v>
      </c>
      <c r="BN182" s="26">
        <v>80</v>
      </c>
      <c r="BO182" s="26">
        <v>110</v>
      </c>
      <c r="BP182" s="26">
        <v>0</v>
      </c>
      <c r="BQ182" s="26">
        <v>0</v>
      </c>
      <c r="BR182" s="224">
        <v>89</v>
      </c>
      <c r="BS182" s="225">
        <v>1</v>
      </c>
      <c r="BT182" s="230" t="s">
        <v>1046</v>
      </c>
      <c r="BU182" s="227">
        <v>13926564</v>
      </c>
      <c r="BV182" s="228">
        <v>44385</v>
      </c>
      <c r="BW182" s="225">
        <v>9.4</v>
      </c>
      <c r="BX182" s="228">
        <v>45016</v>
      </c>
      <c r="BY182" s="226">
        <v>7</v>
      </c>
      <c r="BZ182" s="226"/>
      <c r="CA182" s="226"/>
      <c r="CB182" s="226"/>
      <c r="CC182" s="226"/>
      <c r="CD182" s="225">
        <v>155474411100</v>
      </c>
      <c r="CE182" s="225">
        <v>0</v>
      </c>
    </row>
    <row r="183" spans="1:83" ht="15" customHeight="1" thickBot="1" x14ac:dyDescent="0.3">
      <c r="A183" s="15" t="s">
        <v>72</v>
      </c>
      <c r="B183" s="15" t="s">
        <v>157</v>
      </c>
      <c r="C183" s="23" t="s">
        <v>482</v>
      </c>
      <c r="D183" s="41" t="s">
        <v>470</v>
      </c>
      <c r="E183" s="23" t="s">
        <v>164</v>
      </c>
      <c r="F183" s="23" t="s">
        <v>179</v>
      </c>
      <c r="G183" s="23">
        <v>2</v>
      </c>
      <c r="H183" s="23">
        <v>1</v>
      </c>
      <c r="I183" s="85" t="s">
        <v>557</v>
      </c>
      <c r="J183">
        <v>1997</v>
      </c>
      <c r="L183" s="5">
        <f t="shared" si="52"/>
        <v>24</v>
      </c>
      <c r="M183" s="109" t="e">
        <f>+#REF!-L183</f>
        <v>#REF!</v>
      </c>
      <c r="N183" s="23">
        <v>82.5</v>
      </c>
      <c r="O183" s="23">
        <v>1.57</v>
      </c>
      <c r="P183" s="24">
        <f t="shared" si="67"/>
        <v>33.4699176437178</v>
      </c>
      <c r="Q183" s="24" t="s">
        <v>242</v>
      </c>
      <c r="R183" s="24" t="s">
        <v>487</v>
      </c>
      <c r="S183" s="23" t="s">
        <v>177</v>
      </c>
      <c r="T183" s="45" t="s">
        <v>242</v>
      </c>
      <c r="U183" s="23" t="s">
        <v>212</v>
      </c>
      <c r="V183" s="16">
        <v>44441</v>
      </c>
      <c r="W183" s="17">
        <v>12.4</v>
      </c>
      <c r="X183" s="17" t="s">
        <v>477</v>
      </c>
      <c r="Y183" s="17" t="s">
        <v>584</v>
      </c>
      <c r="Z183" s="96" t="s">
        <v>590</v>
      </c>
      <c r="AA183" s="98" t="s">
        <v>569</v>
      </c>
      <c r="AB183" s="17">
        <v>3</v>
      </c>
      <c r="AC183" s="23" t="s">
        <v>244</v>
      </c>
      <c r="AD183" s="23" t="s">
        <v>642</v>
      </c>
      <c r="AE183" s="36">
        <v>34</v>
      </c>
      <c r="AF183" s="94">
        <v>14.66</v>
      </c>
      <c r="AG183" s="94">
        <f t="shared" si="66"/>
        <v>498.44</v>
      </c>
      <c r="AH183" s="88">
        <f t="shared" si="55"/>
        <v>4.9472952853598011</v>
      </c>
      <c r="AI183" s="25" t="s">
        <v>243</v>
      </c>
      <c r="AJ183" s="23" t="s">
        <v>463</v>
      </c>
      <c r="AK183" s="23" t="s">
        <v>247</v>
      </c>
      <c r="AL183" s="23">
        <v>2000</v>
      </c>
      <c r="AM183" s="91">
        <v>3.2199999999999999E-2</v>
      </c>
      <c r="AN183" s="91">
        <f t="shared" si="56"/>
        <v>64.400000000000006</v>
      </c>
      <c r="AO183" s="92">
        <f t="shared" si="57"/>
        <v>0.6392059553349877</v>
      </c>
      <c r="AP183" s="23" t="s">
        <v>243</v>
      </c>
      <c r="AQ183" s="23"/>
      <c r="AR183" s="87"/>
      <c r="AS183" s="87"/>
      <c r="AT183" s="88">
        <f t="shared" si="58"/>
        <v>0</v>
      </c>
      <c r="AU183" s="23" t="s">
        <v>242</v>
      </c>
      <c r="AV183" s="44"/>
      <c r="AW183" s="23"/>
      <c r="AX183" s="44"/>
      <c r="AY183" s="44"/>
      <c r="AZ183" s="87"/>
      <c r="BA183" s="87"/>
      <c r="BB183" s="88">
        <f t="shared" si="59"/>
        <v>0</v>
      </c>
      <c r="BC183" s="23" t="s">
        <v>242</v>
      </c>
      <c r="BD183" s="23"/>
      <c r="BE183" s="23"/>
      <c r="BI183" s="90">
        <f t="shared" si="60"/>
        <v>0</v>
      </c>
      <c r="BJ183" s="26">
        <f t="shared" si="65"/>
        <v>1</v>
      </c>
      <c r="BK183" s="26">
        <v>1</v>
      </c>
      <c r="BL183" s="26" t="s">
        <v>850</v>
      </c>
      <c r="BM183" s="26">
        <v>160</v>
      </c>
      <c r="BN183" s="26">
        <v>90</v>
      </c>
      <c r="BO183" s="26">
        <v>112</v>
      </c>
      <c r="BP183" s="26">
        <v>0</v>
      </c>
      <c r="BQ183" s="26">
        <v>0</v>
      </c>
      <c r="BR183" s="224">
        <v>191</v>
      </c>
      <c r="BS183" s="225">
        <v>2</v>
      </c>
      <c r="BT183" s="230" t="s">
        <v>1251</v>
      </c>
      <c r="BU183" s="227">
        <v>11358145</v>
      </c>
      <c r="BV183" s="228">
        <v>44441</v>
      </c>
      <c r="BW183" s="225">
        <v>12.4</v>
      </c>
      <c r="BX183" s="226"/>
      <c r="BY183" s="226"/>
      <c r="BZ183" s="226"/>
      <c r="CA183" s="226"/>
      <c r="CB183" s="226"/>
      <c r="CC183" s="226"/>
      <c r="CD183" s="225">
        <v>150624886502</v>
      </c>
      <c r="CE183" s="225">
        <v>0</v>
      </c>
    </row>
    <row r="184" spans="1:83" ht="15" customHeight="1" thickBot="1" x14ac:dyDescent="0.3">
      <c r="A184" s="15" t="s">
        <v>437</v>
      </c>
      <c r="B184" s="15" t="s">
        <v>438</v>
      </c>
      <c r="C184" s="23" t="s">
        <v>479</v>
      </c>
      <c r="D184" s="41" t="s">
        <v>469</v>
      </c>
      <c r="E184" s="23" t="s">
        <v>163</v>
      </c>
      <c r="F184" s="23" t="s">
        <v>179</v>
      </c>
      <c r="G184" s="23">
        <v>3</v>
      </c>
      <c r="H184" s="23">
        <v>1</v>
      </c>
      <c r="I184" s="85" t="s">
        <v>557</v>
      </c>
      <c r="J184">
        <v>2005</v>
      </c>
      <c r="L184" s="5">
        <f t="shared" si="52"/>
        <v>16</v>
      </c>
      <c r="M184" s="109" t="e">
        <f>+#REF!-L184</f>
        <v>#REF!</v>
      </c>
      <c r="N184" s="23">
        <v>91</v>
      </c>
      <c r="O184" s="23">
        <v>1.72</v>
      </c>
      <c r="P184" s="24">
        <f t="shared" si="67"/>
        <v>30.759870200108171</v>
      </c>
      <c r="Q184" s="24" t="s">
        <v>242</v>
      </c>
      <c r="R184" s="24" t="s">
        <v>487</v>
      </c>
      <c r="S184" s="23" t="s">
        <v>177</v>
      </c>
      <c r="T184" s="45" t="s">
        <v>242</v>
      </c>
      <c r="U184" s="23" t="s">
        <v>212</v>
      </c>
      <c r="V184" s="18">
        <v>44434</v>
      </c>
      <c r="W184" s="17">
        <v>9.9</v>
      </c>
      <c r="X184" s="17" t="s">
        <v>476</v>
      </c>
      <c r="Y184" s="17" t="s">
        <v>584</v>
      </c>
      <c r="Z184" s="96" t="s">
        <v>506</v>
      </c>
      <c r="AA184" s="98" t="s">
        <v>569</v>
      </c>
      <c r="AB184" s="17">
        <v>2</v>
      </c>
      <c r="AC184" s="23" t="s">
        <v>245</v>
      </c>
      <c r="AD184" s="23" t="s">
        <v>642</v>
      </c>
      <c r="AE184" s="36">
        <v>48</v>
      </c>
      <c r="AF184" s="94">
        <v>15.6</v>
      </c>
      <c r="AG184" s="94">
        <f t="shared" si="66"/>
        <v>748.8</v>
      </c>
      <c r="AH184" s="88">
        <f t="shared" si="55"/>
        <v>7.4322580645161285</v>
      </c>
      <c r="AI184" s="25" t="s">
        <v>242</v>
      </c>
      <c r="AJ184" s="23"/>
      <c r="AK184" s="23" t="s">
        <v>247</v>
      </c>
      <c r="AL184" s="23">
        <v>2000</v>
      </c>
      <c r="AM184" s="91">
        <v>3.2199999999999999E-2</v>
      </c>
      <c r="AN184" s="91">
        <f t="shared" si="56"/>
        <v>64.400000000000006</v>
      </c>
      <c r="AO184" s="92">
        <f t="shared" si="57"/>
        <v>0.6392059553349877</v>
      </c>
      <c r="AP184" s="23" t="s">
        <v>243</v>
      </c>
      <c r="AQ184" s="23"/>
      <c r="AR184" s="87"/>
      <c r="AS184" s="87"/>
      <c r="AT184" s="88">
        <f t="shared" si="58"/>
        <v>0</v>
      </c>
      <c r="AU184" s="23" t="s">
        <v>242</v>
      </c>
      <c r="AV184" s="44"/>
      <c r="AW184" s="23"/>
      <c r="AX184" s="44"/>
      <c r="AY184" s="44"/>
      <c r="AZ184" s="87"/>
      <c r="BA184" s="87"/>
      <c r="BB184" s="88">
        <f t="shared" si="59"/>
        <v>0</v>
      </c>
      <c r="BC184" s="23" t="s">
        <v>242</v>
      </c>
      <c r="BD184" s="23"/>
      <c r="BE184" s="23"/>
      <c r="BI184" s="90">
        <f t="shared" si="60"/>
        <v>0</v>
      </c>
      <c r="BJ184" s="26">
        <f t="shared" si="65"/>
        <v>1</v>
      </c>
      <c r="BK184" s="26">
        <v>1</v>
      </c>
      <c r="BL184" s="26" t="s">
        <v>850</v>
      </c>
      <c r="BM184" s="26">
        <v>180</v>
      </c>
      <c r="BN184" s="26">
        <v>100</v>
      </c>
      <c r="BO184" s="26">
        <v>116</v>
      </c>
      <c r="BP184" s="26">
        <v>0</v>
      </c>
      <c r="BQ184" s="26">
        <v>0</v>
      </c>
      <c r="BR184" s="224">
        <v>192</v>
      </c>
      <c r="BS184" s="225">
        <v>1</v>
      </c>
      <c r="BT184" s="230" t="s">
        <v>1253</v>
      </c>
      <c r="BU184" s="227">
        <v>10327378</v>
      </c>
      <c r="BV184" s="228">
        <v>44434</v>
      </c>
      <c r="BW184" s="225">
        <v>9.9</v>
      </c>
      <c r="BX184" s="228">
        <v>45016</v>
      </c>
      <c r="BY184" s="226">
        <v>7.2</v>
      </c>
      <c r="BZ184" s="226"/>
      <c r="CA184" s="226"/>
      <c r="CB184" s="226"/>
      <c r="CC184" s="226"/>
      <c r="CD184" s="225">
        <v>465940188701</v>
      </c>
      <c r="CE184" s="225">
        <v>0</v>
      </c>
    </row>
    <row r="185" spans="1:83" ht="15" customHeight="1" thickBot="1" x14ac:dyDescent="0.3">
      <c r="A185" s="15" t="s">
        <v>30</v>
      </c>
      <c r="B185" s="15" t="s">
        <v>103</v>
      </c>
      <c r="C185" s="23" t="s">
        <v>482</v>
      </c>
      <c r="D185" s="41" t="s">
        <v>470</v>
      </c>
      <c r="E185" s="23" t="s">
        <v>163</v>
      </c>
      <c r="F185" s="23" t="s">
        <v>177</v>
      </c>
      <c r="G185" s="23">
        <v>3</v>
      </c>
      <c r="H185" s="23">
        <v>3</v>
      </c>
      <c r="I185" s="85" t="s">
        <v>559</v>
      </c>
      <c r="J185">
        <v>2015</v>
      </c>
      <c r="L185" s="5">
        <f t="shared" si="52"/>
        <v>6</v>
      </c>
      <c r="M185" s="109" t="e">
        <f>+#REF!-L185</f>
        <v>#REF!</v>
      </c>
      <c r="N185" s="23">
        <v>105.3</v>
      </c>
      <c r="O185" s="23">
        <v>1.73</v>
      </c>
      <c r="P185" s="24">
        <f t="shared" si="67"/>
        <v>35.18326706538808</v>
      </c>
      <c r="Q185" s="24" t="s">
        <v>242</v>
      </c>
      <c r="R185" s="24" t="s">
        <v>487</v>
      </c>
      <c r="S185" s="23" t="s">
        <v>177</v>
      </c>
      <c r="T185" s="45" t="s">
        <v>242</v>
      </c>
      <c r="U185" s="23" t="s">
        <v>212</v>
      </c>
      <c r="V185" s="18">
        <v>44434</v>
      </c>
      <c r="W185" s="17">
        <v>9.6</v>
      </c>
      <c r="X185" s="17" t="s">
        <v>476</v>
      </c>
      <c r="Y185" s="17" t="s">
        <v>584</v>
      </c>
      <c r="Z185" s="96" t="s">
        <v>506</v>
      </c>
      <c r="AA185" s="98" t="s">
        <v>569</v>
      </c>
      <c r="AB185" s="17">
        <v>2</v>
      </c>
      <c r="AC185" s="23" t="s">
        <v>244</v>
      </c>
      <c r="AD185" s="23" t="s">
        <v>642</v>
      </c>
      <c r="AE185" s="36">
        <v>50</v>
      </c>
      <c r="AF185" s="94">
        <v>14.66</v>
      </c>
      <c r="AG185" s="94">
        <f t="shared" si="66"/>
        <v>733</v>
      </c>
      <c r="AH185" s="88">
        <f t="shared" si="55"/>
        <v>7.2754342431761785</v>
      </c>
      <c r="AI185" s="25" t="s">
        <v>243</v>
      </c>
      <c r="AJ185" s="23" t="s">
        <v>463</v>
      </c>
      <c r="AK185" s="23" t="s">
        <v>229</v>
      </c>
      <c r="AL185" s="23"/>
      <c r="AM185" s="91">
        <v>3.2199999999999999E-2</v>
      </c>
      <c r="AN185" s="91">
        <f t="shared" si="56"/>
        <v>0</v>
      </c>
      <c r="AO185" s="92">
        <f t="shared" si="57"/>
        <v>0</v>
      </c>
      <c r="AP185" s="23" t="s">
        <v>242</v>
      </c>
      <c r="AQ185" s="23"/>
      <c r="AR185" s="87"/>
      <c r="AS185" s="87"/>
      <c r="AT185" s="88">
        <f t="shared" si="58"/>
        <v>0</v>
      </c>
      <c r="AU185" s="23" t="s">
        <v>242</v>
      </c>
      <c r="AV185" s="44"/>
      <c r="AW185" s="23"/>
      <c r="AX185" s="44"/>
      <c r="AY185" s="44"/>
      <c r="AZ185" s="87"/>
      <c r="BA185" s="87"/>
      <c r="BB185" s="88">
        <f t="shared" si="59"/>
        <v>0</v>
      </c>
      <c r="BC185" s="23" t="s">
        <v>242</v>
      </c>
      <c r="BD185" s="23"/>
      <c r="BE185" s="23"/>
      <c r="BI185" s="90">
        <f t="shared" si="60"/>
        <v>0</v>
      </c>
      <c r="BJ185" s="26">
        <f t="shared" si="65"/>
        <v>0</v>
      </c>
      <c r="BK185" s="26">
        <v>0</v>
      </c>
      <c r="BL185" s="26" t="s">
        <v>851</v>
      </c>
      <c r="BM185" s="26">
        <v>130</v>
      </c>
      <c r="BN185" s="26">
        <v>90</v>
      </c>
      <c r="BO185" s="26">
        <v>128</v>
      </c>
      <c r="BP185" s="26">
        <v>0</v>
      </c>
      <c r="BQ185" s="26">
        <v>1</v>
      </c>
      <c r="BR185" s="224">
        <v>193</v>
      </c>
      <c r="BS185" s="225">
        <v>1</v>
      </c>
      <c r="BT185" s="230" t="s">
        <v>1255</v>
      </c>
      <c r="BU185" s="227">
        <v>10883646</v>
      </c>
      <c r="BV185" s="228">
        <v>44434</v>
      </c>
      <c r="BW185" s="225">
        <v>9.6</v>
      </c>
      <c r="BX185" s="226"/>
      <c r="BY185" s="226"/>
      <c r="BZ185" s="226"/>
      <c r="CA185" s="226"/>
      <c r="CB185" s="226"/>
      <c r="CC185" s="226"/>
      <c r="CD185" s="225">
        <v>150589631902</v>
      </c>
      <c r="CE185" s="225">
        <v>0</v>
      </c>
    </row>
    <row r="186" spans="1:83" ht="15" customHeight="1" thickBot="1" x14ac:dyDescent="0.3">
      <c r="A186" s="15" t="s">
        <v>73</v>
      </c>
      <c r="B186" s="15" t="s">
        <v>78</v>
      </c>
      <c r="C186" s="23" t="s">
        <v>479</v>
      </c>
      <c r="D186" s="41" t="s">
        <v>469</v>
      </c>
      <c r="E186" s="23" t="s">
        <v>163</v>
      </c>
      <c r="F186" s="23" t="s">
        <v>179</v>
      </c>
      <c r="G186" s="23">
        <v>3</v>
      </c>
      <c r="H186" s="23">
        <v>1</v>
      </c>
      <c r="I186" s="85" t="s">
        <v>557</v>
      </c>
      <c r="J186">
        <v>2000</v>
      </c>
      <c r="L186" s="5">
        <f t="shared" si="52"/>
        <v>21</v>
      </c>
      <c r="M186" s="109" t="e">
        <f>+#REF!-L186</f>
        <v>#REF!</v>
      </c>
      <c r="N186" s="23">
        <v>100.5</v>
      </c>
      <c r="O186" s="23">
        <v>1.74</v>
      </c>
      <c r="P186" s="24">
        <f t="shared" si="67"/>
        <v>33.194609591755842</v>
      </c>
      <c r="Q186" s="24" t="s">
        <v>242</v>
      </c>
      <c r="R186" s="24" t="s">
        <v>487</v>
      </c>
      <c r="S186" s="23" t="s">
        <v>177</v>
      </c>
      <c r="T186" s="45" t="s">
        <v>242</v>
      </c>
      <c r="U186" s="23" t="s">
        <v>212</v>
      </c>
      <c r="V186" s="16">
        <v>44434</v>
      </c>
      <c r="W186" s="17">
        <v>7.7</v>
      </c>
      <c r="X186" s="17" t="s">
        <v>475</v>
      </c>
      <c r="Y186" s="17" t="s">
        <v>583</v>
      </c>
      <c r="Z186" s="96" t="s">
        <v>506</v>
      </c>
      <c r="AA186" s="98" t="s">
        <v>568</v>
      </c>
      <c r="AB186" s="17">
        <v>2</v>
      </c>
      <c r="AC186" s="23" t="s">
        <v>182</v>
      </c>
      <c r="AD186" s="23" t="s">
        <v>182</v>
      </c>
      <c r="AE186" s="36">
        <v>40</v>
      </c>
      <c r="AF186" s="94">
        <v>7.21</v>
      </c>
      <c r="AG186" s="94">
        <f t="shared" si="66"/>
        <v>288.39999999999998</v>
      </c>
      <c r="AH186" s="88">
        <f t="shared" si="55"/>
        <v>2.8625310173697267</v>
      </c>
      <c r="AI186" s="25" t="s">
        <v>243</v>
      </c>
      <c r="AJ186" s="23">
        <v>6</v>
      </c>
      <c r="AK186" s="23" t="s">
        <v>247</v>
      </c>
      <c r="AL186" s="23">
        <v>1700</v>
      </c>
      <c r="AM186" s="91">
        <v>3.2199999999999999E-2</v>
      </c>
      <c r="AN186" s="91">
        <f t="shared" si="56"/>
        <v>54.74</v>
      </c>
      <c r="AO186" s="92">
        <f t="shared" si="57"/>
        <v>0.54332506203473951</v>
      </c>
      <c r="AP186" s="23" t="s">
        <v>243</v>
      </c>
      <c r="AQ186" s="23"/>
      <c r="AR186" s="87"/>
      <c r="AS186" s="87"/>
      <c r="AT186" s="88">
        <f t="shared" si="58"/>
        <v>0</v>
      </c>
      <c r="AU186" s="23" t="s">
        <v>242</v>
      </c>
      <c r="AV186" s="44"/>
      <c r="AW186" s="23"/>
      <c r="AX186" s="23" t="s">
        <v>251</v>
      </c>
      <c r="AY186" s="23">
        <v>100</v>
      </c>
      <c r="AZ186" s="87">
        <v>1.84</v>
      </c>
      <c r="BA186" s="87">
        <f>+AY186*AZ186</f>
        <v>184</v>
      </c>
      <c r="BB186" s="88">
        <f t="shared" si="59"/>
        <v>1.8263027295285359</v>
      </c>
      <c r="BC186" s="23" t="s">
        <v>243</v>
      </c>
      <c r="BD186" s="23"/>
      <c r="BE186" s="23"/>
      <c r="BI186" s="90">
        <f t="shared" si="60"/>
        <v>0</v>
      </c>
      <c r="BJ186" s="26">
        <f t="shared" si="65"/>
        <v>2</v>
      </c>
      <c r="BK186" s="26">
        <v>0</v>
      </c>
      <c r="BL186" s="26" t="s">
        <v>850</v>
      </c>
      <c r="BM186" s="26">
        <v>140</v>
      </c>
      <c r="BN186" s="26">
        <v>80</v>
      </c>
      <c r="BO186" s="26">
        <v>120</v>
      </c>
      <c r="BP186" s="26">
        <v>0</v>
      </c>
      <c r="BQ186" s="26">
        <v>0</v>
      </c>
      <c r="BR186" s="224">
        <v>194</v>
      </c>
      <c r="BS186" s="225">
        <v>2</v>
      </c>
      <c r="BT186" s="230" t="s">
        <v>1257</v>
      </c>
      <c r="BU186" s="227">
        <v>5324914</v>
      </c>
      <c r="BV186" s="228">
        <v>44434</v>
      </c>
      <c r="BW186" s="225">
        <v>7.7</v>
      </c>
      <c r="BX186" s="226"/>
      <c r="BY186" s="226"/>
      <c r="BZ186" s="226"/>
      <c r="CA186" s="226"/>
      <c r="CB186" s="226"/>
      <c r="CC186" s="226"/>
      <c r="CD186" s="225">
        <v>150385185903</v>
      </c>
      <c r="CE186" s="225">
        <v>0</v>
      </c>
    </row>
    <row r="187" spans="1:83" ht="15" customHeight="1" thickBot="1" x14ac:dyDescent="0.3">
      <c r="A187" s="15" t="s">
        <v>439</v>
      </c>
      <c r="B187" s="15" t="s">
        <v>440</v>
      </c>
      <c r="C187" s="23" t="s">
        <v>479</v>
      </c>
      <c r="D187" s="41" t="s">
        <v>469</v>
      </c>
      <c r="E187" s="23" t="s">
        <v>163</v>
      </c>
      <c r="F187" s="23" t="s">
        <v>179</v>
      </c>
      <c r="G187" s="23">
        <v>4</v>
      </c>
      <c r="H187" s="23">
        <v>3</v>
      </c>
      <c r="I187" s="85" t="s">
        <v>559</v>
      </c>
      <c r="J187">
        <v>1997</v>
      </c>
      <c r="L187" s="5">
        <f t="shared" si="52"/>
        <v>24</v>
      </c>
      <c r="M187" s="109" t="e">
        <f>+#REF!-L187</f>
        <v>#REF!</v>
      </c>
      <c r="N187" s="23">
        <v>86</v>
      </c>
      <c r="O187" s="23">
        <v>1.8</v>
      </c>
      <c r="P187" s="24">
        <f t="shared" si="67"/>
        <v>26.543209876543209</v>
      </c>
      <c r="Q187" s="24" t="s">
        <v>243</v>
      </c>
      <c r="R187" s="24" t="s">
        <v>486</v>
      </c>
      <c r="S187" s="23" t="s">
        <v>177</v>
      </c>
      <c r="T187" s="45" t="s">
        <v>242</v>
      </c>
      <c r="U187" s="23" t="s">
        <v>212</v>
      </c>
      <c r="V187" s="18">
        <v>44371</v>
      </c>
      <c r="W187" s="15">
        <v>9.6</v>
      </c>
      <c r="X187" s="17" t="s">
        <v>476</v>
      </c>
      <c r="Y187" s="17" t="s">
        <v>584</v>
      </c>
      <c r="Z187" s="96" t="s">
        <v>506</v>
      </c>
      <c r="AA187" s="98" t="s">
        <v>569</v>
      </c>
      <c r="AB187" s="17">
        <v>2</v>
      </c>
      <c r="AC187" s="23" t="s">
        <v>244</v>
      </c>
      <c r="AD187" s="23" t="s">
        <v>642</v>
      </c>
      <c r="AE187" s="36">
        <v>38</v>
      </c>
      <c r="AF187" s="94">
        <v>14.66</v>
      </c>
      <c r="AG187" s="94">
        <f t="shared" si="66"/>
        <v>557.08000000000004</v>
      </c>
      <c r="AH187" s="88">
        <f t="shared" si="55"/>
        <v>5.5293300248138966</v>
      </c>
      <c r="AI187" s="25" t="s">
        <v>243</v>
      </c>
      <c r="AJ187" s="23">
        <v>2</v>
      </c>
      <c r="AK187" s="23" t="s">
        <v>247</v>
      </c>
      <c r="AL187" s="23">
        <v>2000</v>
      </c>
      <c r="AM187" s="91">
        <v>3.2199999999999999E-2</v>
      </c>
      <c r="AN187" s="91">
        <f t="shared" si="56"/>
        <v>64.400000000000006</v>
      </c>
      <c r="AO187" s="92">
        <f t="shared" si="57"/>
        <v>0.6392059553349877</v>
      </c>
      <c r="AP187" s="23" t="s">
        <v>243</v>
      </c>
      <c r="AQ187" s="23"/>
      <c r="AR187" s="87"/>
      <c r="AS187" s="87"/>
      <c r="AT187" s="88">
        <f t="shared" si="58"/>
        <v>0</v>
      </c>
      <c r="AU187" s="23" t="s">
        <v>242</v>
      </c>
      <c r="AV187" s="44"/>
      <c r="AW187" s="23"/>
      <c r="AX187" s="44"/>
      <c r="AY187" s="44"/>
      <c r="AZ187" s="87"/>
      <c r="BA187" s="87"/>
      <c r="BB187" s="88">
        <f t="shared" si="59"/>
        <v>0</v>
      </c>
      <c r="BC187" s="23" t="s">
        <v>242</v>
      </c>
      <c r="BD187" s="23"/>
      <c r="BE187" s="23"/>
      <c r="BI187" s="90">
        <f t="shared" si="60"/>
        <v>0</v>
      </c>
      <c r="BJ187" s="26">
        <f t="shared" si="65"/>
        <v>1</v>
      </c>
      <c r="BK187" s="26">
        <v>0</v>
      </c>
      <c r="BL187" s="26" t="s">
        <v>850</v>
      </c>
      <c r="BM187" s="26">
        <v>140</v>
      </c>
      <c r="BN187" s="26">
        <v>90</v>
      </c>
      <c r="BO187" s="26">
        <v>103</v>
      </c>
      <c r="BP187" s="26">
        <v>0</v>
      </c>
      <c r="BQ187" s="26">
        <v>0</v>
      </c>
      <c r="BR187" s="224">
        <v>90</v>
      </c>
      <c r="BS187" s="225">
        <v>1</v>
      </c>
      <c r="BT187" s="230" t="s">
        <v>1048</v>
      </c>
      <c r="BU187" s="227">
        <v>11213629</v>
      </c>
      <c r="BV187" s="228">
        <v>44371</v>
      </c>
      <c r="BW187" s="225">
        <v>9.6</v>
      </c>
      <c r="BX187" s="228">
        <v>44949</v>
      </c>
      <c r="BY187" s="230">
        <v>7.4</v>
      </c>
      <c r="BZ187" s="226"/>
      <c r="CA187" s="226"/>
      <c r="CB187" s="226"/>
      <c r="CC187" s="226"/>
      <c r="CD187" s="225">
        <v>150995606000</v>
      </c>
      <c r="CE187" s="225">
        <v>1</v>
      </c>
    </row>
    <row r="188" spans="1:83" ht="15" customHeight="1" thickBot="1" x14ac:dyDescent="0.3">
      <c r="A188" s="15" t="s">
        <v>441</v>
      </c>
      <c r="B188" s="15" t="s">
        <v>442</v>
      </c>
      <c r="C188" s="23" t="s">
        <v>479</v>
      </c>
      <c r="D188" s="41" t="s">
        <v>469</v>
      </c>
      <c r="E188" s="23" t="s">
        <v>164</v>
      </c>
      <c r="F188" s="23" t="s">
        <v>179</v>
      </c>
      <c r="G188" s="23">
        <v>3</v>
      </c>
      <c r="H188" s="23">
        <v>1</v>
      </c>
      <c r="I188" s="85" t="s">
        <v>557</v>
      </c>
      <c r="L188" s="5"/>
      <c r="M188" s="109" t="e">
        <f>+#REF!-L188</f>
        <v>#REF!</v>
      </c>
      <c r="N188" s="23">
        <v>83.8</v>
      </c>
      <c r="O188" s="23">
        <v>1.53</v>
      </c>
      <c r="P188" s="24">
        <f t="shared" si="67"/>
        <v>35.798197274552521</v>
      </c>
      <c r="Q188" s="24" t="s">
        <v>242</v>
      </c>
      <c r="R188" s="24" t="s">
        <v>487</v>
      </c>
      <c r="S188" s="23" t="s">
        <v>177</v>
      </c>
      <c r="T188" s="45" t="s">
        <v>242</v>
      </c>
      <c r="U188" s="23" t="s">
        <v>212</v>
      </c>
      <c r="V188" s="22">
        <v>44392</v>
      </c>
      <c r="W188" s="15">
        <v>6.2</v>
      </c>
      <c r="X188" s="15" t="s">
        <v>474</v>
      </c>
      <c r="Y188" s="15" t="s">
        <v>582</v>
      </c>
      <c r="Z188" s="97" t="s">
        <v>505</v>
      </c>
      <c r="AA188" s="99" t="s">
        <v>566</v>
      </c>
      <c r="AB188" s="15">
        <v>1</v>
      </c>
      <c r="AC188" s="23" t="s">
        <v>244</v>
      </c>
      <c r="AD188" s="23" t="s">
        <v>642</v>
      </c>
      <c r="AE188" s="36">
        <v>80</v>
      </c>
      <c r="AF188" s="94">
        <v>14.66</v>
      </c>
      <c r="AG188" s="94">
        <f t="shared" si="66"/>
        <v>1172.8</v>
      </c>
      <c r="AH188" s="88">
        <f t="shared" si="55"/>
        <v>11.640694789081886</v>
      </c>
      <c r="AI188" s="25" t="s">
        <v>243</v>
      </c>
      <c r="AJ188" s="23" t="s">
        <v>463</v>
      </c>
      <c r="AK188" s="23" t="s">
        <v>247</v>
      </c>
      <c r="AL188" s="23">
        <v>2000</v>
      </c>
      <c r="AM188" s="91">
        <v>3.2199999999999999E-2</v>
      </c>
      <c r="AN188" s="91">
        <f t="shared" si="56"/>
        <v>64.400000000000006</v>
      </c>
      <c r="AO188" s="92">
        <f t="shared" si="57"/>
        <v>0.6392059553349877</v>
      </c>
      <c r="AP188" s="23" t="s">
        <v>243</v>
      </c>
      <c r="AQ188" s="23"/>
      <c r="AR188" s="87"/>
      <c r="AS188" s="87"/>
      <c r="AT188" s="88">
        <f t="shared" si="58"/>
        <v>0</v>
      </c>
      <c r="AU188" s="23" t="s">
        <v>242</v>
      </c>
      <c r="AV188" s="44"/>
      <c r="AW188" s="23"/>
      <c r="AX188" s="23" t="s">
        <v>249</v>
      </c>
      <c r="AY188" s="23">
        <v>50</v>
      </c>
      <c r="AZ188" s="87">
        <v>5.4</v>
      </c>
      <c r="BA188" s="87">
        <f>+AY188*AZ188</f>
        <v>270</v>
      </c>
      <c r="BB188" s="88">
        <f t="shared" si="59"/>
        <v>2.6799007444168734</v>
      </c>
      <c r="BC188" s="23" t="s">
        <v>243</v>
      </c>
      <c r="BD188" s="23"/>
      <c r="BE188" s="23"/>
      <c r="BI188" s="90">
        <f t="shared" si="60"/>
        <v>0</v>
      </c>
      <c r="BJ188" s="26">
        <f t="shared" si="65"/>
        <v>2</v>
      </c>
      <c r="BK188" s="26">
        <v>1</v>
      </c>
      <c r="BL188" s="26" t="s">
        <v>850</v>
      </c>
      <c r="BM188" s="26">
        <v>150</v>
      </c>
      <c r="BN188" s="26">
        <v>90</v>
      </c>
      <c r="BO188" s="26">
        <v>122</v>
      </c>
      <c r="BP188" s="26">
        <v>0</v>
      </c>
      <c r="BQ188" s="26">
        <v>0</v>
      </c>
      <c r="BR188" s="224">
        <v>92</v>
      </c>
      <c r="BS188" s="225">
        <v>2</v>
      </c>
      <c r="BT188" s="230" t="s">
        <v>1052</v>
      </c>
      <c r="BU188" s="227">
        <v>11351066</v>
      </c>
      <c r="BV188" s="228">
        <v>44392</v>
      </c>
      <c r="BW188" s="225">
        <v>6.2</v>
      </c>
      <c r="BX188" s="228">
        <v>44911</v>
      </c>
      <c r="BY188" s="226">
        <v>5.7</v>
      </c>
      <c r="BZ188" s="226"/>
      <c r="CA188" s="226"/>
      <c r="CB188" s="226"/>
      <c r="CC188" s="226"/>
      <c r="CD188" s="225">
        <v>150733152607</v>
      </c>
      <c r="CE188" s="225">
        <v>0</v>
      </c>
    </row>
    <row r="189" spans="1:83" ht="15" customHeight="1" thickBot="1" x14ac:dyDescent="0.3">
      <c r="A189" s="15" t="s">
        <v>441</v>
      </c>
      <c r="B189" s="15" t="s">
        <v>443</v>
      </c>
      <c r="C189" s="23" t="s">
        <v>479</v>
      </c>
      <c r="D189" s="41" t="s">
        <v>469</v>
      </c>
      <c r="E189" s="23" t="s">
        <v>164</v>
      </c>
      <c r="F189" s="23" t="s">
        <v>179</v>
      </c>
      <c r="G189" s="23">
        <v>3</v>
      </c>
      <c r="H189" s="23">
        <v>1</v>
      </c>
      <c r="I189" s="85" t="s">
        <v>557</v>
      </c>
      <c r="J189">
        <v>2018</v>
      </c>
      <c r="L189" s="5">
        <f t="shared" si="52"/>
        <v>3</v>
      </c>
      <c r="M189" s="109" t="e">
        <f>+#REF!-L189</f>
        <v>#REF!</v>
      </c>
      <c r="N189" s="23">
        <v>78</v>
      </c>
      <c r="O189" s="23">
        <v>1.51</v>
      </c>
      <c r="P189" s="24">
        <f t="shared" si="67"/>
        <v>34.209025919915796</v>
      </c>
      <c r="Q189" s="24" t="s">
        <v>243</v>
      </c>
      <c r="R189" s="24" t="s">
        <v>487</v>
      </c>
      <c r="S189" s="23" t="s">
        <v>177</v>
      </c>
      <c r="T189" s="45" t="s">
        <v>242</v>
      </c>
      <c r="U189" s="23" t="s">
        <v>212</v>
      </c>
      <c r="V189" s="16">
        <v>44441</v>
      </c>
      <c r="W189" s="17">
        <v>9.6999999999999993</v>
      </c>
      <c r="X189" s="17" t="s">
        <v>476</v>
      </c>
      <c r="Y189" s="17" t="s">
        <v>584</v>
      </c>
      <c r="Z189" s="96" t="s">
        <v>506</v>
      </c>
      <c r="AA189" s="98" t="s">
        <v>569</v>
      </c>
      <c r="AB189" s="17">
        <v>2</v>
      </c>
      <c r="AC189" s="23" t="s">
        <v>182</v>
      </c>
      <c r="AD189" s="23" t="s">
        <v>182</v>
      </c>
      <c r="AE189" s="36">
        <v>68</v>
      </c>
      <c r="AF189" s="94">
        <v>7.21</v>
      </c>
      <c r="AG189" s="94">
        <f t="shared" si="66"/>
        <v>490.28</v>
      </c>
      <c r="AH189" s="88">
        <f t="shared" si="55"/>
        <v>4.8663027295285355</v>
      </c>
      <c r="AI189" s="25" t="s">
        <v>243</v>
      </c>
      <c r="AJ189" s="23">
        <v>18</v>
      </c>
      <c r="AK189" s="44" t="s">
        <v>179</v>
      </c>
      <c r="AL189" s="23"/>
      <c r="AM189" s="91">
        <v>3.2199999999999999E-2</v>
      </c>
      <c r="AN189" s="91">
        <f t="shared" si="56"/>
        <v>0</v>
      </c>
      <c r="AO189" s="92">
        <f t="shared" si="57"/>
        <v>0</v>
      </c>
      <c r="AP189" s="23" t="s">
        <v>242</v>
      </c>
      <c r="AQ189" s="23"/>
      <c r="AR189" s="87"/>
      <c r="AS189" s="87"/>
      <c r="AT189" s="88">
        <f t="shared" si="58"/>
        <v>0</v>
      </c>
      <c r="AU189" s="23" t="s">
        <v>242</v>
      </c>
      <c r="AV189" s="44"/>
      <c r="AW189" s="23"/>
      <c r="AX189" s="44"/>
      <c r="AY189" s="44"/>
      <c r="AZ189" s="87"/>
      <c r="BA189" s="87"/>
      <c r="BB189" s="88">
        <f t="shared" si="59"/>
        <v>0</v>
      </c>
      <c r="BC189" s="23" t="s">
        <v>242</v>
      </c>
      <c r="BD189" s="23"/>
      <c r="BE189" s="23"/>
      <c r="BI189" s="90">
        <f t="shared" si="60"/>
        <v>0</v>
      </c>
      <c r="BJ189" s="26">
        <f t="shared" ref="BJ189:BJ209" si="68">COUNTIF(AP189:BI189,"SI")</f>
        <v>0</v>
      </c>
      <c r="BK189" s="26">
        <v>0</v>
      </c>
      <c r="BL189" s="26" t="s">
        <v>850</v>
      </c>
      <c r="BM189" s="26">
        <v>160</v>
      </c>
      <c r="BN189" s="26">
        <v>90</v>
      </c>
      <c r="BO189" s="26">
        <v>114.6</v>
      </c>
      <c r="BP189" s="26">
        <v>0</v>
      </c>
      <c r="BQ189" s="26">
        <v>0</v>
      </c>
      <c r="BR189" s="224">
        <v>91</v>
      </c>
      <c r="BS189" s="225">
        <v>2</v>
      </c>
      <c r="BT189" s="230" t="s">
        <v>1050</v>
      </c>
      <c r="BU189" s="227">
        <v>10665370</v>
      </c>
      <c r="BV189" s="228">
        <v>44441</v>
      </c>
      <c r="BW189" s="225">
        <v>9.6999999999999993</v>
      </c>
      <c r="BX189" s="226"/>
      <c r="BY189" s="226"/>
      <c r="BZ189" s="226"/>
      <c r="CA189" s="226"/>
      <c r="CB189" s="226"/>
      <c r="CC189" s="226"/>
      <c r="CD189" s="225">
        <v>150729131103</v>
      </c>
      <c r="CE189" s="225">
        <v>0</v>
      </c>
    </row>
    <row r="190" spans="1:83" ht="15" customHeight="1" thickBot="1" x14ac:dyDescent="0.3">
      <c r="A190" s="15" t="s">
        <v>444</v>
      </c>
      <c r="B190" s="15" t="s">
        <v>445</v>
      </c>
      <c r="C190" s="23" t="s">
        <v>479</v>
      </c>
      <c r="D190" s="41" t="s">
        <v>469</v>
      </c>
      <c r="E190" s="23" t="s">
        <v>163</v>
      </c>
      <c r="F190" s="23" t="s">
        <v>179</v>
      </c>
      <c r="G190" s="23">
        <v>3</v>
      </c>
      <c r="H190" s="23">
        <v>1</v>
      </c>
      <c r="I190" s="85" t="s">
        <v>557</v>
      </c>
      <c r="J190">
        <v>2007</v>
      </c>
      <c r="L190" s="5">
        <f t="shared" si="52"/>
        <v>14</v>
      </c>
      <c r="M190" s="109" t="e">
        <f>+#REF!-L190</f>
        <v>#REF!</v>
      </c>
      <c r="N190" s="23">
        <v>90</v>
      </c>
      <c r="O190" s="23">
        <v>1.7</v>
      </c>
      <c r="P190" s="24">
        <f>N190/(O190*O190)</f>
        <v>31.141868512110729</v>
      </c>
      <c r="Q190" s="24" t="s">
        <v>242</v>
      </c>
      <c r="R190" s="24" t="s">
        <v>487</v>
      </c>
      <c r="S190" s="23" t="s">
        <v>179</v>
      </c>
      <c r="T190" s="45" t="s">
        <v>242</v>
      </c>
      <c r="U190" s="23" t="s">
        <v>212</v>
      </c>
      <c r="V190" s="18">
        <v>44392</v>
      </c>
      <c r="W190" s="15">
        <v>10.3</v>
      </c>
      <c r="X190" s="17" t="s">
        <v>476</v>
      </c>
      <c r="Y190" s="17" t="s">
        <v>584</v>
      </c>
      <c r="Z190" s="96" t="s">
        <v>590</v>
      </c>
      <c r="AA190" s="98" t="s">
        <v>569</v>
      </c>
      <c r="AB190" s="17">
        <v>2</v>
      </c>
      <c r="AC190" s="23" t="s">
        <v>250</v>
      </c>
      <c r="AD190" s="23" t="s">
        <v>642</v>
      </c>
      <c r="AE190" s="36">
        <v>90</v>
      </c>
      <c r="AF190" s="94">
        <v>13.54</v>
      </c>
      <c r="AG190" s="94">
        <f t="shared" si="66"/>
        <v>1218.5999999999999</v>
      </c>
      <c r="AH190" s="88">
        <f t="shared" si="55"/>
        <v>12.095285359801489</v>
      </c>
      <c r="AI190" s="25" t="s">
        <v>242</v>
      </c>
      <c r="AJ190" s="23"/>
      <c r="AK190" s="23" t="s">
        <v>247</v>
      </c>
      <c r="AL190" s="23">
        <v>1700</v>
      </c>
      <c r="AM190" s="91">
        <v>3.2199999999999999E-2</v>
      </c>
      <c r="AN190" s="91">
        <f t="shared" si="56"/>
        <v>54.74</v>
      </c>
      <c r="AO190" s="92">
        <f t="shared" si="57"/>
        <v>0.54332506203473951</v>
      </c>
      <c r="AP190" s="23" t="s">
        <v>243</v>
      </c>
      <c r="AQ190" s="23"/>
      <c r="AR190" s="87"/>
      <c r="AS190" s="87"/>
      <c r="AT190" s="88">
        <f t="shared" si="58"/>
        <v>0</v>
      </c>
      <c r="AU190" s="23" t="s">
        <v>242</v>
      </c>
      <c r="AV190" s="44"/>
      <c r="AW190" s="23"/>
      <c r="AX190" s="44"/>
      <c r="AY190" s="44"/>
      <c r="AZ190" s="87"/>
      <c r="BA190" s="87"/>
      <c r="BB190" s="88">
        <f t="shared" si="59"/>
        <v>0</v>
      </c>
      <c r="BC190" s="23" t="s">
        <v>242</v>
      </c>
      <c r="BD190" s="23"/>
      <c r="BE190" s="23"/>
      <c r="BI190" s="90">
        <f t="shared" si="60"/>
        <v>0</v>
      </c>
      <c r="BJ190" s="26">
        <f t="shared" si="68"/>
        <v>1</v>
      </c>
      <c r="BK190" s="26">
        <v>0</v>
      </c>
      <c r="BL190" s="26" t="s">
        <v>850</v>
      </c>
      <c r="BM190" s="26">
        <v>140</v>
      </c>
      <c r="BN190" s="26">
        <v>80</v>
      </c>
      <c r="BO190" s="26">
        <v>106</v>
      </c>
      <c r="BP190" s="26">
        <v>0</v>
      </c>
      <c r="BQ190" s="26">
        <v>0</v>
      </c>
      <c r="BR190" s="224">
        <v>93</v>
      </c>
      <c r="BS190" s="225">
        <v>1</v>
      </c>
      <c r="BT190" s="230" t="s">
        <v>1054</v>
      </c>
      <c r="BU190" s="227">
        <v>10098697</v>
      </c>
      <c r="BV190" s="228">
        <v>44392</v>
      </c>
      <c r="BW190" s="225">
        <v>10.3</v>
      </c>
      <c r="BX190" s="228">
        <v>44946</v>
      </c>
      <c r="BY190" s="226">
        <v>10.199999999999999</v>
      </c>
      <c r="BZ190" s="226"/>
      <c r="CA190" s="226"/>
      <c r="CB190" s="226"/>
      <c r="CC190" s="226"/>
      <c r="CD190" s="225">
        <v>150604853302</v>
      </c>
      <c r="CE190" s="225">
        <v>1</v>
      </c>
    </row>
    <row r="191" spans="1:83" ht="15" customHeight="1" thickBot="1" x14ac:dyDescent="0.3">
      <c r="A191" s="15" t="s">
        <v>446</v>
      </c>
      <c r="B191" s="15" t="s">
        <v>447</v>
      </c>
      <c r="C191" s="23" t="s">
        <v>479</v>
      </c>
      <c r="D191" s="41" t="s">
        <v>469</v>
      </c>
      <c r="E191" s="23" t="s">
        <v>163</v>
      </c>
      <c r="F191" s="23" t="s">
        <v>179</v>
      </c>
      <c r="G191" s="23">
        <v>2</v>
      </c>
      <c r="H191" s="23">
        <v>1</v>
      </c>
      <c r="I191" s="85" t="s">
        <v>557</v>
      </c>
      <c r="J191">
        <v>2018</v>
      </c>
      <c r="L191" s="5">
        <f t="shared" si="52"/>
        <v>3</v>
      </c>
      <c r="M191" s="109" t="e">
        <f>+#REF!-L191</f>
        <v>#REF!</v>
      </c>
      <c r="N191" s="23">
        <v>80</v>
      </c>
      <c r="O191" s="23">
        <v>1.68</v>
      </c>
      <c r="P191" s="24">
        <f t="shared" si="67"/>
        <v>28.344671201814062</v>
      </c>
      <c r="Q191" s="24" t="s">
        <v>243</v>
      </c>
      <c r="R191" s="24" t="s">
        <v>486</v>
      </c>
      <c r="S191" s="23" t="s">
        <v>177</v>
      </c>
      <c r="T191" s="45" t="s">
        <v>242</v>
      </c>
      <c r="U191" s="23" t="s">
        <v>212</v>
      </c>
      <c r="V191" s="18">
        <v>44392</v>
      </c>
      <c r="W191" s="15">
        <v>15.4</v>
      </c>
      <c r="X191" s="17" t="s">
        <v>477</v>
      </c>
      <c r="Y191" s="17" t="s">
        <v>584</v>
      </c>
      <c r="Z191" s="96" t="s">
        <v>590</v>
      </c>
      <c r="AA191" s="98" t="s">
        <v>569</v>
      </c>
      <c r="AB191" s="17">
        <v>3</v>
      </c>
      <c r="AC191" s="23" t="s">
        <v>182</v>
      </c>
      <c r="AD191" s="23" t="s">
        <v>182</v>
      </c>
      <c r="AE191" s="36">
        <v>52</v>
      </c>
      <c r="AF191" s="94">
        <v>7.21</v>
      </c>
      <c r="AG191" s="94">
        <f t="shared" si="66"/>
        <v>374.92</v>
      </c>
      <c r="AH191" s="88">
        <f t="shared" si="55"/>
        <v>3.7212903225806455</v>
      </c>
      <c r="AI191" s="25" t="s">
        <v>243</v>
      </c>
      <c r="AJ191" s="23" t="s">
        <v>463</v>
      </c>
      <c r="AK191" s="30" t="s">
        <v>247</v>
      </c>
      <c r="AL191" s="23">
        <v>2000</v>
      </c>
      <c r="AM191" s="91">
        <v>3.2199999999999999E-2</v>
      </c>
      <c r="AN191" s="91">
        <f t="shared" si="56"/>
        <v>64.400000000000006</v>
      </c>
      <c r="AO191" s="92">
        <f t="shared" si="57"/>
        <v>0.6392059553349877</v>
      </c>
      <c r="AP191" s="23" t="s">
        <v>243</v>
      </c>
      <c r="AQ191" s="23"/>
      <c r="AR191" s="87"/>
      <c r="AS191" s="87"/>
      <c r="AT191" s="88">
        <f t="shared" si="58"/>
        <v>0</v>
      </c>
      <c r="AU191" s="23" t="s">
        <v>242</v>
      </c>
      <c r="AV191" s="44"/>
      <c r="AW191" s="23"/>
      <c r="AX191" s="44"/>
      <c r="AY191" s="44"/>
      <c r="AZ191" s="87"/>
      <c r="BA191" s="87"/>
      <c r="BB191" s="88">
        <f t="shared" si="59"/>
        <v>0</v>
      </c>
      <c r="BC191" s="23" t="s">
        <v>242</v>
      </c>
      <c r="BD191" s="23"/>
      <c r="BE191" s="23"/>
      <c r="BI191" s="90">
        <f t="shared" si="60"/>
        <v>0</v>
      </c>
      <c r="BJ191" s="26">
        <f t="shared" si="68"/>
        <v>1</v>
      </c>
      <c r="BK191" s="26">
        <v>1</v>
      </c>
      <c r="BL191" s="26" t="s">
        <v>850</v>
      </c>
      <c r="BM191" s="26">
        <v>150</v>
      </c>
      <c r="BN191" s="26">
        <v>90</v>
      </c>
      <c r="BO191" s="26">
        <v>101</v>
      </c>
      <c r="BP191" s="26">
        <v>0</v>
      </c>
      <c r="BQ191" s="26">
        <v>1</v>
      </c>
      <c r="BR191" s="224">
        <v>94</v>
      </c>
      <c r="BS191" s="225">
        <v>1</v>
      </c>
      <c r="BT191" s="230" t="s">
        <v>1056</v>
      </c>
      <c r="BU191" s="227">
        <v>93957937</v>
      </c>
      <c r="BV191" s="228">
        <v>44392</v>
      </c>
      <c r="BW191" s="225">
        <v>15.4</v>
      </c>
      <c r="BX191" s="228">
        <v>44946</v>
      </c>
      <c r="BY191" s="226">
        <v>7.7</v>
      </c>
      <c r="BZ191" s="226"/>
      <c r="CA191" s="226"/>
      <c r="CB191" s="226"/>
      <c r="CC191" s="226"/>
      <c r="CD191" s="225">
        <v>150275717601</v>
      </c>
      <c r="CE191" s="225">
        <v>1</v>
      </c>
    </row>
    <row r="192" spans="1:83" ht="15" customHeight="1" thickBot="1" x14ac:dyDescent="0.3">
      <c r="A192" s="15" t="s">
        <v>53</v>
      </c>
      <c r="B192" s="15" t="s">
        <v>130</v>
      </c>
      <c r="C192" s="23" t="s">
        <v>479</v>
      </c>
      <c r="D192" s="41" t="s">
        <v>469</v>
      </c>
      <c r="E192" s="23" t="s">
        <v>164</v>
      </c>
      <c r="F192" s="23" t="s">
        <v>179</v>
      </c>
      <c r="G192" s="23">
        <v>2</v>
      </c>
      <c r="H192" s="23">
        <v>1</v>
      </c>
      <c r="I192" s="85" t="s">
        <v>557</v>
      </c>
      <c r="J192">
        <v>1997</v>
      </c>
      <c r="L192" s="5">
        <f t="shared" si="52"/>
        <v>24</v>
      </c>
      <c r="M192" s="109" t="e">
        <f>+#REF!-L192</f>
        <v>#REF!</v>
      </c>
      <c r="N192" s="23">
        <v>86.4</v>
      </c>
      <c r="O192" s="23">
        <v>1.57</v>
      </c>
      <c r="P192" s="24">
        <f t="shared" si="67"/>
        <v>35.052131932329914</v>
      </c>
      <c r="Q192" s="24" t="s">
        <v>242</v>
      </c>
      <c r="R192" s="24" t="s">
        <v>487</v>
      </c>
      <c r="S192" s="23" t="s">
        <v>177</v>
      </c>
      <c r="T192" s="45" t="s">
        <v>242</v>
      </c>
      <c r="U192" s="23" t="s">
        <v>212</v>
      </c>
      <c r="V192" s="16">
        <v>44403</v>
      </c>
      <c r="W192" s="15">
        <v>11.7</v>
      </c>
      <c r="X192" s="17" t="s">
        <v>477</v>
      </c>
      <c r="Y192" s="17" t="s">
        <v>584</v>
      </c>
      <c r="Z192" s="96" t="s">
        <v>590</v>
      </c>
      <c r="AA192" s="98" t="s">
        <v>569</v>
      </c>
      <c r="AB192" s="17">
        <v>3</v>
      </c>
      <c r="AC192" s="23" t="s">
        <v>244</v>
      </c>
      <c r="AD192" s="23" t="s">
        <v>642</v>
      </c>
      <c r="AE192" s="36">
        <v>62</v>
      </c>
      <c r="AF192" s="94">
        <v>14.66</v>
      </c>
      <c r="AG192" s="94">
        <f t="shared" si="66"/>
        <v>908.92</v>
      </c>
      <c r="AH192" s="88">
        <f t="shared" si="55"/>
        <v>9.0215384615384604</v>
      </c>
      <c r="AI192" s="25" t="s">
        <v>243</v>
      </c>
      <c r="AJ192" s="23" t="s">
        <v>463</v>
      </c>
      <c r="AK192" s="23" t="s">
        <v>247</v>
      </c>
      <c r="AL192" s="23">
        <v>1700</v>
      </c>
      <c r="AM192" s="91">
        <v>3.2199999999999999E-2</v>
      </c>
      <c r="AN192" s="91">
        <f t="shared" si="56"/>
        <v>54.74</v>
      </c>
      <c r="AO192" s="92">
        <f t="shared" si="57"/>
        <v>0.54332506203473951</v>
      </c>
      <c r="AP192" s="23" t="s">
        <v>243</v>
      </c>
      <c r="AQ192" s="23"/>
      <c r="AR192" s="87"/>
      <c r="AS192" s="87"/>
      <c r="AT192" s="88">
        <f t="shared" si="58"/>
        <v>0</v>
      </c>
      <c r="AU192" s="23" t="s">
        <v>242</v>
      </c>
      <c r="AV192" s="44"/>
      <c r="AW192" s="23"/>
      <c r="AX192" s="44"/>
      <c r="AY192" s="44"/>
      <c r="AZ192" s="87"/>
      <c r="BA192" s="87"/>
      <c r="BB192" s="88">
        <f t="shared" si="59"/>
        <v>0</v>
      </c>
      <c r="BC192" s="23" t="s">
        <v>242</v>
      </c>
      <c r="BD192" s="23"/>
      <c r="BE192" s="23"/>
      <c r="BI192" s="90">
        <f t="shared" si="60"/>
        <v>0</v>
      </c>
      <c r="BJ192" s="26">
        <f t="shared" si="68"/>
        <v>1</v>
      </c>
      <c r="BK192" s="26">
        <v>1</v>
      </c>
      <c r="BL192" s="26" t="s">
        <v>850</v>
      </c>
      <c r="BM192" s="26">
        <v>138</v>
      </c>
      <c r="BN192" s="26">
        <v>72</v>
      </c>
      <c r="BO192" s="26">
        <v>119</v>
      </c>
      <c r="BP192" s="26">
        <v>0</v>
      </c>
      <c r="BQ192" s="26">
        <v>0</v>
      </c>
      <c r="BR192" s="224">
        <v>95</v>
      </c>
      <c r="BS192" s="225">
        <v>2</v>
      </c>
      <c r="BT192" s="230" t="s">
        <v>1058</v>
      </c>
      <c r="BU192" s="227">
        <v>11772216</v>
      </c>
      <c r="BV192" s="228">
        <v>44403</v>
      </c>
      <c r="BW192" s="225">
        <v>11.7</v>
      </c>
      <c r="BX192" s="226"/>
      <c r="BY192" s="226"/>
      <c r="BZ192" s="226"/>
      <c r="CA192" s="226"/>
      <c r="CB192" s="226"/>
      <c r="CC192" s="226"/>
      <c r="CD192" s="225">
        <v>150734763502</v>
      </c>
      <c r="CE192" s="225">
        <v>0</v>
      </c>
    </row>
    <row r="193" spans="1:83" ht="15" customHeight="1" thickBot="1" x14ac:dyDescent="0.3">
      <c r="A193" s="15" t="s">
        <v>31</v>
      </c>
      <c r="B193" s="15" t="s">
        <v>78</v>
      </c>
      <c r="C193" s="23" t="s">
        <v>482</v>
      </c>
      <c r="D193" s="41" t="s">
        <v>470</v>
      </c>
      <c r="E193" s="23" t="s">
        <v>163</v>
      </c>
      <c r="F193" s="23" t="s">
        <v>179</v>
      </c>
      <c r="G193" s="23">
        <v>2</v>
      </c>
      <c r="H193" s="23">
        <v>1</v>
      </c>
      <c r="I193" s="85" t="s">
        <v>557</v>
      </c>
      <c r="J193">
        <v>2006</v>
      </c>
      <c r="L193" s="5">
        <f t="shared" si="52"/>
        <v>15</v>
      </c>
      <c r="M193" s="109" t="e">
        <f>+#REF!-L193</f>
        <v>#REF!</v>
      </c>
      <c r="N193" s="23">
        <v>98</v>
      </c>
      <c r="O193" s="23">
        <v>1.64</v>
      </c>
      <c r="P193" s="24">
        <f t="shared" si="67"/>
        <v>36.43664485425343</v>
      </c>
      <c r="Q193" s="24" t="s">
        <v>242</v>
      </c>
      <c r="R193" s="24" t="s">
        <v>487</v>
      </c>
      <c r="S193" s="23" t="s">
        <v>177</v>
      </c>
      <c r="T193" s="45" t="s">
        <v>242</v>
      </c>
      <c r="U193" s="23" t="s">
        <v>212</v>
      </c>
      <c r="V193" s="18">
        <v>44434</v>
      </c>
      <c r="W193" s="17">
        <v>6.5</v>
      </c>
      <c r="X193" s="15" t="s">
        <v>474</v>
      </c>
      <c r="Y193" s="15" t="s">
        <v>582</v>
      </c>
      <c r="Z193" s="97" t="s">
        <v>505</v>
      </c>
      <c r="AA193" s="99" t="s">
        <v>566</v>
      </c>
      <c r="AB193" s="15">
        <v>1</v>
      </c>
      <c r="AC193" s="23" t="s">
        <v>244</v>
      </c>
      <c r="AD193" s="23" t="s">
        <v>642</v>
      </c>
      <c r="AE193" s="36">
        <v>40</v>
      </c>
      <c r="AF193" s="94">
        <v>14.66</v>
      </c>
      <c r="AG193" s="94">
        <f t="shared" si="66"/>
        <v>586.4</v>
      </c>
      <c r="AH193" s="88">
        <f t="shared" si="55"/>
        <v>5.820347394540943</v>
      </c>
      <c r="AI193" s="25" t="s">
        <v>242</v>
      </c>
      <c r="AJ193" s="23"/>
      <c r="AK193" s="23" t="s">
        <v>247</v>
      </c>
      <c r="AL193" s="23">
        <v>2550</v>
      </c>
      <c r="AM193" s="91">
        <v>3.2199999999999999E-2</v>
      </c>
      <c r="AN193" s="91">
        <f t="shared" si="56"/>
        <v>82.11</v>
      </c>
      <c r="AO193" s="92">
        <f t="shared" si="57"/>
        <v>0.81498759305210922</v>
      </c>
      <c r="AP193" s="23" t="s">
        <v>243</v>
      </c>
      <c r="AQ193" s="23"/>
      <c r="AR193" s="87"/>
      <c r="AS193" s="87"/>
      <c r="AT193" s="88">
        <f t="shared" si="58"/>
        <v>0</v>
      </c>
      <c r="AU193" s="23" t="s">
        <v>242</v>
      </c>
      <c r="AV193" s="44"/>
      <c r="AW193" s="23"/>
      <c r="AX193" s="23" t="s">
        <v>251</v>
      </c>
      <c r="AY193" s="23">
        <v>100</v>
      </c>
      <c r="AZ193" s="87">
        <v>1.84</v>
      </c>
      <c r="BA193" s="87">
        <f>+AY193*AZ193</f>
        <v>184</v>
      </c>
      <c r="BB193" s="88">
        <f t="shared" si="59"/>
        <v>1.8263027295285359</v>
      </c>
      <c r="BC193" s="23" t="s">
        <v>243</v>
      </c>
      <c r="BD193" s="23"/>
      <c r="BE193" s="23"/>
      <c r="BI193" s="90">
        <f t="shared" si="60"/>
        <v>0</v>
      </c>
      <c r="BJ193" s="26">
        <f t="shared" si="68"/>
        <v>2</v>
      </c>
      <c r="BK193" s="26">
        <v>1</v>
      </c>
      <c r="BL193" s="26" t="s">
        <v>850</v>
      </c>
      <c r="BM193" s="26">
        <v>130</v>
      </c>
      <c r="BN193" s="26">
        <v>80</v>
      </c>
      <c r="BO193" s="26">
        <v>125</v>
      </c>
      <c r="BP193" s="26">
        <v>0</v>
      </c>
      <c r="BQ193" s="26">
        <v>1</v>
      </c>
      <c r="BR193" s="224">
        <v>195</v>
      </c>
      <c r="BS193" s="225">
        <v>1</v>
      </c>
      <c r="BT193" s="230" t="s">
        <v>1259</v>
      </c>
      <c r="BU193" s="227">
        <v>8701548</v>
      </c>
      <c r="BV193" s="228">
        <v>44434</v>
      </c>
      <c r="BW193" s="225">
        <v>6.5</v>
      </c>
      <c r="BX193" s="226"/>
      <c r="BY193" s="226"/>
      <c r="BZ193" s="226"/>
      <c r="CA193" s="226"/>
      <c r="CB193" s="226"/>
      <c r="CC193" s="226"/>
      <c r="CD193" s="225">
        <v>150523217905</v>
      </c>
      <c r="CE193" s="225">
        <v>0</v>
      </c>
    </row>
    <row r="194" spans="1:83" ht="15" customHeight="1" thickBot="1" x14ac:dyDescent="0.3">
      <c r="A194" s="15" t="s">
        <v>448</v>
      </c>
      <c r="B194" s="15" t="s">
        <v>449</v>
      </c>
      <c r="C194" s="23" t="s">
        <v>480</v>
      </c>
      <c r="D194" s="41" t="s">
        <v>469</v>
      </c>
      <c r="E194" s="23" t="s">
        <v>163</v>
      </c>
      <c r="F194" s="23" t="s">
        <v>179</v>
      </c>
      <c r="G194" s="23">
        <v>3</v>
      </c>
      <c r="H194" s="23">
        <v>1</v>
      </c>
      <c r="I194" s="85" t="s">
        <v>557</v>
      </c>
      <c r="J194">
        <v>2009</v>
      </c>
      <c r="L194" s="5">
        <f t="shared" si="52"/>
        <v>12</v>
      </c>
      <c r="M194" s="109" t="e">
        <f>+#REF!-L194</f>
        <v>#REF!</v>
      </c>
      <c r="N194" s="23">
        <v>88.7</v>
      </c>
      <c r="O194" s="23">
        <v>1.73</v>
      </c>
      <c r="P194" s="24">
        <f t="shared" si="67"/>
        <v>29.636807110160714</v>
      </c>
      <c r="Q194" s="24" t="s">
        <v>243</v>
      </c>
      <c r="R194" s="24" t="s">
        <v>486</v>
      </c>
      <c r="S194" s="23" t="s">
        <v>177</v>
      </c>
      <c r="T194" s="45" t="s">
        <v>242</v>
      </c>
      <c r="U194" s="23" t="s">
        <v>212</v>
      </c>
      <c r="V194" s="18">
        <v>44392</v>
      </c>
      <c r="W194" s="15">
        <v>8.1</v>
      </c>
      <c r="X194" s="17" t="s">
        <v>475</v>
      </c>
      <c r="Y194" s="17" t="s">
        <v>584</v>
      </c>
      <c r="Z194" s="96" t="s">
        <v>506</v>
      </c>
      <c r="AA194" s="98" t="s">
        <v>569</v>
      </c>
      <c r="AB194" s="17">
        <v>2</v>
      </c>
      <c r="AC194" s="23" t="s">
        <v>250</v>
      </c>
      <c r="AD194" s="23" t="s">
        <v>642</v>
      </c>
      <c r="AE194" s="36">
        <v>35</v>
      </c>
      <c r="AF194" s="94">
        <v>13.54</v>
      </c>
      <c r="AG194" s="94">
        <f t="shared" si="66"/>
        <v>473.9</v>
      </c>
      <c r="AH194" s="88">
        <f t="shared" si="55"/>
        <v>4.7037220843672456</v>
      </c>
      <c r="AI194" s="25" t="s">
        <v>243</v>
      </c>
      <c r="AJ194" s="23" t="s">
        <v>463</v>
      </c>
      <c r="AK194" s="44" t="s">
        <v>179</v>
      </c>
      <c r="AL194" s="23"/>
      <c r="AM194" s="91">
        <v>3.2199999999999999E-2</v>
      </c>
      <c r="AN194" s="91">
        <f t="shared" si="56"/>
        <v>0</v>
      </c>
      <c r="AO194" s="92">
        <f t="shared" si="57"/>
        <v>0</v>
      </c>
      <c r="AP194" s="23" t="s">
        <v>242</v>
      </c>
      <c r="AQ194" s="23"/>
      <c r="AR194" s="87"/>
      <c r="AS194" s="87"/>
      <c r="AT194" s="88">
        <f t="shared" si="58"/>
        <v>0</v>
      </c>
      <c r="AU194" s="23" t="s">
        <v>242</v>
      </c>
      <c r="AV194" s="44"/>
      <c r="AW194" s="23"/>
      <c r="AX194" s="44"/>
      <c r="AY194" s="44"/>
      <c r="AZ194" s="87"/>
      <c r="BA194" s="87"/>
      <c r="BB194" s="88">
        <f t="shared" si="59"/>
        <v>0</v>
      </c>
      <c r="BC194" s="23" t="s">
        <v>242</v>
      </c>
      <c r="BD194" s="23"/>
      <c r="BE194" s="23"/>
      <c r="BI194" s="90">
        <f t="shared" si="60"/>
        <v>0</v>
      </c>
      <c r="BJ194" s="26">
        <f t="shared" si="68"/>
        <v>0</v>
      </c>
      <c r="BK194" s="26">
        <v>1</v>
      </c>
      <c r="BL194" s="26" t="s">
        <v>850</v>
      </c>
      <c r="BM194" s="26">
        <v>150</v>
      </c>
      <c r="BN194" s="26">
        <v>80</v>
      </c>
      <c r="BO194" s="26">
        <v>103</v>
      </c>
      <c r="BP194" s="26">
        <v>0</v>
      </c>
      <c r="BQ194" s="26">
        <v>1</v>
      </c>
      <c r="BR194" s="224">
        <v>97</v>
      </c>
      <c r="BS194" s="225">
        <v>1</v>
      </c>
      <c r="BT194" s="230" t="s">
        <v>1062</v>
      </c>
      <c r="BU194" s="227">
        <v>7704213</v>
      </c>
      <c r="BV194" s="228">
        <v>44392</v>
      </c>
      <c r="BW194" s="225">
        <v>8.1</v>
      </c>
      <c r="BX194" s="228">
        <v>44951</v>
      </c>
      <c r="BY194" s="226">
        <v>5.8</v>
      </c>
      <c r="BZ194" s="226"/>
      <c r="CA194" s="226"/>
      <c r="CB194" s="226"/>
      <c r="CC194" s="226"/>
      <c r="CD194" s="225">
        <v>150403808802</v>
      </c>
      <c r="CE194" s="225">
        <v>0</v>
      </c>
    </row>
    <row r="195" spans="1:83" ht="15" customHeight="1" thickBot="1" x14ac:dyDescent="0.3">
      <c r="A195" s="15" t="s">
        <v>448</v>
      </c>
      <c r="B195" s="15" t="s">
        <v>450</v>
      </c>
      <c r="C195" s="23" t="s">
        <v>479</v>
      </c>
      <c r="D195" s="41" t="s">
        <v>469</v>
      </c>
      <c r="E195" s="23" t="s">
        <v>163</v>
      </c>
      <c r="F195" s="23" t="s">
        <v>242</v>
      </c>
      <c r="G195" s="23">
        <v>2</v>
      </c>
      <c r="H195" s="23">
        <v>1</v>
      </c>
      <c r="I195" s="85" t="s">
        <v>557</v>
      </c>
      <c r="J195">
        <v>1990</v>
      </c>
      <c r="L195" s="5">
        <f>2021-J195</f>
        <v>31</v>
      </c>
      <c r="M195" s="109" t="e">
        <f>+#REF!-L195</f>
        <v>#REF!</v>
      </c>
      <c r="N195" s="23">
        <v>118.7</v>
      </c>
      <c r="O195" s="23">
        <v>1.8</v>
      </c>
      <c r="P195" s="24">
        <f>N195/(O195*O195)</f>
        <v>36.635802469135804</v>
      </c>
      <c r="Q195" s="24" t="s">
        <v>242</v>
      </c>
      <c r="R195" s="24" t="s">
        <v>487</v>
      </c>
      <c r="S195" s="23" t="s">
        <v>177</v>
      </c>
      <c r="T195" s="45" t="s">
        <v>242</v>
      </c>
      <c r="U195" s="23" t="s">
        <v>212</v>
      </c>
      <c r="V195" s="18">
        <v>44403</v>
      </c>
      <c r="W195" s="15">
        <v>9.8000000000000007</v>
      </c>
      <c r="X195" s="17" t="s">
        <v>476</v>
      </c>
      <c r="Y195" s="17" t="s">
        <v>584</v>
      </c>
      <c r="Z195" s="96" t="s">
        <v>506</v>
      </c>
      <c r="AA195" s="98" t="s">
        <v>569</v>
      </c>
      <c r="AB195" s="17">
        <v>2</v>
      </c>
      <c r="AC195" s="23" t="s">
        <v>182</v>
      </c>
      <c r="AD195" s="23" t="s">
        <v>182</v>
      </c>
      <c r="AE195" s="36">
        <v>120</v>
      </c>
      <c r="AF195" s="94">
        <v>7.21</v>
      </c>
      <c r="AG195" s="94">
        <f>+AE195*AF195</f>
        <v>865.2</v>
      </c>
      <c r="AH195" s="88">
        <f>+AG195/100.75</f>
        <v>8.587593052109181</v>
      </c>
      <c r="AI195" s="25" t="s">
        <v>242</v>
      </c>
      <c r="AJ195" s="23"/>
      <c r="AK195" s="23" t="s">
        <v>247</v>
      </c>
      <c r="AL195" s="23">
        <v>2000</v>
      </c>
      <c r="AM195" s="91">
        <v>3.2199999999999999E-2</v>
      </c>
      <c r="AN195" s="91">
        <f>+AL195*AM195</f>
        <v>64.400000000000006</v>
      </c>
      <c r="AO195" s="92">
        <f>+AN195/100.75</f>
        <v>0.6392059553349877</v>
      </c>
      <c r="AP195" s="23" t="s">
        <v>243</v>
      </c>
      <c r="AQ195" s="23"/>
      <c r="AR195" s="87"/>
      <c r="AS195" s="87"/>
      <c r="AT195" s="88">
        <f>+AS195/100.75</f>
        <v>0</v>
      </c>
      <c r="AU195" s="23" t="s">
        <v>242</v>
      </c>
      <c r="AV195" s="44"/>
      <c r="AW195" s="23"/>
      <c r="AX195" s="44"/>
      <c r="AY195" s="44"/>
      <c r="AZ195" s="87"/>
      <c r="BA195" s="87"/>
      <c r="BB195" s="88">
        <f>+BA195/100.75</f>
        <v>0</v>
      </c>
      <c r="BC195" s="23" t="s">
        <v>242</v>
      </c>
      <c r="BD195" s="23"/>
      <c r="BE195" s="23"/>
      <c r="BI195" s="90">
        <f>+BH195/100.75</f>
        <v>0</v>
      </c>
      <c r="BJ195" s="26">
        <f>COUNTIF(AP195:BI195,"SI")</f>
        <v>1</v>
      </c>
      <c r="BK195" s="26">
        <v>1</v>
      </c>
      <c r="BL195" s="26" t="s">
        <v>850</v>
      </c>
      <c r="BM195" s="26">
        <v>142</v>
      </c>
      <c r="BN195" s="26">
        <v>92</v>
      </c>
      <c r="BO195" s="26">
        <v>120</v>
      </c>
      <c r="BP195" s="26">
        <v>0</v>
      </c>
      <c r="BQ195" s="26">
        <v>0</v>
      </c>
      <c r="BR195" s="224">
        <v>96</v>
      </c>
      <c r="BS195" s="225">
        <v>1</v>
      </c>
      <c r="BT195" s="230" t="s">
        <v>1060</v>
      </c>
      <c r="BU195" s="227">
        <v>10227303</v>
      </c>
      <c r="BV195" s="228">
        <v>44403</v>
      </c>
      <c r="BW195" s="225">
        <v>9.8000000000000007</v>
      </c>
      <c r="BX195" s="228">
        <v>44942</v>
      </c>
      <c r="BY195" s="230">
        <v>7.8</v>
      </c>
      <c r="BZ195" s="226"/>
      <c r="CA195" s="226"/>
      <c r="CB195" s="226"/>
      <c r="CC195" s="226"/>
      <c r="CD195" s="225">
        <v>150494780105</v>
      </c>
      <c r="CE195" s="225">
        <v>0</v>
      </c>
    </row>
    <row r="196" spans="1:83" ht="15" customHeight="1" thickBot="1" x14ac:dyDescent="0.3">
      <c r="A196" s="15" t="s">
        <v>451</v>
      </c>
      <c r="B196" s="15" t="s">
        <v>452</v>
      </c>
      <c r="C196" s="23" t="s">
        <v>479</v>
      </c>
      <c r="D196" s="41" t="s">
        <v>469</v>
      </c>
      <c r="E196" s="23" t="s">
        <v>163</v>
      </c>
      <c r="F196" s="23" t="s">
        <v>179</v>
      </c>
      <c r="G196" s="23">
        <v>4</v>
      </c>
      <c r="H196" s="23">
        <v>1</v>
      </c>
      <c r="I196" s="85" t="s">
        <v>557</v>
      </c>
      <c r="J196">
        <v>2015</v>
      </c>
      <c r="L196" s="5">
        <f t="shared" ref="L196:L209" si="69">2021-J196</f>
        <v>6</v>
      </c>
      <c r="M196" s="109" t="e">
        <f>+#REF!-L196</f>
        <v>#REF!</v>
      </c>
      <c r="N196" s="23">
        <v>87.3</v>
      </c>
      <c r="O196" s="23">
        <v>1.63</v>
      </c>
      <c r="P196" s="24">
        <f t="shared" si="67"/>
        <v>32.857841845760099</v>
      </c>
      <c r="Q196" s="24" t="s">
        <v>243</v>
      </c>
      <c r="R196" s="24" t="s">
        <v>487</v>
      </c>
      <c r="S196" s="23" t="s">
        <v>177</v>
      </c>
      <c r="T196" s="45" t="s">
        <v>242</v>
      </c>
      <c r="U196" s="23" t="s">
        <v>212</v>
      </c>
      <c r="V196" s="16">
        <v>44441</v>
      </c>
      <c r="W196" s="17">
        <v>5.8</v>
      </c>
      <c r="X196" s="15" t="s">
        <v>474</v>
      </c>
      <c r="Y196" s="15" t="s">
        <v>582</v>
      </c>
      <c r="Z196" s="97" t="s">
        <v>505</v>
      </c>
      <c r="AA196" s="99" t="s">
        <v>566</v>
      </c>
      <c r="AB196" s="15">
        <v>1</v>
      </c>
      <c r="AC196" s="23" t="s">
        <v>182</v>
      </c>
      <c r="AD196" s="23" t="s">
        <v>182</v>
      </c>
      <c r="AE196" s="36">
        <v>36</v>
      </c>
      <c r="AF196" s="94">
        <v>7.21</v>
      </c>
      <c r="AG196" s="94">
        <f t="shared" si="66"/>
        <v>259.56</v>
      </c>
      <c r="AH196" s="88">
        <f t="shared" ref="AH196:AH209" si="70">+AG196/100.75</f>
        <v>2.5762779156327542</v>
      </c>
      <c r="AI196" s="25" t="s">
        <v>243</v>
      </c>
      <c r="AJ196" s="23" t="s">
        <v>463</v>
      </c>
      <c r="AK196" s="23" t="s">
        <v>247</v>
      </c>
      <c r="AL196" s="23">
        <v>850</v>
      </c>
      <c r="AM196" s="91">
        <v>3.2199999999999999E-2</v>
      </c>
      <c r="AN196" s="91">
        <f t="shared" ref="AN196:AN209" si="71">+AL196*AM196</f>
        <v>27.37</v>
      </c>
      <c r="AO196" s="92">
        <f t="shared" ref="AO196:AO209" si="72">+AN196/100.75</f>
        <v>0.27166253101736976</v>
      </c>
      <c r="AP196" s="23" t="s">
        <v>243</v>
      </c>
      <c r="AQ196" s="23"/>
      <c r="AR196" s="87"/>
      <c r="AS196" s="87"/>
      <c r="AT196" s="88">
        <f t="shared" ref="AT196:AT209" si="73">+AS196/100.75</f>
        <v>0</v>
      </c>
      <c r="AU196" s="23" t="s">
        <v>242</v>
      </c>
      <c r="AV196" s="44"/>
      <c r="AW196" s="23"/>
      <c r="AX196" s="44"/>
      <c r="AY196" s="44"/>
      <c r="AZ196" s="87"/>
      <c r="BA196" s="87"/>
      <c r="BB196" s="88">
        <f t="shared" ref="BB196:BB209" si="74">+BA196/100.75</f>
        <v>0</v>
      </c>
      <c r="BC196" s="23" t="s">
        <v>242</v>
      </c>
      <c r="BD196" s="23"/>
      <c r="BE196" s="23"/>
      <c r="BI196" s="90">
        <f t="shared" ref="BI196:BI209" si="75">+BH196/100.75</f>
        <v>0</v>
      </c>
      <c r="BJ196" s="26">
        <f t="shared" si="68"/>
        <v>1</v>
      </c>
      <c r="BK196" s="26">
        <v>0</v>
      </c>
      <c r="BL196" s="26" t="s">
        <v>851</v>
      </c>
      <c r="BM196" s="26">
        <v>120</v>
      </c>
      <c r="BN196" s="26">
        <v>90</v>
      </c>
      <c r="BO196" s="26">
        <v>109</v>
      </c>
      <c r="BP196" s="26">
        <v>0</v>
      </c>
      <c r="BQ196" s="26">
        <v>1</v>
      </c>
      <c r="BR196" s="224">
        <v>208</v>
      </c>
      <c r="BS196" s="225">
        <v>2</v>
      </c>
      <c r="BT196" s="230" t="s">
        <v>1286</v>
      </c>
      <c r="BU196" s="227">
        <v>10506772</v>
      </c>
      <c r="BV196" s="228">
        <v>44441</v>
      </c>
      <c r="BW196" s="225">
        <v>5.8</v>
      </c>
      <c r="BX196" s="228">
        <v>44909</v>
      </c>
      <c r="BY196" s="226">
        <v>6.1</v>
      </c>
      <c r="BZ196" s="226"/>
      <c r="CA196" s="226"/>
      <c r="CB196" s="226"/>
      <c r="CC196" s="226"/>
      <c r="CD196" s="225">
        <v>465911131100</v>
      </c>
      <c r="CE196" s="225">
        <v>0</v>
      </c>
    </row>
    <row r="197" spans="1:83" ht="15" customHeight="1" thickBot="1" x14ac:dyDescent="0.3">
      <c r="A197" s="15" t="s">
        <v>74</v>
      </c>
      <c r="B197" s="15" t="s">
        <v>158</v>
      </c>
      <c r="C197" s="23" t="s">
        <v>479</v>
      </c>
      <c r="D197" s="41" t="s">
        <v>469</v>
      </c>
      <c r="E197" s="23" t="s">
        <v>163</v>
      </c>
      <c r="F197" s="23" t="s">
        <v>242</v>
      </c>
      <c r="G197" s="23">
        <v>3</v>
      </c>
      <c r="H197" s="23">
        <v>1</v>
      </c>
      <c r="I197" s="85" t="s">
        <v>557</v>
      </c>
      <c r="J197">
        <v>2014</v>
      </c>
      <c r="L197" s="5">
        <f t="shared" si="69"/>
        <v>7</v>
      </c>
      <c r="M197" s="109" t="e">
        <f>+#REF!-L197</f>
        <v>#REF!</v>
      </c>
      <c r="N197" s="23">
        <v>69</v>
      </c>
      <c r="O197" s="23">
        <v>1.61</v>
      </c>
      <c r="P197" s="24">
        <f>N197/(O197*O197)</f>
        <v>26.619343389529721</v>
      </c>
      <c r="Q197" s="24" t="s">
        <v>242</v>
      </c>
      <c r="R197" s="24" t="s">
        <v>486</v>
      </c>
      <c r="S197" s="23" t="s">
        <v>233</v>
      </c>
      <c r="T197" s="45" t="s">
        <v>242</v>
      </c>
      <c r="U197" s="23" t="s">
        <v>212</v>
      </c>
      <c r="V197" s="16">
        <v>44434</v>
      </c>
      <c r="W197" s="17">
        <v>8.3000000000000007</v>
      </c>
      <c r="X197" s="17" t="s">
        <v>475</v>
      </c>
      <c r="Y197" s="17" t="s">
        <v>584</v>
      </c>
      <c r="Z197" s="96" t="s">
        <v>506</v>
      </c>
      <c r="AA197" s="98" t="s">
        <v>569</v>
      </c>
      <c r="AB197" s="17">
        <v>2</v>
      </c>
      <c r="AC197" s="23" t="s">
        <v>182</v>
      </c>
      <c r="AD197" s="23" t="s">
        <v>182</v>
      </c>
      <c r="AE197" s="36">
        <v>30</v>
      </c>
      <c r="AF197" s="94">
        <v>7.21</v>
      </c>
      <c r="AG197" s="94">
        <f t="shared" si="66"/>
        <v>216.3</v>
      </c>
      <c r="AH197" s="88">
        <f t="shared" si="70"/>
        <v>2.1468982630272953</v>
      </c>
      <c r="AI197" s="25" t="s">
        <v>242</v>
      </c>
      <c r="AJ197" s="23"/>
      <c r="AK197" s="23" t="s">
        <v>247</v>
      </c>
      <c r="AL197" s="23">
        <v>2000</v>
      </c>
      <c r="AM197" s="91">
        <v>3.2199999999999999E-2</v>
      </c>
      <c r="AN197" s="91">
        <f t="shared" si="71"/>
        <v>64.400000000000006</v>
      </c>
      <c r="AO197" s="92">
        <f t="shared" si="72"/>
        <v>0.6392059553349877</v>
      </c>
      <c r="AP197" s="23" t="s">
        <v>243</v>
      </c>
      <c r="AQ197" s="23"/>
      <c r="AR197" s="87"/>
      <c r="AS197" s="87"/>
      <c r="AT197" s="88">
        <f t="shared" si="73"/>
        <v>0</v>
      </c>
      <c r="AU197" s="23" t="s">
        <v>242</v>
      </c>
      <c r="AV197" s="44"/>
      <c r="AW197" s="23"/>
      <c r="AX197" s="44"/>
      <c r="AY197" s="44"/>
      <c r="AZ197" s="87"/>
      <c r="BA197" s="87"/>
      <c r="BB197" s="88">
        <f t="shared" si="74"/>
        <v>0</v>
      </c>
      <c r="BC197" s="23" t="s">
        <v>242</v>
      </c>
      <c r="BD197" s="23"/>
      <c r="BE197" s="23"/>
      <c r="BI197" s="90">
        <f t="shared" si="75"/>
        <v>0</v>
      </c>
      <c r="BJ197" s="26">
        <f t="shared" si="68"/>
        <v>1</v>
      </c>
      <c r="BK197" s="26">
        <v>0</v>
      </c>
      <c r="BL197" s="26" t="s">
        <v>848</v>
      </c>
      <c r="BM197" s="26">
        <v>110</v>
      </c>
      <c r="BN197" s="26">
        <v>80</v>
      </c>
      <c r="BO197" s="26">
        <v>103</v>
      </c>
      <c r="BP197" s="26">
        <v>0</v>
      </c>
      <c r="BQ197" s="26">
        <v>0</v>
      </c>
      <c r="BR197" s="224">
        <v>197</v>
      </c>
      <c r="BS197" s="225">
        <v>2</v>
      </c>
      <c r="BT197" s="230" t="s">
        <v>1263</v>
      </c>
      <c r="BU197" s="227">
        <v>5324017</v>
      </c>
      <c r="BV197" s="228">
        <v>44434</v>
      </c>
      <c r="BW197" s="225">
        <v>8.3000000000000007</v>
      </c>
      <c r="BX197" s="226"/>
      <c r="BY197" s="226"/>
      <c r="BZ197" s="226"/>
      <c r="CA197" s="226"/>
      <c r="CB197" s="226"/>
      <c r="CC197" s="226"/>
      <c r="CD197" s="225">
        <v>150317967805</v>
      </c>
      <c r="CE197" s="225">
        <v>0</v>
      </c>
    </row>
    <row r="198" spans="1:83" ht="15" customHeight="1" thickBot="1" x14ac:dyDescent="0.3">
      <c r="A198" s="15" t="s">
        <v>32</v>
      </c>
      <c r="B198" s="15" t="s">
        <v>104</v>
      </c>
      <c r="C198" s="23" t="s">
        <v>480</v>
      </c>
      <c r="D198" s="41" t="s">
        <v>470</v>
      </c>
      <c r="E198" s="23" t="s">
        <v>164</v>
      </c>
      <c r="F198" s="23" t="s">
        <v>242</v>
      </c>
      <c r="G198" s="23">
        <v>2</v>
      </c>
      <c r="H198" s="23">
        <v>1</v>
      </c>
      <c r="I198" s="85" t="s">
        <v>557</v>
      </c>
      <c r="J198">
        <v>2000</v>
      </c>
      <c r="L198" s="5">
        <f t="shared" si="69"/>
        <v>21</v>
      </c>
      <c r="M198" s="109" t="e">
        <f>+#REF!-L198</f>
        <v>#REF!</v>
      </c>
      <c r="N198" s="23">
        <v>69.2</v>
      </c>
      <c r="O198" s="23">
        <v>1.55</v>
      </c>
      <c r="P198" s="24">
        <f>N198/(O198*O198)</f>
        <v>28.803329864724244</v>
      </c>
      <c r="Q198" s="24" t="s">
        <v>242</v>
      </c>
      <c r="R198" s="24" t="s">
        <v>486</v>
      </c>
      <c r="S198" s="23" t="s">
        <v>177</v>
      </c>
      <c r="T198" s="45" t="s">
        <v>242</v>
      </c>
      <c r="U198" s="23" t="s">
        <v>212</v>
      </c>
      <c r="V198" s="18">
        <v>44441</v>
      </c>
      <c r="W198" s="17">
        <v>10.1</v>
      </c>
      <c r="X198" s="17" t="s">
        <v>476</v>
      </c>
      <c r="Y198" s="17" t="s">
        <v>584</v>
      </c>
      <c r="Z198" s="96" t="s">
        <v>590</v>
      </c>
      <c r="AA198" s="98" t="s">
        <v>569</v>
      </c>
      <c r="AB198" s="17">
        <v>2</v>
      </c>
      <c r="AC198" s="23" t="s">
        <v>250</v>
      </c>
      <c r="AD198" s="23" t="s">
        <v>642</v>
      </c>
      <c r="AE198" s="36">
        <v>26</v>
      </c>
      <c r="AF198" s="94">
        <v>13.54</v>
      </c>
      <c r="AG198" s="94">
        <f t="shared" si="66"/>
        <v>352.03999999999996</v>
      </c>
      <c r="AH198" s="88">
        <f t="shared" si="70"/>
        <v>3.4941935483870963</v>
      </c>
      <c r="AI198" s="25" t="s">
        <v>243</v>
      </c>
      <c r="AJ198" s="23">
        <v>6</v>
      </c>
      <c r="AK198" s="23" t="s">
        <v>247</v>
      </c>
      <c r="AL198" s="23">
        <v>1700</v>
      </c>
      <c r="AM198" s="91">
        <v>3.2199999999999999E-2</v>
      </c>
      <c r="AN198" s="91">
        <f t="shared" si="71"/>
        <v>54.74</v>
      </c>
      <c r="AO198" s="92">
        <f t="shared" si="72"/>
        <v>0.54332506203473951</v>
      </c>
      <c r="AP198" s="23" t="s">
        <v>243</v>
      </c>
      <c r="AQ198" s="23"/>
      <c r="AR198" s="87"/>
      <c r="AS198" s="87"/>
      <c r="AT198" s="88">
        <f t="shared" si="73"/>
        <v>0</v>
      </c>
      <c r="AU198" s="23" t="s">
        <v>242</v>
      </c>
      <c r="AV198" s="44"/>
      <c r="AW198" s="23"/>
      <c r="AX198" s="44"/>
      <c r="AY198" s="44"/>
      <c r="AZ198" s="87"/>
      <c r="BA198" s="87"/>
      <c r="BB198" s="88">
        <f t="shared" si="74"/>
        <v>0</v>
      </c>
      <c r="BC198" s="23" t="s">
        <v>242</v>
      </c>
      <c r="BD198" s="23"/>
      <c r="BE198" s="23"/>
      <c r="BI198" s="90">
        <f t="shared" si="75"/>
        <v>0</v>
      </c>
      <c r="BJ198" s="26">
        <f t="shared" si="68"/>
        <v>1</v>
      </c>
      <c r="BK198" s="26">
        <v>1</v>
      </c>
      <c r="BL198" s="26" t="s">
        <v>848</v>
      </c>
      <c r="BM198" s="26">
        <v>130</v>
      </c>
      <c r="BN198" s="26">
        <v>90</v>
      </c>
      <c r="BO198" s="26">
        <v>104</v>
      </c>
      <c r="BP198" s="26">
        <v>0</v>
      </c>
      <c r="BQ198" s="26">
        <v>0</v>
      </c>
      <c r="BR198" s="224">
        <v>198</v>
      </c>
      <c r="BS198" s="225">
        <v>1</v>
      </c>
      <c r="BT198" s="230" t="s">
        <v>1265</v>
      </c>
      <c r="BU198" s="227">
        <v>13173007</v>
      </c>
      <c r="BV198" s="228">
        <v>44441</v>
      </c>
      <c r="BW198" s="225">
        <v>10.1</v>
      </c>
      <c r="BX198" s="228">
        <v>44949</v>
      </c>
      <c r="BY198" s="226">
        <v>5.2</v>
      </c>
      <c r="BZ198" s="226"/>
      <c r="CA198" s="226"/>
      <c r="CB198" s="226"/>
      <c r="CC198" s="226"/>
      <c r="CD198" s="225">
        <v>150668208500</v>
      </c>
      <c r="CE198" s="225">
        <v>1</v>
      </c>
    </row>
    <row r="199" spans="1:83" ht="15" customHeight="1" thickBot="1" x14ac:dyDescent="0.3">
      <c r="A199" s="15" t="s">
        <v>75</v>
      </c>
      <c r="B199" s="15" t="s">
        <v>91</v>
      </c>
      <c r="C199" s="23" t="s">
        <v>479</v>
      </c>
      <c r="D199" s="41" t="s">
        <v>469</v>
      </c>
      <c r="E199" s="23" t="s">
        <v>164</v>
      </c>
      <c r="F199" s="23" t="s">
        <v>242</v>
      </c>
      <c r="G199" s="23">
        <v>3</v>
      </c>
      <c r="H199" s="23">
        <v>2</v>
      </c>
      <c r="I199" s="85" t="s">
        <v>558</v>
      </c>
      <c r="J199">
        <v>1998</v>
      </c>
      <c r="L199" s="5">
        <f t="shared" si="69"/>
        <v>23</v>
      </c>
      <c r="M199" s="109" t="e">
        <f>+#REF!-L199</f>
        <v>#REF!</v>
      </c>
      <c r="N199" s="23">
        <v>96.8</v>
      </c>
      <c r="O199" s="23">
        <v>1.55</v>
      </c>
      <c r="P199" s="24">
        <f>N199/(O199*O199)</f>
        <v>40.291363163371479</v>
      </c>
      <c r="Q199" s="24" t="s">
        <v>242</v>
      </c>
      <c r="R199" s="24" t="s">
        <v>487</v>
      </c>
      <c r="S199" s="23" t="s">
        <v>243</v>
      </c>
      <c r="T199" s="45" t="s">
        <v>242</v>
      </c>
      <c r="U199" s="23" t="s">
        <v>212</v>
      </c>
      <c r="V199" s="16">
        <v>44441</v>
      </c>
      <c r="W199" s="17">
        <v>7.8</v>
      </c>
      <c r="X199" s="17" t="s">
        <v>475</v>
      </c>
      <c r="Y199" s="17" t="s">
        <v>583</v>
      </c>
      <c r="Z199" s="96" t="s">
        <v>506</v>
      </c>
      <c r="AA199" s="98" t="s">
        <v>568</v>
      </c>
      <c r="AB199" s="17">
        <v>2</v>
      </c>
      <c r="AC199" s="23" t="s">
        <v>244</v>
      </c>
      <c r="AD199" s="23" t="s">
        <v>642</v>
      </c>
      <c r="AE199" s="36">
        <v>50</v>
      </c>
      <c r="AF199" s="94">
        <v>14.66</v>
      </c>
      <c r="AG199" s="94">
        <f t="shared" si="66"/>
        <v>733</v>
      </c>
      <c r="AH199" s="88">
        <f t="shared" si="70"/>
        <v>7.2754342431761785</v>
      </c>
      <c r="AI199" s="25" t="s">
        <v>242</v>
      </c>
      <c r="AJ199" s="23"/>
      <c r="AK199" s="23" t="s">
        <v>247</v>
      </c>
      <c r="AL199" s="23">
        <v>2000</v>
      </c>
      <c r="AM199" s="91">
        <v>3.2199999999999999E-2</v>
      </c>
      <c r="AN199" s="91">
        <f t="shared" si="71"/>
        <v>64.400000000000006</v>
      </c>
      <c r="AO199" s="92">
        <f t="shared" si="72"/>
        <v>0.6392059553349877</v>
      </c>
      <c r="AP199" s="23" t="s">
        <v>243</v>
      </c>
      <c r="AQ199" s="23"/>
      <c r="AR199" s="87"/>
      <c r="AS199" s="87"/>
      <c r="AT199" s="88">
        <f t="shared" si="73"/>
        <v>0</v>
      </c>
      <c r="AU199" s="23" t="s">
        <v>242</v>
      </c>
      <c r="AV199" s="44"/>
      <c r="AW199" s="23"/>
      <c r="AX199" s="44"/>
      <c r="AY199" s="44"/>
      <c r="AZ199" s="87"/>
      <c r="BA199" s="87"/>
      <c r="BB199" s="88">
        <f t="shared" si="74"/>
        <v>0</v>
      </c>
      <c r="BC199" s="23" t="s">
        <v>242</v>
      </c>
      <c r="BD199" s="23"/>
      <c r="BE199" s="23"/>
      <c r="BI199" s="90">
        <f t="shared" si="75"/>
        <v>0</v>
      </c>
      <c r="BJ199" s="26">
        <f t="shared" si="68"/>
        <v>1</v>
      </c>
      <c r="BK199" s="26">
        <v>1</v>
      </c>
      <c r="BL199" s="26" t="s">
        <v>850</v>
      </c>
      <c r="BM199" s="26">
        <v>110</v>
      </c>
      <c r="BN199" s="26">
        <v>60</v>
      </c>
      <c r="BO199" s="26">
        <v>118</v>
      </c>
      <c r="BP199" s="26">
        <v>0</v>
      </c>
      <c r="BQ199" s="26">
        <v>0</v>
      </c>
      <c r="BR199" s="224">
        <v>199</v>
      </c>
      <c r="BS199" s="225">
        <v>2</v>
      </c>
      <c r="BT199" s="230" t="s">
        <v>1267</v>
      </c>
      <c r="BU199" s="227">
        <v>5754911</v>
      </c>
      <c r="BV199" s="228">
        <v>44441</v>
      </c>
      <c r="BW199" s="225">
        <v>7.8</v>
      </c>
      <c r="BX199" s="228">
        <v>44909</v>
      </c>
      <c r="BY199" s="226">
        <v>4</v>
      </c>
      <c r="BZ199" s="226"/>
      <c r="CA199" s="226"/>
      <c r="CB199" s="226"/>
      <c r="CC199" s="226"/>
      <c r="CD199" s="225">
        <v>150463681600</v>
      </c>
      <c r="CE199" s="226"/>
    </row>
    <row r="200" spans="1:83" ht="15" customHeight="1" thickBot="1" x14ac:dyDescent="0.3">
      <c r="A200" s="15" t="s">
        <v>33</v>
      </c>
      <c r="B200" s="15" t="s">
        <v>453</v>
      </c>
      <c r="C200" s="23" t="s">
        <v>479</v>
      </c>
      <c r="D200" s="41" t="s">
        <v>469</v>
      </c>
      <c r="E200" s="23" t="s">
        <v>163</v>
      </c>
      <c r="F200" s="23" t="s">
        <v>179</v>
      </c>
      <c r="G200" s="23">
        <v>2</v>
      </c>
      <c r="H200" s="23">
        <v>2</v>
      </c>
      <c r="I200" s="85" t="s">
        <v>558</v>
      </c>
      <c r="J200">
        <v>1991</v>
      </c>
      <c r="L200" s="5">
        <f t="shared" si="69"/>
        <v>30</v>
      </c>
      <c r="M200" s="109" t="e">
        <f>+#REF!-L200</f>
        <v>#REF!</v>
      </c>
      <c r="N200" s="23">
        <v>99.5</v>
      </c>
      <c r="O200" s="23">
        <v>1.67</v>
      </c>
      <c r="P200" s="24">
        <f>N200/(O200*O200)</f>
        <v>35.677148696618737</v>
      </c>
      <c r="Q200" s="24" t="s">
        <v>242</v>
      </c>
      <c r="R200" s="24" t="s">
        <v>487</v>
      </c>
      <c r="S200" s="23" t="s">
        <v>177</v>
      </c>
      <c r="T200" s="45" t="s">
        <v>242</v>
      </c>
      <c r="U200" s="23" t="s">
        <v>212</v>
      </c>
      <c r="V200" s="18">
        <v>44441</v>
      </c>
      <c r="W200" s="17">
        <v>6.6</v>
      </c>
      <c r="X200" s="15" t="s">
        <v>474</v>
      </c>
      <c r="Y200" s="15" t="s">
        <v>582</v>
      </c>
      <c r="Z200" s="97" t="s">
        <v>505</v>
      </c>
      <c r="AA200" s="99" t="s">
        <v>566</v>
      </c>
      <c r="AB200" s="15">
        <v>1</v>
      </c>
      <c r="AC200" s="23" t="s">
        <v>244</v>
      </c>
      <c r="AD200" s="23" t="s">
        <v>642</v>
      </c>
      <c r="AE200" s="36">
        <v>38</v>
      </c>
      <c r="AF200" s="94">
        <v>14.66</v>
      </c>
      <c r="AG200" s="94">
        <f t="shared" si="66"/>
        <v>557.08000000000004</v>
      </c>
      <c r="AH200" s="88">
        <f t="shared" si="70"/>
        <v>5.5293300248138966</v>
      </c>
      <c r="AI200" s="25" t="s">
        <v>242</v>
      </c>
      <c r="AJ200" s="23"/>
      <c r="AK200" s="23" t="s">
        <v>247</v>
      </c>
      <c r="AL200" s="23">
        <v>2550</v>
      </c>
      <c r="AM200" s="91">
        <v>3.2199999999999999E-2</v>
      </c>
      <c r="AN200" s="91">
        <f t="shared" si="71"/>
        <v>82.11</v>
      </c>
      <c r="AO200" s="92">
        <f t="shared" si="72"/>
        <v>0.81498759305210922</v>
      </c>
      <c r="AP200" s="23" t="s">
        <v>243</v>
      </c>
      <c r="AQ200" s="23"/>
      <c r="AR200" s="87"/>
      <c r="AS200" s="87"/>
      <c r="AT200" s="88">
        <f t="shared" si="73"/>
        <v>0</v>
      </c>
      <c r="AU200" s="23" t="s">
        <v>242</v>
      </c>
      <c r="AV200" s="44"/>
      <c r="AW200" s="23"/>
      <c r="AX200" s="44"/>
      <c r="AY200" s="44"/>
      <c r="AZ200" s="87"/>
      <c r="BA200" s="87"/>
      <c r="BB200" s="88">
        <f t="shared" si="74"/>
        <v>0</v>
      </c>
      <c r="BC200" s="23" t="s">
        <v>242</v>
      </c>
      <c r="BD200" s="23"/>
      <c r="BE200" s="23"/>
      <c r="BI200" s="90">
        <f t="shared" si="75"/>
        <v>0</v>
      </c>
      <c r="BJ200" s="26">
        <f t="shared" si="68"/>
        <v>1</v>
      </c>
      <c r="BK200" s="26">
        <v>1</v>
      </c>
      <c r="BL200" s="26" t="s">
        <v>850</v>
      </c>
      <c r="BM200" s="26">
        <v>140</v>
      </c>
      <c r="BN200" s="26">
        <v>70</v>
      </c>
      <c r="BO200" s="26">
        <v>120.5</v>
      </c>
      <c r="BP200" s="26">
        <v>0</v>
      </c>
      <c r="BQ200" s="26">
        <v>0</v>
      </c>
      <c r="BR200" s="224">
        <v>200</v>
      </c>
      <c r="BS200" s="225">
        <v>1</v>
      </c>
      <c r="BT200" s="230" t="s">
        <v>1269</v>
      </c>
      <c r="BU200" s="227">
        <v>4753582</v>
      </c>
      <c r="BV200" s="228">
        <v>44441</v>
      </c>
      <c r="BW200" s="225">
        <v>6.6</v>
      </c>
      <c r="BX200" s="228">
        <v>44949</v>
      </c>
      <c r="BY200" s="226">
        <v>6.2</v>
      </c>
      <c r="BZ200" s="226"/>
      <c r="CA200" s="226"/>
      <c r="CB200" s="226"/>
      <c r="CC200" s="226" t="s">
        <v>1270</v>
      </c>
      <c r="CD200" s="225">
        <v>150547751805</v>
      </c>
      <c r="CE200" s="225">
        <v>0</v>
      </c>
    </row>
    <row r="201" spans="1:83" ht="15" customHeight="1" thickBot="1" x14ac:dyDescent="0.3">
      <c r="A201" s="15" t="s">
        <v>33</v>
      </c>
      <c r="B201" s="15" t="s">
        <v>131</v>
      </c>
      <c r="C201" s="23" t="s">
        <v>480</v>
      </c>
      <c r="D201" s="41" t="s">
        <v>469</v>
      </c>
      <c r="E201" s="23" t="s">
        <v>163</v>
      </c>
      <c r="F201" s="23" t="s">
        <v>179</v>
      </c>
      <c r="G201" s="23">
        <v>2</v>
      </c>
      <c r="H201" s="23">
        <v>1</v>
      </c>
      <c r="I201" s="85" t="s">
        <v>557</v>
      </c>
      <c r="J201">
        <v>2013</v>
      </c>
      <c r="L201" s="5">
        <f t="shared" si="69"/>
        <v>8</v>
      </c>
      <c r="M201" s="109" t="e">
        <f>+#REF!-L201</f>
        <v>#REF!</v>
      </c>
      <c r="N201" s="23">
        <v>83</v>
      </c>
      <c r="O201" s="23">
        <v>1.72</v>
      </c>
      <c r="P201" s="24">
        <v>28.1</v>
      </c>
      <c r="Q201" s="24" t="s">
        <v>242</v>
      </c>
      <c r="R201" s="24" t="s">
        <v>486</v>
      </c>
      <c r="S201" s="23" t="s">
        <v>177</v>
      </c>
      <c r="T201" s="45" t="s">
        <v>242</v>
      </c>
      <c r="U201" s="23" t="s">
        <v>212</v>
      </c>
      <c r="V201" s="16">
        <v>44403</v>
      </c>
      <c r="W201" s="15">
        <v>11.8</v>
      </c>
      <c r="X201" s="17" t="s">
        <v>477</v>
      </c>
      <c r="Y201" s="17" t="s">
        <v>584</v>
      </c>
      <c r="Z201" s="96" t="s">
        <v>590</v>
      </c>
      <c r="AA201" s="98" t="s">
        <v>569</v>
      </c>
      <c r="AB201" s="17">
        <v>3</v>
      </c>
      <c r="AC201" s="23" t="s">
        <v>182</v>
      </c>
      <c r="AD201" s="23" t="s">
        <v>182</v>
      </c>
      <c r="AE201" s="36">
        <v>20</v>
      </c>
      <c r="AF201" s="94">
        <v>7.21</v>
      </c>
      <c r="AG201" s="94">
        <f t="shared" si="66"/>
        <v>144.19999999999999</v>
      </c>
      <c r="AH201" s="88">
        <f t="shared" si="70"/>
        <v>1.4312655086848634</v>
      </c>
      <c r="AI201" s="25" t="s">
        <v>243</v>
      </c>
      <c r="AJ201" s="23">
        <v>24</v>
      </c>
      <c r="AK201" s="23" t="s">
        <v>247</v>
      </c>
      <c r="AL201" s="23">
        <v>1700</v>
      </c>
      <c r="AM201" s="91">
        <v>3.2199999999999999E-2</v>
      </c>
      <c r="AN201" s="91">
        <f t="shared" si="71"/>
        <v>54.74</v>
      </c>
      <c r="AO201" s="92">
        <f t="shared" si="72"/>
        <v>0.54332506203473951</v>
      </c>
      <c r="AP201" s="23" t="s">
        <v>243</v>
      </c>
      <c r="AQ201" s="23"/>
      <c r="AR201" s="87"/>
      <c r="AS201" s="87"/>
      <c r="AT201" s="88">
        <f t="shared" si="73"/>
        <v>0</v>
      </c>
      <c r="AU201" s="23" t="s">
        <v>242</v>
      </c>
      <c r="AV201" s="44"/>
      <c r="AW201" s="23"/>
      <c r="AX201" s="44"/>
      <c r="AY201" s="44"/>
      <c r="AZ201" s="87"/>
      <c r="BA201" s="87"/>
      <c r="BB201" s="88">
        <f t="shared" si="74"/>
        <v>0</v>
      </c>
      <c r="BC201" s="23" t="s">
        <v>242</v>
      </c>
      <c r="BD201" s="23"/>
      <c r="BE201" s="23"/>
      <c r="BI201" s="90">
        <f t="shared" si="75"/>
        <v>0</v>
      </c>
      <c r="BJ201" s="26">
        <f t="shared" si="68"/>
        <v>1</v>
      </c>
      <c r="BK201" s="26">
        <v>1</v>
      </c>
      <c r="BL201" s="26" t="s">
        <v>848</v>
      </c>
      <c r="BM201" s="26">
        <v>150</v>
      </c>
      <c r="BN201" s="26">
        <v>80</v>
      </c>
      <c r="BO201" s="26">
        <v>113</v>
      </c>
      <c r="BP201" s="26">
        <v>0</v>
      </c>
      <c r="BQ201" s="26">
        <v>0</v>
      </c>
      <c r="BR201" s="224">
        <v>98</v>
      </c>
      <c r="BS201" s="225">
        <v>2</v>
      </c>
      <c r="BT201" s="230" t="s">
        <v>1064</v>
      </c>
      <c r="BU201" s="227">
        <v>8293503</v>
      </c>
      <c r="BV201" s="228">
        <v>44403</v>
      </c>
      <c r="BW201" s="225">
        <v>11.8</v>
      </c>
      <c r="BX201" s="228">
        <v>44963</v>
      </c>
      <c r="BY201" s="230">
        <v>9.1999999999999993</v>
      </c>
      <c r="BZ201" s="228">
        <v>45016</v>
      </c>
      <c r="CA201" s="226" t="s">
        <v>1065</v>
      </c>
      <c r="CB201" s="226" t="s">
        <v>1065</v>
      </c>
      <c r="CC201" s="226"/>
      <c r="CD201" s="225">
        <v>150734147802</v>
      </c>
      <c r="CE201" s="225">
        <v>0</v>
      </c>
    </row>
    <row r="202" spans="1:83" ht="15" customHeight="1" thickBot="1" x14ac:dyDescent="0.3">
      <c r="A202" s="15" t="s">
        <v>454</v>
      </c>
      <c r="B202" s="15" t="s">
        <v>91</v>
      </c>
      <c r="C202" s="23" t="s">
        <v>479</v>
      </c>
      <c r="D202" s="41" t="s">
        <v>469</v>
      </c>
      <c r="E202" s="23" t="s">
        <v>164</v>
      </c>
      <c r="F202" s="23" t="s">
        <v>179</v>
      </c>
      <c r="G202" s="23">
        <v>2</v>
      </c>
      <c r="H202" s="23">
        <v>1</v>
      </c>
      <c r="I202" s="85" t="s">
        <v>557</v>
      </c>
      <c r="J202">
        <v>2001</v>
      </c>
      <c r="L202" s="5">
        <f t="shared" si="69"/>
        <v>20</v>
      </c>
      <c r="M202" s="109" t="e">
        <f>+#REF!-L202</f>
        <v>#REF!</v>
      </c>
      <c r="N202" s="23">
        <v>84.9</v>
      </c>
      <c r="O202" s="23">
        <v>1.56</v>
      </c>
      <c r="P202" s="24">
        <f t="shared" ref="P202:P208" si="76">N202/(O202*O202)</f>
        <v>34.886587771203153</v>
      </c>
      <c r="Q202" s="24" t="s">
        <v>242</v>
      </c>
      <c r="R202" s="24" t="s">
        <v>487</v>
      </c>
      <c r="S202" s="23" t="s">
        <v>177</v>
      </c>
      <c r="T202" s="45" t="s">
        <v>242</v>
      </c>
      <c r="U202" s="23" t="s">
        <v>212</v>
      </c>
      <c r="V202" s="18">
        <v>44403</v>
      </c>
      <c r="W202" s="15">
        <v>11.3</v>
      </c>
      <c r="X202" s="17" t="s">
        <v>477</v>
      </c>
      <c r="Y202" s="17" t="s">
        <v>584</v>
      </c>
      <c r="Z202" s="96" t="s">
        <v>590</v>
      </c>
      <c r="AA202" s="98" t="s">
        <v>569</v>
      </c>
      <c r="AB202" s="17">
        <v>3</v>
      </c>
      <c r="AC202" s="23" t="s">
        <v>244</v>
      </c>
      <c r="AD202" s="23" t="s">
        <v>642</v>
      </c>
      <c r="AE202" s="36">
        <v>60</v>
      </c>
      <c r="AF202" s="94">
        <v>14.66</v>
      </c>
      <c r="AG202" s="94">
        <f t="shared" si="66"/>
        <v>879.6</v>
      </c>
      <c r="AH202" s="88">
        <f t="shared" si="70"/>
        <v>8.7305210918114149</v>
      </c>
      <c r="AI202" s="25" t="s">
        <v>243</v>
      </c>
      <c r="AJ202" s="23" t="s">
        <v>463</v>
      </c>
      <c r="AK202" s="23" t="s">
        <v>247</v>
      </c>
      <c r="AL202" s="23">
        <v>1700</v>
      </c>
      <c r="AM202" s="91">
        <v>3.2199999999999999E-2</v>
      </c>
      <c r="AN202" s="91">
        <f t="shared" si="71"/>
        <v>54.74</v>
      </c>
      <c r="AO202" s="92">
        <f t="shared" si="72"/>
        <v>0.54332506203473951</v>
      </c>
      <c r="AP202" s="23" t="s">
        <v>243</v>
      </c>
      <c r="AQ202" s="23"/>
      <c r="AR202" s="87"/>
      <c r="AS202" s="87"/>
      <c r="AT202" s="88">
        <f t="shared" si="73"/>
        <v>0</v>
      </c>
      <c r="AU202" s="23" t="s">
        <v>242</v>
      </c>
      <c r="AV202" s="44"/>
      <c r="AW202" s="23"/>
      <c r="AX202" s="44"/>
      <c r="AY202" s="44"/>
      <c r="AZ202" s="87"/>
      <c r="BA202" s="87"/>
      <c r="BB202" s="88">
        <f t="shared" si="74"/>
        <v>0</v>
      </c>
      <c r="BC202" s="23" t="s">
        <v>242</v>
      </c>
      <c r="BD202" s="23"/>
      <c r="BE202" s="23"/>
      <c r="BI202" s="90">
        <f t="shared" si="75"/>
        <v>0</v>
      </c>
      <c r="BJ202" s="26">
        <f t="shared" si="68"/>
        <v>1</v>
      </c>
      <c r="BK202" s="26">
        <v>1</v>
      </c>
      <c r="BL202" s="26" t="s">
        <v>848</v>
      </c>
      <c r="BM202" s="26">
        <v>161</v>
      </c>
      <c r="BN202" s="26">
        <v>90</v>
      </c>
      <c r="BO202" s="26">
        <v>130</v>
      </c>
      <c r="BP202" s="26">
        <v>0</v>
      </c>
      <c r="BQ202" s="26">
        <v>0</v>
      </c>
      <c r="BR202" s="224">
        <v>99</v>
      </c>
      <c r="BS202" s="225">
        <v>1</v>
      </c>
      <c r="BT202" s="230" t="s">
        <v>1067</v>
      </c>
      <c r="BU202" s="227">
        <v>6216339</v>
      </c>
      <c r="BV202" s="228">
        <v>44403</v>
      </c>
      <c r="BW202" s="225">
        <v>11.3</v>
      </c>
      <c r="BX202" s="228">
        <v>45014</v>
      </c>
      <c r="BY202" s="226">
        <v>8.1</v>
      </c>
      <c r="BZ202" s="226"/>
      <c r="CA202" s="226"/>
      <c r="CB202" s="226"/>
      <c r="CC202" s="226"/>
      <c r="CD202" s="225">
        <v>150602957509</v>
      </c>
      <c r="CE202" s="225">
        <v>0</v>
      </c>
    </row>
    <row r="203" spans="1:83" ht="15" customHeight="1" thickBot="1" x14ac:dyDescent="0.3">
      <c r="A203" s="15" t="s">
        <v>455</v>
      </c>
      <c r="B203" s="15" t="s">
        <v>456</v>
      </c>
      <c r="C203" s="23" t="s">
        <v>479</v>
      </c>
      <c r="D203" s="41" t="s">
        <v>469</v>
      </c>
      <c r="E203" s="23" t="s">
        <v>164</v>
      </c>
      <c r="F203" s="23" t="s">
        <v>179</v>
      </c>
      <c r="G203" s="23">
        <v>3</v>
      </c>
      <c r="H203" s="23">
        <v>1</v>
      </c>
      <c r="I203" s="85" t="s">
        <v>557</v>
      </c>
      <c r="J203">
        <v>1983</v>
      </c>
      <c r="L203" s="5">
        <f t="shared" si="69"/>
        <v>38</v>
      </c>
      <c r="M203" s="109" t="e">
        <f>+#REF!-L203</f>
        <v>#REF!</v>
      </c>
      <c r="N203" s="23">
        <v>85.4</v>
      </c>
      <c r="O203" s="23">
        <v>1.54</v>
      </c>
      <c r="P203" s="24">
        <f t="shared" si="76"/>
        <v>36.009445100354192</v>
      </c>
      <c r="Q203" s="24" t="s">
        <v>242</v>
      </c>
      <c r="R203" s="24" t="s">
        <v>487</v>
      </c>
      <c r="S203" s="23" t="s">
        <v>177</v>
      </c>
      <c r="T203" s="45" t="s">
        <v>242</v>
      </c>
      <c r="U203" s="23" t="s">
        <v>212</v>
      </c>
      <c r="V203" s="18">
        <v>44403</v>
      </c>
      <c r="W203" s="15">
        <v>15.8</v>
      </c>
      <c r="X203" s="17" t="s">
        <v>477</v>
      </c>
      <c r="Y203" s="17" t="s">
        <v>584</v>
      </c>
      <c r="Z203" s="96" t="s">
        <v>590</v>
      </c>
      <c r="AA203" s="98" t="s">
        <v>569</v>
      </c>
      <c r="AB203" s="17">
        <v>3</v>
      </c>
      <c r="AC203" s="23" t="s">
        <v>244</v>
      </c>
      <c r="AD203" s="23" t="s">
        <v>642</v>
      </c>
      <c r="AE203" s="36">
        <v>67</v>
      </c>
      <c r="AF203" s="94">
        <v>14.66</v>
      </c>
      <c r="AG203" s="94">
        <f t="shared" si="66"/>
        <v>982.22</v>
      </c>
      <c r="AH203" s="88">
        <f t="shared" si="70"/>
        <v>9.7490818858560804</v>
      </c>
      <c r="AI203" s="25" t="s">
        <v>243</v>
      </c>
      <c r="AJ203" s="23" t="s">
        <v>463</v>
      </c>
      <c r="AK203" s="23" t="s">
        <v>247</v>
      </c>
      <c r="AL203" s="23">
        <v>2000</v>
      </c>
      <c r="AM203" s="91">
        <v>3.2199999999999999E-2</v>
      </c>
      <c r="AN203" s="91">
        <f t="shared" si="71"/>
        <v>64.400000000000006</v>
      </c>
      <c r="AO203" s="92">
        <f t="shared" si="72"/>
        <v>0.6392059553349877</v>
      </c>
      <c r="AP203" s="23" t="s">
        <v>243</v>
      </c>
      <c r="AQ203" s="23"/>
      <c r="AR203" s="87"/>
      <c r="AS203" s="87"/>
      <c r="AT203" s="88">
        <f t="shared" si="73"/>
        <v>0</v>
      </c>
      <c r="AU203" s="23" t="s">
        <v>242</v>
      </c>
      <c r="AV203" s="44"/>
      <c r="AW203" s="23"/>
      <c r="AX203" s="44"/>
      <c r="AY203" s="44"/>
      <c r="AZ203" s="87"/>
      <c r="BA203" s="87"/>
      <c r="BB203" s="88">
        <f t="shared" si="74"/>
        <v>0</v>
      </c>
      <c r="BC203" s="23" t="s">
        <v>242</v>
      </c>
      <c r="BD203" s="23"/>
      <c r="BE203" s="23"/>
      <c r="BI203" s="90">
        <f t="shared" si="75"/>
        <v>0</v>
      </c>
      <c r="BJ203" s="26">
        <f t="shared" si="68"/>
        <v>1</v>
      </c>
      <c r="BK203" s="26">
        <v>1</v>
      </c>
      <c r="BL203" s="26" t="s">
        <v>850</v>
      </c>
      <c r="BM203" s="26">
        <v>130</v>
      </c>
      <c r="BN203" s="26">
        <v>80</v>
      </c>
      <c r="BO203" s="26">
        <v>112</v>
      </c>
      <c r="BP203" s="26">
        <v>0</v>
      </c>
      <c r="BQ203" s="26">
        <v>0</v>
      </c>
      <c r="BR203" s="224">
        <v>100</v>
      </c>
      <c r="BS203" s="225">
        <v>1</v>
      </c>
      <c r="BT203" s="230" t="s">
        <v>1069</v>
      </c>
      <c r="BU203" s="227">
        <v>11615241</v>
      </c>
      <c r="BV203" s="228">
        <v>44403</v>
      </c>
      <c r="BW203" s="225">
        <v>15.8</v>
      </c>
      <c r="BX203" s="228">
        <v>44946</v>
      </c>
      <c r="BY203" s="226">
        <v>6.6</v>
      </c>
      <c r="BZ203" s="226"/>
      <c r="CA203" s="226"/>
      <c r="CB203" s="226"/>
      <c r="CC203" s="226"/>
      <c r="CD203" s="225">
        <v>150726602602</v>
      </c>
      <c r="CE203" s="225">
        <v>0</v>
      </c>
    </row>
    <row r="204" spans="1:83" ht="15" customHeight="1" thickBot="1" x14ac:dyDescent="0.3">
      <c r="A204" s="15" t="s">
        <v>76</v>
      </c>
      <c r="B204" s="15" t="s">
        <v>159</v>
      </c>
      <c r="C204" s="23" t="s">
        <v>480</v>
      </c>
      <c r="D204" s="41" t="s">
        <v>469</v>
      </c>
      <c r="E204" s="23" t="s">
        <v>164</v>
      </c>
      <c r="F204" s="23" t="s">
        <v>179</v>
      </c>
      <c r="G204" s="23">
        <v>3</v>
      </c>
      <c r="H204" s="23">
        <v>1</v>
      </c>
      <c r="I204" s="85" t="s">
        <v>557</v>
      </c>
      <c r="J204">
        <v>2006</v>
      </c>
      <c r="L204" s="5">
        <f t="shared" si="69"/>
        <v>15</v>
      </c>
      <c r="M204" s="109" t="e">
        <f>+#REF!-L204</f>
        <v>#REF!</v>
      </c>
      <c r="N204" s="23">
        <v>60</v>
      </c>
      <c r="O204" s="23">
        <v>1.66</v>
      </c>
      <c r="P204" s="24">
        <f t="shared" si="76"/>
        <v>21.773842357381334</v>
      </c>
      <c r="Q204" s="24" t="s">
        <v>243</v>
      </c>
      <c r="R204" s="24" t="s">
        <v>485</v>
      </c>
      <c r="S204" s="23" t="s">
        <v>177</v>
      </c>
      <c r="T204" s="45" t="s">
        <v>243</v>
      </c>
      <c r="U204" s="23">
        <v>17</v>
      </c>
      <c r="V204" s="16">
        <v>44434</v>
      </c>
      <c r="W204" s="17">
        <v>6.5</v>
      </c>
      <c r="X204" s="15" t="s">
        <v>474</v>
      </c>
      <c r="Y204" s="15" t="s">
        <v>582</v>
      </c>
      <c r="Z204" s="97" t="s">
        <v>505</v>
      </c>
      <c r="AA204" s="99" t="s">
        <v>566</v>
      </c>
      <c r="AB204" s="15">
        <v>1</v>
      </c>
      <c r="AC204" s="23" t="s">
        <v>244</v>
      </c>
      <c r="AD204" s="23" t="s">
        <v>642</v>
      </c>
      <c r="AE204" s="36">
        <v>20</v>
      </c>
      <c r="AF204" s="94">
        <v>14.66</v>
      </c>
      <c r="AG204" s="94">
        <f t="shared" si="66"/>
        <v>293.2</v>
      </c>
      <c r="AH204" s="88">
        <f t="shared" si="70"/>
        <v>2.9101736972704715</v>
      </c>
      <c r="AI204" s="25" t="s">
        <v>243</v>
      </c>
      <c r="AJ204" s="23" t="s">
        <v>463</v>
      </c>
      <c r="AK204" s="23" t="s">
        <v>247</v>
      </c>
      <c r="AL204" s="23">
        <v>850</v>
      </c>
      <c r="AM204" s="91">
        <v>3.2199999999999999E-2</v>
      </c>
      <c r="AN204" s="91">
        <f t="shared" si="71"/>
        <v>27.37</v>
      </c>
      <c r="AO204" s="92">
        <f t="shared" si="72"/>
        <v>0.27166253101736976</v>
      </c>
      <c r="AP204" s="23" t="s">
        <v>243</v>
      </c>
      <c r="AQ204" s="23"/>
      <c r="AR204" s="87"/>
      <c r="AS204" s="87"/>
      <c r="AT204" s="88">
        <f t="shared" si="73"/>
        <v>0</v>
      </c>
      <c r="AU204" s="23" t="s">
        <v>242</v>
      </c>
      <c r="AV204" s="44"/>
      <c r="AW204" s="23"/>
      <c r="AX204" s="44"/>
      <c r="AY204" s="44"/>
      <c r="AZ204" s="87"/>
      <c r="BA204" s="87"/>
      <c r="BB204" s="88">
        <f t="shared" si="74"/>
        <v>0</v>
      </c>
      <c r="BC204" s="23" t="s">
        <v>242</v>
      </c>
      <c r="BD204" s="23"/>
      <c r="BE204" s="23"/>
      <c r="BI204" s="90">
        <f t="shared" si="75"/>
        <v>0</v>
      </c>
      <c r="BJ204" s="26">
        <f t="shared" si="68"/>
        <v>1</v>
      </c>
      <c r="BK204" s="26">
        <v>0</v>
      </c>
      <c r="BL204" s="26" t="s">
        <v>850</v>
      </c>
      <c r="BM204" s="26">
        <v>120</v>
      </c>
      <c r="BN204" s="26">
        <v>70</v>
      </c>
      <c r="BO204" s="26">
        <v>92</v>
      </c>
      <c r="BP204" s="26">
        <v>0</v>
      </c>
      <c r="BQ204" s="26">
        <v>0</v>
      </c>
      <c r="BR204" s="224">
        <v>201</v>
      </c>
      <c r="BS204" s="225">
        <v>2</v>
      </c>
      <c r="BT204" s="230" t="s">
        <v>1272</v>
      </c>
      <c r="BU204" s="227">
        <v>10099001</v>
      </c>
      <c r="BV204" s="228">
        <v>44434</v>
      </c>
      <c r="BW204" s="225">
        <v>6.5</v>
      </c>
      <c r="BX204" s="226"/>
      <c r="BY204" s="226"/>
      <c r="BZ204" s="226"/>
      <c r="CA204" s="226"/>
      <c r="CB204" s="226"/>
      <c r="CC204" s="226"/>
      <c r="CD204" s="225">
        <v>150617935602</v>
      </c>
      <c r="CE204" s="225">
        <v>0</v>
      </c>
    </row>
    <row r="205" spans="1:83" ht="15" customHeight="1" thickBot="1" x14ac:dyDescent="0.3">
      <c r="A205" s="15" t="s">
        <v>34</v>
      </c>
      <c r="B205" s="15" t="s">
        <v>105</v>
      </c>
      <c r="C205" s="23" t="s">
        <v>482</v>
      </c>
      <c r="D205" s="41" t="s">
        <v>470</v>
      </c>
      <c r="E205" s="23" t="s">
        <v>164</v>
      </c>
      <c r="F205" s="23" t="s">
        <v>242</v>
      </c>
      <c r="G205" s="23">
        <v>2</v>
      </c>
      <c r="H205" s="23">
        <v>1</v>
      </c>
      <c r="I205" s="85" t="s">
        <v>557</v>
      </c>
      <c r="J205">
        <v>1980</v>
      </c>
      <c r="L205" s="5">
        <f t="shared" si="69"/>
        <v>41</v>
      </c>
      <c r="M205" s="109" t="e">
        <f>+#REF!-L205</f>
        <v>#REF!</v>
      </c>
      <c r="N205" s="23">
        <v>75</v>
      </c>
      <c r="O205" s="23">
        <v>1.6</v>
      </c>
      <c r="P205" s="24">
        <f t="shared" si="76"/>
        <v>29.296874999999993</v>
      </c>
      <c r="Q205" s="24" t="s">
        <v>242</v>
      </c>
      <c r="R205" s="24" t="s">
        <v>486</v>
      </c>
      <c r="S205" s="23" t="s">
        <v>242</v>
      </c>
      <c r="T205" s="45" t="s">
        <v>242</v>
      </c>
      <c r="U205" s="23" t="s">
        <v>212</v>
      </c>
      <c r="V205" s="18">
        <v>44490</v>
      </c>
      <c r="W205" s="17">
        <v>5.8</v>
      </c>
      <c r="X205" s="15" t="s">
        <v>474</v>
      </c>
      <c r="Y205" s="15" t="s">
        <v>582</v>
      </c>
      <c r="Z205" s="97" t="s">
        <v>505</v>
      </c>
      <c r="AA205" s="99" t="s">
        <v>566</v>
      </c>
      <c r="AB205" s="15">
        <v>1</v>
      </c>
      <c r="AC205" s="23" t="s">
        <v>182</v>
      </c>
      <c r="AD205" s="23" t="s">
        <v>182</v>
      </c>
      <c r="AE205" s="36">
        <v>54</v>
      </c>
      <c r="AF205" s="94">
        <v>7.21</v>
      </c>
      <c r="AG205" s="94">
        <f t="shared" si="66"/>
        <v>389.34</v>
      </c>
      <c r="AH205" s="88">
        <f t="shared" si="70"/>
        <v>3.8644168734491311</v>
      </c>
      <c r="AI205" s="25" t="s">
        <v>242</v>
      </c>
      <c r="AJ205" s="23"/>
      <c r="AK205" s="23" t="s">
        <v>247</v>
      </c>
      <c r="AL205" s="23">
        <v>2000</v>
      </c>
      <c r="AM205" s="91">
        <v>3.2199999999999999E-2</v>
      </c>
      <c r="AN205" s="91">
        <f t="shared" si="71"/>
        <v>64.400000000000006</v>
      </c>
      <c r="AO205" s="92">
        <f t="shared" si="72"/>
        <v>0.6392059553349877</v>
      </c>
      <c r="AP205" s="23" t="s">
        <v>243</v>
      </c>
      <c r="AQ205" s="23"/>
      <c r="AR205" s="87"/>
      <c r="AS205" s="87"/>
      <c r="AT205" s="88">
        <f t="shared" si="73"/>
        <v>0</v>
      </c>
      <c r="AU205" s="23" t="s">
        <v>242</v>
      </c>
      <c r="AV205" s="44"/>
      <c r="AW205" s="23"/>
      <c r="AX205" s="44"/>
      <c r="AY205" s="44"/>
      <c r="AZ205" s="87"/>
      <c r="BA205" s="87"/>
      <c r="BB205" s="88">
        <f t="shared" si="74"/>
        <v>0</v>
      </c>
      <c r="BC205" s="23" t="s">
        <v>242</v>
      </c>
      <c r="BD205" s="23"/>
      <c r="BE205" s="23"/>
      <c r="BI205" s="90">
        <f t="shared" si="75"/>
        <v>0</v>
      </c>
      <c r="BJ205" s="26">
        <f t="shared" si="68"/>
        <v>1</v>
      </c>
      <c r="BK205" s="26">
        <v>1</v>
      </c>
      <c r="BL205" s="26" t="s">
        <v>850</v>
      </c>
      <c r="BP205" s="26">
        <v>0</v>
      </c>
      <c r="BQ205" s="26">
        <v>0</v>
      </c>
      <c r="BR205" s="224">
        <v>202</v>
      </c>
      <c r="BS205" s="225">
        <v>1</v>
      </c>
      <c r="BT205" s="230" t="s">
        <v>1274</v>
      </c>
      <c r="BU205" s="227">
        <v>5770967</v>
      </c>
      <c r="BV205" s="228">
        <v>44490</v>
      </c>
      <c r="BW205" s="225">
        <v>5.8</v>
      </c>
      <c r="BX205" s="228">
        <v>45015</v>
      </c>
      <c r="BY205" s="226">
        <v>7</v>
      </c>
      <c r="BZ205" s="226"/>
      <c r="CA205" s="226"/>
      <c r="CB205" s="226"/>
      <c r="CC205" s="226"/>
      <c r="CD205" s="225">
        <v>150359791105</v>
      </c>
      <c r="CE205" s="225">
        <v>0</v>
      </c>
    </row>
    <row r="206" spans="1:83" ht="15" customHeight="1" thickBot="1" x14ac:dyDescent="0.3">
      <c r="A206" s="15" t="s">
        <v>77</v>
      </c>
      <c r="B206" s="15" t="s">
        <v>160</v>
      </c>
      <c r="C206" s="23" t="s">
        <v>479</v>
      </c>
      <c r="D206" s="41" t="s">
        <v>469</v>
      </c>
      <c r="E206" s="23" t="s">
        <v>164</v>
      </c>
      <c r="F206" s="23" t="s">
        <v>179</v>
      </c>
      <c r="G206" s="23">
        <v>3</v>
      </c>
      <c r="H206" s="23">
        <v>2</v>
      </c>
      <c r="I206" s="85" t="s">
        <v>558</v>
      </c>
      <c r="J206">
        <v>2009</v>
      </c>
      <c r="L206" s="5">
        <f t="shared" si="69"/>
        <v>12</v>
      </c>
      <c r="M206" s="109" t="e">
        <f>+#REF!-L206</f>
        <v>#REF!</v>
      </c>
      <c r="N206" s="23">
        <v>124</v>
      </c>
      <c r="O206" s="23">
        <v>1.55</v>
      </c>
      <c r="P206" s="24">
        <f t="shared" si="76"/>
        <v>51.612903225806448</v>
      </c>
      <c r="Q206" s="24" t="s">
        <v>242</v>
      </c>
      <c r="R206" s="24" t="s">
        <v>487</v>
      </c>
      <c r="S206" s="23" t="s">
        <v>177</v>
      </c>
      <c r="T206" s="45" t="s">
        <v>242</v>
      </c>
      <c r="U206" s="23" t="s">
        <v>212</v>
      </c>
      <c r="V206" s="16">
        <v>44441</v>
      </c>
      <c r="W206" s="17">
        <v>6.5</v>
      </c>
      <c r="X206" s="15" t="s">
        <v>474</v>
      </c>
      <c r="Y206" s="15" t="s">
        <v>582</v>
      </c>
      <c r="Z206" s="97" t="s">
        <v>505</v>
      </c>
      <c r="AA206" s="99" t="s">
        <v>566</v>
      </c>
      <c r="AB206" s="15">
        <v>1</v>
      </c>
      <c r="AC206" s="23" t="s">
        <v>245</v>
      </c>
      <c r="AD206" s="23" t="s">
        <v>642</v>
      </c>
      <c r="AE206" s="36">
        <v>40</v>
      </c>
      <c r="AF206" s="94">
        <v>15.6</v>
      </c>
      <c r="AG206" s="94">
        <f t="shared" si="66"/>
        <v>624</v>
      </c>
      <c r="AH206" s="88">
        <f t="shared" si="70"/>
        <v>6.193548387096774</v>
      </c>
      <c r="AI206" s="25" t="s">
        <v>243</v>
      </c>
      <c r="AJ206" s="23" t="s">
        <v>463</v>
      </c>
      <c r="AK206" s="23" t="s">
        <v>247</v>
      </c>
      <c r="AL206" s="23">
        <v>1700</v>
      </c>
      <c r="AM206" s="91">
        <v>3.2199999999999999E-2</v>
      </c>
      <c r="AN206" s="91">
        <f t="shared" si="71"/>
        <v>54.74</v>
      </c>
      <c r="AO206" s="92">
        <f t="shared" si="72"/>
        <v>0.54332506203473951</v>
      </c>
      <c r="AP206" s="23" t="s">
        <v>243</v>
      </c>
      <c r="AQ206" s="23"/>
      <c r="AR206" s="87"/>
      <c r="AS206" s="87"/>
      <c r="AT206" s="88">
        <f t="shared" si="73"/>
        <v>0</v>
      </c>
      <c r="AU206" s="23" t="s">
        <v>242</v>
      </c>
      <c r="AV206" s="44"/>
      <c r="AW206" s="23"/>
      <c r="AX206" s="44"/>
      <c r="AY206" s="44"/>
      <c r="AZ206" s="87"/>
      <c r="BA206" s="87"/>
      <c r="BB206" s="88">
        <f t="shared" si="74"/>
        <v>0</v>
      </c>
      <c r="BC206" s="23" t="s">
        <v>242</v>
      </c>
      <c r="BD206" s="23"/>
      <c r="BE206" s="23"/>
      <c r="BI206" s="90">
        <f t="shared" si="75"/>
        <v>0</v>
      </c>
      <c r="BJ206" s="26">
        <f t="shared" si="68"/>
        <v>1</v>
      </c>
      <c r="BK206" s="26">
        <v>1</v>
      </c>
      <c r="BL206" s="26" t="s">
        <v>848</v>
      </c>
      <c r="BM206" s="26">
        <v>150</v>
      </c>
      <c r="BN206" s="26">
        <v>80</v>
      </c>
      <c r="BO206" s="26">
        <v>135</v>
      </c>
      <c r="BP206" s="26">
        <v>0</v>
      </c>
      <c r="BQ206" s="26">
        <v>0</v>
      </c>
      <c r="BR206" s="224">
        <v>203</v>
      </c>
      <c r="BS206" s="225">
        <v>2</v>
      </c>
      <c r="BT206" s="230" t="s">
        <v>1276</v>
      </c>
      <c r="BU206" s="227">
        <v>10850464</v>
      </c>
      <c r="BV206" s="228">
        <v>44441</v>
      </c>
      <c r="BW206" s="225">
        <v>6.5</v>
      </c>
      <c r="BX206" s="228">
        <v>45013</v>
      </c>
      <c r="BY206" s="226">
        <v>5.8</v>
      </c>
      <c r="BZ206" s="226"/>
      <c r="CA206" s="226"/>
      <c r="CB206" s="226"/>
      <c r="CC206" s="226"/>
      <c r="CD206" s="225">
        <v>155571792106</v>
      </c>
      <c r="CE206" s="225">
        <v>0</v>
      </c>
    </row>
    <row r="207" spans="1:83" ht="15" customHeight="1" thickBot="1" x14ac:dyDescent="0.3">
      <c r="A207" s="15" t="s">
        <v>457</v>
      </c>
      <c r="B207" s="15" t="s">
        <v>458</v>
      </c>
      <c r="C207" s="23" t="s">
        <v>479</v>
      </c>
      <c r="D207" s="41" t="s">
        <v>469</v>
      </c>
      <c r="E207" s="23" t="s">
        <v>164</v>
      </c>
      <c r="F207" s="23" t="s">
        <v>177</v>
      </c>
      <c r="G207" s="23">
        <v>4</v>
      </c>
      <c r="H207" s="23">
        <v>3</v>
      </c>
      <c r="I207" s="85" t="s">
        <v>559</v>
      </c>
      <c r="J207">
        <v>2009</v>
      </c>
      <c r="L207" s="5">
        <f t="shared" si="69"/>
        <v>12</v>
      </c>
      <c r="M207" s="109" t="e">
        <f>+#REF!-L207</f>
        <v>#REF!</v>
      </c>
      <c r="N207" s="23">
        <v>92</v>
      </c>
      <c r="O207" s="23">
        <v>1.61</v>
      </c>
      <c r="P207" s="24">
        <f t="shared" si="76"/>
        <v>35.492457852706295</v>
      </c>
      <c r="Q207" s="24" t="s">
        <v>242</v>
      </c>
      <c r="R207" s="24" t="s">
        <v>487</v>
      </c>
      <c r="S207" s="23" t="s">
        <v>177</v>
      </c>
      <c r="T207" s="45" t="s">
        <v>242</v>
      </c>
      <c r="U207" s="23" t="s">
        <v>212</v>
      </c>
      <c r="V207" s="21">
        <v>44392</v>
      </c>
      <c r="W207" s="15">
        <v>6.3</v>
      </c>
      <c r="X207" s="15" t="s">
        <v>474</v>
      </c>
      <c r="Y207" s="15" t="s">
        <v>582</v>
      </c>
      <c r="Z207" s="97" t="s">
        <v>505</v>
      </c>
      <c r="AA207" s="99" t="s">
        <v>566</v>
      </c>
      <c r="AB207" s="15">
        <v>1</v>
      </c>
      <c r="AC207" s="23" t="s">
        <v>182</v>
      </c>
      <c r="AD207" s="23" t="s">
        <v>182</v>
      </c>
      <c r="AE207" s="36">
        <v>97</v>
      </c>
      <c r="AF207" s="94">
        <v>7.21</v>
      </c>
      <c r="AG207" s="94">
        <f t="shared" si="66"/>
        <v>699.37</v>
      </c>
      <c r="AH207" s="88">
        <f t="shared" si="70"/>
        <v>6.9416377171215879</v>
      </c>
      <c r="AI207" s="25" t="s">
        <v>243</v>
      </c>
      <c r="AJ207" s="23">
        <v>6</v>
      </c>
      <c r="AK207" s="44" t="s">
        <v>179</v>
      </c>
      <c r="AL207" s="23"/>
      <c r="AM207" s="91">
        <v>3.2199999999999999E-2</v>
      </c>
      <c r="AN207" s="91">
        <f t="shared" si="71"/>
        <v>0</v>
      </c>
      <c r="AO207" s="92">
        <f t="shared" si="72"/>
        <v>0</v>
      </c>
      <c r="AP207" s="23" t="s">
        <v>242</v>
      </c>
      <c r="AQ207" s="23"/>
      <c r="AR207" s="87"/>
      <c r="AS207" s="87"/>
      <c r="AT207" s="88">
        <f t="shared" si="73"/>
        <v>0</v>
      </c>
      <c r="AU207" s="23" t="s">
        <v>242</v>
      </c>
      <c r="AV207" s="44"/>
      <c r="AW207" s="23"/>
      <c r="AX207" s="23" t="s">
        <v>465</v>
      </c>
      <c r="AY207" s="23">
        <v>5</v>
      </c>
      <c r="AZ207" s="87">
        <v>66.150000000000006</v>
      </c>
      <c r="BA207" s="87">
        <f>+AY207*AZ207</f>
        <v>330.75</v>
      </c>
      <c r="BB207" s="88">
        <f t="shared" si="74"/>
        <v>3.2828784119106698</v>
      </c>
      <c r="BC207" s="23" t="s">
        <v>243</v>
      </c>
      <c r="BD207" s="23" t="s">
        <v>467</v>
      </c>
      <c r="BE207" s="23">
        <v>10</v>
      </c>
      <c r="BF207" s="33" t="s">
        <v>243</v>
      </c>
      <c r="BG207" s="89">
        <v>26.41</v>
      </c>
      <c r="BH207" s="89">
        <f>+BE207*BG207</f>
        <v>264.10000000000002</v>
      </c>
      <c r="BI207" s="90">
        <f t="shared" si="75"/>
        <v>2.6213399503722088</v>
      </c>
      <c r="BJ207" s="26">
        <f t="shared" si="68"/>
        <v>2</v>
      </c>
      <c r="BK207" s="26">
        <v>0</v>
      </c>
      <c r="BL207" s="26" t="s">
        <v>849</v>
      </c>
      <c r="BM207" s="26">
        <v>180</v>
      </c>
      <c r="BN207" s="26">
        <v>90</v>
      </c>
      <c r="BO207" s="26">
        <v>109</v>
      </c>
      <c r="BR207" s="224">
        <v>101</v>
      </c>
      <c r="BS207" s="225">
        <v>1</v>
      </c>
      <c r="BT207" s="230" t="s">
        <v>1071</v>
      </c>
      <c r="BU207" s="227">
        <v>10262731</v>
      </c>
      <c r="BV207" s="228">
        <v>44392</v>
      </c>
      <c r="BW207" s="225">
        <v>6.3</v>
      </c>
      <c r="BX207" s="228">
        <v>44949</v>
      </c>
      <c r="BY207" s="230">
        <v>5.9</v>
      </c>
      <c r="BZ207" s="226"/>
      <c r="CA207" s="226"/>
      <c r="CB207" s="226"/>
      <c r="CC207" s="226"/>
      <c r="CD207" s="225">
        <v>150532072303</v>
      </c>
      <c r="CE207" s="225">
        <v>0</v>
      </c>
    </row>
    <row r="208" spans="1:83" ht="15" customHeight="1" thickBot="1" x14ac:dyDescent="0.3">
      <c r="A208" s="15" t="s">
        <v>54</v>
      </c>
      <c r="B208" s="15" t="s">
        <v>277</v>
      </c>
      <c r="C208" s="23" t="s">
        <v>480</v>
      </c>
      <c r="D208" s="41" t="s">
        <v>469</v>
      </c>
      <c r="E208" s="23" t="s">
        <v>163</v>
      </c>
      <c r="F208" s="23" t="s">
        <v>179</v>
      </c>
      <c r="G208" s="23">
        <v>2</v>
      </c>
      <c r="H208" s="23">
        <v>3</v>
      </c>
      <c r="I208" s="85" t="s">
        <v>559</v>
      </c>
      <c r="L208" s="5"/>
      <c r="M208" s="109" t="e">
        <f>+#REF!-L208</f>
        <v>#REF!</v>
      </c>
      <c r="N208" s="23">
        <v>76.099999999999994</v>
      </c>
      <c r="O208" s="23">
        <v>1.66</v>
      </c>
      <c r="P208" s="24">
        <f t="shared" si="76"/>
        <v>27.61649005661199</v>
      </c>
      <c r="Q208" s="24" t="s">
        <v>242</v>
      </c>
      <c r="R208" s="24" t="s">
        <v>486</v>
      </c>
      <c r="S208" s="23" t="s">
        <v>179</v>
      </c>
      <c r="T208" s="45" t="s">
        <v>242</v>
      </c>
      <c r="U208" s="23" t="s">
        <v>212</v>
      </c>
      <c r="V208" s="16">
        <v>44371</v>
      </c>
      <c r="W208" s="15">
        <v>11.8</v>
      </c>
      <c r="X208" s="17" t="s">
        <v>477</v>
      </c>
      <c r="Y208" s="17" t="s">
        <v>584</v>
      </c>
      <c r="Z208" s="96" t="s">
        <v>590</v>
      </c>
      <c r="AA208" s="98" t="s">
        <v>569</v>
      </c>
      <c r="AB208" s="17">
        <v>3</v>
      </c>
      <c r="AC208" s="23" t="s">
        <v>245</v>
      </c>
      <c r="AD208" s="23" t="s">
        <v>642</v>
      </c>
      <c r="AE208" s="36">
        <v>36</v>
      </c>
      <c r="AF208" s="94">
        <v>15.6</v>
      </c>
      <c r="AG208" s="94">
        <f t="shared" si="66"/>
        <v>561.6</v>
      </c>
      <c r="AH208" s="88">
        <f t="shared" si="70"/>
        <v>5.5741935483870968</v>
      </c>
      <c r="AI208" s="25" t="s">
        <v>242</v>
      </c>
      <c r="AJ208" s="23"/>
      <c r="AK208" s="44" t="s">
        <v>179</v>
      </c>
      <c r="AL208" s="23"/>
      <c r="AM208" s="91">
        <v>3.2199999999999999E-2</v>
      </c>
      <c r="AN208" s="91">
        <f t="shared" si="71"/>
        <v>0</v>
      </c>
      <c r="AO208" s="92">
        <f t="shared" si="72"/>
        <v>0</v>
      </c>
      <c r="AP208" s="23" t="s">
        <v>242</v>
      </c>
      <c r="AQ208" s="23"/>
      <c r="AR208" s="87"/>
      <c r="AS208" s="87"/>
      <c r="AT208" s="88">
        <f t="shared" si="73"/>
        <v>0</v>
      </c>
      <c r="AU208" s="23" t="s">
        <v>242</v>
      </c>
      <c r="AV208" s="44"/>
      <c r="AW208" s="23"/>
      <c r="AX208" s="44"/>
      <c r="AY208" s="44"/>
      <c r="AZ208" s="87"/>
      <c r="BA208" s="87"/>
      <c r="BB208" s="88">
        <f t="shared" si="74"/>
        <v>0</v>
      </c>
      <c r="BC208" s="23" t="s">
        <v>242</v>
      </c>
      <c r="BD208" s="23"/>
      <c r="BE208" s="23"/>
      <c r="BI208" s="90">
        <f t="shared" si="75"/>
        <v>0</v>
      </c>
      <c r="BJ208" s="26">
        <f t="shared" si="68"/>
        <v>0</v>
      </c>
      <c r="BK208" s="26">
        <v>1</v>
      </c>
      <c r="BL208" s="26" t="s">
        <v>848</v>
      </c>
      <c r="BM208" s="26">
        <v>120</v>
      </c>
      <c r="BN208" s="26">
        <v>60</v>
      </c>
      <c r="BO208" s="26">
        <v>98</v>
      </c>
      <c r="BR208" s="224"/>
      <c r="BS208" s="225"/>
      <c r="BT208" s="230"/>
      <c r="BU208" s="227"/>
      <c r="BV208" s="228"/>
      <c r="BW208" s="225"/>
      <c r="BX208" s="228"/>
      <c r="BY208" s="226"/>
      <c r="BZ208" s="226"/>
      <c r="CA208" s="226"/>
      <c r="CB208" s="226"/>
      <c r="CC208" s="226"/>
      <c r="CD208" s="225">
        <v>150376930306</v>
      </c>
      <c r="CE208" s="225">
        <v>0</v>
      </c>
    </row>
    <row r="209" spans="1:77" ht="15" customHeight="1" thickBot="1" x14ac:dyDescent="0.3">
      <c r="A209" s="15" t="s">
        <v>54</v>
      </c>
      <c r="B209" s="15" t="s">
        <v>132</v>
      </c>
      <c r="C209" s="23" t="s">
        <v>482</v>
      </c>
      <c r="D209" s="41" t="s">
        <v>470</v>
      </c>
      <c r="E209" s="23" t="s">
        <v>164</v>
      </c>
      <c r="F209" s="23" t="s">
        <v>229</v>
      </c>
      <c r="G209" s="23">
        <v>2</v>
      </c>
      <c r="H209" s="23">
        <v>1</v>
      </c>
      <c r="I209" s="85" t="s">
        <v>557</v>
      </c>
      <c r="J209">
        <v>1980</v>
      </c>
      <c r="L209" s="5">
        <f t="shared" si="69"/>
        <v>41</v>
      </c>
      <c r="M209" s="109" t="e">
        <f>+#REF!-L209</f>
        <v>#REF!</v>
      </c>
      <c r="N209" s="23">
        <v>66</v>
      </c>
      <c r="O209" s="23">
        <v>1.66</v>
      </c>
      <c r="P209" s="24">
        <v>24</v>
      </c>
      <c r="Q209" s="24" t="s">
        <v>242</v>
      </c>
      <c r="R209" s="24" t="s">
        <v>485</v>
      </c>
      <c r="S209" s="23" t="s">
        <v>177</v>
      </c>
      <c r="T209" s="45" t="s">
        <v>242</v>
      </c>
      <c r="U209" s="23" t="s">
        <v>212</v>
      </c>
      <c r="V209" s="16">
        <v>44413</v>
      </c>
      <c r="W209" s="17">
        <v>10.5</v>
      </c>
      <c r="X209" s="17" t="s">
        <v>476</v>
      </c>
      <c r="Y209" s="17" t="s">
        <v>584</v>
      </c>
      <c r="Z209" s="96" t="s">
        <v>590</v>
      </c>
      <c r="AA209" s="98" t="s">
        <v>569</v>
      </c>
      <c r="AB209" s="17">
        <v>2</v>
      </c>
      <c r="AC209" s="23" t="s">
        <v>182</v>
      </c>
      <c r="AD209" s="23" t="s">
        <v>182</v>
      </c>
      <c r="AE209" s="36">
        <v>20</v>
      </c>
      <c r="AF209" s="94">
        <v>7.21</v>
      </c>
      <c r="AG209" s="94">
        <f t="shared" si="66"/>
        <v>144.19999999999999</v>
      </c>
      <c r="AH209" s="88">
        <f t="shared" si="70"/>
        <v>1.4312655086848634</v>
      </c>
      <c r="AI209" s="25" t="s">
        <v>243</v>
      </c>
      <c r="AJ209" s="23">
        <v>4</v>
      </c>
      <c r="AK209" s="23" t="s">
        <v>247</v>
      </c>
      <c r="AL209" s="23">
        <v>1700</v>
      </c>
      <c r="AM209" s="91">
        <v>3.2199999999999999E-2</v>
      </c>
      <c r="AN209" s="91">
        <f t="shared" si="71"/>
        <v>54.74</v>
      </c>
      <c r="AO209" s="92">
        <f t="shared" si="72"/>
        <v>0.54332506203473951</v>
      </c>
      <c r="AP209" s="23" t="s">
        <v>243</v>
      </c>
      <c r="AQ209" s="23"/>
      <c r="AR209" s="87"/>
      <c r="AS209" s="87"/>
      <c r="AT209" s="88">
        <f t="shared" si="73"/>
        <v>0</v>
      </c>
      <c r="AU209" s="23" t="s">
        <v>242</v>
      </c>
      <c r="AV209" s="44"/>
      <c r="AW209" s="23"/>
      <c r="AX209" s="44"/>
      <c r="AY209" s="44"/>
      <c r="AZ209" s="87"/>
      <c r="BA209" s="87"/>
      <c r="BB209" s="88">
        <f t="shared" si="74"/>
        <v>0</v>
      </c>
      <c r="BC209" s="23" t="s">
        <v>242</v>
      </c>
      <c r="BD209" s="23"/>
      <c r="BE209" s="23"/>
      <c r="BI209" s="90">
        <f t="shared" si="75"/>
        <v>0</v>
      </c>
      <c r="BJ209" s="26">
        <f t="shared" si="68"/>
        <v>1</v>
      </c>
      <c r="BR209" s="238">
        <v>1142</v>
      </c>
      <c r="BS209" s="238">
        <v>2</v>
      </c>
      <c r="BT209" s="238" t="s">
        <v>1073</v>
      </c>
      <c r="BU209" s="227">
        <v>9982956</v>
      </c>
      <c r="BV209" s="228">
        <v>44413</v>
      </c>
      <c r="BW209" s="225">
        <v>10.5</v>
      </c>
      <c r="BX209" s="228">
        <v>44911</v>
      </c>
      <c r="BY209" s="230">
        <v>9.9</v>
      </c>
    </row>
    <row r="210" spans="1:77" ht="15" customHeight="1" thickBot="1" x14ac:dyDescent="0.3">
      <c r="A210" s="226" t="s">
        <v>882</v>
      </c>
      <c r="B210" s="225"/>
      <c r="C210" s="227"/>
      <c r="D210" s="228"/>
      <c r="E210" s="225"/>
      <c r="F210" s="228"/>
      <c r="G210" s="226"/>
      <c r="H210" s="226"/>
      <c r="I210" s="226"/>
      <c r="J210" s="226"/>
      <c r="K210" s="225"/>
      <c r="L210" s="225"/>
      <c r="M210" s="226"/>
      <c r="N210" s="226"/>
      <c r="BR210" s="224">
        <v>7</v>
      </c>
      <c r="BS210" s="225">
        <v>2</v>
      </c>
      <c r="BT210" s="226" t="s">
        <v>881</v>
      </c>
      <c r="BU210" s="227">
        <v>94005729</v>
      </c>
      <c r="BV210" s="228">
        <v>44371</v>
      </c>
      <c r="BW210" s="225">
        <v>11.8</v>
      </c>
      <c r="BX210" s="228">
        <v>44910</v>
      </c>
      <c r="BY210" s="230">
        <v>8.6999999999999993</v>
      </c>
    </row>
  </sheetData>
  <autoFilter ref="A1:CH210" xr:uid="{00000000-0009-0000-0000-000003000000}"/>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94"/>
  <sheetViews>
    <sheetView zoomScale="70" zoomScaleNormal="70" workbookViewId="0">
      <selection activeCell="J2" sqref="J2"/>
    </sheetView>
  </sheetViews>
  <sheetFormatPr defaultColWidth="11.42578125" defaultRowHeight="12.75" x14ac:dyDescent="0.2"/>
  <sheetData>
    <row r="1" spans="1:10" x14ac:dyDescent="0.2">
      <c r="A1" t="s">
        <v>608</v>
      </c>
      <c r="B1" t="s">
        <v>579</v>
      </c>
      <c r="C1" t="s">
        <v>239</v>
      </c>
    </row>
    <row r="2" spans="1:10" x14ac:dyDescent="0.2">
      <c r="A2">
        <v>1</v>
      </c>
      <c r="B2">
        <v>9.4</v>
      </c>
      <c r="C2">
        <v>40</v>
      </c>
      <c r="E2">
        <f>CORREL(A2:A194,C2:C194)</f>
        <v>7.6552472207855271E-2</v>
      </c>
      <c r="F2" s="3" t="s">
        <v>784</v>
      </c>
      <c r="J2" s="3" t="s">
        <v>790</v>
      </c>
    </row>
    <row r="3" spans="1:10" x14ac:dyDescent="0.2">
      <c r="A3">
        <v>2</v>
      </c>
      <c r="B3">
        <v>7.2</v>
      </c>
      <c r="C3">
        <v>40</v>
      </c>
      <c r="E3">
        <f>CORREL(B2:B195,C2:C195)</f>
        <v>0.19932681723812265</v>
      </c>
      <c r="F3" s="3" t="s">
        <v>788</v>
      </c>
    </row>
    <row r="4" spans="1:10" x14ac:dyDescent="0.2">
      <c r="A4">
        <v>2</v>
      </c>
      <c r="B4">
        <v>6.6</v>
      </c>
      <c r="C4">
        <v>20</v>
      </c>
      <c r="E4">
        <f>CORREL(B2:B196,A2:A196)</f>
        <v>-1.2602339670078774E-2</v>
      </c>
      <c r="F4" s="3" t="s">
        <v>789</v>
      </c>
    </row>
    <row r="5" spans="1:10" x14ac:dyDescent="0.2">
      <c r="A5">
        <v>3</v>
      </c>
      <c r="B5">
        <v>8.6999999999999993</v>
      </c>
      <c r="C5">
        <v>16</v>
      </c>
    </row>
    <row r="6" spans="1:10" x14ac:dyDescent="0.2">
      <c r="A6">
        <v>3</v>
      </c>
      <c r="B6">
        <v>9.6999999999999993</v>
      </c>
      <c r="C6">
        <v>68</v>
      </c>
    </row>
    <row r="7" spans="1:10" x14ac:dyDescent="0.2">
      <c r="A7">
        <v>3</v>
      </c>
      <c r="B7">
        <v>15.4</v>
      </c>
      <c r="C7">
        <v>52</v>
      </c>
    </row>
    <row r="8" spans="1:10" x14ac:dyDescent="0.2">
      <c r="A8">
        <v>4</v>
      </c>
      <c r="B8">
        <v>12.6</v>
      </c>
      <c r="C8">
        <v>40</v>
      </c>
    </row>
    <row r="9" spans="1:10" x14ac:dyDescent="0.2">
      <c r="A9">
        <v>4</v>
      </c>
      <c r="B9">
        <v>9.1</v>
      </c>
      <c r="C9">
        <v>40</v>
      </c>
    </row>
    <row r="10" spans="1:10" x14ac:dyDescent="0.2">
      <c r="A10">
        <v>5</v>
      </c>
      <c r="B10">
        <v>8.6</v>
      </c>
      <c r="C10">
        <v>40</v>
      </c>
    </row>
    <row r="11" spans="1:10" x14ac:dyDescent="0.2">
      <c r="A11">
        <v>5</v>
      </c>
      <c r="B11">
        <v>11.2</v>
      </c>
      <c r="C11">
        <v>22</v>
      </c>
    </row>
    <row r="12" spans="1:10" x14ac:dyDescent="0.2">
      <c r="A12">
        <v>5</v>
      </c>
      <c r="B12">
        <v>9.6999999999999993</v>
      </c>
      <c r="C12">
        <v>44</v>
      </c>
    </row>
    <row r="13" spans="1:10" x14ac:dyDescent="0.2">
      <c r="A13">
        <v>6</v>
      </c>
      <c r="B13">
        <v>9.9</v>
      </c>
      <c r="C13">
        <v>42</v>
      </c>
    </row>
    <row r="14" spans="1:10" x14ac:dyDescent="0.2">
      <c r="A14">
        <v>6</v>
      </c>
      <c r="B14">
        <v>8.4</v>
      </c>
      <c r="C14">
        <v>60</v>
      </c>
    </row>
    <row r="15" spans="1:10" x14ac:dyDescent="0.2">
      <c r="A15">
        <v>6</v>
      </c>
      <c r="B15">
        <v>8.1999999999999993</v>
      </c>
      <c r="C15">
        <v>20</v>
      </c>
    </row>
    <row r="16" spans="1:10" x14ac:dyDescent="0.2">
      <c r="A16">
        <v>6</v>
      </c>
      <c r="B16">
        <v>11.8</v>
      </c>
      <c r="C16">
        <v>48</v>
      </c>
    </row>
    <row r="17" spans="1:3" x14ac:dyDescent="0.2">
      <c r="A17">
        <v>6</v>
      </c>
      <c r="B17">
        <v>9.6</v>
      </c>
      <c r="C17">
        <v>50</v>
      </c>
    </row>
    <row r="18" spans="1:3" x14ac:dyDescent="0.2">
      <c r="A18">
        <v>6</v>
      </c>
      <c r="B18">
        <v>5.8</v>
      </c>
      <c r="C18">
        <v>36</v>
      </c>
    </row>
    <row r="19" spans="1:3" x14ac:dyDescent="0.2">
      <c r="A19">
        <v>7</v>
      </c>
      <c r="B19">
        <v>8.5</v>
      </c>
      <c r="C19">
        <v>12</v>
      </c>
    </row>
    <row r="20" spans="1:3" x14ac:dyDescent="0.2">
      <c r="A20">
        <v>7</v>
      </c>
      <c r="B20">
        <v>9.4</v>
      </c>
      <c r="C20">
        <v>32</v>
      </c>
    </row>
    <row r="21" spans="1:3" x14ac:dyDescent="0.2">
      <c r="A21">
        <v>7</v>
      </c>
      <c r="B21">
        <v>10.3</v>
      </c>
      <c r="C21">
        <v>24</v>
      </c>
    </row>
    <row r="22" spans="1:3" x14ac:dyDescent="0.2">
      <c r="A22">
        <v>7</v>
      </c>
      <c r="B22">
        <v>5.5</v>
      </c>
      <c r="C22">
        <v>10</v>
      </c>
    </row>
    <row r="23" spans="1:3" x14ac:dyDescent="0.2">
      <c r="A23">
        <v>7</v>
      </c>
      <c r="B23">
        <v>9.5</v>
      </c>
      <c r="C23">
        <v>48</v>
      </c>
    </row>
    <row r="24" spans="1:3" x14ac:dyDescent="0.2">
      <c r="A24">
        <v>7</v>
      </c>
      <c r="B24">
        <v>6.3</v>
      </c>
      <c r="C24">
        <v>60</v>
      </c>
    </row>
    <row r="25" spans="1:3" x14ac:dyDescent="0.2">
      <c r="A25">
        <v>7</v>
      </c>
      <c r="B25">
        <v>8.3000000000000007</v>
      </c>
      <c r="C25">
        <v>30</v>
      </c>
    </row>
    <row r="26" spans="1:3" x14ac:dyDescent="0.2">
      <c r="A26">
        <v>8</v>
      </c>
      <c r="B26">
        <v>7.9</v>
      </c>
      <c r="C26">
        <v>10</v>
      </c>
    </row>
    <row r="27" spans="1:3" x14ac:dyDescent="0.2">
      <c r="A27">
        <v>8</v>
      </c>
      <c r="B27">
        <v>8.9</v>
      </c>
      <c r="C27">
        <v>13</v>
      </c>
    </row>
    <row r="28" spans="1:3" x14ac:dyDescent="0.2">
      <c r="A28">
        <v>8</v>
      </c>
      <c r="B28">
        <v>12.3</v>
      </c>
      <c r="C28">
        <v>40</v>
      </c>
    </row>
    <row r="29" spans="1:3" x14ac:dyDescent="0.2">
      <c r="A29">
        <v>8</v>
      </c>
      <c r="B29">
        <v>11.8</v>
      </c>
      <c r="C29">
        <v>20</v>
      </c>
    </row>
    <row r="30" spans="1:3" x14ac:dyDescent="0.2">
      <c r="A30">
        <v>9</v>
      </c>
      <c r="B30">
        <v>10.1</v>
      </c>
      <c r="C30">
        <v>50</v>
      </c>
    </row>
    <row r="31" spans="1:3" x14ac:dyDescent="0.2">
      <c r="A31">
        <v>10</v>
      </c>
      <c r="B31">
        <v>13.4</v>
      </c>
      <c r="C31">
        <v>26</v>
      </c>
    </row>
    <row r="32" spans="1:3" x14ac:dyDescent="0.2">
      <c r="A32">
        <v>10</v>
      </c>
      <c r="B32">
        <v>6.8</v>
      </c>
      <c r="C32">
        <v>28</v>
      </c>
    </row>
    <row r="33" spans="1:3" x14ac:dyDescent="0.2">
      <c r="A33">
        <v>10</v>
      </c>
      <c r="B33">
        <v>9.3000000000000007</v>
      </c>
      <c r="C33">
        <v>60</v>
      </c>
    </row>
    <row r="34" spans="1:3" x14ac:dyDescent="0.2">
      <c r="A34">
        <v>10</v>
      </c>
      <c r="B34">
        <v>9.4</v>
      </c>
      <c r="C34">
        <v>60</v>
      </c>
    </row>
    <row r="35" spans="1:3" x14ac:dyDescent="0.2">
      <c r="A35">
        <v>10</v>
      </c>
      <c r="B35">
        <v>10.199999999999999</v>
      </c>
      <c r="C35">
        <v>60</v>
      </c>
    </row>
    <row r="36" spans="1:3" x14ac:dyDescent="0.2">
      <c r="A36">
        <v>10</v>
      </c>
      <c r="B36">
        <v>10.5</v>
      </c>
      <c r="C36">
        <v>48</v>
      </c>
    </row>
    <row r="37" spans="1:3" x14ac:dyDescent="0.2">
      <c r="A37">
        <v>11</v>
      </c>
      <c r="B37">
        <v>9.4</v>
      </c>
      <c r="C37">
        <v>64</v>
      </c>
    </row>
    <row r="38" spans="1:3" x14ac:dyDescent="0.2">
      <c r="A38">
        <v>11</v>
      </c>
      <c r="B38">
        <v>9.6</v>
      </c>
      <c r="C38">
        <v>34</v>
      </c>
    </row>
    <row r="39" spans="1:3" x14ac:dyDescent="0.2">
      <c r="A39">
        <v>11</v>
      </c>
      <c r="B39">
        <v>7.9</v>
      </c>
      <c r="C39">
        <v>10</v>
      </c>
    </row>
    <row r="40" spans="1:3" x14ac:dyDescent="0.2">
      <c r="A40">
        <v>11</v>
      </c>
      <c r="B40">
        <v>8.6</v>
      </c>
      <c r="C40">
        <v>36</v>
      </c>
    </row>
    <row r="41" spans="1:3" x14ac:dyDescent="0.2">
      <c r="A41">
        <v>11</v>
      </c>
      <c r="B41">
        <v>8.8000000000000007</v>
      </c>
      <c r="C41">
        <v>12</v>
      </c>
    </row>
    <row r="42" spans="1:3" x14ac:dyDescent="0.2">
      <c r="A42">
        <v>11</v>
      </c>
      <c r="B42">
        <v>13.5</v>
      </c>
      <c r="C42">
        <v>80</v>
      </c>
    </row>
    <row r="43" spans="1:3" x14ac:dyDescent="0.2">
      <c r="A43">
        <v>11</v>
      </c>
      <c r="B43">
        <v>9.3000000000000007</v>
      </c>
      <c r="C43">
        <v>70</v>
      </c>
    </row>
    <row r="44" spans="1:3" x14ac:dyDescent="0.2">
      <c r="A44">
        <v>12</v>
      </c>
      <c r="B44">
        <v>9.6</v>
      </c>
      <c r="C44">
        <v>70</v>
      </c>
    </row>
    <row r="45" spans="1:3" x14ac:dyDescent="0.2">
      <c r="A45">
        <v>12</v>
      </c>
      <c r="B45">
        <v>12.4</v>
      </c>
      <c r="C45">
        <v>40</v>
      </c>
    </row>
    <row r="46" spans="1:3" x14ac:dyDescent="0.2">
      <c r="A46">
        <v>12</v>
      </c>
      <c r="B46">
        <v>10</v>
      </c>
      <c r="C46">
        <v>60</v>
      </c>
    </row>
    <row r="47" spans="1:3" x14ac:dyDescent="0.2">
      <c r="A47">
        <v>12</v>
      </c>
      <c r="B47">
        <v>11.2</v>
      </c>
      <c r="C47">
        <v>34</v>
      </c>
    </row>
    <row r="48" spans="1:3" x14ac:dyDescent="0.2">
      <c r="A48">
        <v>12</v>
      </c>
      <c r="B48">
        <v>8.5</v>
      </c>
      <c r="C48">
        <v>26</v>
      </c>
    </row>
    <row r="49" spans="1:3" x14ac:dyDescent="0.2">
      <c r="A49">
        <v>12</v>
      </c>
      <c r="B49">
        <v>8</v>
      </c>
      <c r="C49">
        <v>26</v>
      </c>
    </row>
    <row r="50" spans="1:3" x14ac:dyDescent="0.2">
      <c r="A50">
        <v>12</v>
      </c>
      <c r="B50">
        <v>8.1</v>
      </c>
      <c r="C50">
        <v>25</v>
      </c>
    </row>
    <row r="51" spans="1:3" x14ac:dyDescent="0.2">
      <c r="A51">
        <v>12</v>
      </c>
      <c r="B51">
        <v>13.5</v>
      </c>
      <c r="C51">
        <v>64</v>
      </c>
    </row>
    <row r="52" spans="1:3" x14ac:dyDescent="0.2">
      <c r="A52">
        <v>12</v>
      </c>
      <c r="B52">
        <v>11.4</v>
      </c>
      <c r="C52">
        <v>76</v>
      </c>
    </row>
    <row r="53" spans="1:3" x14ac:dyDescent="0.2">
      <c r="A53">
        <v>12</v>
      </c>
      <c r="B53">
        <v>14.4</v>
      </c>
      <c r="C53">
        <v>80</v>
      </c>
    </row>
    <row r="54" spans="1:3" x14ac:dyDescent="0.2">
      <c r="A54">
        <v>12</v>
      </c>
      <c r="B54">
        <v>10.7</v>
      </c>
      <c r="C54">
        <v>36</v>
      </c>
    </row>
    <row r="55" spans="1:3" x14ac:dyDescent="0.2">
      <c r="A55">
        <v>12</v>
      </c>
      <c r="B55">
        <v>7.9</v>
      </c>
      <c r="C55">
        <v>28</v>
      </c>
    </row>
    <row r="56" spans="1:3" x14ac:dyDescent="0.2">
      <c r="A56">
        <v>12</v>
      </c>
      <c r="B56">
        <v>8.1</v>
      </c>
      <c r="C56">
        <v>35</v>
      </c>
    </row>
    <row r="57" spans="1:3" x14ac:dyDescent="0.2">
      <c r="A57">
        <v>12</v>
      </c>
      <c r="B57">
        <v>6.5</v>
      </c>
      <c r="C57">
        <v>40</v>
      </c>
    </row>
    <row r="58" spans="1:3" x14ac:dyDescent="0.2">
      <c r="A58">
        <v>12</v>
      </c>
      <c r="B58">
        <v>6.3</v>
      </c>
      <c r="C58">
        <v>97</v>
      </c>
    </row>
    <row r="59" spans="1:3" x14ac:dyDescent="0.2">
      <c r="A59">
        <v>13</v>
      </c>
      <c r="B59">
        <v>7.7</v>
      </c>
      <c r="C59">
        <v>10</v>
      </c>
    </row>
    <row r="60" spans="1:3" x14ac:dyDescent="0.2">
      <c r="A60">
        <v>13</v>
      </c>
      <c r="B60">
        <v>9.1</v>
      </c>
      <c r="C60">
        <v>26</v>
      </c>
    </row>
    <row r="61" spans="1:3" x14ac:dyDescent="0.2">
      <c r="A61">
        <v>13</v>
      </c>
      <c r="B61">
        <v>6.8</v>
      </c>
      <c r="C61">
        <v>70</v>
      </c>
    </row>
    <row r="62" spans="1:3" x14ac:dyDescent="0.2">
      <c r="A62">
        <v>14</v>
      </c>
      <c r="B62">
        <v>11.9</v>
      </c>
      <c r="C62">
        <v>26</v>
      </c>
    </row>
    <row r="63" spans="1:3" x14ac:dyDescent="0.2">
      <c r="A63">
        <v>14</v>
      </c>
      <c r="B63">
        <v>7.2</v>
      </c>
      <c r="C63">
        <v>30</v>
      </c>
    </row>
    <row r="64" spans="1:3" x14ac:dyDescent="0.2">
      <c r="A64">
        <v>14</v>
      </c>
      <c r="B64">
        <v>10.3</v>
      </c>
      <c r="C64">
        <v>90</v>
      </c>
    </row>
    <row r="65" spans="1:3" x14ac:dyDescent="0.2">
      <c r="A65">
        <v>15</v>
      </c>
      <c r="B65">
        <v>9</v>
      </c>
      <c r="C65">
        <v>110</v>
      </c>
    </row>
    <row r="66" spans="1:3" x14ac:dyDescent="0.2">
      <c r="A66">
        <v>15</v>
      </c>
      <c r="B66">
        <v>11</v>
      </c>
      <c r="C66">
        <v>48</v>
      </c>
    </row>
    <row r="67" spans="1:3" x14ac:dyDescent="0.2">
      <c r="A67">
        <v>15</v>
      </c>
      <c r="B67">
        <v>6.4</v>
      </c>
      <c r="C67">
        <v>54</v>
      </c>
    </row>
    <row r="68" spans="1:3" x14ac:dyDescent="0.2">
      <c r="A68">
        <v>15</v>
      </c>
      <c r="B68">
        <v>7.3</v>
      </c>
      <c r="C68">
        <v>36</v>
      </c>
    </row>
    <row r="69" spans="1:3" x14ac:dyDescent="0.2">
      <c r="A69">
        <v>15</v>
      </c>
      <c r="B69">
        <v>9</v>
      </c>
      <c r="C69">
        <v>24</v>
      </c>
    </row>
    <row r="70" spans="1:3" x14ac:dyDescent="0.2">
      <c r="A70">
        <v>15</v>
      </c>
      <c r="B70">
        <v>15.2</v>
      </c>
      <c r="C70">
        <v>30</v>
      </c>
    </row>
    <row r="71" spans="1:3" x14ac:dyDescent="0.2">
      <c r="A71">
        <v>15</v>
      </c>
      <c r="B71">
        <v>6.5</v>
      </c>
      <c r="C71">
        <v>40</v>
      </c>
    </row>
    <row r="72" spans="1:3" x14ac:dyDescent="0.2">
      <c r="A72">
        <v>15</v>
      </c>
      <c r="B72">
        <v>6.5</v>
      </c>
      <c r="C72">
        <v>20</v>
      </c>
    </row>
    <row r="73" spans="1:3" x14ac:dyDescent="0.2">
      <c r="A73">
        <v>16</v>
      </c>
      <c r="B73">
        <v>11.9</v>
      </c>
      <c r="C73">
        <v>80</v>
      </c>
    </row>
    <row r="74" spans="1:3" x14ac:dyDescent="0.2">
      <c r="A74">
        <v>16</v>
      </c>
      <c r="B74">
        <v>12</v>
      </c>
      <c r="C74">
        <v>30</v>
      </c>
    </row>
    <row r="75" spans="1:3" x14ac:dyDescent="0.2">
      <c r="A75">
        <v>16</v>
      </c>
      <c r="B75">
        <v>7.3</v>
      </c>
      <c r="C75">
        <v>18</v>
      </c>
    </row>
    <row r="76" spans="1:3" x14ac:dyDescent="0.2">
      <c r="A76">
        <v>16</v>
      </c>
      <c r="B76">
        <v>12.8</v>
      </c>
      <c r="C76">
        <v>44</v>
      </c>
    </row>
    <row r="77" spans="1:3" x14ac:dyDescent="0.2">
      <c r="A77">
        <v>16</v>
      </c>
      <c r="B77">
        <v>9.8000000000000007</v>
      </c>
      <c r="C77">
        <v>50</v>
      </c>
    </row>
    <row r="78" spans="1:3" x14ac:dyDescent="0.2">
      <c r="A78">
        <v>16</v>
      </c>
      <c r="B78">
        <v>13.4</v>
      </c>
      <c r="C78">
        <v>22</v>
      </c>
    </row>
    <row r="79" spans="1:3" x14ac:dyDescent="0.2">
      <c r="A79">
        <v>16</v>
      </c>
      <c r="B79">
        <v>9.1</v>
      </c>
      <c r="C79">
        <v>50</v>
      </c>
    </row>
    <row r="80" spans="1:3" x14ac:dyDescent="0.2">
      <c r="A80">
        <v>16</v>
      </c>
      <c r="B80">
        <v>12.4</v>
      </c>
      <c r="C80">
        <v>50</v>
      </c>
    </row>
    <row r="81" spans="1:3" x14ac:dyDescent="0.2">
      <c r="A81">
        <v>16</v>
      </c>
      <c r="B81">
        <v>11</v>
      </c>
      <c r="C81">
        <v>60</v>
      </c>
    </row>
    <row r="82" spans="1:3" x14ac:dyDescent="0.2">
      <c r="A82">
        <v>16</v>
      </c>
      <c r="B82">
        <v>9.9</v>
      </c>
      <c r="C82">
        <v>48</v>
      </c>
    </row>
    <row r="83" spans="1:3" x14ac:dyDescent="0.2">
      <c r="A83">
        <v>17</v>
      </c>
      <c r="B83">
        <v>8.6999999999999993</v>
      </c>
      <c r="C83">
        <v>20</v>
      </c>
    </row>
    <row r="84" spans="1:3" x14ac:dyDescent="0.2">
      <c r="A84">
        <v>17</v>
      </c>
      <c r="B84">
        <v>4.5</v>
      </c>
      <c r="C84">
        <v>48</v>
      </c>
    </row>
    <row r="85" spans="1:3" x14ac:dyDescent="0.2">
      <c r="A85">
        <v>17</v>
      </c>
      <c r="B85">
        <v>9</v>
      </c>
      <c r="C85">
        <v>45</v>
      </c>
    </row>
    <row r="86" spans="1:3" x14ac:dyDescent="0.2">
      <c r="A86">
        <v>18</v>
      </c>
      <c r="B86">
        <v>10.7</v>
      </c>
      <c r="C86">
        <v>50</v>
      </c>
    </row>
    <row r="87" spans="1:3" x14ac:dyDescent="0.2">
      <c r="A87">
        <v>18</v>
      </c>
      <c r="B87">
        <v>11.3</v>
      </c>
      <c r="C87">
        <v>20</v>
      </c>
    </row>
    <row r="88" spans="1:3" x14ac:dyDescent="0.2">
      <c r="A88">
        <v>18</v>
      </c>
      <c r="B88">
        <v>10.6</v>
      </c>
      <c r="C88">
        <v>94</v>
      </c>
    </row>
    <row r="89" spans="1:3" x14ac:dyDescent="0.2">
      <c r="A89">
        <v>18</v>
      </c>
      <c r="B89">
        <v>5.6</v>
      </c>
      <c r="C89">
        <v>20</v>
      </c>
    </row>
    <row r="90" spans="1:3" x14ac:dyDescent="0.2">
      <c r="A90">
        <v>18</v>
      </c>
      <c r="B90">
        <v>10.9</v>
      </c>
      <c r="C90">
        <v>76</v>
      </c>
    </row>
    <row r="91" spans="1:3" x14ac:dyDescent="0.2">
      <c r="A91">
        <v>18</v>
      </c>
      <c r="B91">
        <v>6.5</v>
      </c>
      <c r="C91">
        <v>12</v>
      </c>
    </row>
    <row r="92" spans="1:3" x14ac:dyDescent="0.2">
      <c r="A92">
        <v>18</v>
      </c>
      <c r="B92">
        <v>10.1</v>
      </c>
      <c r="C92">
        <v>18</v>
      </c>
    </row>
    <row r="93" spans="1:3" x14ac:dyDescent="0.2">
      <c r="A93">
        <v>19</v>
      </c>
      <c r="B93">
        <v>9</v>
      </c>
      <c r="C93">
        <v>52</v>
      </c>
    </row>
    <row r="94" spans="1:3" x14ac:dyDescent="0.2">
      <c r="A94">
        <v>19</v>
      </c>
      <c r="B94">
        <v>10.7</v>
      </c>
      <c r="C94">
        <v>40</v>
      </c>
    </row>
    <row r="95" spans="1:3" x14ac:dyDescent="0.2">
      <c r="A95">
        <v>20</v>
      </c>
      <c r="B95">
        <v>10.4</v>
      </c>
      <c r="C95">
        <v>84</v>
      </c>
    </row>
    <row r="96" spans="1:3" x14ac:dyDescent="0.2">
      <c r="A96">
        <v>20</v>
      </c>
      <c r="B96">
        <v>13.3</v>
      </c>
      <c r="C96">
        <v>30</v>
      </c>
    </row>
    <row r="97" spans="1:3" x14ac:dyDescent="0.2">
      <c r="A97">
        <v>20</v>
      </c>
      <c r="B97">
        <v>7.3</v>
      </c>
      <c r="C97">
        <v>16</v>
      </c>
    </row>
    <row r="98" spans="1:3" x14ac:dyDescent="0.2">
      <c r="A98">
        <v>20</v>
      </c>
      <c r="B98">
        <v>10.4</v>
      </c>
      <c r="C98">
        <v>60</v>
      </c>
    </row>
    <row r="99" spans="1:3" x14ac:dyDescent="0.2">
      <c r="A99">
        <v>20</v>
      </c>
      <c r="B99">
        <v>10.6</v>
      </c>
      <c r="C99">
        <v>30</v>
      </c>
    </row>
    <row r="100" spans="1:3" x14ac:dyDescent="0.2">
      <c r="A100">
        <v>20</v>
      </c>
      <c r="B100">
        <v>11.3</v>
      </c>
      <c r="C100">
        <v>60</v>
      </c>
    </row>
    <row r="101" spans="1:3" x14ac:dyDescent="0.2">
      <c r="A101">
        <v>21</v>
      </c>
      <c r="B101">
        <v>11.8</v>
      </c>
      <c r="C101">
        <v>30</v>
      </c>
    </row>
    <row r="102" spans="1:3" x14ac:dyDescent="0.2">
      <c r="A102">
        <v>21</v>
      </c>
      <c r="B102">
        <v>15.5</v>
      </c>
      <c r="C102">
        <v>30</v>
      </c>
    </row>
    <row r="103" spans="1:3" x14ac:dyDescent="0.2">
      <c r="A103">
        <v>21</v>
      </c>
      <c r="B103">
        <v>7.3</v>
      </c>
      <c r="C103">
        <v>38</v>
      </c>
    </row>
    <row r="104" spans="1:3" x14ac:dyDescent="0.2">
      <c r="A104">
        <v>21</v>
      </c>
      <c r="B104">
        <v>8.4</v>
      </c>
      <c r="C104">
        <v>28</v>
      </c>
    </row>
    <row r="105" spans="1:3" x14ac:dyDescent="0.2">
      <c r="A105">
        <v>21</v>
      </c>
      <c r="B105">
        <v>8.9</v>
      </c>
      <c r="C105">
        <v>14</v>
      </c>
    </row>
    <row r="106" spans="1:3" x14ac:dyDescent="0.2">
      <c r="A106">
        <v>21</v>
      </c>
      <c r="B106">
        <v>12.8</v>
      </c>
      <c r="C106">
        <v>35</v>
      </c>
    </row>
    <row r="107" spans="1:3" x14ac:dyDescent="0.2">
      <c r="A107">
        <v>21</v>
      </c>
      <c r="B107">
        <v>13.2</v>
      </c>
      <c r="C107">
        <v>40</v>
      </c>
    </row>
    <row r="108" spans="1:3" x14ac:dyDescent="0.2">
      <c r="A108">
        <v>21</v>
      </c>
      <c r="B108">
        <v>9.1</v>
      </c>
      <c r="C108">
        <v>26</v>
      </c>
    </row>
    <row r="109" spans="1:3" x14ac:dyDescent="0.2">
      <c r="A109">
        <v>21</v>
      </c>
      <c r="B109">
        <v>8.5</v>
      </c>
      <c r="C109">
        <v>50</v>
      </c>
    </row>
    <row r="110" spans="1:3" x14ac:dyDescent="0.2">
      <c r="A110">
        <v>21</v>
      </c>
      <c r="B110">
        <v>8.5</v>
      </c>
      <c r="C110">
        <v>10</v>
      </c>
    </row>
    <row r="111" spans="1:3" x14ac:dyDescent="0.2">
      <c r="A111">
        <v>21</v>
      </c>
      <c r="B111">
        <v>14.4</v>
      </c>
      <c r="C111">
        <v>50</v>
      </c>
    </row>
    <row r="112" spans="1:3" x14ac:dyDescent="0.2">
      <c r="A112">
        <v>21</v>
      </c>
      <c r="B112">
        <v>12</v>
      </c>
      <c r="C112">
        <v>75</v>
      </c>
    </row>
    <row r="113" spans="1:3" x14ac:dyDescent="0.2">
      <c r="A113">
        <v>21</v>
      </c>
      <c r="B113">
        <v>6.6</v>
      </c>
      <c r="C113">
        <v>44</v>
      </c>
    </row>
    <row r="114" spans="1:3" x14ac:dyDescent="0.2">
      <c r="A114">
        <v>21</v>
      </c>
      <c r="B114">
        <v>8.5</v>
      </c>
      <c r="C114">
        <v>22</v>
      </c>
    </row>
    <row r="115" spans="1:3" x14ac:dyDescent="0.2">
      <c r="A115">
        <v>21</v>
      </c>
      <c r="B115">
        <v>8.3000000000000007</v>
      </c>
      <c r="C115">
        <v>16</v>
      </c>
    </row>
    <row r="116" spans="1:3" x14ac:dyDescent="0.2">
      <c r="A116">
        <v>21</v>
      </c>
      <c r="B116">
        <v>8.4</v>
      </c>
      <c r="C116">
        <v>44</v>
      </c>
    </row>
    <row r="117" spans="1:3" x14ac:dyDescent="0.2">
      <c r="A117">
        <v>21</v>
      </c>
      <c r="B117">
        <v>11.6</v>
      </c>
      <c r="C117">
        <v>34</v>
      </c>
    </row>
    <row r="118" spans="1:3" x14ac:dyDescent="0.2">
      <c r="A118">
        <v>21</v>
      </c>
      <c r="B118">
        <v>10.1</v>
      </c>
      <c r="C118">
        <v>65</v>
      </c>
    </row>
    <row r="119" spans="1:3" x14ac:dyDescent="0.2">
      <c r="A119">
        <v>21</v>
      </c>
      <c r="B119">
        <v>11.2</v>
      </c>
      <c r="C119">
        <v>45</v>
      </c>
    </row>
    <row r="120" spans="1:3" x14ac:dyDescent="0.2">
      <c r="A120">
        <v>21</v>
      </c>
      <c r="B120">
        <v>7.7</v>
      </c>
      <c r="C120">
        <v>40</v>
      </c>
    </row>
    <row r="121" spans="1:3" x14ac:dyDescent="0.2">
      <c r="A121">
        <v>21</v>
      </c>
      <c r="B121">
        <v>10.1</v>
      </c>
      <c r="C121">
        <v>26</v>
      </c>
    </row>
    <row r="122" spans="1:3" x14ac:dyDescent="0.2">
      <c r="A122">
        <v>22</v>
      </c>
      <c r="B122">
        <v>12.1</v>
      </c>
      <c r="C122">
        <v>50</v>
      </c>
    </row>
    <row r="123" spans="1:3" x14ac:dyDescent="0.2">
      <c r="A123">
        <v>22</v>
      </c>
      <c r="B123">
        <v>14.6</v>
      </c>
      <c r="C123">
        <v>30</v>
      </c>
    </row>
    <row r="124" spans="1:3" x14ac:dyDescent="0.2">
      <c r="A124">
        <v>22</v>
      </c>
      <c r="B124">
        <v>9.9</v>
      </c>
      <c r="C124">
        <v>10</v>
      </c>
    </row>
    <row r="125" spans="1:3" x14ac:dyDescent="0.2">
      <c r="A125">
        <v>22</v>
      </c>
      <c r="B125">
        <v>12.5</v>
      </c>
      <c r="C125">
        <v>50</v>
      </c>
    </row>
    <row r="126" spans="1:3" x14ac:dyDescent="0.2">
      <c r="A126">
        <v>23</v>
      </c>
      <c r="B126">
        <v>11.7</v>
      </c>
      <c r="C126">
        <v>52</v>
      </c>
    </row>
    <row r="127" spans="1:3" x14ac:dyDescent="0.2">
      <c r="A127">
        <v>23</v>
      </c>
      <c r="B127">
        <v>7.3</v>
      </c>
      <c r="C127">
        <v>72</v>
      </c>
    </row>
    <row r="128" spans="1:3" x14ac:dyDescent="0.2">
      <c r="A128">
        <v>23</v>
      </c>
      <c r="B128">
        <v>7.8</v>
      </c>
      <c r="C128">
        <v>32</v>
      </c>
    </row>
    <row r="129" spans="1:3" x14ac:dyDescent="0.2">
      <c r="A129">
        <v>23</v>
      </c>
      <c r="B129">
        <v>8.3000000000000007</v>
      </c>
      <c r="C129">
        <v>80</v>
      </c>
    </row>
    <row r="130" spans="1:3" x14ac:dyDescent="0.2">
      <c r="A130">
        <v>23</v>
      </c>
      <c r="B130">
        <v>12.4</v>
      </c>
      <c r="C130">
        <v>60</v>
      </c>
    </row>
    <row r="131" spans="1:3" x14ac:dyDescent="0.2">
      <c r="A131">
        <v>23</v>
      </c>
      <c r="B131">
        <v>7.8</v>
      </c>
      <c r="C131">
        <v>50</v>
      </c>
    </row>
    <row r="132" spans="1:3" x14ac:dyDescent="0.2">
      <c r="A132">
        <v>24</v>
      </c>
      <c r="B132">
        <v>9.5</v>
      </c>
      <c r="C132">
        <v>50</v>
      </c>
    </row>
    <row r="133" spans="1:3" x14ac:dyDescent="0.2">
      <c r="A133">
        <v>24</v>
      </c>
      <c r="B133">
        <v>4.7</v>
      </c>
      <c r="C133">
        <v>6</v>
      </c>
    </row>
    <row r="134" spans="1:3" x14ac:dyDescent="0.2">
      <c r="A134">
        <v>24</v>
      </c>
      <c r="B134">
        <v>13.4</v>
      </c>
      <c r="C134">
        <v>30</v>
      </c>
    </row>
    <row r="135" spans="1:3" x14ac:dyDescent="0.2">
      <c r="A135">
        <v>24</v>
      </c>
      <c r="B135">
        <v>13.3</v>
      </c>
      <c r="C135">
        <v>65</v>
      </c>
    </row>
    <row r="136" spans="1:3" x14ac:dyDescent="0.2">
      <c r="A136">
        <v>24</v>
      </c>
      <c r="B136">
        <v>9.1999999999999993</v>
      </c>
      <c r="C136">
        <v>50</v>
      </c>
    </row>
    <row r="137" spans="1:3" x14ac:dyDescent="0.2">
      <c r="A137">
        <v>24</v>
      </c>
      <c r="B137">
        <v>5.6</v>
      </c>
      <c r="C137">
        <v>70</v>
      </c>
    </row>
    <row r="138" spans="1:3" x14ac:dyDescent="0.2">
      <c r="A138">
        <v>24</v>
      </c>
      <c r="B138">
        <v>8.1999999999999993</v>
      </c>
      <c r="C138">
        <v>60</v>
      </c>
    </row>
    <row r="139" spans="1:3" x14ac:dyDescent="0.2">
      <c r="A139">
        <v>24</v>
      </c>
      <c r="B139">
        <v>12.4</v>
      </c>
      <c r="C139">
        <v>34</v>
      </c>
    </row>
    <row r="140" spans="1:3" x14ac:dyDescent="0.2">
      <c r="A140">
        <v>24</v>
      </c>
      <c r="B140">
        <v>9.6</v>
      </c>
      <c r="C140">
        <v>38</v>
      </c>
    </row>
    <row r="141" spans="1:3" x14ac:dyDescent="0.2">
      <c r="A141">
        <v>24</v>
      </c>
      <c r="B141">
        <v>11.7</v>
      </c>
      <c r="C141">
        <v>62</v>
      </c>
    </row>
    <row r="142" spans="1:3" x14ac:dyDescent="0.2">
      <c r="A142">
        <v>25</v>
      </c>
      <c r="B142">
        <v>10.3</v>
      </c>
      <c r="C142">
        <v>85</v>
      </c>
    </row>
    <row r="143" spans="1:3" x14ac:dyDescent="0.2">
      <c r="A143">
        <v>25</v>
      </c>
      <c r="B143">
        <v>6.3</v>
      </c>
      <c r="C143">
        <v>52</v>
      </c>
    </row>
    <row r="144" spans="1:3" x14ac:dyDescent="0.2">
      <c r="A144">
        <v>25</v>
      </c>
      <c r="B144">
        <v>9.6999999999999993</v>
      </c>
      <c r="C144">
        <v>100</v>
      </c>
    </row>
    <row r="145" spans="1:3" x14ac:dyDescent="0.2">
      <c r="A145">
        <v>25</v>
      </c>
      <c r="B145">
        <v>7.4</v>
      </c>
      <c r="C145">
        <v>16</v>
      </c>
    </row>
    <row r="146" spans="1:3" x14ac:dyDescent="0.2">
      <c r="A146">
        <v>26</v>
      </c>
      <c r="B146">
        <v>10.3</v>
      </c>
      <c r="C146">
        <v>99</v>
      </c>
    </row>
    <row r="147" spans="1:3" x14ac:dyDescent="0.2">
      <c r="A147">
        <v>26</v>
      </c>
      <c r="B147">
        <v>14.6</v>
      </c>
      <c r="C147">
        <v>36</v>
      </c>
    </row>
    <row r="148" spans="1:3" x14ac:dyDescent="0.2">
      <c r="A148">
        <v>26</v>
      </c>
      <c r="B148">
        <v>13.5</v>
      </c>
      <c r="C148">
        <v>84</v>
      </c>
    </row>
    <row r="149" spans="1:3" x14ac:dyDescent="0.2">
      <c r="A149">
        <v>26</v>
      </c>
      <c r="B149">
        <v>10.4</v>
      </c>
      <c r="C149">
        <v>40</v>
      </c>
    </row>
    <row r="150" spans="1:3" x14ac:dyDescent="0.2">
      <c r="A150">
        <v>26</v>
      </c>
      <c r="B150">
        <v>13.2</v>
      </c>
      <c r="C150">
        <v>40</v>
      </c>
    </row>
    <row r="151" spans="1:3" x14ac:dyDescent="0.2">
      <c r="A151">
        <v>26</v>
      </c>
      <c r="B151">
        <v>9.3000000000000007</v>
      </c>
      <c r="C151">
        <v>38</v>
      </c>
    </row>
    <row r="152" spans="1:3" x14ac:dyDescent="0.2">
      <c r="A152">
        <v>26</v>
      </c>
      <c r="B152">
        <v>8.1</v>
      </c>
      <c r="C152">
        <v>40</v>
      </c>
    </row>
    <row r="153" spans="1:3" x14ac:dyDescent="0.2">
      <c r="A153">
        <v>27</v>
      </c>
      <c r="B153">
        <v>12.3</v>
      </c>
      <c r="C153">
        <v>50</v>
      </c>
    </row>
    <row r="154" spans="1:3" x14ac:dyDescent="0.2">
      <c r="A154">
        <v>27</v>
      </c>
      <c r="B154">
        <v>10.1</v>
      </c>
      <c r="C154">
        <v>25</v>
      </c>
    </row>
    <row r="155" spans="1:3" x14ac:dyDescent="0.2">
      <c r="A155">
        <v>27</v>
      </c>
      <c r="B155">
        <v>10.7</v>
      </c>
      <c r="C155">
        <v>118</v>
      </c>
    </row>
    <row r="156" spans="1:3" x14ac:dyDescent="0.2">
      <c r="A156">
        <v>28</v>
      </c>
      <c r="B156">
        <v>8.8000000000000007</v>
      </c>
      <c r="C156">
        <v>36</v>
      </c>
    </row>
    <row r="157" spans="1:3" x14ac:dyDescent="0.2">
      <c r="A157">
        <v>28</v>
      </c>
      <c r="B157">
        <v>7.3</v>
      </c>
      <c r="C157">
        <v>31</v>
      </c>
    </row>
    <row r="158" spans="1:3" x14ac:dyDescent="0.2">
      <c r="A158">
        <v>29</v>
      </c>
      <c r="B158">
        <v>14.3</v>
      </c>
      <c r="C158">
        <v>14</v>
      </c>
    </row>
    <row r="159" spans="1:3" x14ac:dyDescent="0.2">
      <c r="A159">
        <v>30</v>
      </c>
      <c r="B159">
        <v>7.6</v>
      </c>
      <c r="C159">
        <v>81</v>
      </c>
    </row>
    <row r="160" spans="1:3" x14ac:dyDescent="0.2">
      <c r="A160">
        <v>30</v>
      </c>
      <c r="B160">
        <v>6.6</v>
      </c>
      <c r="C160">
        <v>38</v>
      </c>
    </row>
    <row r="161" spans="1:3" x14ac:dyDescent="0.2">
      <c r="A161">
        <v>31</v>
      </c>
      <c r="B161">
        <v>7.8</v>
      </c>
      <c r="C161">
        <v>40</v>
      </c>
    </row>
    <row r="162" spans="1:3" x14ac:dyDescent="0.2">
      <c r="A162">
        <v>31</v>
      </c>
      <c r="B162">
        <v>8.6999999999999993</v>
      </c>
      <c r="C162">
        <v>48</v>
      </c>
    </row>
    <row r="163" spans="1:3" x14ac:dyDescent="0.2">
      <c r="A163">
        <v>31</v>
      </c>
      <c r="B163">
        <v>7.5</v>
      </c>
      <c r="C163">
        <v>20</v>
      </c>
    </row>
    <row r="164" spans="1:3" x14ac:dyDescent="0.2">
      <c r="A164">
        <v>31</v>
      </c>
      <c r="B164">
        <v>7.1</v>
      </c>
      <c r="C164">
        <v>35</v>
      </c>
    </row>
    <row r="165" spans="1:3" x14ac:dyDescent="0.2">
      <c r="A165">
        <v>31</v>
      </c>
      <c r="B165">
        <v>8.1999999999999993</v>
      </c>
      <c r="C165">
        <v>31</v>
      </c>
    </row>
    <row r="166" spans="1:3" x14ac:dyDescent="0.2">
      <c r="A166">
        <v>31</v>
      </c>
      <c r="B166">
        <v>13.3</v>
      </c>
      <c r="C166">
        <v>20</v>
      </c>
    </row>
    <row r="167" spans="1:3" x14ac:dyDescent="0.2">
      <c r="A167">
        <v>31</v>
      </c>
      <c r="B167">
        <v>12.6</v>
      </c>
      <c r="C167">
        <v>32</v>
      </c>
    </row>
    <row r="168" spans="1:3" x14ac:dyDescent="0.2">
      <c r="A168">
        <v>31</v>
      </c>
      <c r="B168">
        <v>9.5</v>
      </c>
      <c r="C168">
        <v>56</v>
      </c>
    </row>
    <row r="169" spans="1:3" x14ac:dyDescent="0.2">
      <c r="A169">
        <v>31</v>
      </c>
      <c r="B169">
        <v>5.8</v>
      </c>
      <c r="C169">
        <v>12</v>
      </c>
    </row>
    <row r="170" spans="1:3" x14ac:dyDescent="0.2">
      <c r="A170">
        <v>31</v>
      </c>
      <c r="B170">
        <v>6.6</v>
      </c>
      <c r="C170">
        <v>40</v>
      </c>
    </row>
    <row r="171" spans="1:3" x14ac:dyDescent="0.2">
      <c r="A171">
        <v>31</v>
      </c>
      <c r="B171">
        <v>7.5</v>
      </c>
      <c r="C171">
        <v>52</v>
      </c>
    </row>
    <row r="172" spans="1:3" x14ac:dyDescent="0.2">
      <c r="A172">
        <v>31</v>
      </c>
      <c r="B172">
        <v>11.7</v>
      </c>
      <c r="C172">
        <v>65</v>
      </c>
    </row>
    <row r="173" spans="1:3" x14ac:dyDescent="0.2">
      <c r="A173">
        <v>31</v>
      </c>
      <c r="B173">
        <v>9.8000000000000007</v>
      </c>
      <c r="C173">
        <v>120</v>
      </c>
    </row>
    <row r="174" spans="1:3" x14ac:dyDescent="0.2">
      <c r="A174">
        <v>33</v>
      </c>
      <c r="B174">
        <v>4.5999999999999996</v>
      </c>
      <c r="C174">
        <v>50</v>
      </c>
    </row>
    <row r="175" spans="1:3" x14ac:dyDescent="0.2">
      <c r="A175">
        <v>34</v>
      </c>
      <c r="B175">
        <v>10.199999999999999</v>
      </c>
      <c r="C175">
        <v>54</v>
      </c>
    </row>
    <row r="176" spans="1:3" x14ac:dyDescent="0.2">
      <c r="A176">
        <v>35</v>
      </c>
      <c r="B176">
        <v>9</v>
      </c>
      <c r="C176">
        <v>70</v>
      </c>
    </row>
    <row r="177" spans="1:3" x14ac:dyDescent="0.2">
      <c r="A177">
        <v>35</v>
      </c>
      <c r="B177">
        <v>8.6999999999999993</v>
      </c>
      <c r="C177">
        <v>40</v>
      </c>
    </row>
    <row r="178" spans="1:3" x14ac:dyDescent="0.2">
      <c r="A178">
        <v>36</v>
      </c>
      <c r="B178">
        <v>8</v>
      </c>
      <c r="C178">
        <v>40</v>
      </c>
    </row>
    <row r="179" spans="1:3" x14ac:dyDescent="0.2">
      <c r="A179">
        <v>38</v>
      </c>
      <c r="B179">
        <v>15.8</v>
      </c>
      <c r="C179">
        <v>67</v>
      </c>
    </row>
    <row r="180" spans="1:3" x14ac:dyDescent="0.2">
      <c r="A180">
        <v>39</v>
      </c>
      <c r="B180">
        <v>12.2</v>
      </c>
      <c r="C180">
        <v>64</v>
      </c>
    </row>
    <row r="181" spans="1:3" x14ac:dyDescent="0.2">
      <c r="A181">
        <v>40</v>
      </c>
      <c r="B181">
        <v>6.1</v>
      </c>
      <c r="C181">
        <v>4</v>
      </c>
    </row>
    <row r="182" spans="1:3" x14ac:dyDescent="0.2">
      <c r="A182">
        <v>40</v>
      </c>
      <c r="B182">
        <v>11.2</v>
      </c>
      <c r="C182">
        <v>21</v>
      </c>
    </row>
    <row r="183" spans="1:3" x14ac:dyDescent="0.2">
      <c r="A183">
        <v>41</v>
      </c>
      <c r="B183">
        <v>8.6999999999999993</v>
      </c>
      <c r="C183">
        <v>35</v>
      </c>
    </row>
    <row r="184" spans="1:3" x14ac:dyDescent="0.2">
      <c r="A184">
        <v>41</v>
      </c>
      <c r="B184">
        <v>7.1</v>
      </c>
      <c r="C184">
        <v>16</v>
      </c>
    </row>
    <row r="185" spans="1:3" x14ac:dyDescent="0.2">
      <c r="A185">
        <v>41</v>
      </c>
      <c r="B185">
        <v>13.4</v>
      </c>
      <c r="C185">
        <v>70</v>
      </c>
    </row>
    <row r="186" spans="1:3" x14ac:dyDescent="0.2">
      <c r="A186">
        <v>41</v>
      </c>
      <c r="B186">
        <v>8.8000000000000007</v>
      </c>
      <c r="C186">
        <v>30</v>
      </c>
    </row>
    <row r="187" spans="1:3" x14ac:dyDescent="0.2">
      <c r="A187">
        <v>41</v>
      </c>
      <c r="B187">
        <v>5.8</v>
      </c>
      <c r="C187">
        <v>54</v>
      </c>
    </row>
    <row r="188" spans="1:3" x14ac:dyDescent="0.2">
      <c r="A188">
        <v>41</v>
      </c>
      <c r="B188">
        <v>10.5</v>
      </c>
      <c r="C188">
        <v>20</v>
      </c>
    </row>
    <row r="189" spans="1:3" x14ac:dyDescent="0.2">
      <c r="A189">
        <v>42</v>
      </c>
      <c r="B189">
        <v>8.4</v>
      </c>
      <c r="C189">
        <v>40</v>
      </c>
    </row>
    <row r="190" spans="1:3" x14ac:dyDescent="0.2">
      <c r="A190">
        <v>43</v>
      </c>
      <c r="B190">
        <v>7.3</v>
      </c>
      <c r="C190">
        <v>30</v>
      </c>
    </row>
    <row r="191" spans="1:3" x14ac:dyDescent="0.2">
      <c r="A191">
        <v>45</v>
      </c>
      <c r="B191">
        <v>9.8000000000000007</v>
      </c>
      <c r="C191">
        <v>50</v>
      </c>
    </row>
    <row r="192" spans="1:3" x14ac:dyDescent="0.2">
      <c r="A192">
        <v>45</v>
      </c>
      <c r="B192">
        <v>9.9</v>
      </c>
      <c r="C192">
        <v>54</v>
      </c>
    </row>
    <row r="193" spans="1:3" x14ac:dyDescent="0.2">
      <c r="A193">
        <v>51</v>
      </c>
      <c r="B193">
        <v>5.9</v>
      </c>
      <c r="C193">
        <v>30</v>
      </c>
    </row>
    <row r="194" spans="1:3" x14ac:dyDescent="0.2">
      <c r="A194">
        <v>51</v>
      </c>
      <c r="B194">
        <v>12.5</v>
      </c>
      <c r="C194">
        <v>70</v>
      </c>
    </row>
  </sheetData>
  <sortState xmlns:xlrd2="http://schemas.microsoft.com/office/spreadsheetml/2017/richdata2" ref="A2:C209">
    <sortCondition ref="A2:A209"/>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F50"/>
  <sheetViews>
    <sheetView zoomScale="131" zoomScaleNormal="131" workbookViewId="0">
      <selection activeCell="H29" sqref="H29"/>
    </sheetView>
  </sheetViews>
  <sheetFormatPr defaultColWidth="11.42578125" defaultRowHeight="12.75" x14ac:dyDescent="0.2"/>
  <cols>
    <col min="2" max="2" width="10.85546875" style="167"/>
    <col min="3" max="3" width="17.28515625" style="167" customWidth="1"/>
    <col min="4" max="4" width="17" style="167" customWidth="1"/>
    <col min="5" max="5" width="17.28515625" style="167" customWidth="1"/>
    <col min="6" max="6" width="12.28515625" style="167" customWidth="1"/>
    <col min="8" max="8" width="38.7109375" customWidth="1"/>
    <col min="9" max="9" width="5.5703125" customWidth="1"/>
    <col min="13" max="14" width="11.7109375" customWidth="1"/>
    <col min="15" max="15" width="13" customWidth="1"/>
    <col min="16" max="16" width="17.140625" customWidth="1"/>
    <col min="17" max="17" width="14.5703125" customWidth="1"/>
    <col min="19" max="19" width="12.140625" customWidth="1"/>
    <col min="20" max="20" width="11.85546875" customWidth="1"/>
    <col min="21" max="21" width="15.28515625" customWidth="1"/>
    <col min="22" max="22" width="15.7109375" customWidth="1"/>
    <col min="23" max="23" width="11.85546875" customWidth="1"/>
  </cols>
  <sheetData>
    <row r="1" spans="2:27" ht="21" customHeight="1" x14ac:dyDescent="0.2">
      <c r="B1" s="257" t="s">
        <v>728</v>
      </c>
      <c r="C1" s="257"/>
      <c r="D1" s="257"/>
      <c r="E1" s="257"/>
      <c r="F1" s="257"/>
      <c r="H1" s="275" t="s">
        <v>735</v>
      </c>
      <c r="I1" s="275"/>
      <c r="J1" s="275"/>
      <c r="K1" s="275"/>
      <c r="L1" s="275"/>
      <c r="M1" s="275" t="s">
        <v>745</v>
      </c>
      <c r="N1" s="275"/>
      <c r="O1" s="275"/>
      <c r="P1" s="275"/>
      <c r="Q1" s="275"/>
      <c r="T1" s="257" t="s">
        <v>796</v>
      </c>
      <c r="U1" s="257"/>
      <c r="V1" s="257"/>
      <c r="W1" s="257"/>
      <c r="X1" s="257"/>
    </row>
    <row r="2" spans="2:27" ht="20.65" customHeight="1" x14ac:dyDescent="0.2">
      <c r="B2" s="273" t="s">
        <v>727</v>
      </c>
      <c r="C2" s="272" t="s">
        <v>726</v>
      </c>
      <c r="D2" s="272"/>
      <c r="E2" s="272"/>
      <c r="F2" s="272"/>
      <c r="H2" s="184" t="s">
        <v>732</v>
      </c>
      <c r="I2" s="184" t="s">
        <v>733</v>
      </c>
      <c r="J2" s="185" t="s">
        <v>598</v>
      </c>
      <c r="K2" s="186"/>
      <c r="L2" s="186"/>
      <c r="M2" s="276" t="s">
        <v>172</v>
      </c>
      <c r="N2" s="276" t="s">
        <v>741</v>
      </c>
      <c r="O2" s="276"/>
      <c r="P2" s="276"/>
      <c r="Q2" s="276"/>
      <c r="S2" s="167"/>
      <c r="T2" s="278" t="s">
        <v>172</v>
      </c>
      <c r="U2" s="280" t="s">
        <v>727</v>
      </c>
      <c r="V2" s="280"/>
      <c r="W2" s="280"/>
      <c r="Y2" s="195" t="s">
        <v>742</v>
      </c>
      <c r="Z2" s="203">
        <f>17/208</f>
        <v>8.1730769230769232E-2</v>
      </c>
      <c r="AA2" s="186"/>
    </row>
    <row r="3" spans="2:27" ht="24.4" customHeight="1" x14ac:dyDescent="0.2">
      <c r="B3" s="274"/>
      <c r="C3" s="210" t="s">
        <v>841</v>
      </c>
      <c r="D3" s="210" t="s">
        <v>820</v>
      </c>
      <c r="E3" s="210" t="s">
        <v>821</v>
      </c>
      <c r="F3" s="210" t="s">
        <v>798</v>
      </c>
      <c r="H3" s="187" t="s">
        <v>734</v>
      </c>
      <c r="I3" s="188">
        <v>25</v>
      </c>
      <c r="J3" s="189">
        <f t="shared" ref="J3:J8" si="0">I3/$I$8</f>
        <v>0.1201923076923077</v>
      </c>
      <c r="K3" s="186"/>
      <c r="L3" s="186"/>
      <c r="M3" s="277"/>
      <c r="N3" s="185" t="s">
        <v>822</v>
      </c>
      <c r="O3" s="185" t="s">
        <v>823</v>
      </c>
      <c r="P3" s="185" t="s">
        <v>824</v>
      </c>
      <c r="Q3" s="185" t="s">
        <v>825</v>
      </c>
      <c r="S3" s="167"/>
      <c r="T3" s="279"/>
      <c r="U3" s="194" t="s">
        <v>797</v>
      </c>
      <c r="V3" s="194" t="s">
        <v>811</v>
      </c>
      <c r="W3" s="194" t="s">
        <v>798</v>
      </c>
      <c r="Y3" s="184" t="s">
        <v>743</v>
      </c>
      <c r="Z3" s="203">
        <f>52/208</f>
        <v>0.25</v>
      </c>
      <c r="AA3" s="186"/>
    </row>
    <row r="4" spans="2:27" ht="22.5" customHeight="1" x14ac:dyDescent="0.2">
      <c r="B4" s="211" t="s">
        <v>710</v>
      </c>
      <c r="C4" s="212" t="s">
        <v>712</v>
      </c>
      <c r="D4" s="212" t="s">
        <v>713</v>
      </c>
      <c r="E4" s="212" t="s">
        <v>714</v>
      </c>
      <c r="F4" s="211" t="s">
        <v>715</v>
      </c>
      <c r="H4" s="190" t="s">
        <v>232</v>
      </c>
      <c r="I4" s="191">
        <v>105</v>
      </c>
      <c r="J4" s="192">
        <f t="shared" si="0"/>
        <v>0.50480769230769229</v>
      </c>
      <c r="K4" s="186"/>
      <c r="L4" s="186"/>
      <c r="M4" s="200" t="s">
        <v>742</v>
      </c>
      <c r="N4" s="187" t="s">
        <v>746</v>
      </c>
      <c r="O4" s="187" t="s">
        <v>750</v>
      </c>
      <c r="P4" s="187" t="s">
        <v>754</v>
      </c>
      <c r="Q4" s="200" t="s">
        <v>758</v>
      </c>
      <c r="S4" s="167"/>
      <c r="T4" s="195" t="s">
        <v>742</v>
      </c>
      <c r="U4" s="196" t="s">
        <v>799</v>
      </c>
      <c r="V4" s="196" t="s">
        <v>800</v>
      </c>
      <c r="W4" s="197" t="s">
        <v>810</v>
      </c>
      <c r="Y4" s="184" t="s">
        <v>744</v>
      </c>
      <c r="Z4" s="203">
        <f>139/208</f>
        <v>0.66826923076923073</v>
      </c>
      <c r="AA4" s="186"/>
    </row>
    <row r="5" spans="2:27" ht="20.65" customHeight="1" x14ac:dyDescent="0.2">
      <c r="B5" s="210" t="s">
        <v>711</v>
      </c>
      <c r="C5" s="213" t="s">
        <v>716</v>
      </c>
      <c r="D5" s="213" t="s">
        <v>717</v>
      </c>
      <c r="E5" s="213" t="s">
        <v>718</v>
      </c>
      <c r="F5" s="210" t="s">
        <v>719</v>
      </c>
      <c r="H5" s="187" t="s">
        <v>230</v>
      </c>
      <c r="I5" s="188">
        <v>52</v>
      </c>
      <c r="J5" s="189">
        <f t="shared" si="0"/>
        <v>0.25</v>
      </c>
      <c r="K5" s="186"/>
      <c r="L5" s="186"/>
      <c r="M5" s="185" t="s">
        <v>743</v>
      </c>
      <c r="N5" s="190" t="s">
        <v>747</v>
      </c>
      <c r="O5" s="190" t="s">
        <v>751</v>
      </c>
      <c r="P5" s="190" t="s">
        <v>755</v>
      </c>
      <c r="Q5" s="185" t="s">
        <v>759</v>
      </c>
      <c r="S5" s="167"/>
      <c r="T5" s="184" t="s">
        <v>743</v>
      </c>
      <c r="U5" s="191" t="s">
        <v>804</v>
      </c>
      <c r="V5" s="191" t="s">
        <v>805</v>
      </c>
      <c r="W5" s="184" t="s">
        <v>806</v>
      </c>
      <c r="Y5" s="184" t="s">
        <v>678</v>
      </c>
      <c r="Z5" s="189">
        <f>SUM(Z2:Z4)</f>
        <v>1</v>
      </c>
      <c r="AA5" s="186"/>
    </row>
    <row r="6" spans="2:27" ht="21" customHeight="1" x14ac:dyDescent="0.2">
      <c r="B6" s="214" t="s">
        <v>678</v>
      </c>
      <c r="C6" s="214" t="s">
        <v>720</v>
      </c>
      <c r="D6" s="214" t="s">
        <v>721</v>
      </c>
      <c r="E6" s="214" t="s">
        <v>722</v>
      </c>
      <c r="F6" s="214" t="s">
        <v>723</v>
      </c>
      <c r="H6" s="190" t="s">
        <v>231</v>
      </c>
      <c r="I6" s="191">
        <v>25</v>
      </c>
      <c r="J6" s="192">
        <f t="shared" si="0"/>
        <v>0.1201923076923077</v>
      </c>
      <c r="K6" s="186"/>
      <c r="L6" s="186"/>
      <c r="M6" s="200" t="s">
        <v>744</v>
      </c>
      <c r="N6" s="187" t="s">
        <v>748</v>
      </c>
      <c r="O6" s="187" t="s">
        <v>752</v>
      </c>
      <c r="P6" s="187" t="s">
        <v>756</v>
      </c>
      <c r="Q6" s="200" t="s">
        <v>760</v>
      </c>
      <c r="S6" s="167"/>
      <c r="T6" s="184" t="s">
        <v>744</v>
      </c>
      <c r="U6" s="191" t="s">
        <v>801</v>
      </c>
      <c r="V6" s="191" t="s">
        <v>802</v>
      </c>
      <c r="W6" s="184" t="s">
        <v>803</v>
      </c>
      <c r="Y6" s="186"/>
      <c r="Z6" s="186"/>
      <c r="AA6" s="186"/>
    </row>
    <row r="7" spans="2:27" ht="19.5" customHeight="1" x14ac:dyDescent="0.2">
      <c r="H7" s="187" t="s">
        <v>221</v>
      </c>
      <c r="I7" s="188">
        <v>1</v>
      </c>
      <c r="J7" s="189">
        <f t="shared" si="0"/>
        <v>4.807692307692308E-3</v>
      </c>
      <c r="K7" s="186"/>
      <c r="L7" s="186"/>
      <c r="M7" s="185" t="s">
        <v>678</v>
      </c>
      <c r="N7" s="185" t="s">
        <v>749</v>
      </c>
      <c r="O7" s="185" t="s">
        <v>753</v>
      </c>
      <c r="P7" s="185" t="s">
        <v>757</v>
      </c>
      <c r="Q7" s="185" t="s">
        <v>723</v>
      </c>
      <c r="T7" s="184" t="s">
        <v>678</v>
      </c>
      <c r="U7" s="184" t="s">
        <v>807</v>
      </c>
      <c r="V7" s="184" t="s">
        <v>808</v>
      </c>
      <c r="W7" s="184" t="s">
        <v>809</v>
      </c>
      <c r="Y7" s="186"/>
      <c r="Z7" s="186"/>
      <c r="AA7" s="186"/>
    </row>
    <row r="8" spans="2:27" ht="19.899999999999999" customHeight="1" x14ac:dyDescent="0.2">
      <c r="H8" s="185" t="s">
        <v>678</v>
      </c>
      <c r="I8" s="184">
        <v>208</v>
      </c>
      <c r="J8" s="193">
        <f t="shared" si="0"/>
        <v>1</v>
      </c>
      <c r="K8" s="186"/>
      <c r="L8" s="186"/>
      <c r="M8" s="167"/>
      <c r="N8" s="167"/>
      <c r="O8" s="167"/>
      <c r="P8" s="167"/>
      <c r="Q8" s="167"/>
      <c r="T8" s="183" t="s">
        <v>813</v>
      </c>
      <c r="Y8" s="186"/>
      <c r="Z8" s="186"/>
      <c r="AA8" s="186"/>
    </row>
    <row r="9" spans="2:27" x14ac:dyDescent="0.2">
      <c r="M9" s="204" t="s">
        <v>763</v>
      </c>
      <c r="T9" s="182" t="s">
        <v>812</v>
      </c>
      <c r="U9" s="52"/>
      <c r="V9" s="52"/>
      <c r="W9" s="52"/>
    </row>
    <row r="10" spans="2:27" x14ac:dyDescent="0.2">
      <c r="B10" s="269" t="s">
        <v>730</v>
      </c>
      <c r="C10" s="269"/>
      <c r="D10" s="269"/>
      <c r="E10" s="269"/>
      <c r="F10" s="269"/>
      <c r="T10" s="52"/>
      <c r="U10" s="52"/>
      <c r="V10" s="52"/>
      <c r="W10" s="52"/>
    </row>
    <row r="11" spans="2:27" x14ac:dyDescent="0.2">
      <c r="B11" s="186"/>
      <c r="C11" s="186" t="s">
        <v>842</v>
      </c>
      <c r="D11" s="186" t="s">
        <v>480</v>
      </c>
      <c r="E11" s="186" t="s">
        <v>482</v>
      </c>
      <c r="F11" s="186" t="s">
        <v>472</v>
      </c>
      <c r="V11" s="52"/>
      <c r="W11" s="52"/>
    </row>
    <row r="12" spans="2:27" ht="13.15" customHeight="1" x14ac:dyDescent="0.2">
      <c r="B12" s="198" t="s">
        <v>243</v>
      </c>
      <c r="C12" s="186">
        <v>31</v>
      </c>
      <c r="D12" s="186">
        <v>22</v>
      </c>
      <c r="E12" s="186">
        <v>14</v>
      </c>
      <c r="F12" s="186">
        <v>67</v>
      </c>
      <c r="N12" s="275" t="s">
        <v>781</v>
      </c>
      <c r="O12" s="275"/>
      <c r="P12" s="275"/>
      <c r="Q12" s="275"/>
      <c r="R12" s="275"/>
      <c r="V12" s="52"/>
      <c r="W12" s="52"/>
      <c r="Y12" s="103"/>
    </row>
    <row r="13" spans="2:27" s="173" customFormat="1" ht="22.15" customHeight="1" x14ac:dyDescent="0.2">
      <c r="B13" s="186"/>
      <c r="C13" s="199">
        <f>C12/C14</f>
        <v>0.37349397590361444</v>
      </c>
      <c r="D13" s="199">
        <f>D12/D14</f>
        <v>0.29333333333333333</v>
      </c>
      <c r="E13" s="199">
        <f>E12/E14</f>
        <v>0.28000000000000003</v>
      </c>
      <c r="F13" s="199">
        <f>F12/F14</f>
        <v>0.32211538461538464</v>
      </c>
      <c r="J13" s="201" t="s">
        <v>785</v>
      </c>
      <c r="K13" s="188"/>
      <c r="L13" s="188"/>
      <c r="N13" s="284" t="s">
        <v>766</v>
      </c>
      <c r="O13" s="281" t="s">
        <v>741</v>
      </c>
      <c r="P13" s="281"/>
      <c r="Q13" s="281"/>
      <c r="R13" s="281"/>
      <c r="V13" s="52"/>
      <c r="W13" s="52"/>
      <c r="Y13" s="169"/>
    </row>
    <row r="14" spans="2:27" s="173" customFormat="1" ht="22.15" customHeight="1" x14ac:dyDescent="0.2">
      <c r="B14" s="198" t="s">
        <v>472</v>
      </c>
      <c r="C14" s="186">
        <v>83</v>
      </c>
      <c r="D14" s="186">
        <v>75</v>
      </c>
      <c r="E14" s="186">
        <v>50</v>
      </c>
      <c r="F14" s="186">
        <v>208</v>
      </c>
      <c r="J14" s="194" t="s">
        <v>817</v>
      </c>
      <c r="K14" s="188">
        <v>45</v>
      </c>
      <c r="L14" s="189">
        <f>K14/208</f>
        <v>0.21634615384615385</v>
      </c>
      <c r="M14" s="174"/>
      <c r="N14" s="285"/>
      <c r="O14" s="215" t="s">
        <v>505</v>
      </c>
      <c r="P14" s="215" t="s">
        <v>506</v>
      </c>
      <c r="Q14" s="215" t="s">
        <v>816</v>
      </c>
      <c r="R14" s="215" t="s">
        <v>678</v>
      </c>
      <c r="Y14" s="169"/>
    </row>
    <row r="15" spans="2:27" s="173" customFormat="1" ht="22.15" customHeight="1" x14ac:dyDescent="0.2">
      <c r="B15" s="167"/>
      <c r="C15" s="167"/>
      <c r="D15" s="167"/>
      <c r="E15" s="167"/>
      <c r="F15" s="167"/>
      <c r="J15" s="194" t="s">
        <v>818</v>
      </c>
      <c r="K15" s="188">
        <v>80</v>
      </c>
      <c r="L15" s="189">
        <f>K15/208</f>
        <v>0.38461538461538464</v>
      </c>
      <c r="M15" s="175"/>
      <c r="N15" s="216" t="s">
        <v>842</v>
      </c>
      <c r="O15" s="217" t="s">
        <v>767</v>
      </c>
      <c r="P15" s="217" t="s">
        <v>770</v>
      </c>
      <c r="Q15" s="217" t="s">
        <v>773</v>
      </c>
      <c r="R15" s="216" t="s">
        <v>720</v>
      </c>
      <c r="Y15" s="169"/>
    </row>
    <row r="16" spans="2:27" s="173" customFormat="1" ht="22.15" customHeight="1" x14ac:dyDescent="0.2">
      <c r="B16" s="167"/>
      <c r="C16" s="167"/>
      <c r="D16" s="167"/>
      <c r="E16" s="167"/>
      <c r="F16" s="167"/>
      <c r="J16" s="194" t="s">
        <v>819</v>
      </c>
      <c r="K16" s="188">
        <v>83</v>
      </c>
      <c r="L16" s="189">
        <f>K16/208</f>
        <v>0.39903846153846156</v>
      </c>
      <c r="M16" s="175"/>
      <c r="N16" s="215" t="s">
        <v>480</v>
      </c>
      <c r="O16" s="218" t="s">
        <v>768</v>
      </c>
      <c r="P16" s="218" t="s">
        <v>771</v>
      </c>
      <c r="Q16" s="218" t="s">
        <v>774</v>
      </c>
      <c r="R16" s="215" t="s">
        <v>721</v>
      </c>
      <c r="Y16" s="169"/>
    </row>
    <row r="17" spans="2:20" s="173" customFormat="1" ht="22.15" customHeight="1" x14ac:dyDescent="0.2">
      <c r="B17" s="167"/>
      <c r="C17" s="167"/>
      <c r="D17" s="167"/>
      <c r="E17" s="167"/>
      <c r="F17" s="167"/>
      <c r="J17" s="188"/>
      <c r="K17" s="188">
        <f>SUM(K14:K16)</f>
        <v>208</v>
      </c>
      <c r="L17" s="189">
        <f>K17/208</f>
        <v>1</v>
      </c>
      <c r="M17" s="175"/>
      <c r="N17" s="219" t="s">
        <v>482</v>
      </c>
      <c r="O17" s="220" t="s">
        <v>769</v>
      </c>
      <c r="P17" s="220" t="s">
        <v>772</v>
      </c>
      <c r="Q17" s="220" t="s">
        <v>775</v>
      </c>
      <c r="R17" s="219" t="s">
        <v>722</v>
      </c>
    </row>
    <row r="18" spans="2:20" s="173" customFormat="1" ht="22.15" customHeight="1" x14ac:dyDescent="0.2">
      <c r="B18" s="167"/>
      <c r="C18" s="167"/>
      <c r="D18" s="167"/>
      <c r="E18" s="167"/>
      <c r="F18" s="167"/>
      <c r="M18" s="175"/>
      <c r="N18" s="216" t="s">
        <v>678</v>
      </c>
      <c r="O18" s="216" t="s">
        <v>749</v>
      </c>
      <c r="P18" s="216" t="s">
        <v>753</v>
      </c>
      <c r="Q18" s="216" t="s">
        <v>757</v>
      </c>
      <c r="R18" s="216" t="s">
        <v>723</v>
      </c>
    </row>
    <row r="19" spans="2:20" x14ac:dyDescent="0.2">
      <c r="N19" s="103"/>
    </row>
    <row r="20" spans="2:20" x14ac:dyDescent="0.2">
      <c r="O20" s="172">
        <v>0.21634615384615385</v>
      </c>
      <c r="P20" s="172">
        <v>0.38461538461538464</v>
      </c>
      <c r="Q20" s="172">
        <v>0.39903846153846156</v>
      </c>
      <c r="R20" s="172">
        <v>1</v>
      </c>
    </row>
    <row r="21" spans="2:20" x14ac:dyDescent="0.2">
      <c r="M21" s="202" t="s">
        <v>776</v>
      </c>
      <c r="N21" s="186"/>
      <c r="O21" s="186"/>
      <c r="P21" s="186"/>
      <c r="Q21" s="186"/>
      <c r="R21" s="186"/>
    </row>
    <row r="22" spans="2:20" x14ac:dyDescent="0.2">
      <c r="M22" s="186" t="s">
        <v>765</v>
      </c>
      <c r="N22" s="186"/>
      <c r="O22" s="186"/>
      <c r="P22" s="186"/>
      <c r="Q22" s="186"/>
      <c r="R22" s="186"/>
    </row>
    <row r="23" spans="2:20" x14ac:dyDescent="0.2">
      <c r="M23" s="186"/>
      <c r="N23" s="186" t="s">
        <v>596</v>
      </c>
      <c r="O23" s="186" t="s">
        <v>505</v>
      </c>
      <c r="P23" s="186" t="s">
        <v>506</v>
      </c>
      <c r="Q23" s="186" t="s">
        <v>590</v>
      </c>
      <c r="R23" s="186"/>
    </row>
    <row r="24" spans="2:20" x14ac:dyDescent="0.2">
      <c r="M24" s="186"/>
      <c r="N24" s="186" t="s">
        <v>479</v>
      </c>
      <c r="O24" s="203">
        <v>0.35555555555555557</v>
      </c>
      <c r="P24" s="203">
        <v>0.36249999999999999</v>
      </c>
      <c r="Q24" s="203">
        <v>0.45783132530120479</v>
      </c>
      <c r="R24" s="203">
        <v>0.39903846153846201</v>
      </c>
    </row>
    <row r="25" spans="2:20" x14ac:dyDescent="0.2">
      <c r="M25" s="186"/>
      <c r="N25" s="186" t="s">
        <v>480</v>
      </c>
      <c r="O25" s="203">
        <v>0.4</v>
      </c>
      <c r="P25" s="203">
        <v>0.33750000000000002</v>
      </c>
      <c r="Q25" s="203">
        <v>0.36144578313253012</v>
      </c>
      <c r="R25" s="203">
        <v>0.36057692307692307</v>
      </c>
    </row>
    <row r="26" spans="2:20" x14ac:dyDescent="0.2">
      <c r="L26">
        <f>39.9+38.5</f>
        <v>78.400000000000006</v>
      </c>
      <c r="M26" s="186"/>
      <c r="N26" s="186" t="s">
        <v>482</v>
      </c>
      <c r="O26" s="203">
        <v>0.24444444444444444</v>
      </c>
      <c r="P26" s="203">
        <v>0.3</v>
      </c>
      <c r="Q26" s="203">
        <v>0.18072289156626506</v>
      </c>
      <c r="R26" s="203">
        <v>0.24038461538461539</v>
      </c>
    </row>
    <row r="27" spans="2:20" x14ac:dyDescent="0.2">
      <c r="M27" s="186"/>
      <c r="N27" s="186"/>
      <c r="O27" s="203">
        <v>1</v>
      </c>
      <c r="P27" s="203">
        <v>1</v>
      </c>
      <c r="Q27" s="203">
        <v>1</v>
      </c>
      <c r="R27" s="203">
        <v>1</v>
      </c>
    </row>
    <row r="28" spans="2:20" x14ac:dyDescent="0.2">
      <c r="M28" s="186"/>
      <c r="N28" s="186"/>
      <c r="O28" s="186"/>
      <c r="P28" s="186"/>
      <c r="Q28" s="186"/>
      <c r="R28" s="186"/>
    </row>
    <row r="29" spans="2:20" x14ac:dyDescent="0.2">
      <c r="K29" s="243" t="s">
        <v>654</v>
      </c>
      <c r="L29" s="246"/>
      <c r="M29" s="246"/>
      <c r="N29" s="246"/>
      <c r="O29" s="246"/>
      <c r="P29" s="246"/>
      <c r="Q29" s="246"/>
    </row>
    <row r="30" spans="2:20" x14ac:dyDescent="0.2">
      <c r="K30" s="186" t="s">
        <v>489</v>
      </c>
      <c r="L30" s="186" t="s">
        <v>505</v>
      </c>
      <c r="M30" s="186" t="s">
        <v>506</v>
      </c>
      <c r="N30" s="186" t="s">
        <v>590</v>
      </c>
      <c r="O30" s="186" t="s">
        <v>472</v>
      </c>
    </row>
    <row r="31" spans="2:20" x14ac:dyDescent="0.2">
      <c r="K31" s="198" t="s">
        <v>826</v>
      </c>
      <c r="L31" s="186">
        <v>31</v>
      </c>
      <c r="M31" s="186">
        <v>59</v>
      </c>
      <c r="N31" s="186">
        <v>61</v>
      </c>
      <c r="O31" s="186">
        <v>151</v>
      </c>
      <c r="P31" s="151">
        <f>O31/208</f>
        <v>0.72596153846153844</v>
      </c>
      <c r="Q31" s="267" t="s">
        <v>655</v>
      </c>
      <c r="R31" s="267"/>
    </row>
    <row r="32" spans="2:20" ht="76.5" x14ac:dyDescent="0.2">
      <c r="K32" s="198" t="s">
        <v>182</v>
      </c>
      <c r="L32" s="186">
        <v>14</v>
      </c>
      <c r="M32" s="186">
        <v>21</v>
      </c>
      <c r="N32" s="186">
        <v>22</v>
      </c>
      <c r="O32" s="186">
        <v>57</v>
      </c>
      <c r="P32" s="151">
        <f>O32/208</f>
        <v>0.27403846153846156</v>
      </c>
      <c r="Q32" s="267"/>
      <c r="R32" s="267"/>
      <c r="T32" s="157" t="s">
        <v>836</v>
      </c>
    </row>
    <row r="33" spans="11:32" x14ac:dyDescent="0.2">
      <c r="K33" s="198" t="s">
        <v>472</v>
      </c>
      <c r="L33" s="186">
        <v>45</v>
      </c>
      <c r="M33" s="186">
        <v>80</v>
      </c>
      <c r="N33" s="186">
        <v>83</v>
      </c>
      <c r="O33" s="186">
        <v>208</v>
      </c>
      <c r="P33" s="151">
        <f>O33/208</f>
        <v>1</v>
      </c>
      <c r="Q33" s="267"/>
      <c r="R33" s="267"/>
    </row>
    <row r="34" spans="11:32" ht="23.65" customHeight="1" x14ac:dyDescent="0.2">
      <c r="K34" s="186"/>
      <c r="L34" s="186"/>
      <c r="M34" s="186"/>
      <c r="N34" s="186"/>
      <c r="O34" s="186"/>
      <c r="S34" s="282" t="s">
        <v>835</v>
      </c>
      <c r="T34" s="276" t="s">
        <v>741</v>
      </c>
      <c r="U34" s="276"/>
      <c r="V34" s="276"/>
      <c r="W34" s="276"/>
      <c r="Z34" s="249" t="s">
        <v>837</v>
      </c>
      <c r="AA34" s="249"/>
      <c r="AB34" s="249"/>
      <c r="AC34" s="249"/>
      <c r="AD34" s="249"/>
      <c r="AE34" s="249"/>
      <c r="AF34" s="249"/>
    </row>
    <row r="35" spans="11:32" ht="27" customHeight="1" x14ac:dyDescent="0.2">
      <c r="S35" s="283"/>
      <c r="T35" s="185" t="s">
        <v>822</v>
      </c>
      <c r="U35" s="185" t="s">
        <v>823</v>
      </c>
      <c r="V35" s="185" t="s">
        <v>824</v>
      </c>
      <c r="W35" s="185" t="s">
        <v>825</v>
      </c>
      <c r="Y35" s="3" t="s">
        <v>596</v>
      </c>
      <c r="Z35" s="102" t="s">
        <v>182</v>
      </c>
      <c r="AA35" s="102"/>
      <c r="AB35" s="102" t="s">
        <v>245</v>
      </c>
      <c r="AC35" s="102" t="s">
        <v>250</v>
      </c>
      <c r="AD35" s="102" t="s">
        <v>244</v>
      </c>
      <c r="AE35" s="102" t="s">
        <v>252</v>
      </c>
      <c r="AF35" t="s">
        <v>472</v>
      </c>
    </row>
    <row r="36" spans="11:32" ht="22.9" customHeight="1" x14ac:dyDescent="0.2">
      <c r="S36" s="205" t="s">
        <v>826</v>
      </c>
      <c r="T36" s="206" t="s">
        <v>828</v>
      </c>
      <c r="U36" s="206" t="s">
        <v>829</v>
      </c>
      <c r="V36" s="206" t="s">
        <v>830</v>
      </c>
      <c r="W36" s="205" t="s">
        <v>831</v>
      </c>
      <c r="Y36" s="102" t="s">
        <v>505</v>
      </c>
      <c r="Z36">
        <v>14</v>
      </c>
      <c r="AB36">
        <v>8</v>
      </c>
      <c r="AC36">
        <v>5</v>
      </c>
      <c r="AD36">
        <v>17</v>
      </c>
      <c r="AE36">
        <v>1</v>
      </c>
      <c r="AF36">
        <v>45</v>
      </c>
    </row>
    <row r="37" spans="11:32" ht="22.9" customHeight="1" x14ac:dyDescent="0.2">
      <c r="S37" s="184" t="s">
        <v>182</v>
      </c>
      <c r="T37" s="191" t="s">
        <v>832</v>
      </c>
      <c r="U37" s="191" t="s">
        <v>751</v>
      </c>
      <c r="V37" s="191" t="s">
        <v>833</v>
      </c>
      <c r="W37" s="184" t="s">
        <v>834</v>
      </c>
      <c r="Y37" s="102" t="s">
        <v>506</v>
      </c>
      <c r="Z37">
        <v>21</v>
      </c>
      <c r="AB37">
        <v>18</v>
      </c>
      <c r="AC37">
        <v>5</v>
      </c>
      <c r="AD37">
        <v>30</v>
      </c>
      <c r="AE37">
        <v>6</v>
      </c>
      <c r="AF37">
        <v>80</v>
      </c>
    </row>
    <row r="38" spans="11:32" ht="22.9" customHeight="1" x14ac:dyDescent="0.2">
      <c r="S38" s="184" t="s">
        <v>678</v>
      </c>
      <c r="T38" s="184" t="s">
        <v>749</v>
      </c>
      <c r="U38" s="184" t="s">
        <v>753</v>
      </c>
      <c r="V38" s="184" t="s">
        <v>757</v>
      </c>
      <c r="W38" s="184" t="s">
        <v>723</v>
      </c>
      <c r="Y38" s="102" t="s">
        <v>590</v>
      </c>
      <c r="Z38">
        <v>23</v>
      </c>
      <c r="AB38">
        <v>18</v>
      </c>
      <c r="AC38">
        <v>6</v>
      </c>
      <c r="AD38">
        <v>34</v>
      </c>
      <c r="AE38">
        <v>3</v>
      </c>
      <c r="AF38">
        <v>83</v>
      </c>
    </row>
    <row r="39" spans="11:32" x14ac:dyDescent="0.2">
      <c r="S39" s="186"/>
      <c r="T39" s="186"/>
      <c r="U39" s="186"/>
      <c r="V39" s="186"/>
      <c r="W39" s="186"/>
      <c r="Y39" s="102" t="s">
        <v>472</v>
      </c>
      <c r="Z39">
        <v>57</v>
      </c>
      <c r="AB39">
        <v>44</v>
      </c>
      <c r="AC39">
        <v>16</v>
      </c>
      <c r="AD39">
        <v>82</v>
      </c>
      <c r="AE39">
        <v>9</v>
      </c>
      <c r="AF39">
        <v>208</v>
      </c>
    </row>
    <row r="40" spans="11:32" x14ac:dyDescent="0.2">
      <c r="S40" s="186"/>
      <c r="T40" s="186"/>
      <c r="U40" s="186"/>
      <c r="V40" s="186"/>
      <c r="W40" s="186"/>
    </row>
    <row r="42" spans="11:32" x14ac:dyDescent="0.2">
      <c r="Z42" s="270" t="s">
        <v>835</v>
      </c>
      <c r="AA42" s="270" t="s">
        <v>741</v>
      </c>
      <c r="AB42" s="270"/>
      <c r="AC42" s="270"/>
      <c r="AD42" s="270"/>
    </row>
    <row r="43" spans="11:32" x14ac:dyDescent="0.2">
      <c r="Z43" s="271"/>
      <c r="AA43" s="207" t="s">
        <v>505</v>
      </c>
      <c r="AB43" s="207" t="s">
        <v>506</v>
      </c>
      <c r="AC43" s="207" t="s">
        <v>590</v>
      </c>
      <c r="AD43" s="209" t="s">
        <v>678</v>
      </c>
    </row>
    <row r="44" spans="11:32" x14ac:dyDescent="0.2">
      <c r="S44" s="186" t="s">
        <v>489</v>
      </c>
      <c r="T44" s="186" t="s">
        <v>505</v>
      </c>
      <c r="U44" s="186" t="s">
        <v>506</v>
      </c>
      <c r="V44" s="186" t="s">
        <v>590</v>
      </c>
      <c r="W44" s="186" t="s">
        <v>472</v>
      </c>
      <c r="Z44" s="207" t="s">
        <v>182</v>
      </c>
      <c r="AA44" s="208">
        <v>14</v>
      </c>
      <c r="AB44" s="208">
        <v>21</v>
      </c>
      <c r="AC44" s="208">
        <v>23</v>
      </c>
      <c r="AD44" s="209">
        <v>57</v>
      </c>
    </row>
    <row r="45" spans="11:32" x14ac:dyDescent="0.2">
      <c r="S45" s="198" t="s">
        <v>826</v>
      </c>
      <c r="T45" s="203">
        <v>0.68888888888888888</v>
      </c>
      <c r="U45" s="203">
        <v>0.73750000000000004</v>
      </c>
      <c r="V45" s="203">
        <v>0.73493975903614461</v>
      </c>
      <c r="W45" s="203">
        <v>0.72596153846153844</v>
      </c>
      <c r="Z45" s="207" t="s">
        <v>838</v>
      </c>
      <c r="AA45" s="208">
        <v>8</v>
      </c>
      <c r="AB45" s="208">
        <v>18</v>
      </c>
      <c r="AC45" s="208">
        <v>18</v>
      </c>
      <c r="AD45" s="209">
        <v>44</v>
      </c>
    </row>
    <row r="46" spans="11:32" x14ac:dyDescent="0.2">
      <c r="S46" s="198" t="s">
        <v>182</v>
      </c>
      <c r="T46" s="203">
        <v>0.31111111111111112</v>
      </c>
      <c r="U46" s="203">
        <v>0.26250000000000001</v>
      </c>
      <c r="V46" s="203">
        <v>0.26506024096385544</v>
      </c>
      <c r="W46" s="203">
        <v>0.27403846153846156</v>
      </c>
      <c r="Z46" s="207" t="s">
        <v>839</v>
      </c>
      <c r="AA46" s="208">
        <v>5</v>
      </c>
      <c r="AB46" s="208">
        <v>5</v>
      </c>
      <c r="AC46" s="208">
        <v>6</v>
      </c>
      <c r="AD46" s="209">
        <v>16</v>
      </c>
    </row>
    <row r="47" spans="11:32" x14ac:dyDescent="0.2">
      <c r="S47" s="198" t="s">
        <v>472</v>
      </c>
      <c r="T47" s="203">
        <v>1</v>
      </c>
      <c r="U47" s="203">
        <v>1</v>
      </c>
      <c r="V47" s="203">
        <v>1</v>
      </c>
      <c r="W47" s="203">
        <v>1</v>
      </c>
      <c r="Z47" s="207" t="s">
        <v>840</v>
      </c>
      <c r="AA47" s="208">
        <v>17</v>
      </c>
      <c r="AB47" s="208">
        <v>30</v>
      </c>
      <c r="AC47" s="208">
        <v>34</v>
      </c>
      <c r="AD47" s="209">
        <v>82</v>
      </c>
    </row>
    <row r="48" spans="11:32" x14ac:dyDescent="0.2">
      <c r="S48" s="186"/>
      <c r="T48" s="186"/>
      <c r="U48" s="186"/>
      <c r="V48" s="186"/>
      <c r="W48" s="186"/>
      <c r="Z48" s="207" t="s">
        <v>252</v>
      </c>
      <c r="AA48" s="208">
        <v>1</v>
      </c>
      <c r="AB48" s="208">
        <v>6</v>
      </c>
      <c r="AC48" s="208">
        <v>3</v>
      </c>
      <c r="AD48" s="209">
        <v>9</v>
      </c>
    </row>
    <row r="49" spans="19:30" x14ac:dyDescent="0.2">
      <c r="T49" s="186"/>
      <c r="U49" s="186"/>
      <c r="V49" s="186"/>
      <c r="W49" s="186"/>
      <c r="Z49" s="209" t="s">
        <v>678</v>
      </c>
      <c r="AA49" s="209">
        <v>45</v>
      </c>
      <c r="AB49" s="209">
        <v>80</v>
      </c>
      <c r="AC49" s="209">
        <v>83</v>
      </c>
      <c r="AD49" s="209">
        <v>208</v>
      </c>
    </row>
    <row r="50" spans="19:30" x14ac:dyDescent="0.2">
      <c r="S50" s="198" t="s">
        <v>827</v>
      </c>
    </row>
  </sheetData>
  <mergeCells count="21">
    <mergeCell ref="K29:Q29"/>
    <mergeCell ref="Q31:R33"/>
    <mergeCell ref="T34:W34"/>
    <mergeCell ref="S34:S35"/>
    <mergeCell ref="N13:N14"/>
    <mergeCell ref="B10:F10"/>
    <mergeCell ref="Z34:AF34"/>
    <mergeCell ref="AA42:AD42"/>
    <mergeCell ref="Z42:Z43"/>
    <mergeCell ref="B1:F1"/>
    <mergeCell ref="C2:F2"/>
    <mergeCell ref="B2:B3"/>
    <mergeCell ref="H1:L1"/>
    <mergeCell ref="M1:Q1"/>
    <mergeCell ref="N2:Q2"/>
    <mergeCell ref="M2:M3"/>
    <mergeCell ref="N12:R12"/>
    <mergeCell ref="T1:X1"/>
    <mergeCell ref="T2:T3"/>
    <mergeCell ref="U2:W2"/>
    <mergeCell ref="O13:R1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Z60"/>
  <sheetViews>
    <sheetView workbookViewId="0">
      <selection activeCell="D19" sqref="D19"/>
    </sheetView>
  </sheetViews>
  <sheetFormatPr defaultColWidth="10.7109375" defaultRowHeight="12.75" x14ac:dyDescent="0.2"/>
  <cols>
    <col min="1" max="1" width="16" customWidth="1"/>
    <col min="10" max="12" width="13.28515625" customWidth="1"/>
    <col min="13" max="14" width="13.28515625" style="59" customWidth="1"/>
    <col min="15" max="15" width="13.28515625" customWidth="1"/>
  </cols>
  <sheetData>
    <row r="2" spans="1:26" x14ac:dyDescent="0.2">
      <c r="A2" t="s">
        <v>489</v>
      </c>
      <c r="B2" s="77" t="s">
        <v>490</v>
      </c>
      <c r="C2" s="77"/>
    </row>
    <row r="3" spans="1:26" x14ac:dyDescent="0.2">
      <c r="A3" s="47" t="s">
        <v>164</v>
      </c>
      <c r="B3">
        <v>98</v>
      </c>
    </row>
    <row r="4" spans="1:26" x14ac:dyDescent="0.2">
      <c r="A4" s="47" t="s">
        <v>163</v>
      </c>
      <c r="B4">
        <v>110</v>
      </c>
    </row>
    <row r="5" spans="1:26" x14ac:dyDescent="0.2">
      <c r="A5" s="47" t="s">
        <v>472</v>
      </c>
      <c r="B5">
        <v>208</v>
      </c>
      <c r="J5" t="s">
        <v>549</v>
      </c>
    </row>
    <row r="7" spans="1:26" x14ac:dyDescent="0.2">
      <c r="A7" s="80" t="s">
        <v>500</v>
      </c>
      <c r="B7" s="80"/>
      <c r="C7" s="80"/>
      <c r="D7" s="80"/>
      <c r="E7" s="81"/>
      <c r="F7" s="81"/>
    </row>
    <row r="8" spans="1:26" x14ac:dyDescent="0.2">
      <c r="A8" s="68" t="s">
        <v>489</v>
      </c>
      <c r="B8" s="68" t="s">
        <v>164</v>
      </c>
      <c r="C8" s="68"/>
      <c r="D8" s="68" t="s">
        <v>163</v>
      </c>
      <c r="E8" s="68"/>
      <c r="F8" s="68" t="s">
        <v>472</v>
      </c>
      <c r="J8" t="s">
        <v>522</v>
      </c>
      <c r="K8" t="s">
        <v>523</v>
      </c>
      <c r="L8" t="s">
        <v>525</v>
      </c>
      <c r="M8" t="s">
        <v>527</v>
      </c>
      <c r="N8" t="s">
        <v>531</v>
      </c>
      <c r="O8" s="59"/>
      <c r="P8" s="59"/>
    </row>
    <row r="9" spans="1:26" x14ac:dyDescent="0.2">
      <c r="A9" s="57" t="s">
        <v>516</v>
      </c>
      <c r="B9" s="57">
        <v>32</v>
      </c>
      <c r="C9" s="57"/>
      <c r="D9" s="57">
        <v>35</v>
      </c>
      <c r="E9" s="57"/>
      <c r="F9" s="57">
        <v>67</v>
      </c>
      <c r="I9" t="s">
        <v>519</v>
      </c>
      <c r="J9" t="s">
        <v>521</v>
      </c>
      <c r="K9" t="s">
        <v>524</v>
      </c>
      <c r="L9" t="s">
        <v>526</v>
      </c>
      <c r="M9" t="s">
        <v>528</v>
      </c>
      <c r="N9" t="s">
        <v>532</v>
      </c>
      <c r="O9" s="59"/>
      <c r="P9" s="59"/>
    </row>
    <row r="10" spans="1:26" x14ac:dyDescent="0.2">
      <c r="A10" s="57" t="s">
        <v>517</v>
      </c>
      <c r="B10" s="57">
        <v>56</v>
      </c>
      <c r="C10" s="57"/>
      <c r="D10" s="57">
        <v>64</v>
      </c>
      <c r="E10" s="57"/>
      <c r="F10" s="57">
        <v>120</v>
      </c>
      <c r="I10" t="s">
        <v>529</v>
      </c>
      <c r="J10" t="s">
        <v>546</v>
      </c>
      <c r="K10" t="s">
        <v>533</v>
      </c>
      <c r="L10" t="s">
        <v>534</v>
      </c>
      <c r="M10" t="s">
        <v>545</v>
      </c>
      <c r="N10" t="s">
        <v>547</v>
      </c>
      <c r="O10" s="59"/>
      <c r="P10" s="59"/>
      <c r="T10" t="s">
        <v>522</v>
      </c>
      <c r="U10" t="s">
        <v>523</v>
      </c>
      <c r="V10" t="s">
        <v>525</v>
      </c>
      <c r="W10" t="s">
        <v>527</v>
      </c>
      <c r="X10" t="s">
        <v>531</v>
      </c>
      <c r="Y10" s="59"/>
      <c r="Z10" s="59"/>
    </row>
    <row r="11" spans="1:26" x14ac:dyDescent="0.2">
      <c r="A11" s="57" t="s">
        <v>518</v>
      </c>
      <c r="B11" s="57">
        <v>9</v>
      </c>
      <c r="C11" s="57"/>
      <c r="D11" s="57">
        <v>11</v>
      </c>
      <c r="E11" s="57"/>
      <c r="F11" s="57">
        <v>20</v>
      </c>
      <c r="I11" t="s">
        <v>530</v>
      </c>
      <c r="J11">
        <v>66</v>
      </c>
      <c r="K11" t="s">
        <v>520</v>
      </c>
      <c r="M11" t="s">
        <v>543</v>
      </c>
      <c r="N11" t="s">
        <v>544</v>
      </c>
      <c r="O11" s="59" t="s">
        <v>548</v>
      </c>
      <c r="P11" s="59"/>
      <c r="S11" t="s">
        <v>519</v>
      </c>
      <c r="T11" t="s">
        <v>521</v>
      </c>
      <c r="U11" t="s">
        <v>524</v>
      </c>
      <c r="V11" t="s">
        <v>526</v>
      </c>
      <c r="W11" t="s">
        <v>528</v>
      </c>
      <c r="X11" t="s">
        <v>532</v>
      </c>
      <c r="Y11" s="59"/>
      <c r="Z11" s="59"/>
    </row>
    <row r="12" spans="1:26" x14ac:dyDescent="0.2">
      <c r="A12" s="57" t="s">
        <v>473</v>
      </c>
      <c r="B12" s="57"/>
      <c r="C12" s="57"/>
      <c r="D12" s="57"/>
      <c r="E12" s="57"/>
      <c r="F12" s="57"/>
      <c r="I12" t="s">
        <v>535</v>
      </c>
      <c r="J12" t="s">
        <v>541</v>
      </c>
      <c r="K12" t="s">
        <v>536</v>
      </c>
      <c r="L12" t="s">
        <v>540</v>
      </c>
      <c r="M12" s="58" t="s">
        <v>542</v>
      </c>
      <c r="N12" s="58"/>
      <c r="O12" s="59"/>
      <c r="P12" s="59"/>
      <c r="S12" t="s">
        <v>529</v>
      </c>
      <c r="T12" t="s">
        <v>546</v>
      </c>
      <c r="U12" t="s">
        <v>533</v>
      </c>
      <c r="V12" t="s">
        <v>534</v>
      </c>
      <c r="W12" t="s">
        <v>545</v>
      </c>
      <c r="X12" t="s">
        <v>547</v>
      </c>
      <c r="Y12" s="59"/>
      <c r="Z12" s="59"/>
    </row>
    <row r="13" spans="1:26" x14ac:dyDescent="0.2">
      <c r="A13" s="69" t="s">
        <v>472</v>
      </c>
      <c r="B13" s="69">
        <v>97</v>
      </c>
      <c r="C13" s="69"/>
      <c r="D13" s="69">
        <v>110</v>
      </c>
      <c r="E13" s="69"/>
      <c r="F13" s="69">
        <v>207</v>
      </c>
      <c r="I13" t="s">
        <v>537</v>
      </c>
      <c r="J13" t="s">
        <v>538</v>
      </c>
      <c r="K13" t="s">
        <v>539</v>
      </c>
      <c r="M13"/>
      <c r="N13"/>
      <c r="O13" s="59"/>
      <c r="P13" s="59"/>
      <c r="S13" t="s">
        <v>530</v>
      </c>
      <c r="T13">
        <v>66</v>
      </c>
      <c r="U13" t="s">
        <v>520</v>
      </c>
      <c r="W13" t="s">
        <v>543</v>
      </c>
      <c r="X13" t="s">
        <v>544</v>
      </c>
      <c r="Y13" s="59" t="s">
        <v>548</v>
      </c>
      <c r="Z13" s="59"/>
    </row>
    <row r="14" spans="1:26" x14ac:dyDescent="0.2">
      <c r="S14" t="s">
        <v>535</v>
      </c>
      <c r="T14" t="s">
        <v>541</v>
      </c>
      <c r="U14" t="s">
        <v>536</v>
      </c>
      <c r="V14" t="s">
        <v>540</v>
      </c>
      <c r="W14" s="58" t="s">
        <v>542</v>
      </c>
      <c r="X14" s="58"/>
      <c r="Y14" s="59"/>
      <c r="Z14" s="59"/>
    </row>
    <row r="15" spans="1:26" x14ac:dyDescent="0.2">
      <c r="A15" s="82" t="s">
        <v>550</v>
      </c>
      <c r="B15" s="77"/>
      <c r="C15" s="77"/>
      <c r="D15" s="77"/>
      <c r="E15" s="77"/>
      <c r="F15" s="77"/>
      <c r="J15" s="61" t="s">
        <v>489</v>
      </c>
      <c r="K15" s="61" t="s">
        <v>164</v>
      </c>
      <c r="L15" s="61"/>
      <c r="M15" s="61" t="s">
        <v>163</v>
      </c>
      <c r="N15" s="61"/>
      <c r="O15" s="61" t="s">
        <v>472</v>
      </c>
      <c r="P15" s="61"/>
      <c r="S15" t="s">
        <v>537</v>
      </c>
      <c r="T15" t="s">
        <v>538</v>
      </c>
      <c r="U15" t="s">
        <v>539</v>
      </c>
      <c r="Y15" s="59"/>
      <c r="Z15" s="59"/>
    </row>
    <row r="16" spans="1:26" x14ac:dyDescent="0.2">
      <c r="A16" s="3" t="s">
        <v>497</v>
      </c>
      <c r="B16" s="249" t="s">
        <v>164</v>
      </c>
      <c r="C16" s="249"/>
      <c r="D16" s="249" t="s">
        <v>163</v>
      </c>
      <c r="E16" s="249"/>
      <c r="F16" s="249" t="s">
        <v>472</v>
      </c>
      <c r="G16" s="249"/>
      <c r="J16" s="47" t="s">
        <v>505</v>
      </c>
      <c r="K16">
        <v>16</v>
      </c>
      <c r="L16" s="60">
        <f>+K16/K20</f>
        <v>0.16494845360824742</v>
      </c>
      <c r="M16">
        <v>29</v>
      </c>
      <c r="N16" s="60">
        <f>+M16/M20</f>
        <v>0.26363636363636361</v>
      </c>
      <c r="O16">
        <v>45</v>
      </c>
      <c r="P16" s="60">
        <f>+O16/O20</f>
        <v>0.21739130434782608</v>
      </c>
      <c r="X16" s="59"/>
      <c r="Y16" s="59"/>
    </row>
    <row r="17" spans="1:16" x14ac:dyDescent="0.2">
      <c r="A17" s="51" t="s">
        <v>498</v>
      </c>
      <c r="B17">
        <v>16</v>
      </c>
      <c r="C17" s="52">
        <f>B17/98</f>
        <v>0.16326530612244897</v>
      </c>
      <c r="D17">
        <v>29</v>
      </c>
      <c r="E17" s="52">
        <f>D17/110</f>
        <v>0.26363636363636361</v>
      </c>
      <c r="F17">
        <v>45</v>
      </c>
      <c r="G17" s="52">
        <f>F17/208</f>
        <v>0.21634615384615385</v>
      </c>
      <c r="J17" s="47" t="s">
        <v>507</v>
      </c>
      <c r="K17">
        <v>39</v>
      </c>
      <c r="L17" s="60">
        <f>+K17/K20</f>
        <v>0.40206185567010311</v>
      </c>
      <c r="M17">
        <v>43</v>
      </c>
      <c r="N17" s="60">
        <f>+M17/M20</f>
        <v>0.39090909090909093</v>
      </c>
      <c r="O17">
        <v>82</v>
      </c>
      <c r="P17" s="60">
        <f>+O17/O20</f>
        <v>0.39613526570048307</v>
      </c>
    </row>
    <row r="18" spans="1:16" x14ac:dyDescent="0.2">
      <c r="A18" s="51" t="s">
        <v>495</v>
      </c>
      <c r="B18">
        <v>56</v>
      </c>
      <c r="C18" s="52">
        <f>B18/98</f>
        <v>0.5714285714285714</v>
      </c>
      <c r="D18">
        <v>51</v>
      </c>
      <c r="E18" s="52">
        <f>D18/110</f>
        <v>0.46363636363636362</v>
      </c>
      <c r="F18">
        <v>107</v>
      </c>
      <c r="G18" s="52">
        <f>F18/208</f>
        <v>0.51442307692307687</v>
      </c>
      <c r="J18" s="47" t="s">
        <v>506</v>
      </c>
      <c r="K18">
        <v>42</v>
      </c>
      <c r="L18" s="60">
        <f>+K18/K20</f>
        <v>0.4329896907216495</v>
      </c>
      <c r="M18">
        <v>38</v>
      </c>
      <c r="N18" s="60">
        <f>+M18/M20</f>
        <v>0.34545454545454546</v>
      </c>
      <c r="O18">
        <v>80</v>
      </c>
      <c r="P18" s="60">
        <f>+O18/O20</f>
        <v>0.38647342995169082</v>
      </c>
    </row>
    <row r="19" spans="1:16" x14ac:dyDescent="0.2">
      <c r="A19" s="51" t="s">
        <v>499</v>
      </c>
      <c r="B19">
        <v>26</v>
      </c>
      <c r="C19" s="52">
        <f>B19/98</f>
        <v>0.26530612244897961</v>
      </c>
      <c r="D19">
        <v>30</v>
      </c>
      <c r="E19" s="52">
        <f>D19/110</f>
        <v>0.27272727272727271</v>
      </c>
      <c r="F19">
        <v>56</v>
      </c>
      <c r="G19" s="52">
        <f>F19/208</f>
        <v>0.26923076923076922</v>
      </c>
      <c r="J19" s="47" t="s">
        <v>473</v>
      </c>
      <c r="M19"/>
      <c r="N19" s="60"/>
      <c r="P19" s="60"/>
    </row>
    <row r="20" spans="1:16" x14ac:dyDescent="0.2">
      <c r="A20" s="47" t="s">
        <v>472</v>
      </c>
      <c r="B20">
        <v>98</v>
      </c>
      <c r="C20" s="52">
        <f>B20/98</f>
        <v>1</v>
      </c>
      <c r="D20">
        <v>110</v>
      </c>
      <c r="E20" s="52">
        <f>D20/110</f>
        <v>1</v>
      </c>
      <c r="F20">
        <v>208</v>
      </c>
      <c r="G20" s="52">
        <f>F20/208</f>
        <v>1</v>
      </c>
      <c r="J20" s="62" t="s">
        <v>472</v>
      </c>
      <c r="K20" s="63">
        <v>97</v>
      </c>
      <c r="L20" s="64">
        <f>SUM(L16:L19)</f>
        <v>1</v>
      </c>
      <c r="M20" s="63">
        <v>110</v>
      </c>
      <c r="N20" s="64">
        <f>SUM(N16:N18)</f>
        <v>1</v>
      </c>
      <c r="O20" s="63">
        <v>207</v>
      </c>
      <c r="P20" s="64">
        <f>SUM(P16:P18)</f>
        <v>1</v>
      </c>
    </row>
    <row r="22" spans="1:16" x14ac:dyDescent="0.2">
      <c r="K22" s="287" t="s">
        <v>504</v>
      </c>
      <c r="L22" s="287"/>
      <c r="M22" s="287"/>
      <c r="N22" s="287"/>
      <c r="O22" s="287"/>
    </row>
    <row r="23" spans="1:16" x14ac:dyDescent="0.2">
      <c r="A23" s="83"/>
      <c r="B23" s="286" t="s">
        <v>504</v>
      </c>
      <c r="C23" s="286"/>
      <c r="D23" s="286"/>
      <c r="E23" s="286"/>
      <c r="F23" s="286"/>
      <c r="J23" s="68" t="s">
        <v>489</v>
      </c>
      <c r="K23" s="68">
        <v>0</v>
      </c>
      <c r="L23" s="68">
        <v>1</v>
      </c>
      <c r="M23" s="68">
        <v>2</v>
      </c>
      <c r="N23" s="68">
        <v>3</v>
      </c>
      <c r="O23" s="68" t="s">
        <v>473</v>
      </c>
      <c r="P23" s="68" t="s">
        <v>472</v>
      </c>
    </row>
    <row r="24" spans="1:16" x14ac:dyDescent="0.2">
      <c r="A24" s="54" t="s">
        <v>497</v>
      </c>
      <c r="B24" s="53">
        <v>0</v>
      </c>
      <c r="C24" s="53">
        <v>1</v>
      </c>
      <c r="D24" s="53">
        <v>2</v>
      </c>
      <c r="E24" s="53">
        <v>3</v>
      </c>
      <c r="F24" s="53" t="s">
        <v>472</v>
      </c>
      <c r="J24" s="57" t="s">
        <v>505</v>
      </c>
      <c r="K24" s="57">
        <v>13</v>
      </c>
      <c r="L24" s="57">
        <v>21</v>
      </c>
      <c r="M24" s="57">
        <v>10</v>
      </c>
      <c r="N24" s="57">
        <v>1</v>
      </c>
      <c r="O24" s="57"/>
      <c r="P24" s="57">
        <v>45</v>
      </c>
    </row>
    <row r="25" spans="1:16" x14ac:dyDescent="0.2">
      <c r="A25" s="55" t="s">
        <v>498</v>
      </c>
      <c r="B25" s="53">
        <v>13</v>
      </c>
      <c r="C25" s="53">
        <v>21</v>
      </c>
      <c r="D25" s="53">
        <v>10</v>
      </c>
      <c r="E25" s="53">
        <v>1</v>
      </c>
      <c r="F25" s="53">
        <v>45</v>
      </c>
      <c r="J25" s="57" t="s">
        <v>506</v>
      </c>
      <c r="K25" s="57">
        <v>22</v>
      </c>
      <c r="L25" s="57">
        <v>42</v>
      </c>
      <c r="M25" s="57">
        <v>15</v>
      </c>
      <c r="N25" s="57">
        <v>1</v>
      </c>
      <c r="O25" s="57"/>
      <c r="P25" s="57">
        <v>80</v>
      </c>
    </row>
    <row r="26" spans="1:16" x14ac:dyDescent="0.2">
      <c r="A26" s="55" t="s">
        <v>495</v>
      </c>
      <c r="B26" s="53">
        <v>28</v>
      </c>
      <c r="C26" s="53">
        <v>57</v>
      </c>
      <c r="D26" s="53">
        <v>21</v>
      </c>
      <c r="E26" s="53">
        <v>1</v>
      </c>
      <c r="F26" s="53">
        <v>107</v>
      </c>
      <c r="J26" s="57" t="s">
        <v>507</v>
      </c>
      <c r="K26" s="57">
        <v>23</v>
      </c>
      <c r="L26" s="57">
        <v>45</v>
      </c>
      <c r="M26" s="57">
        <v>13</v>
      </c>
      <c r="N26" s="57">
        <v>1</v>
      </c>
      <c r="O26" s="57"/>
      <c r="P26" s="57">
        <v>82</v>
      </c>
    </row>
    <row r="27" spans="1:16" x14ac:dyDescent="0.2">
      <c r="A27" s="55" t="s">
        <v>499</v>
      </c>
      <c r="B27" s="53">
        <v>17</v>
      </c>
      <c r="C27" s="53">
        <v>31</v>
      </c>
      <c r="D27" s="53">
        <v>7</v>
      </c>
      <c r="E27" s="53">
        <v>1</v>
      </c>
      <c r="F27" s="53">
        <v>56</v>
      </c>
      <c r="J27" s="69" t="s">
        <v>472</v>
      </c>
      <c r="K27" s="69">
        <v>58</v>
      </c>
      <c r="L27" s="69">
        <v>108</v>
      </c>
      <c r="M27" s="69">
        <v>38</v>
      </c>
      <c r="N27" s="69">
        <v>3</v>
      </c>
      <c r="O27" s="69"/>
      <c r="P27" s="69">
        <v>207</v>
      </c>
    </row>
    <row r="28" spans="1:16" x14ac:dyDescent="0.2">
      <c r="A28" s="56" t="s">
        <v>472</v>
      </c>
      <c r="B28" s="53">
        <v>58</v>
      </c>
      <c r="C28" s="53">
        <v>109</v>
      </c>
      <c r="D28" s="53">
        <v>38</v>
      </c>
      <c r="E28" s="53">
        <v>3</v>
      </c>
      <c r="F28" s="53">
        <v>208</v>
      </c>
    </row>
    <row r="33" spans="1:15" x14ac:dyDescent="0.2">
      <c r="A33" s="84" t="s">
        <v>508</v>
      </c>
      <c r="B33" s="77"/>
      <c r="C33" s="77"/>
      <c r="D33" s="77"/>
      <c r="E33" s="77"/>
      <c r="F33" s="77"/>
    </row>
    <row r="34" spans="1:15" x14ac:dyDescent="0.2">
      <c r="A34" s="61" t="s">
        <v>489</v>
      </c>
      <c r="B34" s="61" t="s">
        <v>164</v>
      </c>
      <c r="C34" s="61"/>
      <c r="D34" s="61" t="s">
        <v>163</v>
      </c>
      <c r="E34" s="61" t="s">
        <v>473</v>
      </c>
      <c r="F34" s="61" t="s">
        <v>472</v>
      </c>
      <c r="M34"/>
      <c r="O34" s="59"/>
    </row>
    <row r="35" spans="1:15" x14ac:dyDescent="0.2">
      <c r="A35" s="66" t="s">
        <v>179</v>
      </c>
      <c r="B35" s="67">
        <v>84</v>
      </c>
      <c r="C35" s="70">
        <f>+B35/B48</f>
        <v>0.865979381443299</v>
      </c>
      <c r="D35" s="67">
        <v>100</v>
      </c>
      <c r="E35" s="74">
        <f>+D35/D48</f>
        <v>0.90909090909090906</v>
      </c>
      <c r="F35" s="67">
        <v>184</v>
      </c>
      <c r="M35"/>
      <c r="O35" s="59"/>
    </row>
    <row r="36" spans="1:15" x14ac:dyDescent="0.2">
      <c r="A36" s="65" t="s">
        <v>505</v>
      </c>
      <c r="B36">
        <v>13</v>
      </c>
      <c r="C36" s="60">
        <f>+B36/B48</f>
        <v>0.13402061855670103</v>
      </c>
      <c r="D36">
        <v>26</v>
      </c>
      <c r="E36" s="60">
        <f>+D36/D48</f>
        <v>0.23636363636363636</v>
      </c>
      <c r="F36">
        <v>39</v>
      </c>
      <c r="M36"/>
      <c r="O36" s="59"/>
    </row>
    <row r="37" spans="1:15" x14ac:dyDescent="0.2">
      <c r="A37" s="65" t="s">
        <v>507</v>
      </c>
      <c r="B37">
        <v>32</v>
      </c>
      <c r="C37" s="71">
        <f>+B37/B48</f>
        <v>0.32989690721649484</v>
      </c>
      <c r="D37">
        <v>37</v>
      </c>
      <c r="E37" s="60">
        <f>+D37/D48</f>
        <v>0.33636363636363636</v>
      </c>
      <c r="F37">
        <v>69</v>
      </c>
      <c r="M37"/>
      <c r="O37" s="59"/>
    </row>
    <row r="38" spans="1:15" x14ac:dyDescent="0.2">
      <c r="A38" s="65" t="s">
        <v>506</v>
      </c>
      <c r="B38">
        <v>39</v>
      </c>
      <c r="C38" s="60">
        <f>+B38/B48</f>
        <v>0.40206185567010311</v>
      </c>
      <c r="D38">
        <v>37</v>
      </c>
      <c r="E38" s="60">
        <f>+D38/D48</f>
        <v>0.33636363636363636</v>
      </c>
      <c r="F38">
        <v>76</v>
      </c>
      <c r="M38"/>
      <c r="O38" s="59"/>
    </row>
    <row r="39" spans="1:15" x14ac:dyDescent="0.2">
      <c r="A39" s="66" t="s">
        <v>483</v>
      </c>
      <c r="B39" s="67"/>
      <c r="C39" s="67"/>
      <c r="D39" s="67">
        <v>5</v>
      </c>
      <c r="E39" s="70">
        <f>+D39/D48</f>
        <v>4.5454545454545456E-2</v>
      </c>
      <c r="F39" s="67">
        <v>5</v>
      </c>
      <c r="M39"/>
      <c r="O39" s="59"/>
    </row>
    <row r="40" spans="1:15" x14ac:dyDescent="0.2">
      <c r="A40" s="65" t="s">
        <v>505</v>
      </c>
      <c r="D40">
        <v>3</v>
      </c>
      <c r="E40" s="60">
        <f>+D40/D48</f>
        <v>2.7272727272727271E-2</v>
      </c>
      <c r="F40">
        <v>3</v>
      </c>
      <c r="M40"/>
      <c r="O40" s="59"/>
    </row>
    <row r="41" spans="1:15" x14ac:dyDescent="0.2">
      <c r="A41" s="65" t="s">
        <v>507</v>
      </c>
      <c r="D41">
        <v>2</v>
      </c>
      <c r="E41" s="60">
        <f>+D41/D48</f>
        <v>1.8181818181818181E-2</v>
      </c>
      <c r="F41">
        <v>2</v>
      </c>
      <c r="M41"/>
      <c r="O41" s="59"/>
    </row>
    <row r="42" spans="1:15" x14ac:dyDescent="0.2">
      <c r="A42" s="66" t="s">
        <v>177</v>
      </c>
      <c r="B42" s="67">
        <v>13</v>
      </c>
      <c r="C42" s="72">
        <f>+B42/B48</f>
        <v>0.13402061855670103</v>
      </c>
      <c r="D42" s="67">
        <v>5</v>
      </c>
      <c r="E42" s="76">
        <f>+D42/D48</f>
        <v>4.5454545454545456E-2</v>
      </c>
      <c r="F42" s="67">
        <v>18</v>
      </c>
      <c r="M42"/>
      <c r="O42" s="59"/>
    </row>
    <row r="43" spans="1:15" x14ac:dyDescent="0.2">
      <c r="A43" s="65" t="s">
        <v>505</v>
      </c>
      <c r="B43">
        <v>3</v>
      </c>
      <c r="C43" s="59">
        <f>+B43/B48</f>
        <v>3.0927835051546393E-2</v>
      </c>
      <c r="E43" s="60"/>
      <c r="F43">
        <v>3</v>
      </c>
      <c r="M43"/>
      <c r="O43" s="59"/>
    </row>
    <row r="44" spans="1:15" x14ac:dyDescent="0.2">
      <c r="A44" s="65" t="s">
        <v>507</v>
      </c>
      <c r="B44">
        <v>7</v>
      </c>
      <c r="C44" s="59">
        <f>+B44/B48</f>
        <v>7.2164948453608241E-2</v>
      </c>
      <c r="D44">
        <v>4</v>
      </c>
      <c r="E44" s="78">
        <f>+D44/D48</f>
        <v>3.6363636363636362E-2</v>
      </c>
      <c r="F44">
        <v>11</v>
      </c>
      <c r="M44"/>
      <c r="O44" s="59"/>
    </row>
    <row r="45" spans="1:15" x14ac:dyDescent="0.2">
      <c r="A45" s="65" t="s">
        <v>506</v>
      </c>
      <c r="B45">
        <v>3</v>
      </c>
      <c r="C45" s="59">
        <f>+B45/B48</f>
        <v>3.0927835051546393E-2</v>
      </c>
      <c r="D45">
        <v>1</v>
      </c>
      <c r="E45" s="60">
        <f>+D45/D48</f>
        <v>9.0909090909090905E-3</v>
      </c>
      <c r="F45">
        <v>4</v>
      </c>
      <c r="M45"/>
      <c r="O45" s="59"/>
    </row>
    <row r="46" spans="1:15" x14ac:dyDescent="0.2">
      <c r="A46" s="66" t="s">
        <v>473</v>
      </c>
      <c r="B46" s="67"/>
      <c r="C46" s="67"/>
      <c r="D46" s="67"/>
      <c r="E46" s="67"/>
      <c r="F46" s="67"/>
      <c r="M46"/>
      <c r="O46" s="59"/>
    </row>
    <row r="47" spans="1:15" x14ac:dyDescent="0.2">
      <c r="A47" s="65" t="s">
        <v>473</v>
      </c>
      <c r="M47"/>
      <c r="O47" s="59"/>
    </row>
    <row r="48" spans="1:15" x14ac:dyDescent="0.2">
      <c r="A48" s="62" t="s">
        <v>472</v>
      </c>
      <c r="B48" s="63">
        <v>97</v>
      </c>
      <c r="C48" s="63"/>
      <c r="D48" s="63">
        <v>110</v>
      </c>
      <c r="E48" s="63"/>
      <c r="F48" s="63">
        <v>207</v>
      </c>
      <c r="M48"/>
      <c r="O48" s="59"/>
    </row>
    <row r="51" spans="2:4" x14ac:dyDescent="0.2">
      <c r="B51" s="4" t="s">
        <v>509</v>
      </c>
      <c r="C51" s="3" t="s">
        <v>510</v>
      </c>
    </row>
    <row r="53" spans="2:4" x14ac:dyDescent="0.2">
      <c r="B53" s="73"/>
      <c r="C53" s="3" t="s">
        <v>511</v>
      </c>
    </row>
    <row r="56" spans="2:4" x14ac:dyDescent="0.2">
      <c r="B56" s="75"/>
      <c r="C56" s="3" t="s">
        <v>512</v>
      </c>
    </row>
    <row r="58" spans="2:4" x14ac:dyDescent="0.2">
      <c r="B58" s="77"/>
      <c r="C58" s="3" t="s">
        <v>513</v>
      </c>
      <c r="D58" s="3" t="s">
        <v>514</v>
      </c>
    </row>
    <row r="60" spans="2:4" x14ac:dyDescent="0.2">
      <c r="B60" s="79"/>
      <c r="C60" s="3" t="s">
        <v>515</v>
      </c>
    </row>
  </sheetData>
  <mergeCells count="5">
    <mergeCell ref="B23:F23"/>
    <mergeCell ref="K22:O22"/>
    <mergeCell ref="B16:C16"/>
    <mergeCell ref="D16:E16"/>
    <mergeCell ref="F16:G16"/>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10"/>
  <sheetViews>
    <sheetView workbookViewId="0">
      <selection activeCell="A8" sqref="A8:I8"/>
    </sheetView>
  </sheetViews>
  <sheetFormatPr defaultColWidth="11.42578125" defaultRowHeight="12.75" x14ac:dyDescent="0.2"/>
  <cols>
    <col min="9" max="9" width="11.42578125" style="57"/>
  </cols>
  <sheetData>
    <row r="1" spans="1:16" ht="13.5" thickBot="1" x14ac:dyDescent="0.25">
      <c r="A1" s="221"/>
      <c r="B1" s="222" t="s">
        <v>855</v>
      </c>
      <c r="C1" s="222" t="s">
        <v>856</v>
      </c>
      <c r="D1" s="221"/>
      <c r="E1" s="222"/>
      <c r="F1" s="222" t="s">
        <v>857</v>
      </c>
      <c r="G1" s="222" t="s">
        <v>858</v>
      </c>
      <c r="H1" s="222" t="s">
        <v>859</v>
      </c>
      <c r="I1" s="223" t="s">
        <v>860</v>
      </c>
      <c r="J1" s="222" t="s">
        <v>861</v>
      </c>
      <c r="K1" s="222" t="s">
        <v>862</v>
      </c>
      <c r="L1" s="222" t="s">
        <v>863</v>
      </c>
      <c r="M1" s="222" t="s">
        <v>864</v>
      </c>
      <c r="N1" s="222" t="s">
        <v>865</v>
      </c>
      <c r="O1" s="221"/>
      <c r="P1" s="222" t="s">
        <v>866</v>
      </c>
    </row>
    <row r="2" spans="1:16" ht="13.5" thickBot="1" x14ac:dyDescent="0.25">
      <c r="A2" s="224">
        <v>1</v>
      </c>
      <c r="B2" s="225">
        <v>1</v>
      </c>
      <c r="C2" s="226" t="s">
        <v>867</v>
      </c>
      <c r="D2" s="225">
        <v>3</v>
      </c>
      <c r="E2" s="227">
        <v>4190177</v>
      </c>
      <c r="F2" s="228">
        <v>44364</v>
      </c>
      <c r="G2" s="225">
        <v>6.9</v>
      </c>
      <c r="H2" s="226"/>
      <c r="I2" s="230"/>
      <c r="J2" s="226"/>
      <c r="K2" s="226"/>
      <c r="L2" s="226"/>
      <c r="M2" s="225">
        <v>150851493201</v>
      </c>
      <c r="N2" s="225">
        <v>0</v>
      </c>
      <c r="O2" s="226"/>
      <c r="P2" s="226" t="s">
        <v>868</v>
      </c>
    </row>
    <row r="3" spans="1:16" ht="13.5" thickBot="1" x14ac:dyDescent="0.25">
      <c r="A3" s="224">
        <v>2</v>
      </c>
      <c r="B3" s="225">
        <v>1</v>
      </c>
      <c r="C3" s="226" t="s">
        <v>869</v>
      </c>
      <c r="D3" s="225">
        <v>12</v>
      </c>
      <c r="E3" s="227">
        <v>5724867</v>
      </c>
      <c r="F3" s="228">
        <v>44403</v>
      </c>
      <c r="G3" s="225">
        <v>7.3</v>
      </c>
      <c r="H3" s="226"/>
      <c r="I3" s="230"/>
      <c r="J3" s="226"/>
      <c r="K3" s="226"/>
      <c r="L3" s="226"/>
      <c r="M3" s="225">
        <v>150439925302</v>
      </c>
      <c r="N3" s="225">
        <v>0</v>
      </c>
      <c r="O3" s="226" t="s">
        <v>870</v>
      </c>
      <c r="P3" s="226" t="s">
        <v>871</v>
      </c>
    </row>
    <row r="4" spans="1:16" ht="13.5" thickBot="1" x14ac:dyDescent="0.25">
      <c r="A4" s="224">
        <v>3</v>
      </c>
      <c r="B4" s="225">
        <v>1</v>
      </c>
      <c r="C4" s="226" t="s">
        <v>872</v>
      </c>
      <c r="D4" s="225">
        <v>14</v>
      </c>
      <c r="E4" s="227">
        <v>19040664</v>
      </c>
      <c r="F4" s="228">
        <v>44364</v>
      </c>
      <c r="G4" s="225">
        <v>12</v>
      </c>
      <c r="H4" s="226"/>
      <c r="I4" s="230"/>
      <c r="J4" s="226"/>
      <c r="K4" s="226"/>
      <c r="L4" s="226"/>
      <c r="M4" s="225">
        <v>140013727703</v>
      </c>
      <c r="N4" s="225">
        <v>0</v>
      </c>
      <c r="O4" s="226"/>
      <c r="P4" s="226" t="s">
        <v>873</v>
      </c>
    </row>
    <row r="5" spans="1:16" ht="13.5" thickBot="1" x14ac:dyDescent="0.25">
      <c r="A5" s="224">
        <v>4</v>
      </c>
      <c r="B5" s="225">
        <v>2</v>
      </c>
      <c r="C5" s="226" t="s">
        <v>874</v>
      </c>
      <c r="D5" s="225">
        <v>16</v>
      </c>
      <c r="E5" s="227">
        <v>11490053</v>
      </c>
      <c r="F5" s="228">
        <v>44403</v>
      </c>
      <c r="G5" s="225">
        <v>12.1</v>
      </c>
      <c r="H5" s="226"/>
      <c r="I5" s="230"/>
      <c r="J5" s="226"/>
      <c r="K5" s="226"/>
      <c r="L5" s="226"/>
      <c r="M5" s="225">
        <v>150572055001</v>
      </c>
      <c r="N5" s="225">
        <v>0</v>
      </c>
      <c r="O5" s="226" t="s">
        <v>870</v>
      </c>
      <c r="P5" s="226" t="s">
        <v>875</v>
      </c>
    </row>
    <row r="6" spans="1:16" ht="13.5" thickBot="1" x14ac:dyDescent="0.25">
      <c r="A6" s="229"/>
      <c r="B6" s="225">
        <v>2</v>
      </c>
      <c r="C6" s="226" t="s">
        <v>876</v>
      </c>
      <c r="D6" s="225">
        <v>21</v>
      </c>
      <c r="E6" s="227">
        <v>8706969</v>
      </c>
      <c r="F6" s="228">
        <v>44371</v>
      </c>
      <c r="G6" s="225">
        <v>10.7</v>
      </c>
      <c r="H6" s="228">
        <v>44956</v>
      </c>
      <c r="I6" s="230">
        <v>5.4</v>
      </c>
      <c r="J6" s="226"/>
      <c r="K6" s="226"/>
      <c r="L6" s="226"/>
      <c r="M6" s="225">
        <v>150610112101</v>
      </c>
      <c r="N6" s="225">
        <v>0</v>
      </c>
      <c r="O6" s="226"/>
      <c r="P6" s="226" t="s">
        <v>877</v>
      </c>
    </row>
    <row r="7" spans="1:16" ht="13.5" thickBot="1" x14ac:dyDescent="0.25">
      <c r="A7" s="224">
        <v>6</v>
      </c>
      <c r="B7" s="225">
        <v>1</v>
      </c>
      <c r="C7" s="226" t="s">
        <v>878</v>
      </c>
      <c r="D7" s="225">
        <v>30</v>
      </c>
      <c r="E7" s="227">
        <v>6144967</v>
      </c>
      <c r="F7" s="228">
        <v>44385</v>
      </c>
      <c r="G7" s="225">
        <v>11.2</v>
      </c>
      <c r="H7" s="226"/>
      <c r="I7" s="230"/>
      <c r="J7" s="226"/>
      <c r="K7" s="226"/>
      <c r="L7" s="225" t="s">
        <v>879</v>
      </c>
      <c r="M7" s="225">
        <v>150445907009</v>
      </c>
      <c r="N7" s="225">
        <v>0</v>
      </c>
      <c r="O7" s="226"/>
      <c r="P7" s="226" t="s">
        <v>880</v>
      </c>
    </row>
    <row r="8" spans="1:16" ht="13.5" thickBot="1" x14ac:dyDescent="0.25">
      <c r="A8" s="224">
        <v>7</v>
      </c>
      <c r="B8" s="225">
        <v>2</v>
      </c>
      <c r="C8" s="226" t="s">
        <v>881</v>
      </c>
      <c r="D8" s="225">
        <v>37</v>
      </c>
      <c r="E8" s="227">
        <v>94005729</v>
      </c>
      <c r="F8" s="228">
        <v>44371</v>
      </c>
      <c r="G8" s="225">
        <v>11.8</v>
      </c>
      <c r="H8" s="228">
        <v>44910</v>
      </c>
      <c r="I8" s="230">
        <v>8.6999999999999993</v>
      </c>
      <c r="J8" s="226"/>
      <c r="K8" s="226"/>
      <c r="L8" s="226"/>
      <c r="M8" s="225">
        <v>150653819904</v>
      </c>
      <c r="N8" s="225">
        <v>0</v>
      </c>
      <c r="O8" s="226"/>
      <c r="P8" s="226" t="s">
        <v>882</v>
      </c>
    </row>
    <row r="9" spans="1:16" ht="13.5" thickBot="1" x14ac:dyDescent="0.25">
      <c r="A9" s="224">
        <v>8</v>
      </c>
      <c r="B9" s="225">
        <v>1</v>
      </c>
      <c r="C9" s="226" t="s">
        <v>883</v>
      </c>
      <c r="D9" s="225">
        <v>43</v>
      </c>
      <c r="E9" s="227">
        <v>8468292</v>
      </c>
      <c r="F9" s="228">
        <v>44392</v>
      </c>
      <c r="G9" s="225">
        <v>5.8</v>
      </c>
      <c r="H9" s="228">
        <v>44642</v>
      </c>
      <c r="I9" s="230">
        <v>5.4</v>
      </c>
      <c r="J9" s="226"/>
      <c r="K9" s="226"/>
      <c r="L9" s="226"/>
      <c r="M9" s="225">
        <v>150068682401</v>
      </c>
      <c r="N9" s="225">
        <v>0</v>
      </c>
      <c r="O9" s="226"/>
      <c r="P9" s="226" t="s">
        <v>884</v>
      </c>
    </row>
    <row r="10" spans="1:16" ht="13.5" thickBot="1" x14ac:dyDescent="0.25">
      <c r="A10" s="224">
        <v>9</v>
      </c>
      <c r="B10" s="225">
        <v>2</v>
      </c>
      <c r="C10" s="226" t="s">
        <v>885</v>
      </c>
      <c r="D10" s="225">
        <v>53</v>
      </c>
      <c r="E10" s="227">
        <v>6179049</v>
      </c>
      <c r="F10" s="228">
        <v>44392</v>
      </c>
      <c r="G10" s="225">
        <v>13</v>
      </c>
      <c r="H10" s="228">
        <v>44908</v>
      </c>
      <c r="I10" s="230">
        <v>6.5</v>
      </c>
      <c r="J10" s="226"/>
      <c r="K10" s="226"/>
      <c r="L10" s="226"/>
      <c r="M10" s="225">
        <v>155922665102</v>
      </c>
      <c r="N10" s="225">
        <v>0</v>
      </c>
      <c r="O10" s="226"/>
      <c r="P10" s="226" t="s">
        <v>886</v>
      </c>
    </row>
    <row r="11" spans="1:16" ht="13.5" thickBot="1" x14ac:dyDescent="0.25">
      <c r="A11" s="224">
        <v>10</v>
      </c>
      <c r="B11" s="225">
        <v>2</v>
      </c>
      <c r="C11" s="226" t="s">
        <v>887</v>
      </c>
      <c r="D11" s="225">
        <v>56</v>
      </c>
      <c r="E11" s="227">
        <v>10101738</v>
      </c>
      <c r="F11" s="228">
        <v>44378</v>
      </c>
      <c r="G11" s="225">
        <v>8.5</v>
      </c>
      <c r="H11" s="228">
        <v>44930</v>
      </c>
      <c r="I11" s="230">
        <v>8.6</v>
      </c>
      <c r="J11" s="226"/>
      <c r="K11" s="226"/>
      <c r="L11" s="226"/>
      <c r="M11" s="225">
        <v>465001711701</v>
      </c>
      <c r="N11" s="225">
        <v>0</v>
      </c>
      <c r="O11" s="226"/>
      <c r="P11" s="226" t="s">
        <v>888</v>
      </c>
    </row>
    <row r="12" spans="1:16" ht="13.5" thickBot="1" x14ac:dyDescent="0.25">
      <c r="A12" s="224">
        <v>11</v>
      </c>
      <c r="B12" s="225">
        <v>2</v>
      </c>
      <c r="C12" s="226" t="s">
        <v>889</v>
      </c>
      <c r="D12" s="225">
        <v>61</v>
      </c>
      <c r="E12" s="227">
        <v>7842846</v>
      </c>
      <c r="F12" s="228">
        <v>44371</v>
      </c>
      <c r="G12" s="225">
        <v>9.4</v>
      </c>
      <c r="H12" s="228">
        <v>44907</v>
      </c>
      <c r="I12" s="230">
        <v>9.1</v>
      </c>
      <c r="J12" s="226"/>
      <c r="K12" s="226"/>
      <c r="L12" s="226"/>
      <c r="M12" s="225">
        <v>150469217300</v>
      </c>
      <c r="N12" s="225">
        <v>0</v>
      </c>
      <c r="O12" s="226"/>
      <c r="P12" s="226" t="s">
        <v>890</v>
      </c>
    </row>
    <row r="13" spans="1:16" ht="13.5" thickBot="1" x14ac:dyDescent="0.25">
      <c r="A13" s="224">
        <v>12</v>
      </c>
      <c r="B13" s="225">
        <v>2</v>
      </c>
      <c r="C13" s="226" t="s">
        <v>891</v>
      </c>
      <c r="D13" s="225">
        <v>73</v>
      </c>
      <c r="E13" s="227">
        <v>5087929</v>
      </c>
      <c r="F13" s="228">
        <v>44371</v>
      </c>
      <c r="G13" s="225">
        <v>11.7</v>
      </c>
      <c r="H13" s="228">
        <v>44908</v>
      </c>
      <c r="I13" s="230">
        <v>8.3000000000000007</v>
      </c>
      <c r="J13" s="226"/>
      <c r="K13" s="226"/>
      <c r="L13" s="226"/>
      <c r="M13" s="225">
        <v>150219216409</v>
      </c>
      <c r="N13" s="225">
        <v>0</v>
      </c>
      <c r="O13" s="226"/>
      <c r="P13" s="226" t="s">
        <v>892</v>
      </c>
    </row>
    <row r="14" spans="1:16" ht="13.5" thickBot="1" x14ac:dyDescent="0.25">
      <c r="A14" s="224">
        <v>13</v>
      </c>
      <c r="B14" s="225">
        <v>2</v>
      </c>
      <c r="C14" s="226" t="s">
        <v>893</v>
      </c>
      <c r="D14" s="225">
        <v>84</v>
      </c>
      <c r="E14" s="227">
        <v>2753300</v>
      </c>
      <c r="F14" s="228">
        <v>44371</v>
      </c>
      <c r="G14" s="225">
        <v>8.8000000000000007</v>
      </c>
      <c r="H14" s="226"/>
      <c r="I14" s="230"/>
      <c r="J14" s="226"/>
      <c r="K14" s="226"/>
      <c r="L14" s="226"/>
      <c r="M14" s="225">
        <v>150167252308</v>
      </c>
      <c r="N14" s="225">
        <v>0</v>
      </c>
      <c r="O14" s="226"/>
      <c r="P14" s="226" t="s">
        <v>894</v>
      </c>
    </row>
    <row r="15" spans="1:16" ht="13.5" thickBot="1" x14ac:dyDescent="0.25">
      <c r="A15" s="224">
        <v>14</v>
      </c>
      <c r="B15" s="225">
        <v>1</v>
      </c>
      <c r="C15" s="226" t="s">
        <v>895</v>
      </c>
      <c r="D15" s="225">
        <v>88</v>
      </c>
      <c r="E15" s="227">
        <v>11471676</v>
      </c>
      <c r="F15" s="228">
        <v>44378</v>
      </c>
      <c r="G15" s="225">
        <v>9.9</v>
      </c>
      <c r="H15" s="228">
        <v>44942</v>
      </c>
      <c r="I15" s="230">
        <v>6.4</v>
      </c>
      <c r="J15" s="226"/>
      <c r="K15" s="226"/>
      <c r="L15" s="226"/>
      <c r="M15" s="225">
        <v>150724770108</v>
      </c>
      <c r="N15" s="225">
        <v>0</v>
      </c>
      <c r="O15" s="226"/>
      <c r="P15" s="226" t="s">
        <v>896</v>
      </c>
    </row>
    <row r="16" spans="1:16" ht="13.5" thickBot="1" x14ac:dyDescent="0.25">
      <c r="A16" s="224">
        <v>15</v>
      </c>
      <c r="B16" s="225">
        <v>2</v>
      </c>
      <c r="C16" s="226" t="s">
        <v>897</v>
      </c>
      <c r="D16" s="225">
        <v>89</v>
      </c>
      <c r="E16" s="227">
        <v>92086179</v>
      </c>
      <c r="F16" s="228">
        <v>44392</v>
      </c>
      <c r="G16" s="225">
        <v>7.2</v>
      </c>
      <c r="H16" s="228">
        <v>44907</v>
      </c>
      <c r="I16" s="230">
        <v>7.6</v>
      </c>
      <c r="J16" s="226"/>
      <c r="K16" s="226"/>
      <c r="L16" s="226"/>
      <c r="M16" s="225">
        <v>150684666907</v>
      </c>
      <c r="N16" s="225">
        <v>0</v>
      </c>
      <c r="O16" s="226"/>
      <c r="P16" s="226" t="s">
        <v>898</v>
      </c>
    </row>
    <row r="17" spans="1:16" ht="13.5" thickBot="1" x14ac:dyDescent="0.25">
      <c r="A17" s="224">
        <v>16</v>
      </c>
      <c r="B17" s="225">
        <v>1</v>
      </c>
      <c r="C17" s="226" t="s">
        <v>899</v>
      </c>
      <c r="D17" s="225">
        <v>92</v>
      </c>
      <c r="E17" s="227">
        <v>8701579</v>
      </c>
      <c r="F17" s="228">
        <v>44392</v>
      </c>
      <c r="G17" s="225">
        <v>4.7</v>
      </c>
      <c r="H17" s="228">
        <v>44951</v>
      </c>
      <c r="I17" s="230">
        <v>4.5999999999999996</v>
      </c>
      <c r="J17" s="226"/>
      <c r="K17" s="226"/>
      <c r="L17" s="226"/>
      <c r="M17" s="225">
        <v>150510722308</v>
      </c>
      <c r="N17" s="225">
        <v>0</v>
      </c>
      <c r="O17" s="226"/>
      <c r="P17" s="226" t="s">
        <v>900</v>
      </c>
    </row>
    <row r="18" spans="1:16" ht="13.5" thickBot="1" x14ac:dyDescent="0.25">
      <c r="A18" s="224">
        <v>17</v>
      </c>
      <c r="B18" s="225">
        <v>1</v>
      </c>
      <c r="C18" s="226" t="s">
        <v>901</v>
      </c>
      <c r="D18" s="225">
        <v>102</v>
      </c>
      <c r="E18" s="227">
        <v>6529907</v>
      </c>
      <c r="F18" s="228">
        <v>44371</v>
      </c>
      <c r="G18" s="225">
        <v>13.5</v>
      </c>
      <c r="H18" s="228">
        <v>44951</v>
      </c>
      <c r="I18" s="230">
        <v>7</v>
      </c>
      <c r="J18" s="226"/>
      <c r="K18" s="226"/>
      <c r="L18" s="226"/>
      <c r="M18" s="225">
        <v>150219645101</v>
      </c>
      <c r="N18" s="225">
        <v>1</v>
      </c>
      <c r="O18" s="226"/>
      <c r="P18" s="226" t="s">
        <v>902</v>
      </c>
    </row>
    <row r="19" spans="1:16" ht="13.5" thickBot="1" x14ac:dyDescent="0.25">
      <c r="A19" s="224">
        <v>18</v>
      </c>
      <c r="B19" s="225">
        <v>2</v>
      </c>
      <c r="C19" s="226" t="s">
        <v>903</v>
      </c>
      <c r="D19" s="225">
        <v>105</v>
      </c>
      <c r="E19" s="227">
        <v>11134148</v>
      </c>
      <c r="F19" s="228">
        <v>44392</v>
      </c>
      <c r="G19" s="225">
        <v>8.6</v>
      </c>
      <c r="H19" s="228">
        <v>44908</v>
      </c>
      <c r="I19" s="230">
        <v>6.9</v>
      </c>
      <c r="J19" s="226"/>
      <c r="K19" s="226"/>
      <c r="L19" s="226"/>
      <c r="M19" s="225">
        <v>150794345701</v>
      </c>
      <c r="N19" s="225">
        <v>0</v>
      </c>
      <c r="O19" s="226"/>
      <c r="P19" s="226" t="s">
        <v>904</v>
      </c>
    </row>
    <row r="20" spans="1:16" ht="13.5" thickBot="1" x14ac:dyDescent="0.25">
      <c r="A20" s="224">
        <v>19</v>
      </c>
      <c r="B20" s="225">
        <v>1</v>
      </c>
      <c r="C20" s="226" t="s">
        <v>905</v>
      </c>
      <c r="D20" s="225">
        <v>111</v>
      </c>
      <c r="E20" s="227">
        <v>5321183</v>
      </c>
      <c r="F20" s="228">
        <v>44385</v>
      </c>
      <c r="G20" s="225">
        <v>12.4</v>
      </c>
      <c r="H20" s="228">
        <v>44942</v>
      </c>
      <c r="I20" s="230">
        <v>7.3</v>
      </c>
      <c r="J20" s="226"/>
      <c r="K20" s="226"/>
      <c r="L20" s="226"/>
      <c r="M20" s="225">
        <v>150420491808</v>
      </c>
      <c r="N20" s="225">
        <v>0</v>
      </c>
      <c r="O20" s="226"/>
      <c r="P20" s="226" t="s">
        <v>906</v>
      </c>
    </row>
    <row r="21" spans="1:16" ht="13.5" thickBot="1" x14ac:dyDescent="0.25">
      <c r="A21" s="224">
        <v>20</v>
      </c>
      <c r="B21" s="225">
        <v>2</v>
      </c>
      <c r="C21" s="226" t="s">
        <v>907</v>
      </c>
      <c r="D21" s="225">
        <v>125</v>
      </c>
      <c r="E21" s="231">
        <v>10370695</v>
      </c>
      <c r="F21" s="228">
        <v>44371</v>
      </c>
      <c r="G21" s="225">
        <v>10.199999999999999</v>
      </c>
      <c r="H21" s="228">
        <v>44907</v>
      </c>
      <c r="I21" s="230">
        <v>13</v>
      </c>
      <c r="J21" s="226"/>
      <c r="K21" s="226"/>
      <c r="L21" s="226"/>
      <c r="M21" s="225">
        <v>150430459104</v>
      </c>
      <c r="N21" s="225">
        <v>0</v>
      </c>
      <c r="O21" s="226"/>
      <c r="P21" s="226" t="s">
        <v>908</v>
      </c>
    </row>
    <row r="22" spans="1:16" ht="13.5" thickBot="1" x14ac:dyDescent="0.25">
      <c r="A22" s="224">
        <v>21</v>
      </c>
      <c r="B22" s="225">
        <v>2</v>
      </c>
      <c r="C22" s="226" t="s">
        <v>909</v>
      </c>
      <c r="D22" s="225">
        <v>129</v>
      </c>
      <c r="E22" s="227">
        <v>5526505</v>
      </c>
      <c r="F22" s="228">
        <v>44378</v>
      </c>
      <c r="G22" s="225">
        <v>7.15</v>
      </c>
      <c r="H22" s="226"/>
      <c r="I22" s="230"/>
      <c r="J22" s="226"/>
      <c r="K22" s="226"/>
      <c r="L22" s="226"/>
      <c r="M22" s="225">
        <v>90965269009</v>
      </c>
      <c r="N22" s="225">
        <v>0</v>
      </c>
      <c r="O22" s="226"/>
      <c r="P22" s="226" t="s">
        <v>910</v>
      </c>
    </row>
    <row r="23" spans="1:16" ht="13.5" thickBot="1" x14ac:dyDescent="0.25">
      <c r="A23" s="224">
        <v>22</v>
      </c>
      <c r="B23" s="225">
        <v>1</v>
      </c>
      <c r="C23" s="226" t="s">
        <v>911</v>
      </c>
      <c r="D23" s="225">
        <v>135</v>
      </c>
      <c r="E23" s="227">
        <v>11604449</v>
      </c>
      <c r="F23" s="228">
        <v>44371</v>
      </c>
      <c r="G23" s="225">
        <v>8.1</v>
      </c>
      <c r="H23" s="228">
        <v>44942</v>
      </c>
      <c r="I23" s="230">
        <v>8.1999999999999993</v>
      </c>
      <c r="J23" s="226"/>
      <c r="K23" s="226"/>
      <c r="L23" s="226"/>
      <c r="M23" s="225">
        <v>150680212007</v>
      </c>
      <c r="N23" s="225">
        <v>0</v>
      </c>
      <c r="O23" s="226"/>
      <c r="P23" s="226" t="s">
        <v>912</v>
      </c>
    </row>
    <row r="24" spans="1:16" ht="13.5" thickBot="1" x14ac:dyDescent="0.25">
      <c r="A24" s="224">
        <v>23</v>
      </c>
      <c r="B24" s="225">
        <v>2</v>
      </c>
      <c r="C24" s="226" t="s">
        <v>913</v>
      </c>
      <c r="D24" s="225">
        <v>141</v>
      </c>
      <c r="E24" s="227">
        <v>93169034</v>
      </c>
      <c r="F24" s="228">
        <v>44392</v>
      </c>
      <c r="G24" s="225">
        <v>11</v>
      </c>
      <c r="H24" s="228">
        <v>44907</v>
      </c>
      <c r="I24" s="230">
        <v>4.9000000000000004</v>
      </c>
      <c r="J24" s="226"/>
      <c r="K24" s="226"/>
      <c r="L24" s="226"/>
      <c r="M24" s="225">
        <v>465908421205</v>
      </c>
      <c r="N24" s="225">
        <v>0</v>
      </c>
      <c r="O24" s="226"/>
      <c r="P24" s="226" t="s">
        <v>914</v>
      </c>
    </row>
    <row r="25" spans="1:16" ht="13.5" thickBot="1" x14ac:dyDescent="0.25">
      <c r="A25" s="224">
        <v>24</v>
      </c>
      <c r="B25" s="225">
        <v>2</v>
      </c>
      <c r="C25" s="226" t="s">
        <v>915</v>
      </c>
      <c r="D25" s="225">
        <v>144</v>
      </c>
      <c r="E25" s="227">
        <v>10238342</v>
      </c>
      <c r="F25" s="228">
        <v>44378</v>
      </c>
      <c r="G25" s="225">
        <v>10.7</v>
      </c>
      <c r="H25" s="228">
        <v>44958</v>
      </c>
      <c r="I25" s="230">
        <v>6.5</v>
      </c>
      <c r="J25" s="228">
        <v>45007</v>
      </c>
      <c r="K25" s="225">
        <v>6.8</v>
      </c>
      <c r="L25" s="226"/>
      <c r="M25" s="225">
        <v>150851942008</v>
      </c>
      <c r="N25" s="226" t="s">
        <v>916</v>
      </c>
      <c r="O25" s="226"/>
      <c r="P25" s="226" t="s">
        <v>917</v>
      </c>
    </row>
    <row r="26" spans="1:16" ht="13.5" thickBot="1" x14ac:dyDescent="0.25">
      <c r="A26" s="224">
        <v>25</v>
      </c>
      <c r="B26" s="225">
        <v>1</v>
      </c>
      <c r="C26" s="226" t="s">
        <v>918</v>
      </c>
      <c r="D26" s="225">
        <v>150</v>
      </c>
      <c r="E26" s="227">
        <v>8705002</v>
      </c>
      <c r="F26" s="228">
        <v>44392</v>
      </c>
      <c r="G26" s="225">
        <v>7.3</v>
      </c>
      <c r="H26" s="226"/>
      <c r="I26" s="230"/>
      <c r="J26" s="226"/>
      <c r="K26" s="226"/>
      <c r="L26" s="226"/>
      <c r="M26" s="225">
        <v>150540005005</v>
      </c>
      <c r="N26" s="225">
        <v>0</v>
      </c>
      <c r="O26" s="226"/>
      <c r="P26" s="226" t="s">
        <v>919</v>
      </c>
    </row>
    <row r="27" spans="1:16" ht="13.5" thickBot="1" x14ac:dyDescent="0.25">
      <c r="A27" s="224">
        <v>26</v>
      </c>
      <c r="B27" s="225">
        <v>2</v>
      </c>
      <c r="C27" s="226" t="s">
        <v>920</v>
      </c>
      <c r="D27" s="225">
        <v>157</v>
      </c>
      <c r="E27" s="227">
        <v>11743115</v>
      </c>
      <c r="F27" s="228">
        <v>44378</v>
      </c>
      <c r="G27" s="225">
        <v>8.9</v>
      </c>
      <c r="H27" s="228">
        <v>44907</v>
      </c>
      <c r="I27" s="230">
        <v>5.8</v>
      </c>
      <c r="J27" s="226"/>
      <c r="K27" s="226"/>
      <c r="L27" s="226"/>
      <c r="M27" s="225">
        <v>155544834701</v>
      </c>
      <c r="N27" s="225">
        <v>0</v>
      </c>
      <c r="O27" s="226"/>
      <c r="P27" s="226" t="s">
        <v>921</v>
      </c>
    </row>
    <row r="28" spans="1:16" ht="13.5" thickBot="1" x14ac:dyDescent="0.25">
      <c r="A28" s="224">
        <v>27</v>
      </c>
      <c r="B28" s="225">
        <v>2</v>
      </c>
      <c r="C28" s="226" t="s">
        <v>922</v>
      </c>
      <c r="D28" s="225">
        <v>168</v>
      </c>
      <c r="E28" s="227">
        <v>19034529</v>
      </c>
      <c r="F28" s="228">
        <v>44403</v>
      </c>
      <c r="G28" s="225">
        <v>8</v>
      </c>
      <c r="H28" s="228">
        <v>44958</v>
      </c>
      <c r="I28" s="230">
        <v>5.6</v>
      </c>
      <c r="J28" s="228">
        <v>45014</v>
      </c>
      <c r="K28" s="225">
        <v>5</v>
      </c>
      <c r="L28" s="226"/>
      <c r="M28" s="225">
        <v>150769549202</v>
      </c>
      <c r="N28" s="225">
        <v>0</v>
      </c>
      <c r="O28" s="226" t="s">
        <v>870</v>
      </c>
      <c r="P28" s="226" t="s">
        <v>923</v>
      </c>
    </row>
    <row r="29" spans="1:16" ht="13.5" thickBot="1" x14ac:dyDescent="0.25">
      <c r="A29" s="224">
        <v>28</v>
      </c>
      <c r="B29" s="225">
        <v>1</v>
      </c>
      <c r="C29" s="226" t="s">
        <v>924</v>
      </c>
      <c r="D29" s="225">
        <v>169</v>
      </c>
      <c r="E29" s="227">
        <v>10098982</v>
      </c>
      <c r="F29" s="228">
        <v>44378</v>
      </c>
      <c r="G29" s="225">
        <v>4.5999999999999996</v>
      </c>
      <c r="H29" s="226"/>
      <c r="I29" s="230"/>
      <c r="J29" s="226"/>
      <c r="K29" s="226"/>
      <c r="L29" s="226"/>
      <c r="M29" s="225">
        <v>150456374109</v>
      </c>
      <c r="N29" s="225">
        <v>0</v>
      </c>
      <c r="O29" s="226"/>
      <c r="P29" s="226" t="s">
        <v>925</v>
      </c>
    </row>
    <row r="30" spans="1:16" ht="13.5" thickBot="1" x14ac:dyDescent="0.25">
      <c r="A30" s="224">
        <v>29</v>
      </c>
      <c r="B30" s="225">
        <v>1</v>
      </c>
      <c r="C30" s="226" t="s">
        <v>926</v>
      </c>
      <c r="D30" s="225">
        <v>173</v>
      </c>
      <c r="E30" s="227">
        <v>6730633</v>
      </c>
      <c r="F30" s="228">
        <v>44378</v>
      </c>
      <c r="G30" s="225">
        <v>11.2</v>
      </c>
      <c r="H30" s="226"/>
      <c r="I30" s="230"/>
      <c r="J30" s="226"/>
      <c r="K30" s="226"/>
      <c r="L30" s="226"/>
      <c r="M30" s="225">
        <v>150686231302</v>
      </c>
      <c r="N30" s="225">
        <v>0</v>
      </c>
      <c r="O30" s="226"/>
      <c r="P30" s="226" t="s">
        <v>927</v>
      </c>
    </row>
    <row r="31" spans="1:16" ht="13.5" thickBot="1" x14ac:dyDescent="0.25">
      <c r="A31" s="224">
        <v>30</v>
      </c>
      <c r="B31" s="225">
        <v>2</v>
      </c>
      <c r="C31" s="226" t="s">
        <v>928</v>
      </c>
      <c r="D31" s="225">
        <v>174</v>
      </c>
      <c r="E31" s="227">
        <v>10158397</v>
      </c>
      <c r="F31" s="228">
        <v>44392</v>
      </c>
      <c r="G31" s="225">
        <v>8.6999999999999993</v>
      </c>
      <c r="H31" s="228">
        <v>44958</v>
      </c>
      <c r="I31" s="230">
        <v>5.5</v>
      </c>
      <c r="J31" s="228">
        <v>45014</v>
      </c>
      <c r="K31" s="225">
        <v>5.0999999999999996</v>
      </c>
      <c r="L31" s="226"/>
      <c r="M31" s="225">
        <v>465903174802</v>
      </c>
      <c r="N31" s="225">
        <v>0</v>
      </c>
      <c r="O31" s="226"/>
      <c r="P31" s="226" t="s">
        <v>929</v>
      </c>
    </row>
    <row r="32" spans="1:16" ht="13.5" thickBot="1" x14ac:dyDescent="0.25">
      <c r="A32" s="224">
        <v>31</v>
      </c>
      <c r="B32" s="225">
        <v>2</v>
      </c>
      <c r="C32" s="226" t="s">
        <v>930</v>
      </c>
      <c r="D32" s="225">
        <v>177</v>
      </c>
      <c r="E32" s="227">
        <v>5243647</v>
      </c>
      <c r="F32" s="228">
        <v>44392</v>
      </c>
      <c r="G32" s="225">
        <v>8.4</v>
      </c>
      <c r="H32" s="228">
        <v>45007</v>
      </c>
      <c r="I32" s="230">
        <v>7.2</v>
      </c>
      <c r="J32" s="226"/>
      <c r="K32" s="226"/>
      <c r="L32" s="226"/>
      <c r="M32" s="225">
        <v>150365815206</v>
      </c>
      <c r="N32" s="225">
        <v>0</v>
      </c>
      <c r="O32" s="226"/>
      <c r="P32" s="226" t="s">
        <v>931</v>
      </c>
    </row>
    <row r="33" spans="1:16" ht="13.5" thickBot="1" x14ac:dyDescent="0.25">
      <c r="A33" s="224">
        <v>32</v>
      </c>
      <c r="B33" s="225">
        <v>2</v>
      </c>
      <c r="C33" s="226" t="s">
        <v>932</v>
      </c>
      <c r="D33" s="225">
        <v>185</v>
      </c>
      <c r="E33" s="227">
        <v>93340921</v>
      </c>
      <c r="F33" s="228">
        <v>44378</v>
      </c>
      <c r="G33" s="225">
        <v>5.6</v>
      </c>
      <c r="H33" s="226"/>
      <c r="I33" s="230"/>
      <c r="J33" s="226"/>
      <c r="K33" s="226"/>
      <c r="L33" s="226"/>
      <c r="M33" s="225">
        <v>155126422301</v>
      </c>
      <c r="N33" s="225">
        <v>0</v>
      </c>
      <c r="O33" s="226"/>
      <c r="P33" s="226" t="s">
        <v>933</v>
      </c>
    </row>
    <row r="34" spans="1:16" ht="13.5" thickBot="1" x14ac:dyDescent="0.25">
      <c r="A34" s="224">
        <v>33</v>
      </c>
      <c r="B34" s="225">
        <v>2</v>
      </c>
      <c r="C34" s="226" t="s">
        <v>934</v>
      </c>
      <c r="D34" s="225">
        <v>195</v>
      </c>
      <c r="E34" s="227">
        <v>5392843</v>
      </c>
      <c r="F34" s="228">
        <v>44378</v>
      </c>
      <c r="G34" s="225">
        <v>4.5</v>
      </c>
      <c r="H34" s="228">
        <v>44908</v>
      </c>
      <c r="I34" s="230">
        <v>4</v>
      </c>
      <c r="J34" s="226"/>
      <c r="K34" s="226"/>
      <c r="L34" s="226"/>
      <c r="M34" s="225">
        <v>150591233506</v>
      </c>
      <c r="N34" s="225">
        <v>0</v>
      </c>
      <c r="O34" s="226"/>
      <c r="P34" s="226" t="s">
        <v>935</v>
      </c>
    </row>
    <row r="35" spans="1:16" ht="13.5" thickBot="1" x14ac:dyDescent="0.25">
      <c r="A35" s="224">
        <v>34</v>
      </c>
      <c r="B35" s="225">
        <v>2</v>
      </c>
      <c r="C35" s="226" t="s">
        <v>936</v>
      </c>
      <c r="D35" s="225">
        <v>201</v>
      </c>
      <c r="E35" s="227">
        <v>16923811</v>
      </c>
      <c r="F35" s="228">
        <v>44378</v>
      </c>
      <c r="G35" s="225">
        <v>7.3</v>
      </c>
      <c r="H35" s="228">
        <v>44910</v>
      </c>
      <c r="I35" s="230">
        <v>5.6</v>
      </c>
      <c r="J35" s="226"/>
      <c r="K35" s="226"/>
      <c r="L35" s="226"/>
      <c r="M35" s="225">
        <v>150491608303</v>
      </c>
      <c r="N35" s="225">
        <v>0</v>
      </c>
      <c r="O35" s="226"/>
      <c r="P35" s="226" t="s">
        <v>937</v>
      </c>
    </row>
    <row r="36" spans="1:16" ht="13.5" thickBot="1" x14ac:dyDescent="0.25">
      <c r="A36" s="224">
        <v>35</v>
      </c>
      <c r="B36" s="225">
        <v>1</v>
      </c>
      <c r="C36" s="226" t="s">
        <v>938</v>
      </c>
      <c r="D36" s="225">
        <v>202</v>
      </c>
      <c r="E36" s="227">
        <v>5404485</v>
      </c>
      <c r="F36" s="228">
        <v>44385</v>
      </c>
      <c r="G36" s="225">
        <v>13.4</v>
      </c>
      <c r="H36" s="228">
        <v>44942</v>
      </c>
      <c r="I36" s="230">
        <v>11.2</v>
      </c>
      <c r="J36" s="226"/>
      <c r="K36" s="226"/>
      <c r="L36" s="226"/>
      <c r="M36" s="225">
        <v>150325080708</v>
      </c>
      <c r="N36" s="225">
        <v>0</v>
      </c>
      <c r="O36" s="226"/>
      <c r="P36" s="226" t="s">
        <v>939</v>
      </c>
    </row>
    <row r="37" spans="1:16" ht="13.5" thickBot="1" x14ac:dyDescent="0.25">
      <c r="A37" s="224">
        <v>36</v>
      </c>
      <c r="B37" s="225">
        <v>2</v>
      </c>
      <c r="C37" s="226" t="s">
        <v>940</v>
      </c>
      <c r="D37" s="225">
        <v>203</v>
      </c>
      <c r="E37" s="227">
        <v>12458379</v>
      </c>
      <c r="F37" s="228">
        <v>44403</v>
      </c>
      <c r="G37" s="225">
        <v>8.1999999999999993</v>
      </c>
      <c r="H37" s="226"/>
      <c r="I37" s="230"/>
      <c r="J37" s="226"/>
      <c r="K37" s="226"/>
      <c r="L37" s="226"/>
      <c r="M37" s="225">
        <v>150664002308</v>
      </c>
      <c r="N37" s="225">
        <v>0</v>
      </c>
      <c r="O37" s="226" t="s">
        <v>870</v>
      </c>
      <c r="P37" s="226" t="s">
        <v>941</v>
      </c>
    </row>
    <row r="38" spans="1:16" ht="13.5" thickBot="1" x14ac:dyDescent="0.25">
      <c r="A38" s="224">
        <v>37</v>
      </c>
      <c r="B38" s="225">
        <v>2</v>
      </c>
      <c r="C38" s="226" t="s">
        <v>942</v>
      </c>
      <c r="D38" s="225">
        <v>211</v>
      </c>
      <c r="E38" s="227">
        <v>4745437</v>
      </c>
      <c r="F38" s="228">
        <v>44378</v>
      </c>
      <c r="G38" s="225">
        <v>13.3</v>
      </c>
      <c r="H38" s="226"/>
      <c r="I38" s="230"/>
      <c r="J38" s="226"/>
      <c r="K38" s="226"/>
      <c r="L38" s="226"/>
      <c r="M38" s="225">
        <v>150272558707</v>
      </c>
      <c r="N38" s="225">
        <v>0</v>
      </c>
      <c r="O38" s="226"/>
      <c r="P38" s="226" t="s">
        <v>943</v>
      </c>
    </row>
    <row r="39" spans="1:16" ht="13.5" thickBot="1" x14ac:dyDescent="0.25">
      <c r="A39" s="224">
        <v>38</v>
      </c>
      <c r="B39" s="225">
        <v>1</v>
      </c>
      <c r="C39" s="226" t="s">
        <v>944</v>
      </c>
      <c r="D39" s="225">
        <v>215</v>
      </c>
      <c r="E39" s="227">
        <v>7073884</v>
      </c>
      <c r="F39" s="228">
        <v>44378</v>
      </c>
      <c r="G39" s="225">
        <v>5.5</v>
      </c>
      <c r="H39" s="228">
        <v>44951</v>
      </c>
      <c r="I39" s="230">
        <v>4.7</v>
      </c>
      <c r="J39" s="226"/>
      <c r="K39" s="226"/>
      <c r="L39" s="226"/>
      <c r="M39" s="225">
        <v>150896859307</v>
      </c>
      <c r="N39" s="225">
        <v>0</v>
      </c>
      <c r="O39" s="226"/>
      <c r="P39" s="226" t="s">
        <v>945</v>
      </c>
    </row>
    <row r="40" spans="1:16" ht="13.5" thickBot="1" x14ac:dyDescent="0.25">
      <c r="A40" s="224">
        <v>39</v>
      </c>
      <c r="B40" s="225">
        <v>1</v>
      </c>
      <c r="C40" s="226" t="s">
        <v>946</v>
      </c>
      <c r="D40" s="225">
        <v>218</v>
      </c>
      <c r="E40" s="227">
        <v>8047688</v>
      </c>
      <c r="F40" s="228">
        <v>44378</v>
      </c>
      <c r="G40" s="226"/>
      <c r="H40" s="228">
        <v>44946</v>
      </c>
      <c r="I40" s="230">
        <v>6.2</v>
      </c>
      <c r="J40" s="226"/>
      <c r="K40" s="226"/>
      <c r="L40" s="226"/>
      <c r="M40" s="225">
        <v>150689690601</v>
      </c>
      <c r="N40" s="225">
        <v>0</v>
      </c>
      <c r="O40" s="226"/>
      <c r="P40" s="226" t="s">
        <v>947</v>
      </c>
    </row>
    <row r="41" spans="1:16" ht="13.5" thickBot="1" x14ac:dyDescent="0.25">
      <c r="A41" s="224">
        <v>40</v>
      </c>
      <c r="B41" s="225">
        <v>2</v>
      </c>
      <c r="C41" s="226" t="s">
        <v>948</v>
      </c>
      <c r="D41" s="225">
        <v>220</v>
      </c>
      <c r="E41" s="227">
        <v>8047647</v>
      </c>
      <c r="F41" s="228">
        <v>44378</v>
      </c>
      <c r="G41" s="225">
        <v>10.4</v>
      </c>
      <c r="H41" s="226"/>
      <c r="I41" s="230"/>
      <c r="J41" s="226"/>
      <c r="K41" s="226"/>
      <c r="L41" s="226"/>
      <c r="M41" s="225">
        <v>150754483402</v>
      </c>
      <c r="N41" s="225">
        <v>0</v>
      </c>
      <c r="O41" s="226"/>
      <c r="P41" s="226" t="s">
        <v>949</v>
      </c>
    </row>
    <row r="42" spans="1:16" ht="13.5" thickBot="1" x14ac:dyDescent="0.25">
      <c r="A42" s="224">
        <v>41</v>
      </c>
      <c r="B42" s="225">
        <v>2</v>
      </c>
      <c r="C42" s="226" t="s">
        <v>950</v>
      </c>
      <c r="D42" s="225">
        <v>222</v>
      </c>
      <c r="E42" s="227">
        <v>6551608</v>
      </c>
      <c r="F42" s="228">
        <v>44378</v>
      </c>
      <c r="G42" s="225">
        <v>9</v>
      </c>
      <c r="H42" s="228">
        <v>44911</v>
      </c>
      <c r="I42" s="230">
        <v>7.5</v>
      </c>
      <c r="J42" s="226"/>
      <c r="K42" s="226"/>
      <c r="L42" s="226"/>
      <c r="M42" s="225">
        <v>150605966600</v>
      </c>
      <c r="N42" s="225">
        <v>0</v>
      </c>
      <c r="O42" s="226"/>
      <c r="P42" s="226" t="s">
        <v>951</v>
      </c>
    </row>
    <row r="43" spans="1:16" ht="13.5" thickBot="1" x14ac:dyDescent="0.25">
      <c r="A43" s="224">
        <v>42</v>
      </c>
      <c r="B43" s="225">
        <v>2</v>
      </c>
      <c r="C43" s="226" t="s">
        <v>952</v>
      </c>
      <c r="D43" s="225">
        <v>226</v>
      </c>
      <c r="E43" s="227">
        <v>5003922</v>
      </c>
      <c r="F43" s="228">
        <v>44392</v>
      </c>
      <c r="G43" s="225">
        <v>9.1</v>
      </c>
      <c r="H43" s="226"/>
      <c r="I43" s="230"/>
      <c r="J43" s="226"/>
      <c r="K43" s="226"/>
      <c r="L43" s="226"/>
      <c r="M43" s="225">
        <v>150297658202</v>
      </c>
      <c r="N43" s="225">
        <v>0</v>
      </c>
      <c r="O43" s="226"/>
      <c r="P43" s="226" t="s">
        <v>953</v>
      </c>
    </row>
    <row r="44" spans="1:16" ht="13.5" thickBot="1" x14ac:dyDescent="0.25">
      <c r="A44" s="224">
        <v>43</v>
      </c>
      <c r="B44" s="225">
        <v>1</v>
      </c>
      <c r="C44" s="226" t="s">
        <v>954</v>
      </c>
      <c r="D44" s="225">
        <v>230</v>
      </c>
      <c r="E44" s="227">
        <v>12363432</v>
      </c>
      <c r="F44" s="228">
        <v>44378</v>
      </c>
      <c r="G44" s="225">
        <v>9.5</v>
      </c>
      <c r="H44" s="228">
        <v>44946</v>
      </c>
      <c r="I44" s="230">
        <v>8.3000000000000007</v>
      </c>
      <c r="J44" s="226"/>
      <c r="K44" s="226"/>
      <c r="L44" s="226"/>
      <c r="M44" s="225">
        <v>150496586805</v>
      </c>
      <c r="N44" s="225">
        <v>0</v>
      </c>
      <c r="O44" s="226"/>
      <c r="P44" s="226" t="s">
        <v>955</v>
      </c>
    </row>
    <row r="45" spans="1:16" ht="13.5" thickBot="1" x14ac:dyDescent="0.25">
      <c r="A45" s="224">
        <v>44</v>
      </c>
      <c r="B45" s="225">
        <v>2</v>
      </c>
      <c r="C45" s="226" t="s">
        <v>956</v>
      </c>
      <c r="D45" s="225">
        <v>231</v>
      </c>
      <c r="E45" s="227">
        <v>4467814</v>
      </c>
      <c r="F45" s="228">
        <v>44378</v>
      </c>
      <c r="G45" s="225">
        <v>9.1</v>
      </c>
      <c r="H45" s="228">
        <v>44910</v>
      </c>
      <c r="I45" s="230">
        <v>6.9</v>
      </c>
      <c r="J45" s="226"/>
      <c r="K45" s="226"/>
      <c r="L45" s="226"/>
      <c r="M45" s="225">
        <v>150139062504</v>
      </c>
      <c r="N45" s="225">
        <v>0</v>
      </c>
      <c r="O45" s="226"/>
      <c r="P45" s="226" t="s">
        <v>957</v>
      </c>
    </row>
    <row r="46" spans="1:16" ht="13.5" thickBot="1" x14ac:dyDescent="0.25">
      <c r="A46" s="224">
        <v>45</v>
      </c>
      <c r="B46" s="225">
        <v>2</v>
      </c>
      <c r="C46" s="226" t="s">
        <v>958</v>
      </c>
      <c r="D46" s="225">
        <v>234</v>
      </c>
      <c r="E46" s="227">
        <v>8787376</v>
      </c>
      <c r="F46" s="228">
        <v>44392</v>
      </c>
      <c r="G46" s="225">
        <v>12.4</v>
      </c>
      <c r="H46" s="228">
        <v>45013</v>
      </c>
      <c r="I46" s="230">
        <v>7</v>
      </c>
      <c r="J46" s="226"/>
      <c r="K46" s="226"/>
      <c r="L46" s="226"/>
      <c r="M46" s="225">
        <v>150125191106</v>
      </c>
      <c r="N46" s="225">
        <v>0</v>
      </c>
      <c r="O46" s="226"/>
      <c r="P46" s="226" t="s">
        <v>959</v>
      </c>
    </row>
    <row r="47" spans="1:16" ht="13.5" thickBot="1" x14ac:dyDescent="0.25">
      <c r="A47" s="224">
        <v>46</v>
      </c>
      <c r="B47" s="225">
        <v>2</v>
      </c>
      <c r="C47" s="226" t="s">
        <v>960</v>
      </c>
      <c r="D47" s="225">
        <v>242</v>
      </c>
      <c r="E47" s="227">
        <v>10869963</v>
      </c>
      <c r="F47" s="228">
        <v>44378</v>
      </c>
      <c r="G47" s="225">
        <v>8</v>
      </c>
      <c r="H47" s="228">
        <v>44963</v>
      </c>
      <c r="I47" s="230">
        <v>6.7</v>
      </c>
      <c r="J47" s="228">
        <v>45014</v>
      </c>
      <c r="K47" s="225">
        <v>5.0999999999999996</v>
      </c>
      <c r="L47" s="226"/>
      <c r="M47" s="225">
        <v>150195224807</v>
      </c>
      <c r="N47" s="225">
        <v>1</v>
      </c>
      <c r="O47" s="226"/>
      <c r="P47" s="226" t="s">
        <v>961</v>
      </c>
    </row>
    <row r="48" spans="1:16" ht="13.5" thickBot="1" x14ac:dyDescent="0.25">
      <c r="A48" s="224">
        <v>47</v>
      </c>
      <c r="B48" s="225">
        <v>2</v>
      </c>
      <c r="C48" s="226" t="s">
        <v>962</v>
      </c>
      <c r="D48" s="225">
        <v>243</v>
      </c>
      <c r="E48" s="227">
        <v>4472414</v>
      </c>
      <c r="F48" s="228">
        <v>44392</v>
      </c>
      <c r="G48" s="225">
        <v>9.3000000000000007</v>
      </c>
      <c r="H48" s="228">
        <v>44958</v>
      </c>
      <c r="I48" s="230">
        <v>5.4</v>
      </c>
      <c r="J48" s="226"/>
      <c r="K48" s="226"/>
      <c r="L48" s="226"/>
      <c r="M48" s="225">
        <v>150190799101</v>
      </c>
      <c r="N48" s="225">
        <v>0</v>
      </c>
      <c r="O48" s="226"/>
      <c r="P48" s="226" t="s">
        <v>963</v>
      </c>
    </row>
    <row r="49" spans="1:16" ht="13.5" thickBot="1" x14ac:dyDescent="0.25">
      <c r="A49" s="224">
        <v>48</v>
      </c>
      <c r="B49" s="225">
        <v>1</v>
      </c>
      <c r="C49" s="226" t="s">
        <v>964</v>
      </c>
      <c r="D49" s="225">
        <v>258</v>
      </c>
      <c r="E49" s="227">
        <v>10780220</v>
      </c>
      <c r="F49" s="228">
        <v>44378</v>
      </c>
      <c r="G49" s="225">
        <v>6.5</v>
      </c>
      <c r="H49" s="228">
        <v>44942</v>
      </c>
      <c r="I49" s="230">
        <v>5.6</v>
      </c>
      <c r="J49" s="226"/>
      <c r="K49" s="226"/>
      <c r="L49" s="226"/>
      <c r="M49" s="225">
        <v>150915241500</v>
      </c>
      <c r="N49" s="225">
        <v>0</v>
      </c>
      <c r="O49" s="226"/>
      <c r="P49" s="226" t="s">
        <v>965</v>
      </c>
    </row>
    <row r="50" spans="1:16" ht="13.5" thickBot="1" x14ac:dyDescent="0.25">
      <c r="A50" s="224">
        <v>49</v>
      </c>
      <c r="B50" s="225">
        <v>1</v>
      </c>
      <c r="C50" s="226" t="s">
        <v>966</v>
      </c>
      <c r="D50" s="225">
        <v>259</v>
      </c>
      <c r="E50" s="227">
        <v>8708013</v>
      </c>
      <c r="F50" s="228">
        <v>44392</v>
      </c>
      <c r="G50" s="225">
        <v>13.3</v>
      </c>
      <c r="H50" s="228">
        <v>44942</v>
      </c>
      <c r="I50" s="230">
        <v>10.4</v>
      </c>
      <c r="J50" s="226"/>
      <c r="K50" s="226"/>
      <c r="L50" s="226"/>
      <c r="M50" s="225">
        <v>150571986600</v>
      </c>
      <c r="N50" s="225">
        <v>0</v>
      </c>
      <c r="O50" s="226"/>
      <c r="P50" s="226" t="s">
        <v>967</v>
      </c>
    </row>
    <row r="51" spans="1:16" ht="13.5" thickBot="1" x14ac:dyDescent="0.25">
      <c r="A51" s="224">
        <v>50</v>
      </c>
      <c r="B51" s="225">
        <v>2</v>
      </c>
      <c r="C51" s="226" t="s">
        <v>968</v>
      </c>
      <c r="D51" s="225">
        <v>261</v>
      </c>
      <c r="E51" s="227">
        <v>10967797</v>
      </c>
      <c r="F51" s="228">
        <v>44385</v>
      </c>
      <c r="G51" s="225">
        <v>14.4</v>
      </c>
      <c r="H51" s="228">
        <v>44908</v>
      </c>
      <c r="I51" s="230">
        <v>8.9</v>
      </c>
      <c r="J51" s="226"/>
      <c r="K51" s="226"/>
      <c r="L51" s="226"/>
      <c r="M51" s="225">
        <v>150466721907</v>
      </c>
      <c r="N51" s="225">
        <v>0</v>
      </c>
      <c r="O51" s="226"/>
      <c r="P51" s="226" t="s">
        <v>969</v>
      </c>
    </row>
    <row r="52" spans="1:16" ht="13.5" thickBot="1" x14ac:dyDescent="0.25">
      <c r="A52" s="224">
        <v>51</v>
      </c>
      <c r="B52" s="225">
        <v>1</v>
      </c>
      <c r="C52" s="226" t="s">
        <v>970</v>
      </c>
      <c r="D52" s="225">
        <v>262</v>
      </c>
      <c r="E52" s="227">
        <v>11990046</v>
      </c>
      <c r="F52" s="228">
        <v>44403</v>
      </c>
      <c r="G52" s="225">
        <v>12</v>
      </c>
      <c r="H52" s="226"/>
      <c r="I52" s="230"/>
      <c r="J52" s="226"/>
      <c r="K52" s="226"/>
      <c r="L52" s="226"/>
      <c r="M52" s="225">
        <v>150715538404</v>
      </c>
      <c r="N52" s="225">
        <v>0</v>
      </c>
      <c r="O52" s="226" t="s">
        <v>870</v>
      </c>
      <c r="P52" s="226" t="s">
        <v>971</v>
      </c>
    </row>
    <row r="53" spans="1:16" ht="13.5" thickBot="1" x14ac:dyDescent="0.25">
      <c r="A53" s="224">
        <v>52</v>
      </c>
      <c r="B53" s="225">
        <v>1</v>
      </c>
      <c r="C53" s="226" t="s">
        <v>972</v>
      </c>
      <c r="D53" s="225">
        <v>265</v>
      </c>
      <c r="E53" s="227">
        <v>11598804</v>
      </c>
      <c r="F53" s="228">
        <v>44392</v>
      </c>
      <c r="G53" s="225">
        <v>11.8</v>
      </c>
      <c r="H53" s="228">
        <v>44946</v>
      </c>
      <c r="I53" s="230">
        <v>6.5</v>
      </c>
      <c r="J53" s="226"/>
      <c r="K53" s="226"/>
      <c r="L53" s="226"/>
      <c r="M53" s="225">
        <v>465012021800</v>
      </c>
      <c r="N53" s="225">
        <v>0</v>
      </c>
      <c r="O53" s="226"/>
      <c r="P53" s="226" t="s">
        <v>973</v>
      </c>
    </row>
    <row r="54" spans="1:16" ht="13.5" thickBot="1" x14ac:dyDescent="0.25">
      <c r="A54" s="224">
        <v>53</v>
      </c>
      <c r="B54" s="225">
        <v>1</v>
      </c>
      <c r="C54" s="226" t="s">
        <v>974</v>
      </c>
      <c r="D54" s="225">
        <v>268</v>
      </c>
      <c r="E54" s="227">
        <v>6271233</v>
      </c>
      <c r="F54" s="228">
        <v>44392</v>
      </c>
      <c r="G54" s="225">
        <v>13.2</v>
      </c>
      <c r="H54" s="228">
        <v>44942</v>
      </c>
      <c r="I54" s="230">
        <v>6.6</v>
      </c>
      <c r="J54" s="226"/>
      <c r="K54" s="226"/>
      <c r="L54" s="226"/>
      <c r="M54" s="225">
        <v>150487744206</v>
      </c>
      <c r="N54" s="225">
        <v>0</v>
      </c>
      <c r="O54" s="226"/>
      <c r="P54" s="226" t="s">
        <v>975</v>
      </c>
    </row>
    <row r="55" spans="1:16" ht="13.5" thickBot="1" x14ac:dyDescent="0.25">
      <c r="A55" s="224">
        <v>54</v>
      </c>
      <c r="B55" s="225">
        <v>1</v>
      </c>
      <c r="C55" s="226" t="s">
        <v>976</v>
      </c>
      <c r="D55" s="225">
        <v>269</v>
      </c>
      <c r="E55" s="227">
        <v>5316833</v>
      </c>
      <c r="F55" s="228">
        <v>44403</v>
      </c>
      <c r="G55" s="225">
        <v>9</v>
      </c>
      <c r="H55" s="226"/>
      <c r="I55" s="230"/>
      <c r="J55" s="226"/>
      <c r="K55" s="226"/>
      <c r="L55" s="226"/>
      <c r="M55" s="225">
        <v>150812441507</v>
      </c>
      <c r="N55" s="225">
        <v>0</v>
      </c>
      <c r="O55" s="226" t="s">
        <v>870</v>
      </c>
      <c r="P55" s="226" t="s">
        <v>977</v>
      </c>
    </row>
    <row r="56" spans="1:16" ht="13.5" thickBot="1" x14ac:dyDescent="0.25">
      <c r="A56" s="224">
        <v>55</v>
      </c>
      <c r="B56" s="225">
        <v>2</v>
      </c>
      <c r="C56" s="226" t="s">
        <v>978</v>
      </c>
      <c r="D56" s="225">
        <v>270</v>
      </c>
      <c r="E56" s="227">
        <v>5323864</v>
      </c>
      <c r="F56" s="228">
        <v>44392</v>
      </c>
      <c r="G56" s="225">
        <v>8.9</v>
      </c>
      <c r="H56" s="226"/>
      <c r="I56" s="230"/>
      <c r="J56" s="226"/>
      <c r="K56" s="226"/>
      <c r="L56" s="226"/>
      <c r="M56" s="225">
        <v>150437093506</v>
      </c>
      <c r="N56" s="225">
        <v>0</v>
      </c>
      <c r="O56" s="226"/>
      <c r="P56" s="226" t="s">
        <v>979</v>
      </c>
    </row>
    <row r="57" spans="1:16" ht="13.5" thickBot="1" x14ac:dyDescent="0.25">
      <c r="A57" s="224">
        <v>56</v>
      </c>
      <c r="B57" s="225">
        <v>2</v>
      </c>
      <c r="C57" s="226" t="s">
        <v>980</v>
      </c>
      <c r="D57" s="225">
        <v>276</v>
      </c>
      <c r="E57" s="227">
        <v>5592916</v>
      </c>
      <c r="F57" s="228">
        <v>44392</v>
      </c>
      <c r="G57" s="225">
        <v>5.8</v>
      </c>
      <c r="H57" s="228">
        <v>44909</v>
      </c>
      <c r="I57" s="230">
        <v>5.7</v>
      </c>
      <c r="J57" s="226"/>
      <c r="K57" s="226"/>
      <c r="L57" s="226"/>
      <c r="M57" s="225">
        <v>150431692706</v>
      </c>
      <c r="N57" s="225">
        <v>0</v>
      </c>
      <c r="O57" s="226"/>
      <c r="P57" s="226" t="s">
        <v>981</v>
      </c>
    </row>
    <row r="58" spans="1:16" ht="13.5" thickBot="1" x14ac:dyDescent="0.25">
      <c r="A58" s="224">
        <v>57</v>
      </c>
      <c r="B58" s="225">
        <v>2</v>
      </c>
      <c r="C58" s="226" t="s">
        <v>982</v>
      </c>
      <c r="D58" s="225">
        <v>280</v>
      </c>
      <c r="E58" s="227">
        <v>7769968</v>
      </c>
      <c r="F58" s="228">
        <v>44385</v>
      </c>
      <c r="G58" s="225">
        <v>15.2</v>
      </c>
      <c r="H58" s="228">
        <v>44911</v>
      </c>
      <c r="I58" s="230">
        <v>8.5</v>
      </c>
      <c r="J58" s="226"/>
      <c r="K58" s="226"/>
      <c r="L58" s="226"/>
      <c r="M58" s="225">
        <v>150519367901</v>
      </c>
      <c r="N58" s="225">
        <v>0</v>
      </c>
      <c r="O58" s="226"/>
      <c r="P58" s="226" t="s">
        <v>983</v>
      </c>
    </row>
    <row r="59" spans="1:16" ht="13.5" thickBot="1" x14ac:dyDescent="0.25">
      <c r="A59" s="224">
        <v>58</v>
      </c>
      <c r="B59" s="225">
        <v>1</v>
      </c>
      <c r="C59" s="226" t="s">
        <v>984</v>
      </c>
      <c r="D59" s="225">
        <v>286</v>
      </c>
      <c r="E59" s="227">
        <v>5529610</v>
      </c>
      <c r="F59" s="228">
        <v>44385</v>
      </c>
      <c r="G59" s="225">
        <v>6.6</v>
      </c>
      <c r="H59" s="226"/>
      <c r="I59" s="230"/>
      <c r="J59" s="226"/>
      <c r="K59" s="226"/>
      <c r="L59" s="226"/>
      <c r="M59" s="225">
        <v>150395153803</v>
      </c>
      <c r="N59" s="225">
        <v>0</v>
      </c>
      <c r="O59" s="226"/>
      <c r="P59" s="226" t="s">
        <v>985</v>
      </c>
    </row>
    <row r="60" spans="1:16" ht="13.5" thickBot="1" x14ac:dyDescent="0.25">
      <c r="A60" s="224">
        <v>59</v>
      </c>
      <c r="B60" s="225">
        <v>1</v>
      </c>
      <c r="C60" s="226" t="s">
        <v>986</v>
      </c>
      <c r="D60" s="225">
        <v>288</v>
      </c>
      <c r="E60" s="227">
        <v>5308188</v>
      </c>
      <c r="F60" s="228">
        <v>44385</v>
      </c>
      <c r="G60" s="225">
        <v>10.8</v>
      </c>
      <c r="H60" s="226"/>
      <c r="I60" s="230"/>
      <c r="J60" s="226"/>
      <c r="K60" s="226"/>
      <c r="L60" s="226"/>
      <c r="M60" s="225">
        <v>90301584406</v>
      </c>
      <c r="N60" s="225">
        <v>0</v>
      </c>
      <c r="O60" s="226"/>
      <c r="P60" s="226" t="s">
        <v>987</v>
      </c>
    </row>
    <row r="61" spans="1:16" ht="13.5" thickBot="1" x14ac:dyDescent="0.25">
      <c r="A61" s="224">
        <v>60</v>
      </c>
      <c r="B61" s="225">
        <v>2</v>
      </c>
      <c r="C61" s="226" t="s">
        <v>988</v>
      </c>
      <c r="D61" s="225">
        <v>293</v>
      </c>
      <c r="E61" s="227">
        <v>8574848</v>
      </c>
      <c r="F61" s="228">
        <v>44385</v>
      </c>
      <c r="G61" s="225">
        <v>9.6999999999999993</v>
      </c>
      <c r="H61" s="226"/>
      <c r="I61" s="230"/>
      <c r="J61" s="226"/>
      <c r="K61" s="226"/>
      <c r="L61" s="226"/>
      <c r="M61" s="225">
        <v>150791268500</v>
      </c>
      <c r="N61" s="225">
        <v>0</v>
      </c>
      <c r="O61" s="226"/>
      <c r="P61" s="226" t="s">
        <v>989</v>
      </c>
    </row>
    <row r="62" spans="1:16" ht="13.5" thickBot="1" x14ac:dyDescent="0.25">
      <c r="A62" s="224">
        <v>61</v>
      </c>
      <c r="B62" s="225">
        <v>1</v>
      </c>
      <c r="C62" s="226" t="s">
        <v>990</v>
      </c>
      <c r="D62" s="225">
        <v>294</v>
      </c>
      <c r="E62" s="227">
        <v>93572249</v>
      </c>
      <c r="F62" s="228">
        <v>44385</v>
      </c>
      <c r="G62" s="225">
        <v>8.5</v>
      </c>
      <c r="H62" s="228">
        <v>44942</v>
      </c>
      <c r="I62" s="230">
        <v>6.1</v>
      </c>
      <c r="J62" s="226"/>
      <c r="K62" s="226"/>
      <c r="L62" s="226"/>
      <c r="M62" s="225">
        <v>150367261601</v>
      </c>
      <c r="N62" s="225">
        <v>0</v>
      </c>
      <c r="O62" s="226"/>
      <c r="P62" s="226" t="s">
        <v>991</v>
      </c>
    </row>
    <row r="63" spans="1:16" ht="13.5" thickBot="1" x14ac:dyDescent="0.25">
      <c r="A63" s="224">
        <v>62</v>
      </c>
      <c r="B63" s="225">
        <v>1</v>
      </c>
      <c r="C63" s="226" t="s">
        <v>992</v>
      </c>
      <c r="D63" s="225">
        <v>305</v>
      </c>
      <c r="E63" s="227">
        <v>93627313</v>
      </c>
      <c r="F63" s="228">
        <v>44385</v>
      </c>
      <c r="G63" s="225">
        <v>8.1</v>
      </c>
      <c r="H63" s="228">
        <v>45015</v>
      </c>
      <c r="I63" s="230">
        <v>6.2</v>
      </c>
      <c r="J63" s="226"/>
      <c r="K63" s="226"/>
      <c r="L63" s="226"/>
      <c r="M63" s="225">
        <v>150472693304</v>
      </c>
      <c r="N63" s="225">
        <v>0</v>
      </c>
      <c r="O63" s="226"/>
      <c r="P63" s="226" t="s">
        <v>993</v>
      </c>
    </row>
    <row r="64" spans="1:16" ht="13.5" thickBot="1" x14ac:dyDescent="0.25">
      <c r="A64" s="224">
        <v>63</v>
      </c>
      <c r="B64" s="225">
        <v>2</v>
      </c>
      <c r="C64" s="226" t="s">
        <v>994</v>
      </c>
      <c r="D64" s="225">
        <v>308</v>
      </c>
      <c r="E64" s="227">
        <v>5497793</v>
      </c>
      <c r="F64" s="228">
        <v>44385</v>
      </c>
      <c r="G64" s="225">
        <v>8.3000000000000007</v>
      </c>
      <c r="H64" s="226"/>
      <c r="I64" s="230"/>
      <c r="J64" s="226"/>
      <c r="K64" s="226"/>
      <c r="L64" s="226"/>
      <c r="M64" s="225">
        <v>150382435504</v>
      </c>
      <c r="N64" s="225">
        <v>0</v>
      </c>
      <c r="O64" s="226"/>
      <c r="P64" s="226" t="s">
        <v>995</v>
      </c>
    </row>
    <row r="65" spans="1:16" ht="13.5" thickBot="1" x14ac:dyDescent="0.25">
      <c r="A65" s="224">
        <v>64</v>
      </c>
      <c r="B65" s="225">
        <v>2</v>
      </c>
      <c r="C65" s="226" t="s">
        <v>996</v>
      </c>
      <c r="D65" s="225">
        <v>320</v>
      </c>
      <c r="E65" s="227">
        <v>11789003</v>
      </c>
      <c r="F65" s="228">
        <v>44385</v>
      </c>
      <c r="G65" s="225">
        <v>11.6</v>
      </c>
      <c r="H65" s="228">
        <v>45014</v>
      </c>
      <c r="I65" s="230">
        <v>7</v>
      </c>
      <c r="J65" s="226"/>
      <c r="K65" s="226"/>
      <c r="L65" s="226"/>
      <c r="M65" s="225">
        <v>150734770007</v>
      </c>
      <c r="N65" s="225">
        <v>0</v>
      </c>
      <c r="O65" s="226"/>
      <c r="P65" s="226" t="s">
        <v>997</v>
      </c>
    </row>
    <row r="66" spans="1:16" ht="13.5" thickBot="1" x14ac:dyDescent="0.25">
      <c r="A66" s="224">
        <v>65</v>
      </c>
      <c r="B66" s="225">
        <v>2</v>
      </c>
      <c r="C66" s="226" t="s">
        <v>998</v>
      </c>
      <c r="D66" s="225">
        <v>327</v>
      </c>
      <c r="E66" s="227">
        <v>11351794</v>
      </c>
      <c r="F66" s="228">
        <v>44392</v>
      </c>
      <c r="G66" s="225">
        <v>13.4</v>
      </c>
      <c r="H66" s="228">
        <v>44908</v>
      </c>
      <c r="I66" s="230">
        <v>9.9</v>
      </c>
      <c r="J66" s="226"/>
      <c r="K66" s="226"/>
      <c r="L66" s="226"/>
      <c r="M66" s="225">
        <v>150372307302</v>
      </c>
      <c r="N66" s="225">
        <v>0</v>
      </c>
      <c r="O66" s="226"/>
      <c r="P66" s="226" t="s">
        <v>999</v>
      </c>
    </row>
    <row r="67" spans="1:16" ht="13.5" thickBot="1" x14ac:dyDescent="0.25">
      <c r="A67" s="224">
        <v>66</v>
      </c>
      <c r="B67" s="225">
        <v>1</v>
      </c>
      <c r="C67" s="226" t="s">
        <v>1000</v>
      </c>
      <c r="D67" s="225">
        <v>331</v>
      </c>
      <c r="E67" s="227">
        <v>93768004</v>
      </c>
      <c r="F67" s="228">
        <v>44403</v>
      </c>
      <c r="G67" s="225">
        <v>6.3</v>
      </c>
      <c r="H67" s="226"/>
      <c r="I67" s="230"/>
      <c r="J67" s="226"/>
      <c r="K67" s="226"/>
      <c r="L67" s="226"/>
      <c r="M67" s="225">
        <v>155359300907</v>
      </c>
      <c r="N67" s="225">
        <v>0</v>
      </c>
      <c r="O67" s="226" t="s">
        <v>870</v>
      </c>
      <c r="P67" s="226" t="s">
        <v>1001</v>
      </c>
    </row>
    <row r="68" spans="1:16" ht="13.5" thickBot="1" x14ac:dyDescent="0.25">
      <c r="A68" s="224">
        <v>67</v>
      </c>
      <c r="B68" s="225">
        <v>1</v>
      </c>
      <c r="C68" s="226" t="s">
        <v>1002</v>
      </c>
      <c r="D68" s="225">
        <v>333</v>
      </c>
      <c r="E68" s="227">
        <v>8705129</v>
      </c>
      <c r="F68" s="228">
        <v>44385</v>
      </c>
      <c r="G68" s="225">
        <v>12.4</v>
      </c>
      <c r="H68" s="226"/>
      <c r="I68" s="230"/>
      <c r="J68" s="226"/>
      <c r="K68" s="226"/>
      <c r="L68" s="226"/>
      <c r="M68" s="225">
        <v>150427051706</v>
      </c>
      <c r="N68" s="225">
        <v>0</v>
      </c>
      <c r="O68" s="226"/>
      <c r="P68" s="226" t="s">
        <v>1003</v>
      </c>
    </row>
    <row r="69" spans="1:16" ht="13.5" thickBot="1" x14ac:dyDescent="0.25">
      <c r="A69" s="224">
        <v>68</v>
      </c>
      <c r="B69" s="225">
        <v>1</v>
      </c>
      <c r="C69" s="226" t="s">
        <v>1004</v>
      </c>
      <c r="D69" s="225">
        <v>334</v>
      </c>
      <c r="E69" s="227">
        <v>5320842</v>
      </c>
      <c r="F69" s="228">
        <v>44392</v>
      </c>
      <c r="G69" s="225">
        <v>7</v>
      </c>
      <c r="H69" s="226"/>
      <c r="I69" s="230"/>
      <c r="J69" s="226"/>
      <c r="K69" s="226"/>
      <c r="L69" s="226"/>
      <c r="M69" s="225">
        <v>150286990603</v>
      </c>
      <c r="N69" s="225">
        <v>0</v>
      </c>
      <c r="O69" s="226"/>
      <c r="P69" s="226" t="s">
        <v>1005</v>
      </c>
    </row>
    <row r="70" spans="1:16" ht="13.5" thickBot="1" x14ac:dyDescent="0.25">
      <c r="A70" s="224">
        <v>69</v>
      </c>
      <c r="B70" s="225">
        <v>1</v>
      </c>
      <c r="C70" s="226" t="s">
        <v>1006</v>
      </c>
      <c r="D70" s="225">
        <v>343</v>
      </c>
      <c r="E70" s="227">
        <v>93013255</v>
      </c>
      <c r="F70" s="228">
        <v>44392</v>
      </c>
      <c r="G70" s="225">
        <v>12.3</v>
      </c>
      <c r="H70" s="226"/>
      <c r="I70" s="230"/>
      <c r="J70" s="226"/>
      <c r="K70" s="226"/>
      <c r="L70" s="226"/>
      <c r="M70" s="225">
        <v>150725222503</v>
      </c>
      <c r="N70" s="225">
        <v>0</v>
      </c>
      <c r="O70" s="226"/>
      <c r="P70" s="226" t="s">
        <v>1007</v>
      </c>
    </row>
    <row r="71" spans="1:16" ht="13.5" thickBot="1" x14ac:dyDescent="0.25">
      <c r="A71" s="224">
        <v>70</v>
      </c>
      <c r="B71" s="225">
        <v>2</v>
      </c>
      <c r="C71" s="226" t="s">
        <v>1008</v>
      </c>
      <c r="D71" s="225">
        <v>346</v>
      </c>
      <c r="E71" s="227">
        <v>11816018</v>
      </c>
      <c r="F71" s="228">
        <v>44385</v>
      </c>
      <c r="G71" s="225">
        <v>5.6</v>
      </c>
      <c r="H71" s="228">
        <v>44930</v>
      </c>
      <c r="I71" s="230">
        <v>4.5</v>
      </c>
      <c r="J71" s="226"/>
      <c r="K71" s="226"/>
      <c r="L71" s="226"/>
      <c r="M71" s="225">
        <v>150794979205</v>
      </c>
      <c r="N71" s="225">
        <v>0</v>
      </c>
      <c r="O71" s="226"/>
      <c r="P71" s="226" t="s">
        <v>1009</v>
      </c>
    </row>
    <row r="72" spans="1:16" ht="13.5" thickBot="1" x14ac:dyDescent="0.25">
      <c r="A72" s="224">
        <v>71</v>
      </c>
      <c r="B72" s="225">
        <v>2</v>
      </c>
      <c r="C72" s="226" t="s">
        <v>1010</v>
      </c>
      <c r="D72" s="225">
        <v>347</v>
      </c>
      <c r="E72" s="227">
        <v>92123617</v>
      </c>
      <c r="F72" s="228">
        <v>44403</v>
      </c>
      <c r="G72" s="225">
        <v>8.8000000000000007</v>
      </c>
      <c r="H72" s="226"/>
      <c r="I72" s="230"/>
      <c r="J72" s="226"/>
      <c r="K72" s="226"/>
      <c r="L72" s="226"/>
      <c r="M72" s="225">
        <v>150483027304</v>
      </c>
      <c r="N72" s="225">
        <v>0</v>
      </c>
      <c r="O72" s="226" t="s">
        <v>870</v>
      </c>
      <c r="P72" s="226" t="s">
        <v>1011</v>
      </c>
    </row>
    <row r="73" spans="1:16" ht="13.5" thickBot="1" x14ac:dyDescent="0.25">
      <c r="A73" s="224">
        <v>72</v>
      </c>
      <c r="B73" s="225">
        <v>1</v>
      </c>
      <c r="C73" s="226" t="s">
        <v>1012</v>
      </c>
      <c r="D73" s="225">
        <v>348</v>
      </c>
      <c r="E73" s="227">
        <v>10592923</v>
      </c>
      <c r="F73" s="228">
        <v>44403</v>
      </c>
      <c r="G73" s="225">
        <v>10.6</v>
      </c>
      <c r="H73" s="228">
        <v>44942</v>
      </c>
      <c r="I73" s="230">
        <v>10.7</v>
      </c>
      <c r="J73" s="226"/>
      <c r="K73" s="226"/>
      <c r="L73" s="226"/>
      <c r="M73" s="225">
        <v>150579654104</v>
      </c>
      <c r="N73" s="225">
        <v>0</v>
      </c>
      <c r="O73" s="226" t="s">
        <v>870</v>
      </c>
      <c r="P73" s="226" t="s">
        <v>1013</v>
      </c>
    </row>
    <row r="74" spans="1:16" ht="13.5" thickBot="1" x14ac:dyDescent="0.25">
      <c r="A74" s="224">
        <v>73</v>
      </c>
      <c r="B74" s="225">
        <v>2</v>
      </c>
      <c r="C74" s="226" t="s">
        <v>1014</v>
      </c>
      <c r="D74" s="225">
        <v>350</v>
      </c>
      <c r="E74" s="227">
        <v>6516801</v>
      </c>
      <c r="F74" s="228">
        <v>44413</v>
      </c>
      <c r="G74" s="225">
        <v>13.5</v>
      </c>
      <c r="H74" s="228">
        <v>44914</v>
      </c>
      <c r="I74" s="230">
        <v>6.2</v>
      </c>
      <c r="J74" s="226"/>
      <c r="K74" s="226"/>
      <c r="L74" s="226"/>
      <c r="M74" s="225">
        <v>150421127306</v>
      </c>
      <c r="N74" s="225">
        <v>0</v>
      </c>
      <c r="O74" s="226"/>
      <c r="P74" s="226" t="s">
        <v>1015</v>
      </c>
    </row>
    <row r="75" spans="1:16" ht="13.5" thickBot="1" x14ac:dyDescent="0.25">
      <c r="A75" s="224">
        <v>74</v>
      </c>
      <c r="B75" s="225">
        <v>1</v>
      </c>
      <c r="C75" s="226" t="s">
        <v>1016</v>
      </c>
      <c r="D75" s="225">
        <v>353</v>
      </c>
      <c r="E75" s="227">
        <v>10757934</v>
      </c>
      <c r="F75" s="228">
        <v>44385</v>
      </c>
      <c r="G75" s="225">
        <v>7.6</v>
      </c>
      <c r="H75" s="228">
        <v>44942</v>
      </c>
      <c r="I75" s="230">
        <v>5.5</v>
      </c>
      <c r="J75" s="226"/>
      <c r="K75" s="226"/>
      <c r="L75" s="225">
        <v>7.3</v>
      </c>
      <c r="M75" s="225">
        <v>150731925508</v>
      </c>
      <c r="N75" s="225">
        <v>0</v>
      </c>
      <c r="O75" s="226"/>
      <c r="P75" s="226" t="s">
        <v>1017</v>
      </c>
    </row>
    <row r="76" spans="1:16" ht="13.5" thickBot="1" x14ac:dyDescent="0.25">
      <c r="A76" s="224">
        <v>75</v>
      </c>
      <c r="B76" s="225">
        <v>2</v>
      </c>
      <c r="C76" s="226" t="s">
        <v>1018</v>
      </c>
      <c r="D76" s="225">
        <v>355</v>
      </c>
      <c r="E76" s="227">
        <v>6144177</v>
      </c>
      <c r="F76" s="228">
        <v>44392</v>
      </c>
      <c r="G76" s="225">
        <v>10.1</v>
      </c>
      <c r="H76" s="228">
        <v>45007</v>
      </c>
      <c r="I76" s="230">
        <v>6.8</v>
      </c>
      <c r="J76" s="226"/>
      <c r="K76" s="226"/>
      <c r="L76" s="226"/>
      <c r="M76" s="225">
        <v>155524783401</v>
      </c>
      <c r="N76" s="225">
        <v>0</v>
      </c>
      <c r="O76" s="226"/>
      <c r="P76" s="226" t="s">
        <v>1019</v>
      </c>
    </row>
    <row r="77" spans="1:16" ht="13.5" thickBot="1" x14ac:dyDescent="0.25">
      <c r="A77" s="224">
        <v>76</v>
      </c>
      <c r="B77" s="225">
        <v>1</v>
      </c>
      <c r="C77" s="226" t="s">
        <v>1020</v>
      </c>
      <c r="D77" s="225">
        <v>358</v>
      </c>
      <c r="E77" s="227">
        <v>5153636</v>
      </c>
      <c r="F77" s="228">
        <v>44385</v>
      </c>
      <c r="G77" s="225">
        <v>8.8000000000000007</v>
      </c>
      <c r="H77" s="226"/>
      <c r="I77" s="230"/>
      <c r="J77" s="226"/>
      <c r="K77" s="226"/>
      <c r="L77" s="226"/>
      <c r="M77" s="225">
        <v>150624728504</v>
      </c>
      <c r="N77" s="225">
        <v>0</v>
      </c>
      <c r="O77" s="226"/>
      <c r="P77" s="226" t="s">
        <v>1021</v>
      </c>
    </row>
    <row r="78" spans="1:16" ht="13.5" thickBot="1" x14ac:dyDescent="0.25">
      <c r="A78" s="224">
        <v>77</v>
      </c>
      <c r="B78" s="225">
        <v>2</v>
      </c>
      <c r="C78" s="226" t="s">
        <v>1022</v>
      </c>
      <c r="D78" s="225">
        <v>359</v>
      </c>
      <c r="E78" s="227">
        <v>8037762</v>
      </c>
      <c r="F78" s="228">
        <v>44392</v>
      </c>
      <c r="G78" s="225">
        <v>10.5</v>
      </c>
      <c r="H78" s="228">
        <v>44909</v>
      </c>
      <c r="I78" s="230">
        <v>7.6</v>
      </c>
      <c r="J78" s="226"/>
      <c r="K78" s="226"/>
      <c r="L78" s="226"/>
      <c r="M78" s="225">
        <v>150689830108</v>
      </c>
      <c r="N78" s="225">
        <v>0</v>
      </c>
      <c r="O78" s="226"/>
      <c r="P78" s="226" t="s">
        <v>1023</v>
      </c>
    </row>
    <row r="79" spans="1:16" ht="13.5" thickBot="1" x14ac:dyDescent="0.25">
      <c r="A79" s="224">
        <v>78</v>
      </c>
      <c r="B79" s="225">
        <v>2</v>
      </c>
      <c r="C79" s="226" t="s">
        <v>1024</v>
      </c>
      <c r="D79" s="225">
        <v>367</v>
      </c>
      <c r="E79" s="227">
        <v>5214687</v>
      </c>
      <c r="F79" s="228">
        <v>44392</v>
      </c>
      <c r="G79" s="225">
        <v>7.5</v>
      </c>
      <c r="H79" s="228">
        <v>45016</v>
      </c>
      <c r="I79" s="230">
        <v>5.9</v>
      </c>
      <c r="J79" s="226"/>
      <c r="K79" s="226"/>
      <c r="L79" s="226"/>
      <c r="M79" s="225">
        <v>150336706007</v>
      </c>
      <c r="N79" s="225">
        <v>0</v>
      </c>
      <c r="O79" s="226"/>
      <c r="P79" s="226" t="s">
        <v>1025</v>
      </c>
    </row>
    <row r="80" spans="1:16" ht="13.5" thickBot="1" x14ac:dyDescent="0.25">
      <c r="A80" s="224">
        <v>79</v>
      </c>
      <c r="B80" s="225">
        <v>1</v>
      </c>
      <c r="C80" s="226" t="s">
        <v>1026</v>
      </c>
      <c r="D80" s="225">
        <v>369</v>
      </c>
      <c r="E80" s="227">
        <v>11490083</v>
      </c>
      <c r="F80" s="228">
        <v>44385</v>
      </c>
      <c r="G80" s="225">
        <v>14.4</v>
      </c>
      <c r="H80" s="226"/>
      <c r="I80" s="230"/>
      <c r="J80" s="226"/>
      <c r="K80" s="226"/>
      <c r="L80" s="226"/>
      <c r="M80" s="225">
        <v>155086873609</v>
      </c>
      <c r="N80" s="225">
        <v>0</v>
      </c>
      <c r="O80" s="226"/>
      <c r="P80" s="226" t="s">
        <v>1027</v>
      </c>
    </row>
    <row r="81" spans="1:16" ht="13.5" thickBot="1" x14ac:dyDescent="0.25">
      <c r="A81" s="224">
        <v>80</v>
      </c>
      <c r="B81" s="225">
        <v>2</v>
      </c>
      <c r="C81" s="226" t="s">
        <v>1028</v>
      </c>
      <c r="D81" s="225">
        <v>377</v>
      </c>
      <c r="E81" s="227">
        <v>1913591</v>
      </c>
      <c r="F81" s="228">
        <v>44392</v>
      </c>
      <c r="G81" s="225">
        <v>9.1</v>
      </c>
      <c r="H81" s="226"/>
      <c r="I81" s="230"/>
      <c r="J81" s="226"/>
      <c r="K81" s="226"/>
      <c r="L81" s="226"/>
      <c r="M81" s="225">
        <v>150109510105</v>
      </c>
      <c r="N81" s="225">
        <v>0</v>
      </c>
      <c r="O81" s="226"/>
      <c r="P81" s="226" t="s">
        <v>1029</v>
      </c>
    </row>
    <row r="82" spans="1:16" ht="13.5" thickBot="1" x14ac:dyDescent="0.25">
      <c r="A82" s="224">
        <v>81</v>
      </c>
      <c r="B82" s="225">
        <v>1</v>
      </c>
      <c r="C82" s="226" t="s">
        <v>1030</v>
      </c>
      <c r="D82" s="225">
        <v>379</v>
      </c>
      <c r="E82" s="227">
        <v>3874623</v>
      </c>
      <c r="F82" s="228">
        <v>44385</v>
      </c>
      <c r="G82" s="225">
        <v>10.7</v>
      </c>
      <c r="H82" s="226"/>
      <c r="I82" s="230"/>
      <c r="J82" s="226"/>
      <c r="K82" s="226"/>
      <c r="L82" s="226"/>
      <c r="M82" s="225">
        <v>150230428804</v>
      </c>
      <c r="N82" s="225">
        <v>0</v>
      </c>
      <c r="O82" s="226"/>
      <c r="P82" s="226" t="s">
        <v>1031</v>
      </c>
    </row>
    <row r="83" spans="1:16" ht="13.5" thickBot="1" x14ac:dyDescent="0.25">
      <c r="A83" s="224">
        <v>82</v>
      </c>
      <c r="B83" s="225">
        <v>1</v>
      </c>
      <c r="C83" s="226" t="s">
        <v>1032</v>
      </c>
      <c r="D83" s="225">
        <v>381</v>
      </c>
      <c r="E83" s="227">
        <v>93731918</v>
      </c>
      <c r="F83" s="228">
        <v>44385</v>
      </c>
      <c r="G83" s="225">
        <v>8.6999999999999993</v>
      </c>
      <c r="H83" s="226"/>
      <c r="I83" s="230"/>
      <c r="J83" s="226"/>
      <c r="K83" s="226"/>
      <c r="L83" s="226"/>
      <c r="M83" s="225">
        <v>150705172809</v>
      </c>
      <c r="N83" s="225">
        <v>0</v>
      </c>
      <c r="O83" s="226"/>
      <c r="P83" s="226" t="s">
        <v>1033</v>
      </c>
    </row>
    <row r="84" spans="1:16" ht="13.5" thickBot="1" x14ac:dyDescent="0.25">
      <c r="A84" s="224">
        <v>83</v>
      </c>
      <c r="B84" s="225">
        <v>1</v>
      </c>
      <c r="C84" s="226" t="s">
        <v>1034</v>
      </c>
      <c r="D84" s="225">
        <v>382</v>
      </c>
      <c r="E84" s="227">
        <v>6518236</v>
      </c>
      <c r="F84" s="228">
        <v>44385</v>
      </c>
      <c r="G84" s="225">
        <v>7.4</v>
      </c>
      <c r="H84" s="226"/>
      <c r="I84" s="230"/>
      <c r="J84" s="226"/>
      <c r="K84" s="226"/>
      <c r="L84" s="225">
        <v>6</v>
      </c>
      <c r="M84" s="225">
        <v>150687307609</v>
      </c>
      <c r="N84" s="225">
        <v>0</v>
      </c>
      <c r="O84" s="226"/>
      <c r="P84" s="226" t="s">
        <v>1035</v>
      </c>
    </row>
    <row r="85" spans="1:16" ht="13.5" thickBot="1" x14ac:dyDescent="0.25">
      <c r="A85" s="224">
        <v>84</v>
      </c>
      <c r="B85" s="225">
        <v>2</v>
      </c>
      <c r="C85" s="226" t="s">
        <v>1036</v>
      </c>
      <c r="D85" s="225">
        <v>390</v>
      </c>
      <c r="E85" s="227">
        <v>18686510</v>
      </c>
      <c r="F85" s="228">
        <v>44403</v>
      </c>
      <c r="G85" s="225">
        <v>8.6999999999999993</v>
      </c>
      <c r="H85" s="228">
        <v>44930</v>
      </c>
      <c r="I85" s="230">
        <v>7.4</v>
      </c>
      <c r="J85" s="226"/>
      <c r="K85" s="226"/>
      <c r="L85" s="226"/>
      <c r="M85" s="225">
        <v>150551267209</v>
      </c>
      <c r="N85" s="225">
        <v>0</v>
      </c>
      <c r="O85" s="226" t="s">
        <v>870</v>
      </c>
      <c r="P85" s="226" t="s">
        <v>1037</v>
      </c>
    </row>
    <row r="86" spans="1:16" ht="13.5" thickBot="1" x14ac:dyDescent="0.25">
      <c r="A86" s="224">
        <v>85</v>
      </c>
      <c r="B86" s="225">
        <v>1</v>
      </c>
      <c r="C86" s="226" t="s">
        <v>1038</v>
      </c>
      <c r="D86" s="225">
        <v>393</v>
      </c>
      <c r="E86" s="227">
        <v>8209420</v>
      </c>
      <c r="F86" s="228">
        <v>44385</v>
      </c>
      <c r="G86" s="225">
        <v>12.5</v>
      </c>
      <c r="H86" s="228">
        <v>44946</v>
      </c>
      <c r="I86" s="230">
        <v>10.3</v>
      </c>
      <c r="J86" s="226"/>
      <c r="K86" s="226"/>
      <c r="L86" s="226"/>
      <c r="M86" s="225">
        <v>150683171501</v>
      </c>
      <c r="N86" s="225">
        <v>0</v>
      </c>
      <c r="O86" s="226"/>
      <c r="P86" s="226" t="s">
        <v>1039</v>
      </c>
    </row>
    <row r="87" spans="1:16" ht="13.5" thickBot="1" x14ac:dyDescent="0.25">
      <c r="A87" s="224">
        <v>86</v>
      </c>
      <c r="B87" s="225">
        <v>2</v>
      </c>
      <c r="C87" s="226" t="s">
        <v>1040</v>
      </c>
      <c r="D87" s="225">
        <v>398</v>
      </c>
      <c r="E87" s="227">
        <v>5324011</v>
      </c>
      <c r="F87" s="228">
        <v>44385</v>
      </c>
      <c r="G87" s="225">
        <v>6.8</v>
      </c>
      <c r="H87" s="226"/>
      <c r="I87" s="230"/>
      <c r="J87" s="226"/>
      <c r="K87" s="226"/>
      <c r="L87" s="226"/>
      <c r="M87" s="225">
        <v>150364192904</v>
      </c>
      <c r="N87" s="225">
        <v>0</v>
      </c>
      <c r="O87" s="226"/>
      <c r="P87" s="226" t="s">
        <v>1041</v>
      </c>
    </row>
    <row r="88" spans="1:16" ht="13.5" thickBot="1" x14ac:dyDescent="0.25">
      <c r="A88" s="224">
        <v>87</v>
      </c>
      <c r="B88" s="225">
        <v>2</v>
      </c>
      <c r="C88" s="226" t="s">
        <v>1042</v>
      </c>
      <c r="D88" s="225">
        <v>399</v>
      </c>
      <c r="E88" s="227">
        <v>8293539</v>
      </c>
      <c r="F88" s="228">
        <v>44413</v>
      </c>
      <c r="G88" s="225">
        <v>9.3000000000000007</v>
      </c>
      <c r="H88" s="228">
        <v>44911</v>
      </c>
      <c r="I88" s="230">
        <v>6.5</v>
      </c>
      <c r="J88" s="226"/>
      <c r="K88" s="226"/>
      <c r="L88" s="226"/>
      <c r="M88" s="225">
        <v>150359791105</v>
      </c>
      <c r="N88" s="225">
        <v>1</v>
      </c>
      <c r="O88" s="226"/>
      <c r="P88" s="226" t="s">
        <v>1043</v>
      </c>
    </row>
    <row r="89" spans="1:16" ht="13.5" thickBot="1" x14ac:dyDescent="0.25">
      <c r="A89" s="224">
        <v>88</v>
      </c>
      <c r="B89" s="225">
        <v>1</v>
      </c>
      <c r="C89" s="226" t="s">
        <v>1044</v>
      </c>
      <c r="D89" s="225">
        <v>419</v>
      </c>
      <c r="E89" s="227">
        <v>4558175</v>
      </c>
      <c r="F89" s="228">
        <v>44385</v>
      </c>
      <c r="G89" s="225">
        <v>11.7</v>
      </c>
      <c r="H89" s="228">
        <v>44942</v>
      </c>
      <c r="I89" s="230">
        <v>8.6999999999999993</v>
      </c>
      <c r="J89" s="226"/>
      <c r="K89" s="226"/>
      <c r="L89" s="226"/>
      <c r="M89" s="225">
        <v>150530037800</v>
      </c>
      <c r="N89" s="225">
        <v>0</v>
      </c>
      <c r="O89" s="226"/>
      <c r="P89" s="226" t="s">
        <v>1045</v>
      </c>
    </row>
    <row r="90" spans="1:16" ht="13.5" thickBot="1" x14ac:dyDescent="0.25">
      <c r="A90" s="224">
        <v>89</v>
      </c>
      <c r="B90" s="225">
        <v>1</v>
      </c>
      <c r="C90" s="226" t="s">
        <v>1046</v>
      </c>
      <c r="D90" s="225">
        <v>425</v>
      </c>
      <c r="E90" s="227">
        <v>13926564</v>
      </c>
      <c r="F90" s="228">
        <v>44385</v>
      </c>
      <c r="G90" s="225">
        <v>9.4</v>
      </c>
      <c r="H90" s="228">
        <v>45016</v>
      </c>
      <c r="I90" s="230">
        <v>7</v>
      </c>
      <c r="J90" s="226"/>
      <c r="K90" s="226"/>
      <c r="L90" s="226"/>
      <c r="M90" s="225">
        <v>155474411100</v>
      </c>
      <c r="N90" s="225">
        <v>0</v>
      </c>
      <c r="O90" s="226"/>
      <c r="P90" s="226" t="s">
        <v>1047</v>
      </c>
    </row>
    <row r="91" spans="1:16" ht="13.5" thickBot="1" x14ac:dyDescent="0.25">
      <c r="A91" s="224">
        <v>90</v>
      </c>
      <c r="B91" s="225">
        <v>1</v>
      </c>
      <c r="C91" s="226" t="s">
        <v>1048</v>
      </c>
      <c r="D91" s="225">
        <v>431</v>
      </c>
      <c r="E91" s="227">
        <v>11213629</v>
      </c>
      <c r="F91" s="228">
        <v>44371</v>
      </c>
      <c r="G91" s="225">
        <v>9.6</v>
      </c>
      <c r="H91" s="228">
        <v>44949</v>
      </c>
      <c r="I91" s="230">
        <v>7.4</v>
      </c>
      <c r="J91" s="226"/>
      <c r="K91" s="226"/>
      <c r="L91" s="226"/>
      <c r="M91" s="225">
        <v>150995606000</v>
      </c>
      <c r="N91" s="225">
        <v>1</v>
      </c>
      <c r="O91" s="226"/>
      <c r="P91" s="226" t="s">
        <v>1049</v>
      </c>
    </row>
    <row r="92" spans="1:16" ht="13.5" thickBot="1" x14ac:dyDescent="0.25">
      <c r="A92" s="224">
        <v>91</v>
      </c>
      <c r="B92" s="225">
        <v>2</v>
      </c>
      <c r="C92" s="226" t="s">
        <v>1050</v>
      </c>
      <c r="D92" s="225">
        <v>432</v>
      </c>
      <c r="E92" s="227">
        <v>10665370</v>
      </c>
      <c r="F92" s="228">
        <v>44441</v>
      </c>
      <c r="G92" s="225">
        <v>9.6999999999999993</v>
      </c>
      <c r="H92" s="226"/>
      <c r="I92" s="230"/>
      <c r="J92" s="226"/>
      <c r="K92" s="226"/>
      <c r="L92" s="226"/>
      <c r="M92" s="225">
        <v>150729131103</v>
      </c>
      <c r="N92" s="225">
        <v>0</v>
      </c>
      <c r="O92" s="226"/>
      <c r="P92" s="226" t="s">
        <v>1051</v>
      </c>
    </row>
    <row r="93" spans="1:16" ht="13.5" thickBot="1" x14ac:dyDescent="0.25">
      <c r="A93" s="224">
        <v>92</v>
      </c>
      <c r="B93" s="225">
        <v>2</v>
      </c>
      <c r="C93" s="226" t="s">
        <v>1052</v>
      </c>
      <c r="D93" s="225">
        <v>433</v>
      </c>
      <c r="E93" s="227">
        <v>11351066</v>
      </c>
      <c r="F93" s="228">
        <v>44392</v>
      </c>
      <c r="G93" s="225">
        <v>6.2</v>
      </c>
      <c r="H93" s="228">
        <v>44911</v>
      </c>
      <c r="I93" s="230">
        <v>5.7</v>
      </c>
      <c r="J93" s="226"/>
      <c r="K93" s="226"/>
      <c r="L93" s="226"/>
      <c r="M93" s="225">
        <v>150733152607</v>
      </c>
      <c r="N93" s="225">
        <v>0</v>
      </c>
      <c r="O93" s="226"/>
      <c r="P93" s="226" t="s">
        <v>1053</v>
      </c>
    </row>
    <row r="94" spans="1:16" ht="13.5" thickBot="1" x14ac:dyDescent="0.25">
      <c r="A94" s="224">
        <v>93</v>
      </c>
      <c r="B94" s="225">
        <v>1</v>
      </c>
      <c r="C94" s="226" t="s">
        <v>1054</v>
      </c>
      <c r="D94" s="225">
        <v>436</v>
      </c>
      <c r="E94" s="227">
        <v>10098697</v>
      </c>
      <c r="F94" s="228">
        <v>44392</v>
      </c>
      <c r="G94" s="225">
        <v>10.3</v>
      </c>
      <c r="H94" s="228">
        <v>44946</v>
      </c>
      <c r="I94" s="230">
        <v>10.199999999999999</v>
      </c>
      <c r="J94" s="226"/>
      <c r="K94" s="226"/>
      <c r="L94" s="226"/>
      <c r="M94" s="225">
        <v>150604853302</v>
      </c>
      <c r="N94" s="225">
        <v>1</v>
      </c>
      <c r="O94" s="226"/>
      <c r="P94" s="226" t="s">
        <v>1055</v>
      </c>
    </row>
    <row r="95" spans="1:16" ht="13.5" thickBot="1" x14ac:dyDescent="0.25">
      <c r="A95" s="224">
        <v>94</v>
      </c>
      <c r="B95" s="225">
        <v>1</v>
      </c>
      <c r="C95" s="226" t="s">
        <v>1056</v>
      </c>
      <c r="D95" s="225">
        <v>439</v>
      </c>
      <c r="E95" s="227">
        <v>93957937</v>
      </c>
      <c r="F95" s="228">
        <v>44392</v>
      </c>
      <c r="G95" s="225">
        <v>15.4</v>
      </c>
      <c r="H95" s="228">
        <v>44946</v>
      </c>
      <c r="I95" s="230">
        <v>7.7</v>
      </c>
      <c r="J95" s="226"/>
      <c r="K95" s="226"/>
      <c r="L95" s="226"/>
      <c r="M95" s="225">
        <v>150275717601</v>
      </c>
      <c r="N95" s="225">
        <v>1</v>
      </c>
      <c r="O95" s="226"/>
      <c r="P95" s="226" t="s">
        <v>1057</v>
      </c>
    </row>
    <row r="96" spans="1:16" ht="13.5" thickBot="1" x14ac:dyDescent="0.25">
      <c r="A96" s="224">
        <v>95</v>
      </c>
      <c r="B96" s="225">
        <v>2</v>
      </c>
      <c r="C96" s="226" t="s">
        <v>1058</v>
      </c>
      <c r="D96" s="225">
        <v>442</v>
      </c>
      <c r="E96" s="227">
        <v>11772216</v>
      </c>
      <c r="F96" s="228">
        <v>44403</v>
      </c>
      <c r="G96" s="225">
        <v>11.7</v>
      </c>
      <c r="H96" s="226"/>
      <c r="I96" s="230"/>
      <c r="J96" s="226"/>
      <c r="K96" s="226"/>
      <c r="L96" s="226"/>
      <c r="M96" s="225">
        <v>150734763502</v>
      </c>
      <c r="N96" s="225">
        <v>0</v>
      </c>
      <c r="O96" s="226" t="s">
        <v>870</v>
      </c>
      <c r="P96" s="226" t="s">
        <v>1059</v>
      </c>
    </row>
    <row r="97" spans="1:16" ht="13.5" thickBot="1" x14ac:dyDescent="0.25">
      <c r="A97" s="224">
        <v>96</v>
      </c>
      <c r="B97" s="225">
        <v>1</v>
      </c>
      <c r="C97" s="226" t="s">
        <v>1060</v>
      </c>
      <c r="D97" s="225">
        <v>449</v>
      </c>
      <c r="E97" s="227">
        <v>10227303</v>
      </c>
      <c r="F97" s="228">
        <v>44403</v>
      </c>
      <c r="G97" s="225">
        <v>9.8000000000000007</v>
      </c>
      <c r="H97" s="228">
        <v>44942</v>
      </c>
      <c r="I97" s="230">
        <v>7.8</v>
      </c>
      <c r="J97" s="226"/>
      <c r="K97" s="226"/>
      <c r="L97" s="226"/>
      <c r="M97" s="225">
        <v>150494780105</v>
      </c>
      <c r="N97" s="225">
        <v>0</v>
      </c>
      <c r="O97" s="226" t="s">
        <v>870</v>
      </c>
      <c r="P97" s="226" t="s">
        <v>1061</v>
      </c>
    </row>
    <row r="98" spans="1:16" ht="13.5" thickBot="1" x14ac:dyDescent="0.25">
      <c r="A98" s="224">
        <v>97</v>
      </c>
      <c r="B98" s="225">
        <v>1</v>
      </c>
      <c r="C98" s="226" t="s">
        <v>1062</v>
      </c>
      <c r="D98" s="225">
        <v>450</v>
      </c>
      <c r="E98" s="227">
        <v>7704213</v>
      </c>
      <c r="F98" s="228">
        <v>44392</v>
      </c>
      <c r="G98" s="225">
        <v>8.1</v>
      </c>
      <c r="H98" s="228">
        <v>44951</v>
      </c>
      <c r="I98" s="230">
        <v>5.8</v>
      </c>
      <c r="J98" s="226"/>
      <c r="K98" s="226"/>
      <c r="L98" s="226"/>
      <c r="M98" s="225">
        <v>150403808802</v>
      </c>
      <c r="N98" s="225">
        <v>0</v>
      </c>
      <c r="O98" s="226"/>
      <c r="P98" s="226" t="s">
        <v>1063</v>
      </c>
    </row>
    <row r="99" spans="1:16" ht="13.5" thickBot="1" x14ac:dyDescent="0.25">
      <c r="A99" s="224">
        <v>98</v>
      </c>
      <c r="B99" s="225">
        <v>2</v>
      </c>
      <c r="C99" s="226" t="s">
        <v>1064</v>
      </c>
      <c r="D99" s="225">
        <v>459</v>
      </c>
      <c r="E99" s="227">
        <v>8293503</v>
      </c>
      <c r="F99" s="228">
        <v>44403</v>
      </c>
      <c r="G99" s="225">
        <v>11.8</v>
      </c>
      <c r="H99" s="228">
        <v>44963</v>
      </c>
      <c r="I99" s="230">
        <v>9.1999999999999993</v>
      </c>
      <c r="J99" s="228">
        <v>45016</v>
      </c>
      <c r="K99" s="226" t="s">
        <v>1065</v>
      </c>
      <c r="L99" s="226"/>
      <c r="M99" s="225">
        <v>150734147802</v>
      </c>
      <c r="N99" s="225">
        <v>0</v>
      </c>
      <c r="O99" s="226" t="s">
        <v>870</v>
      </c>
      <c r="P99" s="226" t="s">
        <v>1066</v>
      </c>
    </row>
    <row r="100" spans="1:16" ht="13.5" thickBot="1" x14ac:dyDescent="0.25">
      <c r="A100" s="224">
        <v>99</v>
      </c>
      <c r="B100" s="225">
        <v>1</v>
      </c>
      <c r="C100" s="226" t="s">
        <v>1067</v>
      </c>
      <c r="D100" s="225">
        <v>460</v>
      </c>
      <c r="E100" s="227">
        <v>6216339</v>
      </c>
      <c r="F100" s="228">
        <v>44403</v>
      </c>
      <c r="G100" s="225">
        <v>11.3</v>
      </c>
      <c r="H100" s="228">
        <v>45014</v>
      </c>
      <c r="I100" s="230">
        <v>8.1</v>
      </c>
      <c r="J100" s="226"/>
      <c r="K100" s="226"/>
      <c r="L100" s="226"/>
      <c r="M100" s="225">
        <v>150602957509</v>
      </c>
      <c r="N100" s="225">
        <v>0</v>
      </c>
      <c r="O100" s="226" t="s">
        <v>870</v>
      </c>
      <c r="P100" s="226" t="s">
        <v>1068</v>
      </c>
    </row>
    <row r="101" spans="1:16" ht="13.5" thickBot="1" x14ac:dyDescent="0.25">
      <c r="A101" s="224">
        <v>100</v>
      </c>
      <c r="B101" s="225">
        <v>1</v>
      </c>
      <c r="C101" s="226" t="s">
        <v>1069</v>
      </c>
      <c r="D101" s="225">
        <v>461</v>
      </c>
      <c r="E101" s="227">
        <v>11615241</v>
      </c>
      <c r="F101" s="228">
        <v>44403</v>
      </c>
      <c r="G101" s="225">
        <v>15.8</v>
      </c>
      <c r="H101" s="228">
        <v>44946</v>
      </c>
      <c r="I101" s="230">
        <v>6.6</v>
      </c>
      <c r="J101" s="226"/>
      <c r="K101" s="226"/>
      <c r="L101" s="226"/>
      <c r="M101" s="225">
        <v>150726602602</v>
      </c>
      <c r="N101" s="225">
        <v>0</v>
      </c>
      <c r="O101" s="226" t="s">
        <v>870</v>
      </c>
      <c r="P101" s="226" t="s">
        <v>1070</v>
      </c>
    </row>
    <row r="102" spans="1:16" ht="13.5" thickBot="1" x14ac:dyDescent="0.25">
      <c r="A102" s="224">
        <v>101</v>
      </c>
      <c r="B102" s="225">
        <v>1</v>
      </c>
      <c r="C102" s="226" t="s">
        <v>1071</v>
      </c>
      <c r="D102" s="225">
        <v>473</v>
      </c>
      <c r="E102" s="227">
        <v>10262731</v>
      </c>
      <c r="F102" s="228">
        <v>44392</v>
      </c>
      <c r="G102" s="225">
        <v>6.3</v>
      </c>
      <c r="H102" s="228">
        <v>44949</v>
      </c>
      <c r="I102" s="230">
        <v>5.9</v>
      </c>
      <c r="J102" s="226"/>
      <c r="K102" s="226"/>
      <c r="L102" s="226"/>
      <c r="M102" s="225">
        <v>150532072303</v>
      </c>
      <c r="N102" s="225">
        <v>0</v>
      </c>
      <c r="O102" s="226"/>
      <c r="P102" s="226" t="s">
        <v>1072</v>
      </c>
    </row>
    <row r="103" spans="1:16" ht="13.5" thickBot="1" x14ac:dyDescent="0.25">
      <c r="A103" s="224">
        <v>102</v>
      </c>
      <c r="B103" s="225">
        <v>2</v>
      </c>
      <c r="C103" s="226" t="s">
        <v>1073</v>
      </c>
      <c r="D103" s="225">
        <v>474</v>
      </c>
      <c r="E103" s="227">
        <v>9982956</v>
      </c>
      <c r="F103" s="228">
        <v>44413</v>
      </c>
      <c r="G103" s="225">
        <v>10.5</v>
      </c>
      <c r="H103" s="228">
        <v>44911</v>
      </c>
      <c r="I103" s="230">
        <v>9.9</v>
      </c>
      <c r="J103" s="226"/>
      <c r="K103" s="226"/>
      <c r="L103" s="226"/>
      <c r="M103" s="225">
        <v>150376930306</v>
      </c>
      <c r="N103" s="225">
        <v>0</v>
      </c>
      <c r="O103" s="226"/>
      <c r="P103" s="226" t="s">
        <v>1074</v>
      </c>
    </row>
    <row r="104" spans="1:16" ht="13.5" thickBot="1" x14ac:dyDescent="0.25">
      <c r="A104" s="224">
        <v>103</v>
      </c>
      <c r="B104" s="225">
        <v>2</v>
      </c>
      <c r="C104" s="226" t="s">
        <v>1075</v>
      </c>
      <c r="D104" s="225">
        <v>478</v>
      </c>
      <c r="E104" s="227">
        <v>92351398</v>
      </c>
      <c r="F104" s="228">
        <v>44413</v>
      </c>
      <c r="G104" s="225">
        <v>11.9</v>
      </c>
      <c r="H104" s="226"/>
      <c r="I104" s="230"/>
      <c r="J104" s="226"/>
      <c r="K104" s="226"/>
      <c r="L104" s="226"/>
      <c r="M104" s="225">
        <v>465907912806</v>
      </c>
      <c r="N104" s="225">
        <v>0</v>
      </c>
      <c r="O104" s="226"/>
      <c r="P104" s="226" t="s">
        <v>1076</v>
      </c>
    </row>
    <row r="105" spans="1:16" ht="13.5" thickBot="1" x14ac:dyDescent="0.25">
      <c r="A105" s="224">
        <v>104</v>
      </c>
      <c r="B105" s="225">
        <v>2</v>
      </c>
      <c r="C105" s="226" t="s">
        <v>1077</v>
      </c>
      <c r="D105" s="225">
        <v>485</v>
      </c>
      <c r="E105" s="227">
        <v>4333764</v>
      </c>
      <c r="F105" s="228">
        <v>44413</v>
      </c>
      <c r="G105" s="225">
        <v>10.3</v>
      </c>
      <c r="H105" s="228">
        <v>44930</v>
      </c>
      <c r="I105" s="230">
        <v>9</v>
      </c>
      <c r="J105" s="226"/>
      <c r="K105" s="226"/>
      <c r="L105" s="226"/>
      <c r="M105" s="225">
        <v>150472680507</v>
      </c>
      <c r="N105" s="225">
        <v>0</v>
      </c>
      <c r="O105" s="226"/>
      <c r="P105" s="226" t="s">
        <v>1078</v>
      </c>
    </row>
    <row r="106" spans="1:16" ht="13.5" thickBot="1" x14ac:dyDescent="0.25">
      <c r="A106" s="224">
        <v>105</v>
      </c>
      <c r="B106" s="225">
        <v>1</v>
      </c>
      <c r="C106" s="226" t="s">
        <v>1079</v>
      </c>
      <c r="D106" s="225">
        <v>507</v>
      </c>
      <c r="E106" s="227">
        <v>4767396</v>
      </c>
      <c r="F106" s="228">
        <v>44413</v>
      </c>
      <c r="G106" s="225">
        <v>9.6</v>
      </c>
      <c r="H106" s="228">
        <v>44951</v>
      </c>
      <c r="I106" s="230">
        <v>5</v>
      </c>
      <c r="J106" s="226"/>
      <c r="K106" s="226"/>
      <c r="L106" s="226"/>
      <c r="M106" s="225">
        <v>150146117901</v>
      </c>
      <c r="N106" s="225">
        <v>0</v>
      </c>
      <c r="O106" s="226"/>
      <c r="P106" s="226" t="s">
        <v>1080</v>
      </c>
    </row>
    <row r="107" spans="1:16" ht="13.5" thickBot="1" x14ac:dyDescent="0.25">
      <c r="A107" s="224">
        <v>106</v>
      </c>
      <c r="B107" s="225">
        <v>1</v>
      </c>
      <c r="C107" s="226" t="s">
        <v>1081</v>
      </c>
      <c r="D107" s="225">
        <v>510</v>
      </c>
      <c r="E107" s="227">
        <v>4421748</v>
      </c>
      <c r="F107" s="228">
        <v>44413</v>
      </c>
      <c r="G107" s="225">
        <v>7.7</v>
      </c>
      <c r="H107" s="228">
        <v>44946</v>
      </c>
      <c r="I107" s="230">
        <v>6.3</v>
      </c>
      <c r="J107" s="226"/>
      <c r="K107" s="226"/>
      <c r="L107" s="226"/>
      <c r="M107" s="225">
        <v>150398467303</v>
      </c>
      <c r="N107" s="225">
        <v>0</v>
      </c>
      <c r="O107" s="226"/>
      <c r="P107" s="226" t="s">
        <v>1082</v>
      </c>
    </row>
    <row r="108" spans="1:16" ht="13.5" thickBot="1" x14ac:dyDescent="0.25">
      <c r="A108" s="224">
        <v>107</v>
      </c>
      <c r="B108" s="225">
        <v>1</v>
      </c>
      <c r="C108" s="226" t="s">
        <v>1083</v>
      </c>
      <c r="D108" s="225">
        <v>514</v>
      </c>
      <c r="E108" s="227">
        <v>11094333</v>
      </c>
      <c r="F108" s="228">
        <v>44413</v>
      </c>
      <c r="G108" s="225">
        <v>10.199999999999999</v>
      </c>
      <c r="H108" s="228">
        <v>44951</v>
      </c>
      <c r="I108" s="230">
        <v>5.7</v>
      </c>
      <c r="J108" s="226"/>
      <c r="K108" s="226"/>
      <c r="L108" s="226"/>
      <c r="M108" s="225">
        <v>150507745409</v>
      </c>
      <c r="N108" s="225">
        <v>0</v>
      </c>
      <c r="O108" s="226"/>
      <c r="P108" s="226" t="s">
        <v>1084</v>
      </c>
    </row>
    <row r="109" spans="1:16" ht="13.5" thickBot="1" x14ac:dyDescent="0.25">
      <c r="A109" s="224">
        <v>108</v>
      </c>
      <c r="B109" s="225">
        <v>1</v>
      </c>
      <c r="C109" s="226" t="s">
        <v>1085</v>
      </c>
      <c r="D109" s="225">
        <v>526</v>
      </c>
      <c r="E109" s="227">
        <v>11990324</v>
      </c>
      <c r="F109" s="228">
        <v>44413</v>
      </c>
      <c r="G109" s="225">
        <v>14.6</v>
      </c>
      <c r="H109" s="228">
        <v>44951</v>
      </c>
      <c r="I109" s="230">
        <v>8.8000000000000007</v>
      </c>
      <c r="J109" s="226"/>
      <c r="K109" s="226"/>
      <c r="L109" s="226"/>
      <c r="M109" s="225">
        <v>155702183401</v>
      </c>
      <c r="N109" s="225">
        <v>0</v>
      </c>
      <c r="O109" s="226"/>
      <c r="P109" s="226" t="s">
        <v>1086</v>
      </c>
    </row>
    <row r="110" spans="1:16" ht="13.5" thickBot="1" x14ac:dyDescent="0.25">
      <c r="A110" s="224">
        <v>109</v>
      </c>
      <c r="B110" s="225">
        <v>1</v>
      </c>
      <c r="C110" s="226" t="s">
        <v>1087</v>
      </c>
      <c r="D110" s="225">
        <v>544</v>
      </c>
      <c r="E110" s="227">
        <v>93167461</v>
      </c>
      <c r="F110" s="228">
        <v>44413</v>
      </c>
      <c r="G110" s="225">
        <v>9</v>
      </c>
      <c r="H110" s="228">
        <v>45015</v>
      </c>
      <c r="I110" s="230">
        <v>5.2</v>
      </c>
      <c r="J110" s="226"/>
      <c r="K110" s="226"/>
      <c r="L110" s="226"/>
      <c r="M110" s="225">
        <v>155864575700</v>
      </c>
      <c r="N110" s="225">
        <v>0</v>
      </c>
      <c r="O110" s="226"/>
      <c r="P110" s="226" t="s">
        <v>1088</v>
      </c>
    </row>
    <row r="111" spans="1:16" ht="13.5" thickBot="1" x14ac:dyDescent="0.25">
      <c r="A111" s="224">
        <v>110</v>
      </c>
      <c r="B111" s="225">
        <v>2</v>
      </c>
      <c r="C111" s="226" t="s">
        <v>1089</v>
      </c>
      <c r="D111" s="225">
        <v>548</v>
      </c>
      <c r="E111" s="227">
        <v>11351612</v>
      </c>
      <c r="F111" s="228">
        <v>44413</v>
      </c>
      <c r="G111" s="225">
        <v>8.6999999999999993</v>
      </c>
      <c r="H111" s="226"/>
      <c r="I111" s="230"/>
      <c r="J111" s="226"/>
      <c r="K111" s="226"/>
      <c r="L111" s="226"/>
      <c r="M111" s="225">
        <v>150756949507</v>
      </c>
      <c r="N111" s="225">
        <v>0</v>
      </c>
      <c r="O111" s="226"/>
      <c r="P111" s="226" t="s">
        <v>1090</v>
      </c>
    </row>
    <row r="112" spans="1:16" ht="13.5" thickBot="1" x14ac:dyDescent="0.25">
      <c r="A112" s="224">
        <v>111</v>
      </c>
      <c r="B112" s="225">
        <v>1</v>
      </c>
      <c r="C112" s="226" t="s">
        <v>1091</v>
      </c>
      <c r="D112" s="225">
        <v>551</v>
      </c>
      <c r="E112" s="227">
        <v>8615140</v>
      </c>
      <c r="F112" s="228">
        <v>44413</v>
      </c>
      <c r="G112" s="225">
        <v>11.8</v>
      </c>
      <c r="H112" s="228">
        <v>44946</v>
      </c>
      <c r="I112" s="230">
        <v>7.4</v>
      </c>
      <c r="J112" s="226"/>
      <c r="K112" s="226"/>
      <c r="L112" s="226"/>
      <c r="M112" s="225">
        <v>150086598305</v>
      </c>
      <c r="N112" s="225">
        <v>0</v>
      </c>
      <c r="O112" s="226"/>
      <c r="P112" s="226" t="s">
        <v>1092</v>
      </c>
    </row>
    <row r="113" spans="1:16" ht="13.5" thickBot="1" x14ac:dyDescent="0.25">
      <c r="A113" s="224">
        <v>112</v>
      </c>
      <c r="B113" s="225">
        <v>1</v>
      </c>
      <c r="C113" s="226" t="s">
        <v>1093</v>
      </c>
      <c r="D113" s="225">
        <v>553</v>
      </c>
      <c r="E113" s="227">
        <v>5220209</v>
      </c>
      <c r="F113" s="228">
        <v>44413</v>
      </c>
      <c r="G113" s="225">
        <v>7.7</v>
      </c>
      <c r="H113" s="228">
        <v>44946</v>
      </c>
      <c r="I113" s="230">
        <v>6.4</v>
      </c>
      <c r="J113" s="226"/>
      <c r="K113" s="226"/>
      <c r="L113" s="226"/>
      <c r="M113" s="225">
        <v>150530142805</v>
      </c>
      <c r="N113" s="225">
        <v>0</v>
      </c>
      <c r="O113" s="226"/>
      <c r="P113" s="226" t="s">
        <v>1094</v>
      </c>
    </row>
    <row r="114" spans="1:16" ht="13.5" thickBot="1" x14ac:dyDescent="0.25">
      <c r="A114" s="224">
        <v>113</v>
      </c>
      <c r="B114" s="225">
        <v>1</v>
      </c>
      <c r="C114" s="226" t="s">
        <v>1095</v>
      </c>
      <c r="D114" s="225">
        <v>563</v>
      </c>
      <c r="E114" s="227">
        <v>93596528</v>
      </c>
      <c r="F114" s="228">
        <v>44413</v>
      </c>
      <c r="G114" s="225">
        <v>7.6</v>
      </c>
      <c r="H114" s="226"/>
      <c r="I114" s="230"/>
      <c r="J114" s="226"/>
      <c r="K114" s="226"/>
      <c r="L114" s="226"/>
      <c r="M114" s="225">
        <v>130608831004</v>
      </c>
      <c r="N114" s="225">
        <v>0</v>
      </c>
      <c r="O114" s="226"/>
      <c r="P114" s="226" t="s">
        <v>1096</v>
      </c>
    </row>
    <row r="115" spans="1:16" ht="13.5" thickBot="1" x14ac:dyDescent="0.25">
      <c r="A115" s="224">
        <v>114</v>
      </c>
      <c r="B115" s="225">
        <v>2</v>
      </c>
      <c r="C115" s="226" t="s">
        <v>1097</v>
      </c>
      <c r="D115" s="225">
        <v>570</v>
      </c>
      <c r="E115" s="227">
        <v>8521347</v>
      </c>
      <c r="F115" s="228">
        <v>44413</v>
      </c>
      <c r="G115" s="225">
        <v>7.9</v>
      </c>
      <c r="H115" s="228">
        <v>44914</v>
      </c>
      <c r="I115" s="230">
        <v>5.7</v>
      </c>
      <c r="J115" s="226"/>
      <c r="K115" s="226"/>
      <c r="L115" s="226"/>
      <c r="M115" s="225">
        <v>150743465304</v>
      </c>
      <c r="N115" s="225">
        <v>0</v>
      </c>
      <c r="O115" s="226"/>
      <c r="P115" s="226" t="s">
        <v>1098</v>
      </c>
    </row>
    <row r="116" spans="1:16" ht="13.5" thickBot="1" x14ac:dyDescent="0.25">
      <c r="A116" s="224">
        <v>115</v>
      </c>
      <c r="B116" s="225">
        <v>1</v>
      </c>
      <c r="C116" s="226" t="s">
        <v>1099</v>
      </c>
      <c r="D116" s="225">
        <v>571</v>
      </c>
      <c r="E116" s="227">
        <v>5262037</v>
      </c>
      <c r="F116" s="228">
        <v>44413</v>
      </c>
      <c r="G116" s="225">
        <v>5.9</v>
      </c>
      <c r="H116" s="228">
        <v>46038</v>
      </c>
      <c r="I116" s="230">
        <v>5.5</v>
      </c>
      <c r="J116" s="226"/>
      <c r="K116" s="226"/>
      <c r="L116" s="226"/>
      <c r="M116" s="225">
        <v>150398545904</v>
      </c>
      <c r="N116" s="225">
        <v>0</v>
      </c>
      <c r="O116" s="226"/>
      <c r="P116" s="226" t="s">
        <v>1100</v>
      </c>
    </row>
    <row r="117" spans="1:16" ht="13.5" thickBot="1" x14ac:dyDescent="0.25">
      <c r="A117" s="224">
        <v>116</v>
      </c>
      <c r="B117" s="225">
        <v>1</v>
      </c>
      <c r="C117" s="226" t="s">
        <v>1101</v>
      </c>
      <c r="D117" s="225">
        <v>587</v>
      </c>
      <c r="E117" s="227">
        <v>6021450</v>
      </c>
      <c r="F117" s="228">
        <v>44413</v>
      </c>
      <c r="G117" s="225">
        <v>9.5</v>
      </c>
      <c r="H117" s="228">
        <v>44949</v>
      </c>
      <c r="I117" s="230">
        <v>6.9</v>
      </c>
      <c r="J117" s="226"/>
      <c r="K117" s="226"/>
      <c r="L117" s="226"/>
      <c r="M117" s="225">
        <v>150470432205</v>
      </c>
      <c r="N117" s="225">
        <v>0</v>
      </c>
      <c r="O117" s="226"/>
      <c r="P117" s="226" t="s">
        <v>1102</v>
      </c>
    </row>
    <row r="118" spans="1:16" ht="13.5" thickBot="1" x14ac:dyDescent="0.25">
      <c r="A118" s="224">
        <v>117</v>
      </c>
      <c r="B118" s="225">
        <v>1</v>
      </c>
      <c r="C118" s="226" t="s">
        <v>1103</v>
      </c>
      <c r="D118" s="225">
        <v>588</v>
      </c>
      <c r="E118" s="227">
        <v>4517159</v>
      </c>
      <c r="F118" s="228">
        <v>44441</v>
      </c>
      <c r="G118" s="225">
        <v>7.8</v>
      </c>
      <c r="H118" s="226"/>
      <c r="I118" s="230"/>
      <c r="J118" s="226"/>
      <c r="K118" s="226"/>
      <c r="L118" s="226"/>
      <c r="M118" s="225">
        <v>150925600307</v>
      </c>
      <c r="N118" s="225">
        <v>0</v>
      </c>
      <c r="O118" s="226"/>
      <c r="P118" s="226" t="s">
        <v>1104</v>
      </c>
    </row>
    <row r="119" spans="1:16" ht="13.5" thickBot="1" x14ac:dyDescent="0.25">
      <c r="A119" s="224">
        <v>118</v>
      </c>
      <c r="B119" s="225">
        <v>1</v>
      </c>
      <c r="C119" s="226" t="s">
        <v>1105</v>
      </c>
      <c r="D119" s="225">
        <v>597</v>
      </c>
      <c r="E119" s="227">
        <v>10591678</v>
      </c>
      <c r="F119" s="228">
        <v>44413</v>
      </c>
      <c r="G119" s="225">
        <v>10.4</v>
      </c>
      <c r="H119" s="228">
        <v>44942</v>
      </c>
      <c r="I119" s="230">
        <v>5.6</v>
      </c>
      <c r="J119" s="226"/>
      <c r="K119" s="226"/>
      <c r="L119" s="226"/>
      <c r="M119" s="225">
        <v>465908229901</v>
      </c>
      <c r="N119" s="225">
        <v>0</v>
      </c>
      <c r="O119" s="226"/>
      <c r="P119" s="226" t="s">
        <v>1106</v>
      </c>
    </row>
    <row r="120" spans="1:16" ht="13.5" thickBot="1" x14ac:dyDescent="0.25">
      <c r="A120" s="224">
        <v>119</v>
      </c>
      <c r="B120" s="225">
        <v>1</v>
      </c>
      <c r="C120" s="226" t="s">
        <v>1107</v>
      </c>
      <c r="D120" s="225">
        <v>601</v>
      </c>
      <c r="E120" s="227">
        <v>4279765</v>
      </c>
      <c r="F120" s="228">
        <v>44434</v>
      </c>
      <c r="G120" s="225">
        <v>11.3</v>
      </c>
      <c r="H120" s="228">
        <v>44956</v>
      </c>
      <c r="I120" s="230">
        <v>6.4</v>
      </c>
      <c r="J120" s="226"/>
      <c r="K120" s="226"/>
      <c r="L120" s="226"/>
      <c r="M120" s="225">
        <v>150326006305</v>
      </c>
      <c r="N120" s="225">
        <v>0</v>
      </c>
      <c r="O120" s="226"/>
      <c r="P120" s="226" t="s">
        <v>1108</v>
      </c>
    </row>
    <row r="121" spans="1:16" ht="13.5" thickBot="1" x14ac:dyDescent="0.25">
      <c r="A121" s="224">
        <v>120</v>
      </c>
      <c r="B121" s="225">
        <v>2</v>
      </c>
      <c r="C121" s="226" t="s">
        <v>1109</v>
      </c>
      <c r="D121" s="225">
        <v>602</v>
      </c>
      <c r="E121" s="227">
        <v>8703352</v>
      </c>
      <c r="F121" s="228">
        <v>44413</v>
      </c>
      <c r="G121" s="225">
        <v>7.3</v>
      </c>
      <c r="H121" s="226"/>
      <c r="I121" s="230"/>
      <c r="J121" s="226"/>
      <c r="K121" s="226"/>
      <c r="L121" s="226"/>
      <c r="M121" s="225">
        <v>150731770302</v>
      </c>
      <c r="N121" s="225">
        <v>0</v>
      </c>
      <c r="O121" s="226"/>
      <c r="P121" s="226" t="s">
        <v>1110</v>
      </c>
    </row>
    <row r="122" spans="1:16" ht="13.5" thickBot="1" x14ac:dyDescent="0.25">
      <c r="A122" s="224">
        <v>121</v>
      </c>
      <c r="B122" s="225">
        <v>1</v>
      </c>
      <c r="C122" s="226" t="s">
        <v>1111</v>
      </c>
      <c r="D122" s="225">
        <v>612</v>
      </c>
      <c r="E122" s="227">
        <v>10312952</v>
      </c>
      <c r="F122" s="228">
        <v>44413</v>
      </c>
      <c r="G122" s="225">
        <v>10.3</v>
      </c>
      <c r="H122" s="228">
        <v>44949</v>
      </c>
      <c r="I122" s="230">
        <v>6</v>
      </c>
      <c r="J122" s="226"/>
      <c r="K122" s="226"/>
      <c r="L122" s="226"/>
      <c r="M122" s="225">
        <v>150642126809</v>
      </c>
      <c r="N122" s="225">
        <v>0</v>
      </c>
      <c r="O122" s="226"/>
      <c r="P122" s="226" t="s">
        <v>1112</v>
      </c>
    </row>
    <row r="123" spans="1:16" ht="13.5" thickBot="1" x14ac:dyDescent="0.25">
      <c r="A123" s="224">
        <v>122</v>
      </c>
      <c r="B123" s="225">
        <v>2</v>
      </c>
      <c r="C123" s="226" t="s">
        <v>1113</v>
      </c>
      <c r="D123" s="225">
        <v>636</v>
      </c>
      <c r="E123" s="227">
        <v>5791643</v>
      </c>
      <c r="F123" s="228">
        <v>44441</v>
      </c>
      <c r="G123" s="225">
        <v>8.6999999999999993</v>
      </c>
      <c r="H123" s="228">
        <v>45014</v>
      </c>
      <c r="I123" s="230">
        <v>6</v>
      </c>
      <c r="J123" s="226"/>
      <c r="K123" s="226"/>
      <c r="L123" s="226"/>
      <c r="M123" s="225">
        <v>150176945501</v>
      </c>
      <c r="N123" s="225">
        <v>0</v>
      </c>
      <c r="O123" s="226"/>
      <c r="P123" s="226" t="s">
        <v>1114</v>
      </c>
    </row>
    <row r="124" spans="1:16" ht="13.5" thickBot="1" x14ac:dyDescent="0.25">
      <c r="A124" s="224">
        <v>123</v>
      </c>
      <c r="B124" s="225">
        <v>2</v>
      </c>
      <c r="C124" s="226" t="s">
        <v>1115</v>
      </c>
      <c r="D124" s="225">
        <v>648</v>
      </c>
      <c r="E124" s="227">
        <v>13804652</v>
      </c>
      <c r="F124" s="228">
        <v>44413</v>
      </c>
      <c r="G124" s="225">
        <v>9.8000000000000007</v>
      </c>
      <c r="H124" s="228">
        <v>44911</v>
      </c>
      <c r="I124" s="230">
        <v>6.1</v>
      </c>
      <c r="J124" s="226"/>
      <c r="K124" s="226"/>
      <c r="L124" s="226"/>
      <c r="M124" s="225">
        <v>150790279607</v>
      </c>
      <c r="N124" s="225">
        <v>0</v>
      </c>
      <c r="O124" s="226"/>
      <c r="P124" s="226" t="s">
        <v>1116</v>
      </c>
    </row>
    <row r="125" spans="1:16" ht="13.5" thickBot="1" x14ac:dyDescent="0.25">
      <c r="A125" s="224">
        <v>124</v>
      </c>
      <c r="B125" s="225">
        <v>2</v>
      </c>
      <c r="C125" s="226" t="s">
        <v>1117</v>
      </c>
      <c r="D125" s="225">
        <v>663</v>
      </c>
      <c r="E125" s="227">
        <v>4200429</v>
      </c>
      <c r="F125" s="228">
        <v>44427</v>
      </c>
      <c r="G125" s="225">
        <v>15.5</v>
      </c>
      <c r="H125" s="226"/>
      <c r="I125" s="230"/>
      <c r="J125" s="226"/>
      <c r="K125" s="226"/>
      <c r="L125" s="226"/>
      <c r="M125" s="225">
        <v>150643417301</v>
      </c>
      <c r="N125" s="225">
        <v>0</v>
      </c>
      <c r="O125" s="226"/>
      <c r="P125" s="226" t="s">
        <v>1118</v>
      </c>
    </row>
    <row r="126" spans="1:16" ht="13.5" thickBot="1" x14ac:dyDescent="0.25">
      <c r="A126" s="224">
        <v>125</v>
      </c>
      <c r="B126" s="225">
        <v>1</v>
      </c>
      <c r="C126" s="226" t="s">
        <v>1119</v>
      </c>
      <c r="D126" s="225">
        <v>665</v>
      </c>
      <c r="E126" s="227">
        <v>93681202</v>
      </c>
      <c r="F126" s="228">
        <v>44413</v>
      </c>
      <c r="G126" s="225">
        <v>12.5</v>
      </c>
      <c r="H126" s="226"/>
      <c r="I126" s="230"/>
      <c r="J126" s="226"/>
      <c r="K126" s="226"/>
      <c r="L126" s="226"/>
      <c r="M126" s="225">
        <v>150111842905</v>
      </c>
      <c r="N126" s="225">
        <v>0</v>
      </c>
      <c r="O126" s="226"/>
      <c r="P126" s="226" t="s">
        <v>1120</v>
      </c>
    </row>
    <row r="127" spans="1:16" ht="13.5" thickBot="1" x14ac:dyDescent="0.25">
      <c r="A127" s="224">
        <v>126</v>
      </c>
      <c r="B127" s="225">
        <v>2</v>
      </c>
      <c r="C127" s="226" t="s">
        <v>1121</v>
      </c>
      <c r="D127" s="225">
        <v>669</v>
      </c>
      <c r="E127" s="227">
        <v>95150447</v>
      </c>
      <c r="F127" s="228">
        <v>44441</v>
      </c>
      <c r="G127" s="225">
        <v>13.3</v>
      </c>
      <c r="H127" s="228">
        <v>44911</v>
      </c>
      <c r="I127" s="230">
        <v>4.9000000000000004</v>
      </c>
      <c r="J127" s="226"/>
      <c r="K127" s="226"/>
      <c r="L127" s="226"/>
      <c r="M127" s="225">
        <v>150686409207</v>
      </c>
      <c r="N127" s="225">
        <v>0</v>
      </c>
      <c r="O127" s="226"/>
      <c r="P127" s="226" t="s">
        <v>1122</v>
      </c>
    </row>
    <row r="128" spans="1:16" ht="13.5" thickBot="1" x14ac:dyDescent="0.25">
      <c r="A128" s="224">
        <v>127</v>
      </c>
      <c r="B128" s="225">
        <v>1</v>
      </c>
      <c r="C128" s="226" t="s">
        <v>1123</v>
      </c>
      <c r="D128" s="225">
        <v>681</v>
      </c>
      <c r="E128" s="227">
        <v>10934507</v>
      </c>
      <c r="F128" s="228">
        <v>44413</v>
      </c>
      <c r="G128" s="225">
        <v>9</v>
      </c>
      <c r="H128" s="228">
        <v>44956</v>
      </c>
      <c r="I128" s="230">
        <v>6</v>
      </c>
      <c r="J128" s="228">
        <v>45013</v>
      </c>
      <c r="K128" s="225">
        <v>5.8</v>
      </c>
      <c r="L128" s="226"/>
      <c r="M128" s="225">
        <v>150685463005</v>
      </c>
      <c r="N128" s="225">
        <v>0</v>
      </c>
      <c r="O128" s="226"/>
      <c r="P128" s="226" t="s">
        <v>1124</v>
      </c>
    </row>
    <row r="129" spans="1:16" ht="13.5" thickBot="1" x14ac:dyDescent="0.25">
      <c r="A129" s="224">
        <v>128</v>
      </c>
      <c r="B129" s="225">
        <v>2</v>
      </c>
      <c r="C129" s="226" t="s">
        <v>1125</v>
      </c>
      <c r="D129" s="225">
        <v>683</v>
      </c>
      <c r="E129" s="227">
        <v>10261135</v>
      </c>
      <c r="F129" s="228">
        <v>44413</v>
      </c>
      <c r="G129" s="225">
        <v>13.4</v>
      </c>
      <c r="H129" s="228">
        <v>44930</v>
      </c>
      <c r="I129" s="230">
        <v>8.3000000000000007</v>
      </c>
      <c r="J129" s="226"/>
      <c r="K129" s="226"/>
      <c r="L129" s="226"/>
      <c r="M129" s="225">
        <v>155088561006</v>
      </c>
      <c r="N129" s="225">
        <v>0</v>
      </c>
      <c r="O129" s="226"/>
      <c r="P129" s="226" t="s">
        <v>1126</v>
      </c>
    </row>
    <row r="130" spans="1:16" ht="13.5" thickBot="1" x14ac:dyDescent="0.25">
      <c r="A130" s="224">
        <v>129</v>
      </c>
      <c r="B130" s="225">
        <v>2</v>
      </c>
      <c r="C130" s="226" t="s">
        <v>1127</v>
      </c>
      <c r="D130" s="225">
        <v>687</v>
      </c>
      <c r="E130" s="227">
        <v>6674815</v>
      </c>
      <c r="F130" s="228">
        <v>44413</v>
      </c>
      <c r="G130" s="225">
        <v>7.3</v>
      </c>
      <c r="H130" s="228">
        <v>44930</v>
      </c>
      <c r="I130" s="230">
        <v>6</v>
      </c>
      <c r="J130" s="226"/>
      <c r="K130" s="226"/>
      <c r="L130" s="226"/>
      <c r="M130" s="225">
        <v>150556218902</v>
      </c>
      <c r="N130" s="225">
        <v>0</v>
      </c>
      <c r="O130" s="226"/>
      <c r="P130" s="226" t="s">
        <v>1128</v>
      </c>
    </row>
    <row r="131" spans="1:16" ht="13.5" thickBot="1" x14ac:dyDescent="0.25">
      <c r="A131" s="224">
        <v>130</v>
      </c>
      <c r="B131" s="225">
        <v>2</v>
      </c>
      <c r="C131" s="226" t="s">
        <v>1129</v>
      </c>
      <c r="D131" s="225">
        <v>692</v>
      </c>
      <c r="E131" s="227">
        <v>3953383</v>
      </c>
      <c r="F131" s="228">
        <v>44413</v>
      </c>
      <c r="G131" s="225">
        <v>10.6</v>
      </c>
      <c r="H131" s="228">
        <v>44911</v>
      </c>
      <c r="I131" s="230">
        <v>5.7</v>
      </c>
      <c r="J131" s="226"/>
      <c r="K131" s="226"/>
      <c r="L131" s="226"/>
      <c r="M131" s="225">
        <v>150836416701</v>
      </c>
      <c r="N131" s="225">
        <v>0</v>
      </c>
      <c r="O131" s="226"/>
      <c r="P131" s="226" t="s">
        <v>1130</v>
      </c>
    </row>
    <row r="132" spans="1:16" ht="13.5" thickBot="1" x14ac:dyDescent="0.25">
      <c r="A132" s="224">
        <v>131</v>
      </c>
      <c r="B132" s="225">
        <v>1</v>
      </c>
      <c r="C132" s="226" t="s">
        <v>1131</v>
      </c>
      <c r="D132" s="225">
        <v>693</v>
      </c>
      <c r="E132" s="227">
        <v>4594776</v>
      </c>
      <c r="F132" s="228">
        <v>44413</v>
      </c>
      <c r="G132" s="225">
        <v>5.6</v>
      </c>
      <c r="H132" s="226"/>
      <c r="I132" s="230"/>
      <c r="J132" s="226"/>
      <c r="K132" s="226"/>
      <c r="L132" s="226"/>
      <c r="M132" s="225">
        <v>150394649600</v>
      </c>
      <c r="N132" s="225">
        <v>0</v>
      </c>
      <c r="O132" s="226"/>
      <c r="P132" s="226" t="s">
        <v>1132</v>
      </c>
    </row>
    <row r="133" spans="1:16" ht="13.5" thickBot="1" x14ac:dyDescent="0.25">
      <c r="A133" s="224">
        <v>132</v>
      </c>
      <c r="B133" s="225">
        <v>2</v>
      </c>
      <c r="C133" s="226" t="s">
        <v>1133</v>
      </c>
      <c r="D133" s="225">
        <v>703</v>
      </c>
      <c r="E133" s="227">
        <v>5728648</v>
      </c>
      <c r="F133" s="228">
        <v>44420</v>
      </c>
      <c r="G133" s="225">
        <v>6.8</v>
      </c>
      <c r="H133" s="228">
        <v>45007</v>
      </c>
      <c r="I133" s="230">
        <v>6</v>
      </c>
      <c r="J133" s="226"/>
      <c r="K133" s="226"/>
      <c r="L133" s="226"/>
      <c r="M133" s="225">
        <v>150378208101</v>
      </c>
      <c r="N133" s="225">
        <v>0</v>
      </c>
      <c r="O133" s="226"/>
      <c r="P133" s="226" t="s">
        <v>1134</v>
      </c>
    </row>
    <row r="134" spans="1:16" ht="13.5" thickBot="1" x14ac:dyDescent="0.25">
      <c r="A134" s="224">
        <v>133</v>
      </c>
      <c r="B134" s="225">
        <v>1</v>
      </c>
      <c r="C134" s="226" t="s">
        <v>1135</v>
      </c>
      <c r="D134" s="225">
        <v>711</v>
      </c>
      <c r="E134" s="227">
        <v>5319431</v>
      </c>
      <c r="F134" s="228">
        <v>44420</v>
      </c>
      <c r="G134" s="225">
        <v>12.8</v>
      </c>
      <c r="H134" s="228">
        <v>45007</v>
      </c>
      <c r="I134" s="230">
        <v>5.9</v>
      </c>
      <c r="J134" s="226"/>
      <c r="K134" s="226"/>
      <c r="L134" s="226"/>
      <c r="M134" s="225">
        <v>150354926301</v>
      </c>
      <c r="N134" s="225">
        <v>0</v>
      </c>
      <c r="O134" s="226"/>
      <c r="P134" s="226" t="s">
        <v>1136</v>
      </c>
    </row>
    <row r="135" spans="1:16" ht="13.5" thickBot="1" x14ac:dyDescent="0.25">
      <c r="A135" s="224">
        <v>134</v>
      </c>
      <c r="B135" s="225">
        <v>1</v>
      </c>
      <c r="C135" s="226" t="s">
        <v>1137</v>
      </c>
      <c r="D135" s="225">
        <v>712</v>
      </c>
      <c r="E135" s="227">
        <v>4732481</v>
      </c>
      <c r="F135" s="228">
        <v>44413</v>
      </c>
      <c r="G135" s="225">
        <v>8.4</v>
      </c>
      <c r="H135" s="228">
        <v>44949</v>
      </c>
      <c r="I135" s="230">
        <v>7.4</v>
      </c>
      <c r="J135" s="226"/>
      <c r="K135" s="226"/>
      <c r="L135" s="226"/>
      <c r="M135" s="225">
        <v>150303088600</v>
      </c>
      <c r="N135" s="225">
        <v>0</v>
      </c>
      <c r="O135" s="226"/>
      <c r="P135" s="226" t="s">
        <v>1138</v>
      </c>
    </row>
    <row r="136" spans="1:16" ht="13.5" thickBot="1" x14ac:dyDescent="0.25">
      <c r="A136" s="224">
        <v>135</v>
      </c>
      <c r="B136" s="225">
        <v>2</v>
      </c>
      <c r="C136" s="226" t="s">
        <v>1139</v>
      </c>
      <c r="D136" s="225">
        <v>717</v>
      </c>
      <c r="E136" s="227">
        <v>6612837</v>
      </c>
      <c r="F136" s="228">
        <v>44434</v>
      </c>
      <c r="G136" s="225">
        <v>8.4</v>
      </c>
      <c r="H136" s="228">
        <v>44911</v>
      </c>
      <c r="I136" s="230">
        <v>5.4</v>
      </c>
      <c r="J136" s="226"/>
      <c r="K136" s="226"/>
      <c r="L136" s="226"/>
      <c r="M136" s="225">
        <v>150712727904</v>
      </c>
      <c r="N136" s="225">
        <v>0</v>
      </c>
      <c r="O136" s="226"/>
      <c r="P136" s="226" t="s">
        <v>1140</v>
      </c>
    </row>
    <row r="137" spans="1:16" ht="13.5" thickBot="1" x14ac:dyDescent="0.25">
      <c r="A137" s="224">
        <v>136</v>
      </c>
      <c r="B137" s="225">
        <v>1</v>
      </c>
      <c r="C137" s="226" t="s">
        <v>1141</v>
      </c>
      <c r="D137" s="225">
        <v>719</v>
      </c>
      <c r="E137" s="227">
        <v>5470835</v>
      </c>
      <c r="F137" s="228">
        <v>44420</v>
      </c>
      <c r="G137" s="225">
        <v>12.6</v>
      </c>
      <c r="H137" s="226"/>
      <c r="I137" s="230"/>
      <c r="J137" s="226"/>
      <c r="K137" s="226"/>
      <c r="L137" s="226"/>
      <c r="M137" s="225">
        <v>150394603208</v>
      </c>
      <c r="N137" s="225">
        <v>99</v>
      </c>
      <c r="O137" s="226"/>
      <c r="P137" s="226" t="s">
        <v>1142</v>
      </c>
    </row>
    <row r="138" spans="1:16" ht="13.5" thickBot="1" x14ac:dyDescent="0.25">
      <c r="A138" s="224">
        <v>137</v>
      </c>
      <c r="B138" s="225">
        <v>1</v>
      </c>
      <c r="C138" s="226" t="s">
        <v>1143</v>
      </c>
      <c r="D138" s="225">
        <v>720</v>
      </c>
      <c r="E138" s="227">
        <v>5529426</v>
      </c>
      <c r="F138" s="228">
        <v>44420</v>
      </c>
      <c r="G138" s="225">
        <v>9.8000000000000007</v>
      </c>
      <c r="H138" s="228">
        <v>45016</v>
      </c>
      <c r="I138" s="230">
        <v>5</v>
      </c>
      <c r="J138" s="226"/>
      <c r="K138" s="226"/>
      <c r="L138" s="226"/>
      <c r="M138" s="225">
        <v>140006520703</v>
      </c>
      <c r="N138" s="225">
        <v>0</v>
      </c>
      <c r="O138" s="226"/>
      <c r="P138" s="226" t="s">
        <v>1144</v>
      </c>
    </row>
    <row r="139" spans="1:16" ht="13.5" thickBot="1" x14ac:dyDescent="0.25">
      <c r="A139" s="224">
        <v>138</v>
      </c>
      <c r="B139" s="225">
        <v>1</v>
      </c>
      <c r="C139" s="226" t="s">
        <v>1145</v>
      </c>
      <c r="D139" s="225">
        <v>722</v>
      </c>
      <c r="E139" s="227">
        <v>11943706</v>
      </c>
      <c r="F139" s="228">
        <v>44420</v>
      </c>
      <c r="G139" s="225">
        <v>9.4</v>
      </c>
      <c r="H139" s="228">
        <v>44949</v>
      </c>
      <c r="I139" s="230">
        <v>5</v>
      </c>
      <c r="J139" s="226"/>
      <c r="K139" s="226"/>
      <c r="L139" s="226"/>
      <c r="M139" s="225">
        <v>150965314508</v>
      </c>
      <c r="N139" s="225">
        <v>0</v>
      </c>
      <c r="O139" s="226"/>
      <c r="P139" s="226" t="s">
        <v>1146</v>
      </c>
    </row>
    <row r="140" spans="1:16" ht="13.5" thickBot="1" x14ac:dyDescent="0.25">
      <c r="A140" s="224">
        <v>139</v>
      </c>
      <c r="B140" s="225">
        <v>1</v>
      </c>
      <c r="C140" s="226" t="s">
        <v>1147</v>
      </c>
      <c r="D140" s="225">
        <v>725</v>
      </c>
      <c r="E140" s="227">
        <v>6612012</v>
      </c>
      <c r="F140" s="228">
        <v>44420</v>
      </c>
      <c r="G140" s="225">
        <v>8.6999999999999993</v>
      </c>
      <c r="H140" s="228">
        <v>45014</v>
      </c>
      <c r="I140" s="230">
        <v>5</v>
      </c>
      <c r="J140" s="226"/>
      <c r="K140" s="226"/>
      <c r="L140" s="226"/>
      <c r="M140" s="225">
        <v>150510874500</v>
      </c>
      <c r="N140" s="225">
        <v>0</v>
      </c>
      <c r="O140" s="226"/>
      <c r="P140" s="226" t="s">
        <v>1148</v>
      </c>
    </row>
    <row r="141" spans="1:16" ht="13.5" thickBot="1" x14ac:dyDescent="0.25">
      <c r="A141" s="224">
        <v>140</v>
      </c>
      <c r="B141" s="225">
        <v>2</v>
      </c>
      <c r="C141" s="226" t="s">
        <v>1149</v>
      </c>
      <c r="D141" s="225">
        <v>731</v>
      </c>
      <c r="E141" s="227">
        <v>8702948</v>
      </c>
      <c r="F141" s="228">
        <v>44434</v>
      </c>
      <c r="G141" s="225">
        <v>11.2</v>
      </c>
      <c r="H141" s="226"/>
      <c r="I141" s="230"/>
      <c r="J141" s="226"/>
      <c r="K141" s="226"/>
      <c r="L141" s="226"/>
      <c r="M141" s="225">
        <v>150527575706</v>
      </c>
      <c r="N141" s="225">
        <v>0</v>
      </c>
      <c r="O141" s="226"/>
      <c r="P141" s="226" t="s">
        <v>1150</v>
      </c>
    </row>
    <row r="142" spans="1:16" ht="13.5" thickBot="1" x14ac:dyDescent="0.25">
      <c r="A142" s="224">
        <v>141</v>
      </c>
      <c r="B142" s="225">
        <v>2</v>
      </c>
      <c r="C142" s="226" t="s">
        <v>1151</v>
      </c>
      <c r="D142" s="225">
        <v>732</v>
      </c>
      <c r="E142" s="227">
        <v>93172039</v>
      </c>
      <c r="F142" s="228">
        <v>44420</v>
      </c>
      <c r="G142" s="225">
        <v>6.4</v>
      </c>
      <c r="H142" s="228">
        <v>45015</v>
      </c>
      <c r="I142" s="230">
        <v>4.8</v>
      </c>
      <c r="J142" s="226"/>
      <c r="K142" s="226"/>
      <c r="L142" s="226"/>
      <c r="M142" s="225">
        <v>150723871702</v>
      </c>
      <c r="N142" s="225">
        <v>0</v>
      </c>
      <c r="O142" s="226"/>
      <c r="P142" s="226" t="s">
        <v>1152</v>
      </c>
    </row>
    <row r="143" spans="1:16" ht="13.5" thickBot="1" x14ac:dyDescent="0.25">
      <c r="A143" s="224">
        <v>142</v>
      </c>
      <c r="B143" s="225">
        <v>2</v>
      </c>
      <c r="C143" s="226" t="s">
        <v>1153</v>
      </c>
      <c r="D143" s="225">
        <v>734</v>
      </c>
      <c r="E143" s="227">
        <v>5334980</v>
      </c>
      <c r="F143" s="228">
        <v>44420</v>
      </c>
      <c r="G143" s="225">
        <v>7.3</v>
      </c>
      <c r="H143" s="228">
        <v>44909</v>
      </c>
      <c r="I143" s="230">
        <v>5.7</v>
      </c>
      <c r="J143" s="226"/>
      <c r="K143" s="226"/>
      <c r="L143" s="226"/>
      <c r="M143" s="225">
        <v>150402321207</v>
      </c>
      <c r="N143" s="225">
        <v>0</v>
      </c>
      <c r="O143" s="226"/>
      <c r="P143" s="226" t="s">
        <v>1154</v>
      </c>
    </row>
    <row r="144" spans="1:16" ht="13.5" thickBot="1" x14ac:dyDescent="0.25">
      <c r="A144" s="224">
        <v>143</v>
      </c>
      <c r="B144" s="225">
        <v>1</v>
      </c>
      <c r="C144" s="226" t="s">
        <v>1155</v>
      </c>
      <c r="D144" s="225">
        <v>737</v>
      </c>
      <c r="E144" s="227">
        <v>92150459</v>
      </c>
      <c r="F144" s="228">
        <v>44434</v>
      </c>
      <c r="G144" s="225">
        <v>10.3</v>
      </c>
      <c r="H144" s="228">
        <v>44951</v>
      </c>
      <c r="I144" s="230">
        <v>7.4</v>
      </c>
      <c r="J144" s="226"/>
      <c r="K144" s="226"/>
      <c r="L144" s="226"/>
      <c r="M144" s="225">
        <v>150488968801</v>
      </c>
      <c r="N144" s="225">
        <v>0</v>
      </c>
      <c r="O144" s="226"/>
      <c r="P144" s="226" t="s">
        <v>1156</v>
      </c>
    </row>
    <row r="145" spans="1:16" ht="13.5" thickBot="1" x14ac:dyDescent="0.25">
      <c r="A145" s="224">
        <v>144</v>
      </c>
      <c r="B145" s="225">
        <v>2</v>
      </c>
      <c r="C145" s="226" t="s">
        <v>1157</v>
      </c>
      <c r="D145" s="225">
        <v>740</v>
      </c>
      <c r="E145" s="227">
        <v>8707782</v>
      </c>
      <c r="F145" s="228">
        <v>44420</v>
      </c>
      <c r="G145" s="225">
        <v>10</v>
      </c>
      <c r="H145" s="228">
        <v>44911</v>
      </c>
      <c r="I145" s="230">
        <v>8.6999999999999993</v>
      </c>
      <c r="J145" s="226"/>
      <c r="K145" s="226"/>
      <c r="L145" s="226"/>
      <c r="M145" s="225">
        <v>150620401807</v>
      </c>
      <c r="N145" s="225">
        <v>0</v>
      </c>
      <c r="O145" s="226"/>
      <c r="P145" s="226" t="s">
        <v>1158</v>
      </c>
    </row>
    <row r="146" spans="1:16" ht="13.5" thickBot="1" x14ac:dyDescent="0.25">
      <c r="A146" s="224">
        <v>145</v>
      </c>
      <c r="B146" s="225">
        <v>1</v>
      </c>
      <c r="C146" s="226" t="s">
        <v>1159</v>
      </c>
      <c r="D146" s="225">
        <v>742</v>
      </c>
      <c r="E146" s="227">
        <v>8133987</v>
      </c>
      <c r="F146" s="228">
        <v>44420</v>
      </c>
      <c r="G146" s="225">
        <v>12.8</v>
      </c>
      <c r="H146" s="228">
        <v>44949</v>
      </c>
      <c r="I146" s="230">
        <v>12.4</v>
      </c>
      <c r="J146" s="226"/>
      <c r="K146" s="226"/>
      <c r="L146" s="226"/>
      <c r="M146" s="225">
        <v>150479682204</v>
      </c>
      <c r="N146" s="225">
        <v>0</v>
      </c>
      <c r="O146" s="226"/>
      <c r="P146" s="226" t="s">
        <v>1160</v>
      </c>
    </row>
    <row r="147" spans="1:16" ht="13.5" thickBot="1" x14ac:dyDescent="0.25">
      <c r="A147" s="224">
        <v>146</v>
      </c>
      <c r="B147" s="225">
        <v>1</v>
      </c>
      <c r="C147" s="226" t="s">
        <v>1161</v>
      </c>
      <c r="D147" s="225">
        <v>745</v>
      </c>
      <c r="E147" s="227">
        <v>4925390</v>
      </c>
      <c r="F147" s="228">
        <v>44420</v>
      </c>
      <c r="G147" s="225">
        <v>7.5</v>
      </c>
      <c r="H147" s="228">
        <v>44963</v>
      </c>
      <c r="I147" s="230">
        <v>4.3</v>
      </c>
      <c r="J147" s="228">
        <v>45013</v>
      </c>
      <c r="K147" s="225">
        <v>5.4</v>
      </c>
      <c r="L147" s="226"/>
      <c r="M147" s="225">
        <v>155491505902</v>
      </c>
      <c r="N147" s="225">
        <v>0</v>
      </c>
      <c r="O147" s="226"/>
      <c r="P147" s="226" t="s">
        <v>1162</v>
      </c>
    </row>
    <row r="148" spans="1:16" ht="13.5" thickBot="1" x14ac:dyDescent="0.25">
      <c r="A148" s="224">
        <v>147</v>
      </c>
      <c r="B148" s="225">
        <v>1</v>
      </c>
      <c r="C148" s="226" t="s">
        <v>1163</v>
      </c>
      <c r="D148" s="225">
        <v>747</v>
      </c>
      <c r="E148" s="227">
        <v>6264560</v>
      </c>
      <c r="F148" s="228">
        <v>44434</v>
      </c>
      <c r="G148" s="225">
        <v>13.2</v>
      </c>
      <c r="H148" s="228">
        <v>44951</v>
      </c>
      <c r="I148" s="230">
        <v>7</v>
      </c>
      <c r="J148" s="226"/>
      <c r="K148" s="226"/>
      <c r="L148" s="226"/>
      <c r="M148" s="225">
        <v>150482743206</v>
      </c>
      <c r="N148" s="225">
        <v>0</v>
      </c>
      <c r="O148" s="226"/>
      <c r="P148" s="226" t="s">
        <v>1164</v>
      </c>
    </row>
    <row r="149" spans="1:16" ht="13.5" thickBot="1" x14ac:dyDescent="0.25">
      <c r="A149" s="224">
        <v>148</v>
      </c>
      <c r="B149" s="225">
        <v>2</v>
      </c>
      <c r="C149" s="226" t="s">
        <v>1165</v>
      </c>
      <c r="D149" s="225">
        <v>748</v>
      </c>
      <c r="E149" s="227">
        <v>10528250</v>
      </c>
      <c r="F149" s="228">
        <v>44420</v>
      </c>
      <c r="G149" s="225">
        <v>11.9</v>
      </c>
      <c r="H149" s="226"/>
      <c r="I149" s="230"/>
      <c r="J149" s="226"/>
      <c r="K149" s="226"/>
      <c r="L149" s="226"/>
      <c r="M149" s="225">
        <v>150638135001</v>
      </c>
      <c r="N149" s="225">
        <v>0</v>
      </c>
      <c r="O149" s="226"/>
      <c r="P149" s="226" t="s">
        <v>1166</v>
      </c>
    </row>
    <row r="150" spans="1:16" ht="13.5" thickBot="1" x14ac:dyDescent="0.25">
      <c r="A150" s="224">
        <v>149</v>
      </c>
      <c r="B150" s="225">
        <v>1</v>
      </c>
      <c r="C150" s="226" t="s">
        <v>1167</v>
      </c>
      <c r="D150" s="225">
        <v>750</v>
      </c>
      <c r="E150" s="227">
        <v>12234612</v>
      </c>
      <c r="F150" s="228">
        <v>44420</v>
      </c>
      <c r="G150" s="225">
        <v>7.1</v>
      </c>
      <c r="H150" s="228">
        <v>44949</v>
      </c>
      <c r="I150" s="230">
        <v>5.6</v>
      </c>
      <c r="J150" s="226"/>
      <c r="K150" s="226"/>
      <c r="L150" s="226"/>
      <c r="M150" s="225">
        <v>150768620306</v>
      </c>
      <c r="N150" s="225">
        <v>0</v>
      </c>
      <c r="O150" s="226"/>
      <c r="P150" s="226" t="s">
        <v>1168</v>
      </c>
    </row>
    <row r="151" spans="1:16" ht="13.5" thickBot="1" x14ac:dyDescent="0.25">
      <c r="A151" s="224">
        <v>150</v>
      </c>
      <c r="B151" s="225">
        <v>2</v>
      </c>
      <c r="C151" s="226" t="s">
        <v>1169</v>
      </c>
      <c r="D151" s="225">
        <v>754</v>
      </c>
      <c r="E151" s="227">
        <v>10455875</v>
      </c>
      <c r="F151" s="228">
        <v>44420</v>
      </c>
      <c r="G151" s="225">
        <v>12.8</v>
      </c>
      <c r="H151" s="228">
        <v>44908</v>
      </c>
      <c r="I151" s="230">
        <v>5.6</v>
      </c>
      <c r="J151" s="226"/>
      <c r="K151" s="226"/>
      <c r="L151" s="226"/>
      <c r="M151" s="225">
        <v>150757004905</v>
      </c>
      <c r="N151" s="225">
        <v>0</v>
      </c>
      <c r="O151" s="226"/>
      <c r="P151" s="226" t="s">
        <v>1170</v>
      </c>
    </row>
    <row r="152" spans="1:16" ht="13.5" thickBot="1" x14ac:dyDescent="0.25">
      <c r="A152" s="224">
        <v>151</v>
      </c>
      <c r="B152" s="225">
        <v>1</v>
      </c>
      <c r="C152" s="226" t="s">
        <v>1171</v>
      </c>
      <c r="D152" s="225">
        <v>762</v>
      </c>
      <c r="E152" s="227">
        <v>11259775</v>
      </c>
      <c r="F152" s="228">
        <v>44441</v>
      </c>
      <c r="G152" s="225">
        <v>12.2</v>
      </c>
      <c r="H152" s="226"/>
      <c r="I152" s="230"/>
      <c r="J152" s="226"/>
      <c r="K152" s="226"/>
      <c r="L152" s="226"/>
      <c r="M152" s="225">
        <v>140021625402</v>
      </c>
      <c r="N152" s="225">
        <v>0</v>
      </c>
      <c r="O152" s="226"/>
      <c r="P152" s="226" t="s">
        <v>1172</v>
      </c>
    </row>
    <row r="153" spans="1:16" ht="13.5" thickBot="1" x14ac:dyDescent="0.25">
      <c r="A153" s="224">
        <v>152</v>
      </c>
      <c r="B153" s="225">
        <v>2</v>
      </c>
      <c r="C153" s="226" t="s">
        <v>1173</v>
      </c>
      <c r="D153" s="225">
        <v>776</v>
      </c>
      <c r="E153" s="227">
        <v>5814735</v>
      </c>
      <c r="F153" s="228">
        <v>44420</v>
      </c>
      <c r="G153" s="225">
        <v>13.4</v>
      </c>
      <c r="H153" s="228">
        <v>44914</v>
      </c>
      <c r="I153" s="230">
        <v>7.8</v>
      </c>
      <c r="J153" s="226"/>
      <c r="K153" s="226"/>
      <c r="L153" s="226"/>
      <c r="M153" s="225">
        <v>150446905201</v>
      </c>
      <c r="N153" s="225">
        <v>0</v>
      </c>
      <c r="O153" s="226"/>
      <c r="P153" s="226" t="s">
        <v>1174</v>
      </c>
    </row>
    <row r="154" spans="1:16" ht="13.5" thickBot="1" x14ac:dyDescent="0.25">
      <c r="A154" s="224">
        <v>153</v>
      </c>
      <c r="B154" s="225">
        <v>1</v>
      </c>
      <c r="C154" s="226" t="s">
        <v>1175</v>
      </c>
      <c r="D154" s="225">
        <v>777</v>
      </c>
      <c r="E154" s="227">
        <v>11474570</v>
      </c>
      <c r="F154" s="228">
        <v>44420</v>
      </c>
      <c r="G154" s="225">
        <v>6.9</v>
      </c>
      <c r="H154" s="228">
        <v>44949</v>
      </c>
      <c r="I154" s="230">
        <v>5.3</v>
      </c>
      <c r="J154" s="226"/>
      <c r="K154" s="226"/>
      <c r="L154" s="226"/>
      <c r="M154" s="225">
        <v>150577931204</v>
      </c>
      <c r="N154" s="225">
        <v>0</v>
      </c>
      <c r="O154" s="226"/>
      <c r="P154" s="226" t="s">
        <v>1176</v>
      </c>
    </row>
    <row r="155" spans="1:16" ht="13.5" thickBot="1" x14ac:dyDescent="0.25">
      <c r="A155" s="224">
        <v>154</v>
      </c>
      <c r="B155" s="225">
        <v>2</v>
      </c>
      <c r="C155" s="226" t="s">
        <v>1177</v>
      </c>
      <c r="D155" s="225">
        <v>781</v>
      </c>
      <c r="E155" s="227">
        <v>10597287</v>
      </c>
      <c r="F155" s="228">
        <v>44427</v>
      </c>
      <c r="G155" s="225">
        <v>8.1999999999999993</v>
      </c>
      <c r="H155" s="226"/>
      <c r="I155" s="230"/>
      <c r="J155" s="226"/>
      <c r="K155" s="226"/>
      <c r="L155" s="226"/>
      <c r="M155" s="225">
        <v>465908413703</v>
      </c>
      <c r="N155" s="225">
        <v>0</v>
      </c>
      <c r="O155" s="226"/>
      <c r="P155" s="226" t="s">
        <v>1178</v>
      </c>
    </row>
    <row r="156" spans="1:16" ht="13.5" thickBot="1" x14ac:dyDescent="0.25">
      <c r="A156" s="224">
        <v>155</v>
      </c>
      <c r="B156" s="225">
        <v>2</v>
      </c>
      <c r="C156" s="226" t="s">
        <v>1179</v>
      </c>
      <c r="D156" s="225">
        <v>787</v>
      </c>
      <c r="E156" s="227">
        <v>11747198</v>
      </c>
      <c r="F156" s="228">
        <v>44420</v>
      </c>
      <c r="G156" s="225">
        <v>14.6</v>
      </c>
      <c r="H156" s="228">
        <v>44914</v>
      </c>
      <c r="I156" s="230">
        <v>6.1</v>
      </c>
      <c r="J156" s="226"/>
      <c r="K156" s="226"/>
      <c r="L156" s="226"/>
      <c r="M156" s="225">
        <v>150754778604</v>
      </c>
      <c r="N156" s="225">
        <v>0</v>
      </c>
      <c r="O156" s="226"/>
      <c r="P156" s="226" t="s">
        <v>1180</v>
      </c>
    </row>
    <row r="157" spans="1:16" ht="13.5" thickBot="1" x14ac:dyDescent="0.25">
      <c r="A157" s="224">
        <v>156</v>
      </c>
      <c r="B157" s="225">
        <v>1</v>
      </c>
      <c r="C157" s="226" t="s">
        <v>1181</v>
      </c>
      <c r="D157" s="225">
        <v>788</v>
      </c>
      <c r="E157" s="227">
        <v>5573305</v>
      </c>
      <c r="F157" s="228">
        <v>44420</v>
      </c>
      <c r="G157" s="225">
        <v>9.6</v>
      </c>
      <c r="H157" s="226"/>
      <c r="I157" s="230"/>
      <c r="J157" s="226"/>
      <c r="K157" s="226"/>
      <c r="L157" s="226"/>
      <c r="M157" s="225">
        <v>150311510705</v>
      </c>
      <c r="N157" s="225">
        <v>0</v>
      </c>
      <c r="O157" s="226"/>
      <c r="P157" s="226" t="s">
        <v>1182</v>
      </c>
    </row>
    <row r="158" spans="1:16" ht="13.5" thickBot="1" x14ac:dyDescent="0.25">
      <c r="A158" s="224">
        <v>157</v>
      </c>
      <c r="B158" s="225">
        <v>2</v>
      </c>
      <c r="C158" s="226" t="s">
        <v>1183</v>
      </c>
      <c r="D158" s="225">
        <v>790</v>
      </c>
      <c r="E158" s="227">
        <v>5292500</v>
      </c>
      <c r="F158" s="228">
        <v>44427</v>
      </c>
      <c r="G158" s="225">
        <v>8.5</v>
      </c>
      <c r="H158" s="228">
        <v>45014</v>
      </c>
      <c r="I158" s="230">
        <v>5.3</v>
      </c>
      <c r="J158" s="226"/>
      <c r="K158" s="226"/>
      <c r="L158" s="226"/>
      <c r="M158" s="225">
        <v>150367794605</v>
      </c>
      <c r="N158" s="225">
        <v>0</v>
      </c>
      <c r="O158" s="226"/>
      <c r="P158" s="226" t="s">
        <v>1184</v>
      </c>
    </row>
    <row r="159" spans="1:16" ht="13.5" thickBot="1" x14ac:dyDescent="0.25">
      <c r="A159" s="224">
        <v>158</v>
      </c>
      <c r="B159" s="225">
        <v>2</v>
      </c>
      <c r="C159" s="226" t="s">
        <v>1185</v>
      </c>
      <c r="D159" s="225">
        <v>792</v>
      </c>
      <c r="E159" s="227">
        <v>6214414</v>
      </c>
      <c r="F159" s="228">
        <v>44427</v>
      </c>
      <c r="G159" s="225">
        <v>10.9</v>
      </c>
      <c r="H159" s="226"/>
      <c r="I159" s="230"/>
      <c r="J159" s="226"/>
      <c r="K159" s="226"/>
      <c r="L159" s="226"/>
      <c r="M159" s="225">
        <v>150541330105</v>
      </c>
      <c r="N159" s="225">
        <v>0</v>
      </c>
      <c r="O159" s="226"/>
      <c r="P159" s="226" t="s">
        <v>1186</v>
      </c>
    </row>
    <row r="160" spans="1:16" ht="13.5" thickBot="1" x14ac:dyDescent="0.25">
      <c r="A160" s="224">
        <v>159</v>
      </c>
      <c r="B160" s="225">
        <v>1</v>
      </c>
      <c r="C160" s="226" t="s">
        <v>1187</v>
      </c>
      <c r="D160" s="225">
        <v>809</v>
      </c>
      <c r="E160" s="227">
        <v>11153775</v>
      </c>
      <c r="F160" s="228">
        <v>44434</v>
      </c>
      <c r="G160" s="225">
        <v>6.3</v>
      </c>
      <c r="H160" s="228">
        <v>44949</v>
      </c>
      <c r="I160" s="230">
        <v>6.4</v>
      </c>
      <c r="J160" s="226"/>
      <c r="K160" s="226"/>
      <c r="L160" s="226"/>
      <c r="M160" s="225">
        <v>150744740104</v>
      </c>
      <c r="N160" s="225">
        <v>0</v>
      </c>
      <c r="O160" s="226"/>
      <c r="P160" s="226" t="s">
        <v>1188</v>
      </c>
    </row>
    <row r="161" spans="1:16" ht="13.5" thickBot="1" x14ac:dyDescent="0.25">
      <c r="A161" s="224">
        <v>160</v>
      </c>
      <c r="B161" s="225">
        <v>1</v>
      </c>
      <c r="C161" s="226" t="s">
        <v>1189</v>
      </c>
      <c r="D161" s="225">
        <v>811</v>
      </c>
      <c r="E161" s="232"/>
      <c r="F161" s="228">
        <v>44434</v>
      </c>
      <c r="G161" s="225">
        <v>9.1</v>
      </c>
      <c r="H161" s="226"/>
      <c r="I161" s="230"/>
      <c r="J161" s="226"/>
      <c r="K161" s="226"/>
      <c r="L161" s="226"/>
      <c r="M161" s="225">
        <v>150315626506</v>
      </c>
      <c r="N161" s="225">
        <v>0</v>
      </c>
      <c r="O161" s="226"/>
      <c r="P161" s="226" t="s">
        <v>1190</v>
      </c>
    </row>
    <row r="162" spans="1:16" ht="13.5" thickBot="1" x14ac:dyDescent="0.25">
      <c r="A162" s="224">
        <v>161</v>
      </c>
      <c r="B162" s="225">
        <v>1</v>
      </c>
      <c r="C162" s="226" t="s">
        <v>1191</v>
      </c>
      <c r="D162" s="225">
        <v>816</v>
      </c>
      <c r="E162" s="227">
        <v>92327045</v>
      </c>
      <c r="F162" s="228">
        <v>44441</v>
      </c>
      <c r="G162" s="225">
        <v>7.3</v>
      </c>
      <c r="H162" s="228">
        <v>44942</v>
      </c>
      <c r="I162" s="230">
        <v>5.9</v>
      </c>
      <c r="J162" s="226"/>
      <c r="K162" s="226"/>
      <c r="L162" s="226"/>
      <c r="M162" s="225">
        <v>150990216300</v>
      </c>
      <c r="N162" s="225">
        <v>0</v>
      </c>
      <c r="O162" s="226"/>
      <c r="P162" s="226" t="s">
        <v>1192</v>
      </c>
    </row>
    <row r="163" spans="1:16" ht="13.5" thickBot="1" x14ac:dyDescent="0.25">
      <c r="A163" s="224">
        <v>162</v>
      </c>
      <c r="B163" s="225">
        <v>2</v>
      </c>
      <c r="C163" s="226" t="s">
        <v>1193</v>
      </c>
      <c r="D163" s="225">
        <v>835</v>
      </c>
      <c r="E163" s="227">
        <v>5891499</v>
      </c>
      <c r="F163" s="228">
        <v>44434</v>
      </c>
      <c r="G163" s="225">
        <v>8.5</v>
      </c>
      <c r="H163" s="228">
        <v>44911</v>
      </c>
      <c r="I163" s="230">
        <v>7.2</v>
      </c>
      <c r="J163" s="226"/>
      <c r="K163" s="226"/>
      <c r="L163" s="226"/>
      <c r="M163" s="225">
        <v>150448300309</v>
      </c>
      <c r="N163" s="225">
        <v>0</v>
      </c>
      <c r="O163" s="226"/>
      <c r="P163" s="226" t="s">
        <v>1194</v>
      </c>
    </row>
    <row r="164" spans="1:16" ht="13.5" thickBot="1" x14ac:dyDescent="0.25">
      <c r="A164" s="224">
        <v>163</v>
      </c>
      <c r="B164" s="225">
        <v>2</v>
      </c>
      <c r="C164" s="226" t="s">
        <v>1195</v>
      </c>
      <c r="D164" s="225">
        <v>844</v>
      </c>
      <c r="E164" s="227">
        <v>8704832</v>
      </c>
      <c r="F164" s="228">
        <v>44434</v>
      </c>
      <c r="G164" s="225">
        <v>12.6</v>
      </c>
      <c r="H164" s="228">
        <v>44963</v>
      </c>
      <c r="I164" s="230">
        <v>8.6999999999999993</v>
      </c>
      <c r="J164" s="226"/>
      <c r="K164" s="226"/>
      <c r="L164" s="226"/>
      <c r="M164" s="225">
        <v>150583316509</v>
      </c>
      <c r="N164" s="225">
        <v>0</v>
      </c>
      <c r="O164" s="226"/>
      <c r="P164" s="226" t="s">
        <v>1196</v>
      </c>
    </row>
    <row r="165" spans="1:16" ht="13.5" thickBot="1" x14ac:dyDescent="0.25">
      <c r="A165" s="224">
        <v>164</v>
      </c>
      <c r="B165" s="225">
        <v>2</v>
      </c>
      <c r="C165" s="226" t="s">
        <v>1197</v>
      </c>
      <c r="D165" s="225">
        <v>848</v>
      </c>
      <c r="E165" s="227">
        <v>7381953</v>
      </c>
      <c r="F165" s="228">
        <v>44441</v>
      </c>
      <c r="G165" s="225">
        <v>8.5</v>
      </c>
      <c r="H165" s="228">
        <v>45013</v>
      </c>
      <c r="I165" s="230">
        <v>6.6</v>
      </c>
      <c r="J165" s="226"/>
      <c r="K165" s="226"/>
      <c r="L165" s="226"/>
      <c r="M165" s="225">
        <v>150685758602</v>
      </c>
      <c r="N165" s="225">
        <v>0</v>
      </c>
      <c r="O165" s="226"/>
      <c r="P165" s="226" t="s">
        <v>1198</v>
      </c>
    </row>
    <row r="166" spans="1:16" ht="13.5" thickBot="1" x14ac:dyDescent="0.25">
      <c r="A166" s="224">
        <v>165</v>
      </c>
      <c r="B166" s="225">
        <v>1</v>
      </c>
      <c r="C166" s="226" t="s">
        <v>1199</v>
      </c>
      <c r="D166" s="225">
        <v>852</v>
      </c>
      <c r="E166" s="227">
        <v>11743151</v>
      </c>
      <c r="F166" s="228">
        <v>44420</v>
      </c>
      <c r="G166" s="225">
        <v>9.5</v>
      </c>
      <c r="H166" s="228">
        <v>44949</v>
      </c>
      <c r="I166" s="230">
        <v>6.8</v>
      </c>
      <c r="J166" s="226"/>
      <c r="K166" s="226"/>
      <c r="L166" s="226"/>
      <c r="M166" s="225">
        <v>150717632008</v>
      </c>
      <c r="N166" s="225">
        <v>0</v>
      </c>
      <c r="O166" s="226"/>
      <c r="P166" s="226" t="s">
        <v>1200</v>
      </c>
    </row>
    <row r="167" spans="1:16" ht="13.5" thickBot="1" x14ac:dyDescent="0.25">
      <c r="A167" s="224">
        <v>166</v>
      </c>
      <c r="B167" s="225">
        <v>2</v>
      </c>
      <c r="C167" s="226" t="s">
        <v>1201</v>
      </c>
      <c r="D167" s="225">
        <v>868</v>
      </c>
      <c r="E167" s="227">
        <v>7822955</v>
      </c>
      <c r="F167" s="228">
        <v>44434</v>
      </c>
      <c r="G167" s="226"/>
      <c r="H167" s="228">
        <v>44911</v>
      </c>
      <c r="I167" s="230">
        <v>6.4</v>
      </c>
      <c r="J167" s="226"/>
      <c r="K167" s="226"/>
      <c r="L167" s="226"/>
      <c r="M167" s="225">
        <v>150714120302</v>
      </c>
      <c r="N167" s="225">
        <v>0</v>
      </c>
      <c r="O167" s="226"/>
      <c r="P167" s="226" t="s">
        <v>1202</v>
      </c>
    </row>
    <row r="168" spans="1:16" ht="13.5" thickBot="1" x14ac:dyDescent="0.25">
      <c r="A168" s="224">
        <v>167</v>
      </c>
      <c r="B168" s="225">
        <v>1</v>
      </c>
      <c r="C168" s="226" t="s">
        <v>1203</v>
      </c>
      <c r="D168" s="225">
        <v>872</v>
      </c>
      <c r="E168" s="227">
        <v>10370630</v>
      </c>
      <c r="F168" s="228">
        <v>44420</v>
      </c>
      <c r="G168" s="225">
        <v>11</v>
      </c>
      <c r="H168" s="226"/>
      <c r="I168" s="230"/>
      <c r="J168" s="226"/>
      <c r="K168" s="226"/>
      <c r="L168" s="226"/>
      <c r="M168" s="225">
        <v>150528508801</v>
      </c>
      <c r="N168" s="225">
        <v>0</v>
      </c>
      <c r="O168" s="226"/>
      <c r="P168" s="226" t="s">
        <v>1204</v>
      </c>
    </row>
    <row r="169" spans="1:16" ht="13.5" thickBot="1" x14ac:dyDescent="0.25">
      <c r="A169" s="224">
        <v>168</v>
      </c>
      <c r="B169" s="225">
        <v>2</v>
      </c>
      <c r="C169" s="226" t="s">
        <v>1205</v>
      </c>
      <c r="D169" s="225">
        <v>881</v>
      </c>
      <c r="E169" s="227">
        <v>14319381</v>
      </c>
      <c r="F169" s="228">
        <v>44427</v>
      </c>
      <c r="G169" s="225">
        <v>10.4</v>
      </c>
      <c r="H169" s="226"/>
      <c r="I169" s="230"/>
      <c r="J169" s="226"/>
      <c r="K169" s="226"/>
      <c r="L169" s="226"/>
      <c r="M169" s="225">
        <v>150855375609</v>
      </c>
      <c r="N169" s="225">
        <v>0</v>
      </c>
      <c r="O169" s="226"/>
      <c r="P169" s="226" t="s">
        <v>1206</v>
      </c>
    </row>
    <row r="170" spans="1:16" ht="13.5" thickBot="1" x14ac:dyDescent="0.25">
      <c r="A170" s="224">
        <v>169</v>
      </c>
      <c r="B170" s="225">
        <v>1</v>
      </c>
      <c r="C170" s="226" t="s">
        <v>1207</v>
      </c>
      <c r="D170" s="225">
        <v>883</v>
      </c>
      <c r="E170" s="227">
        <v>5018420</v>
      </c>
      <c r="F170" s="228">
        <v>44420</v>
      </c>
      <c r="G170" s="225">
        <v>9.4</v>
      </c>
      <c r="H170" s="226"/>
      <c r="I170" s="230"/>
      <c r="J170" s="226"/>
      <c r="K170" s="226"/>
      <c r="L170" s="226"/>
      <c r="M170" s="225">
        <v>150213465306</v>
      </c>
      <c r="N170" s="225">
        <v>0</v>
      </c>
      <c r="O170" s="226"/>
      <c r="P170" s="226" t="s">
        <v>1208</v>
      </c>
    </row>
    <row r="171" spans="1:16" ht="13.5" thickBot="1" x14ac:dyDescent="0.25">
      <c r="A171" s="224">
        <v>170</v>
      </c>
      <c r="B171" s="225">
        <v>1</v>
      </c>
      <c r="C171" s="226" t="s">
        <v>1209</v>
      </c>
      <c r="D171" s="225">
        <v>885</v>
      </c>
      <c r="E171" s="227">
        <v>8100852</v>
      </c>
      <c r="F171" s="228">
        <v>44420</v>
      </c>
      <c r="G171" s="225">
        <v>7.2</v>
      </c>
      <c r="H171" s="228">
        <v>44949</v>
      </c>
      <c r="I171" s="230">
        <v>4.5999999999999996</v>
      </c>
      <c r="J171" s="226"/>
      <c r="K171" s="226"/>
      <c r="L171" s="226"/>
      <c r="M171" s="225">
        <v>150346072304</v>
      </c>
      <c r="N171" s="225">
        <v>0</v>
      </c>
      <c r="O171" s="226"/>
      <c r="P171" s="226" t="s">
        <v>1210</v>
      </c>
    </row>
    <row r="172" spans="1:16" ht="13.5" thickBot="1" x14ac:dyDescent="0.25">
      <c r="A172" s="224">
        <v>171</v>
      </c>
      <c r="B172" s="225">
        <v>1</v>
      </c>
      <c r="C172" s="226" t="s">
        <v>1211</v>
      </c>
      <c r="D172" s="225">
        <v>887</v>
      </c>
      <c r="E172" s="227">
        <v>8286353</v>
      </c>
      <c r="F172" s="228">
        <v>44420</v>
      </c>
      <c r="G172" s="225">
        <v>9.9</v>
      </c>
      <c r="H172" s="226"/>
      <c r="I172" s="230"/>
      <c r="J172" s="226"/>
      <c r="K172" s="226"/>
      <c r="L172" s="226"/>
      <c r="M172" s="225">
        <v>150384803402</v>
      </c>
      <c r="N172" s="225">
        <v>0</v>
      </c>
      <c r="O172" s="226"/>
      <c r="P172" s="226" t="s">
        <v>1212</v>
      </c>
    </row>
    <row r="173" spans="1:16" ht="13.5" thickBot="1" x14ac:dyDescent="0.25">
      <c r="A173" s="224">
        <v>172</v>
      </c>
      <c r="B173" s="225">
        <v>2</v>
      </c>
      <c r="C173" s="226" t="s">
        <v>1213</v>
      </c>
      <c r="D173" s="225">
        <v>888</v>
      </c>
      <c r="E173" s="227">
        <v>4574285</v>
      </c>
      <c r="F173" s="228">
        <v>44420</v>
      </c>
      <c r="G173" s="225">
        <v>6.6</v>
      </c>
      <c r="H173" s="228">
        <v>44909</v>
      </c>
      <c r="I173" s="230">
        <v>4.7</v>
      </c>
      <c r="J173" s="226"/>
      <c r="K173" s="226"/>
      <c r="L173" s="226"/>
      <c r="M173" s="225">
        <v>150338301304</v>
      </c>
      <c r="N173" s="225">
        <v>0</v>
      </c>
      <c r="O173" s="226"/>
      <c r="P173" s="226" t="s">
        <v>1214</v>
      </c>
    </row>
    <row r="174" spans="1:16" ht="13.5" thickBot="1" x14ac:dyDescent="0.25">
      <c r="A174" s="224">
        <v>173</v>
      </c>
      <c r="B174" s="225">
        <v>1</v>
      </c>
      <c r="C174" s="226" t="s">
        <v>1215</v>
      </c>
      <c r="D174" s="225">
        <v>896</v>
      </c>
      <c r="E174" s="227">
        <v>10115188</v>
      </c>
      <c r="F174" s="228">
        <v>44434</v>
      </c>
      <c r="G174" s="225">
        <v>10.199999999999999</v>
      </c>
      <c r="H174" s="228">
        <v>44951</v>
      </c>
      <c r="I174" s="230">
        <v>5.5</v>
      </c>
      <c r="J174" s="226"/>
      <c r="K174" s="226"/>
      <c r="L174" s="226"/>
      <c r="M174" s="225">
        <v>150574454809</v>
      </c>
      <c r="N174" s="225">
        <v>0</v>
      </c>
      <c r="O174" s="226"/>
      <c r="P174" s="226" t="s">
        <v>1216</v>
      </c>
    </row>
    <row r="175" spans="1:16" ht="13.5" thickBot="1" x14ac:dyDescent="0.25">
      <c r="A175" s="224">
        <v>174</v>
      </c>
      <c r="B175" s="225">
        <v>2</v>
      </c>
      <c r="C175" s="226" t="s">
        <v>1217</v>
      </c>
      <c r="D175" s="225">
        <v>907</v>
      </c>
      <c r="E175" s="227">
        <v>5327826</v>
      </c>
      <c r="F175" s="228">
        <v>44441</v>
      </c>
      <c r="G175" s="225">
        <v>29.1</v>
      </c>
      <c r="H175" s="228">
        <v>44914</v>
      </c>
      <c r="I175" s="230">
        <v>6.1</v>
      </c>
      <c r="J175" s="226"/>
      <c r="K175" s="226"/>
      <c r="L175" s="226"/>
      <c r="M175" s="225">
        <v>150387612805</v>
      </c>
      <c r="N175" s="225">
        <v>0</v>
      </c>
      <c r="O175" s="226"/>
      <c r="P175" s="226" t="s">
        <v>1218</v>
      </c>
    </row>
    <row r="176" spans="1:16" ht="13.5" thickBot="1" x14ac:dyDescent="0.25">
      <c r="A176" s="224">
        <v>175</v>
      </c>
      <c r="B176" s="225">
        <v>2</v>
      </c>
      <c r="C176" s="226" t="s">
        <v>1219</v>
      </c>
      <c r="D176" s="225">
        <v>909</v>
      </c>
      <c r="E176" s="227">
        <v>6256833</v>
      </c>
      <c r="F176" s="228">
        <v>44434</v>
      </c>
      <c r="G176" s="225">
        <v>7.9</v>
      </c>
      <c r="H176" s="228">
        <v>44911</v>
      </c>
      <c r="I176" s="230">
        <v>5.5</v>
      </c>
      <c r="J176" s="226"/>
      <c r="K176" s="226"/>
      <c r="L176" s="226"/>
      <c r="M176" s="225">
        <v>150468739700</v>
      </c>
      <c r="N176" s="225">
        <v>0</v>
      </c>
      <c r="O176" s="226"/>
      <c r="P176" s="226" t="s">
        <v>1220</v>
      </c>
    </row>
    <row r="177" spans="1:16" ht="13.5" thickBot="1" x14ac:dyDescent="0.25">
      <c r="A177" s="224">
        <v>176</v>
      </c>
      <c r="B177" s="225">
        <v>1</v>
      </c>
      <c r="C177" s="226" t="s">
        <v>1221</v>
      </c>
      <c r="D177" s="225">
        <v>914</v>
      </c>
      <c r="E177" s="227">
        <v>8700341</v>
      </c>
      <c r="F177" s="228">
        <v>44420</v>
      </c>
      <c r="G177" s="225">
        <v>8.6</v>
      </c>
      <c r="H177" s="228">
        <v>45015</v>
      </c>
      <c r="I177" s="230">
        <v>4.7</v>
      </c>
      <c r="J177" s="226"/>
      <c r="K177" s="226"/>
      <c r="L177" s="226"/>
      <c r="M177" s="225">
        <v>150261321309</v>
      </c>
      <c r="N177" s="225">
        <v>0</v>
      </c>
      <c r="O177" s="226"/>
      <c r="P177" s="226" t="s">
        <v>1222</v>
      </c>
    </row>
    <row r="178" spans="1:16" ht="13.5" thickBot="1" x14ac:dyDescent="0.25">
      <c r="A178" s="224">
        <v>177</v>
      </c>
      <c r="B178" s="225">
        <v>1</v>
      </c>
      <c r="C178" s="226" t="s">
        <v>1223</v>
      </c>
      <c r="D178" s="225">
        <v>929</v>
      </c>
      <c r="E178" s="227">
        <v>5257308</v>
      </c>
      <c r="F178" s="228">
        <v>44441</v>
      </c>
      <c r="G178" s="225">
        <v>9</v>
      </c>
      <c r="H178" s="228">
        <v>45016</v>
      </c>
      <c r="I178" s="230">
        <v>5.6</v>
      </c>
      <c r="J178" s="226"/>
      <c r="K178" s="226"/>
      <c r="L178" s="226"/>
      <c r="M178" s="225">
        <v>150529765000</v>
      </c>
      <c r="N178" s="225">
        <v>0</v>
      </c>
      <c r="O178" s="226"/>
      <c r="P178" s="226" t="s">
        <v>1224</v>
      </c>
    </row>
    <row r="179" spans="1:16" ht="13.5" thickBot="1" x14ac:dyDescent="0.25">
      <c r="A179" s="224">
        <v>178</v>
      </c>
      <c r="B179" s="225">
        <v>1</v>
      </c>
      <c r="C179" s="226" t="s">
        <v>1225</v>
      </c>
      <c r="D179" s="225">
        <v>933</v>
      </c>
      <c r="E179" s="227">
        <v>10967565</v>
      </c>
      <c r="F179" s="228">
        <v>44441</v>
      </c>
      <c r="G179" s="225">
        <v>8.4</v>
      </c>
      <c r="H179" s="228">
        <v>44951</v>
      </c>
      <c r="I179" s="230">
        <v>5</v>
      </c>
      <c r="J179" s="226"/>
      <c r="K179" s="226"/>
      <c r="L179" s="226"/>
      <c r="M179" s="225">
        <v>150650668000</v>
      </c>
      <c r="N179" s="225">
        <v>0</v>
      </c>
      <c r="O179" s="226"/>
      <c r="P179" s="226" t="s">
        <v>1226</v>
      </c>
    </row>
    <row r="180" spans="1:16" ht="13.5" thickBot="1" x14ac:dyDescent="0.25">
      <c r="A180" s="224">
        <v>179</v>
      </c>
      <c r="B180" s="225">
        <v>2</v>
      </c>
      <c r="C180" s="226" t="s">
        <v>1227</v>
      </c>
      <c r="D180" s="225">
        <v>945</v>
      </c>
      <c r="E180" s="227">
        <v>2725623</v>
      </c>
      <c r="F180" s="228">
        <v>44420</v>
      </c>
      <c r="G180" s="225">
        <v>9.3000000000000007</v>
      </c>
      <c r="H180" s="228">
        <v>44914</v>
      </c>
      <c r="I180" s="230">
        <v>5.6</v>
      </c>
      <c r="J180" s="226"/>
      <c r="K180" s="226"/>
      <c r="L180" s="226"/>
      <c r="M180" s="225">
        <v>150348872708</v>
      </c>
      <c r="N180" s="225">
        <v>0</v>
      </c>
      <c r="O180" s="226"/>
      <c r="P180" s="226" t="s">
        <v>1228</v>
      </c>
    </row>
    <row r="181" spans="1:16" ht="13.5" thickBot="1" x14ac:dyDescent="0.25">
      <c r="A181" s="224">
        <v>180</v>
      </c>
      <c r="B181" s="225">
        <v>1</v>
      </c>
      <c r="C181" s="226" t="s">
        <v>1229</v>
      </c>
      <c r="D181" s="225">
        <v>947</v>
      </c>
      <c r="E181" s="227">
        <v>10741228</v>
      </c>
      <c r="F181" s="228">
        <v>44441</v>
      </c>
      <c r="G181" s="225">
        <v>8.3000000000000007</v>
      </c>
      <c r="H181" s="226"/>
      <c r="I181" s="230"/>
      <c r="J181" s="226"/>
      <c r="K181" s="226"/>
      <c r="L181" s="226"/>
      <c r="M181" s="225">
        <v>150579252404</v>
      </c>
      <c r="N181" s="225">
        <v>0</v>
      </c>
      <c r="O181" s="226"/>
      <c r="P181" s="226" t="s">
        <v>1230</v>
      </c>
    </row>
    <row r="182" spans="1:16" ht="13.5" thickBot="1" x14ac:dyDescent="0.25">
      <c r="A182" s="224">
        <v>181</v>
      </c>
      <c r="B182" s="225">
        <v>2</v>
      </c>
      <c r="C182" s="226" t="s">
        <v>1231</v>
      </c>
      <c r="D182" s="225">
        <v>951</v>
      </c>
      <c r="E182" s="227">
        <v>10537874</v>
      </c>
      <c r="F182" s="228">
        <v>44420</v>
      </c>
      <c r="G182" s="225">
        <v>10.1</v>
      </c>
      <c r="H182" s="228">
        <v>44909</v>
      </c>
      <c r="I182" s="230">
        <v>7.7</v>
      </c>
      <c r="J182" s="226"/>
      <c r="K182" s="226"/>
      <c r="L182" s="226"/>
      <c r="M182" s="225">
        <v>150365389407</v>
      </c>
      <c r="N182" s="225">
        <v>0</v>
      </c>
      <c r="O182" s="226"/>
      <c r="P182" s="226" t="s">
        <v>1232</v>
      </c>
    </row>
    <row r="183" spans="1:16" ht="13.5" thickBot="1" x14ac:dyDescent="0.25">
      <c r="A183" s="224">
        <v>182</v>
      </c>
      <c r="B183" s="225">
        <v>1</v>
      </c>
      <c r="C183" s="226" t="s">
        <v>1233</v>
      </c>
      <c r="D183" s="225">
        <v>967</v>
      </c>
      <c r="E183" s="227">
        <v>5328343</v>
      </c>
      <c r="F183" s="228">
        <v>44441</v>
      </c>
      <c r="G183" s="225">
        <v>9.6999999999999993</v>
      </c>
      <c r="H183" s="228">
        <v>44949</v>
      </c>
      <c r="I183" s="230">
        <v>6.7</v>
      </c>
      <c r="J183" s="226"/>
      <c r="K183" s="226"/>
      <c r="L183" s="226"/>
      <c r="M183" s="225">
        <v>150496790102</v>
      </c>
      <c r="N183" s="225">
        <v>0</v>
      </c>
      <c r="O183" s="226"/>
      <c r="P183" s="226" t="s">
        <v>1234</v>
      </c>
    </row>
    <row r="184" spans="1:16" ht="13.5" thickBot="1" x14ac:dyDescent="0.25">
      <c r="A184" s="224">
        <v>183</v>
      </c>
      <c r="B184" s="225">
        <v>2</v>
      </c>
      <c r="C184" s="226" t="s">
        <v>1235</v>
      </c>
      <c r="D184" s="225">
        <v>981</v>
      </c>
      <c r="E184" s="227">
        <v>11350083</v>
      </c>
      <c r="F184" s="228">
        <v>44427</v>
      </c>
      <c r="G184" s="225">
        <v>11.4</v>
      </c>
      <c r="H184" s="228">
        <v>44909</v>
      </c>
      <c r="I184" s="230">
        <v>10.8</v>
      </c>
      <c r="J184" s="226"/>
      <c r="K184" s="226"/>
      <c r="L184" s="226"/>
      <c r="M184" s="225">
        <v>150066398702</v>
      </c>
      <c r="N184" s="225">
        <v>0</v>
      </c>
      <c r="O184" s="226"/>
      <c r="P184" s="226" t="s">
        <v>1236</v>
      </c>
    </row>
    <row r="185" spans="1:16" ht="13.5" thickBot="1" x14ac:dyDescent="0.25">
      <c r="A185" s="224">
        <v>184</v>
      </c>
      <c r="B185" s="225">
        <v>2</v>
      </c>
      <c r="C185" s="226" t="s">
        <v>1237</v>
      </c>
      <c r="D185" s="225">
        <v>998</v>
      </c>
      <c r="E185" s="227">
        <v>6362275</v>
      </c>
      <c r="F185" s="228">
        <v>44427</v>
      </c>
      <c r="G185" s="225">
        <v>14.3</v>
      </c>
      <c r="H185" s="228">
        <v>44910</v>
      </c>
      <c r="I185" s="230">
        <v>9.6</v>
      </c>
      <c r="J185" s="226"/>
      <c r="K185" s="226"/>
      <c r="L185" s="226"/>
      <c r="M185" s="225">
        <v>150666630704</v>
      </c>
      <c r="N185" s="225">
        <v>0</v>
      </c>
      <c r="O185" s="226"/>
      <c r="P185" s="226" t="s">
        <v>1238</v>
      </c>
    </row>
    <row r="186" spans="1:16" ht="13.5" thickBot="1" x14ac:dyDescent="0.25">
      <c r="A186" s="224">
        <v>185</v>
      </c>
      <c r="B186" s="225">
        <v>2</v>
      </c>
      <c r="C186" s="226" t="s">
        <v>1239</v>
      </c>
      <c r="D186" s="233">
        <v>1006</v>
      </c>
      <c r="E186" s="227">
        <v>6213330</v>
      </c>
      <c r="F186" s="228">
        <v>44427</v>
      </c>
      <c r="G186" s="225">
        <v>8.1</v>
      </c>
      <c r="H186" s="228">
        <v>44910</v>
      </c>
      <c r="I186" s="230">
        <v>6</v>
      </c>
      <c r="J186" s="226"/>
      <c r="K186" s="226"/>
      <c r="L186" s="226"/>
      <c r="M186" s="225">
        <v>150728839903</v>
      </c>
      <c r="N186" s="225">
        <v>0</v>
      </c>
      <c r="O186" s="226"/>
      <c r="P186" s="226" t="s">
        <v>1240</v>
      </c>
    </row>
    <row r="187" spans="1:16" ht="13.5" thickBot="1" x14ac:dyDescent="0.25">
      <c r="A187" s="224">
        <v>186</v>
      </c>
      <c r="B187" s="225">
        <v>2</v>
      </c>
      <c r="C187" s="226" t="s">
        <v>1241</v>
      </c>
      <c r="D187" s="233">
        <v>1013</v>
      </c>
      <c r="E187" s="227">
        <v>5585359</v>
      </c>
      <c r="F187" s="228">
        <v>44427</v>
      </c>
      <c r="G187" s="225">
        <v>10.1</v>
      </c>
      <c r="H187" s="228">
        <v>44909</v>
      </c>
      <c r="I187" s="230">
        <v>10</v>
      </c>
      <c r="J187" s="226"/>
      <c r="K187" s="226"/>
      <c r="L187" s="226"/>
      <c r="M187" s="225">
        <v>150362222506</v>
      </c>
      <c r="N187" s="225">
        <v>0</v>
      </c>
      <c r="O187" s="226"/>
      <c r="P187" s="226" t="s">
        <v>1242</v>
      </c>
    </row>
    <row r="188" spans="1:16" ht="13.5" thickBot="1" x14ac:dyDescent="0.25">
      <c r="A188" s="224">
        <v>187</v>
      </c>
      <c r="B188" s="225">
        <v>2</v>
      </c>
      <c r="C188" s="226" t="s">
        <v>1243</v>
      </c>
      <c r="D188" s="233">
        <v>1023</v>
      </c>
      <c r="E188" s="227">
        <v>5084243</v>
      </c>
      <c r="F188" s="228">
        <v>44427</v>
      </c>
      <c r="G188" s="225">
        <v>10.7</v>
      </c>
      <c r="H188" s="228">
        <v>44910</v>
      </c>
      <c r="I188" s="230">
        <v>7.8</v>
      </c>
      <c r="J188" s="226"/>
      <c r="K188" s="226"/>
      <c r="L188" s="226"/>
      <c r="M188" s="225">
        <v>150662963105</v>
      </c>
      <c r="N188" s="225">
        <v>0</v>
      </c>
      <c r="O188" s="226"/>
      <c r="P188" s="226" t="s">
        <v>1244</v>
      </c>
    </row>
    <row r="189" spans="1:16" ht="13.5" thickBot="1" x14ac:dyDescent="0.25">
      <c r="A189" s="224">
        <v>188</v>
      </c>
      <c r="B189" s="225">
        <v>2</v>
      </c>
      <c r="C189" s="226" t="s">
        <v>1245</v>
      </c>
      <c r="D189" s="233">
        <v>1077</v>
      </c>
      <c r="E189" s="227">
        <v>4980388</v>
      </c>
      <c r="F189" s="228">
        <v>44434</v>
      </c>
      <c r="G189" s="225">
        <v>9.9</v>
      </c>
      <c r="H189" s="228">
        <v>44909</v>
      </c>
      <c r="I189" s="230">
        <v>9.3000000000000007</v>
      </c>
      <c r="J189" s="226"/>
      <c r="K189" s="226"/>
      <c r="L189" s="226"/>
      <c r="M189" s="225">
        <v>150427643608</v>
      </c>
      <c r="N189" s="225">
        <v>0</v>
      </c>
      <c r="O189" s="226"/>
      <c r="P189" s="226" t="s">
        <v>1246</v>
      </c>
    </row>
    <row r="190" spans="1:16" ht="13.5" thickBot="1" x14ac:dyDescent="0.25">
      <c r="A190" s="224">
        <v>189</v>
      </c>
      <c r="B190" s="225">
        <v>2</v>
      </c>
      <c r="C190" s="226" t="s">
        <v>1247</v>
      </c>
      <c r="D190" s="233">
        <v>1080</v>
      </c>
      <c r="E190" s="227">
        <v>5465460</v>
      </c>
      <c r="F190" s="228">
        <v>44434</v>
      </c>
      <c r="G190" s="225">
        <v>8.1999999999999993</v>
      </c>
      <c r="H190" s="226"/>
      <c r="I190" s="230"/>
      <c r="J190" s="226"/>
      <c r="K190" s="226"/>
      <c r="L190" s="226"/>
      <c r="M190" s="225">
        <v>150933196708</v>
      </c>
      <c r="N190" s="225">
        <v>0</v>
      </c>
      <c r="O190" s="226"/>
      <c r="P190" s="226" t="s">
        <v>1248</v>
      </c>
    </row>
    <row r="191" spans="1:16" ht="13.5" thickBot="1" x14ac:dyDescent="0.25">
      <c r="A191" s="224">
        <v>190</v>
      </c>
      <c r="B191" s="225">
        <v>2</v>
      </c>
      <c r="C191" s="226" t="s">
        <v>1249</v>
      </c>
      <c r="D191" s="233">
        <v>1081</v>
      </c>
      <c r="E191" s="227">
        <v>4532513</v>
      </c>
      <c r="F191" s="228">
        <v>44441</v>
      </c>
      <c r="G191" s="225">
        <v>7.9</v>
      </c>
      <c r="H191" s="228">
        <v>44910</v>
      </c>
      <c r="I191" s="230">
        <v>8.5</v>
      </c>
      <c r="J191" s="226"/>
      <c r="K191" s="226"/>
      <c r="L191" s="226"/>
      <c r="M191" s="225">
        <v>155026556900</v>
      </c>
      <c r="N191" s="225">
        <v>0</v>
      </c>
      <c r="O191" s="226"/>
      <c r="P191" s="226" t="s">
        <v>1250</v>
      </c>
    </row>
    <row r="192" spans="1:16" ht="13.5" thickBot="1" x14ac:dyDescent="0.25">
      <c r="A192" s="224">
        <v>191</v>
      </c>
      <c r="B192" s="225">
        <v>2</v>
      </c>
      <c r="C192" s="226" t="s">
        <v>1251</v>
      </c>
      <c r="D192" s="233">
        <v>1086</v>
      </c>
      <c r="E192" s="227">
        <v>11358145</v>
      </c>
      <c r="F192" s="228">
        <v>44441</v>
      </c>
      <c r="G192" s="225">
        <v>12.4</v>
      </c>
      <c r="H192" s="226"/>
      <c r="I192" s="230"/>
      <c r="J192" s="226"/>
      <c r="K192" s="226"/>
      <c r="L192" s="226"/>
      <c r="M192" s="225">
        <v>150624886502</v>
      </c>
      <c r="N192" s="225">
        <v>0</v>
      </c>
      <c r="O192" s="226"/>
      <c r="P192" s="226" t="s">
        <v>1252</v>
      </c>
    </row>
    <row r="193" spans="1:16" ht="13.5" thickBot="1" x14ac:dyDescent="0.25">
      <c r="A193" s="224">
        <v>192</v>
      </c>
      <c r="B193" s="225">
        <v>1</v>
      </c>
      <c r="C193" s="226" t="s">
        <v>1253</v>
      </c>
      <c r="D193" s="233">
        <v>1087</v>
      </c>
      <c r="E193" s="227">
        <v>10327378</v>
      </c>
      <c r="F193" s="228">
        <v>44434</v>
      </c>
      <c r="G193" s="225">
        <v>9.9</v>
      </c>
      <c r="H193" s="228">
        <v>45016</v>
      </c>
      <c r="I193" s="230">
        <v>7.2</v>
      </c>
      <c r="J193" s="226"/>
      <c r="K193" s="226"/>
      <c r="L193" s="226"/>
      <c r="M193" s="225">
        <v>465940188701</v>
      </c>
      <c r="N193" s="225">
        <v>0</v>
      </c>
      <c r="O193" s="226"/>
      <c r="P193" s="226" t="s">
        <v>1254</v>
      </c>
    </row>
    <row r="194" spans="1:16" ht="13.5" thickBot="1" x14ac:dyDescent="0.25">
      <c r="A194" s="224">
        <v>193</v>
      </c>
      <c r="B194" s="225">
        <v>1</v>
      </c>
      <c r="C194" s="226" t="s">
        <v>1255</v>
      </c>
      <c r="D194" s="234">
        <v>1088</v>
      </c>
      <c r="E194" s="227">
        <v>10883646</v>
      </c>
      <c r="F194" s="228">
        <v>44434</v>
      </c>
      <c r="G194" s="225">
        <v>9.6</v>
      </c>
      <c r="H194" s="226"/>
      <c r="I194" s="230"/>
      <c r="J194" s="226"/>
      <c r="K194" s="226"/>
      <c r="L194" s="226"/>
      <c r="M194" s="225">
        <v>150589631902</v>
      </c>
      <c r="N194" s="225">
        <v>0</v>
      </c>
      <c r="O194" s="226"/>
      <c r="P194" s="226" t="s">
        <v>1256</v>
      </c>
    </row>
    <row r="195" spans="1:16" ht="13.5" thickBot="1" x14ac:dyDescent="0.25">
      <c r="A195" s="224">
        <v>194</v>
      </c>
      <c r="B195" s="225">
        <v>2</v>
      </c>
      <c r="C195" s="226" t="s">
        <v>1257</v>
      </c>
      <c r="D195" s="233">
        <v>1091</v>
      </c>
      <c r="E195" s="227">
        <v>5324914</v>
      </c>
      <c r="F195" s="228">
        <v>44434</v>
      </c>
      <c r="G195" s="225">
        <v>7.7</v>
      </c>
      <c r="H195" s="226"/>
      <c r="I195" s="230"/>
      <c r="J195" s="226"/>
      <c r="K195" s="226"/>
      <c r="L195" s="226"/>
      <c r="M195" s="225">
        <v>150385185903</v>
      </c>
      <c r="N195" s="225">
        <v>0</v>
      </c>
      <c r="O195" s="226"/>
      <c r="P195" s="226" t="s">
        <v>1258</v>
      </c>
    </row>
    <row r="196" spans="1:16" ht="13.5" thickBot="1" x14ac:dyDescent="0.25">
      <c r="A196" s="224">
        <v>195</v>
      </c>
      <c r="B196" s="225">
        <v>1</v>
      </c>
      <c r="C196" s="226" t="s">
        <v>1259</v>
      </c>
      <c r="D196" s="233">
        <v>1104</v>
      </c>
      <c r="E196" s="227">
        <v>8701548</v>
      </c>
      <c r="F196" s="228">
        <v>44434</v>
      </c>
      <c r="G196" s="225">
        <v>6.5</v>
      </c>
      <c r="H196" s="226"/>
      <c r="I196" s="230"/>
      <c r="J196" s="226"/>
      <c r="K196" s="226"/>
      <c r="L196" s="226"/>
      <c r="M196" s="225">
        <v>150523217905</v>
      </c>
      <c r="N196" s="225">
        <v>0</v>
      </c>
      <c r="O196" s="226"/>
      <c r="P196" s="226" t="s">
        <v>1260</v>
      </c>
    </row>
    <row r="197" spans="1:16" ht="13.5" thickBot="1" x14ac:dyDescent="0.25">
      <c r="A197" s="224">
        <v>196</v>
      </c>
      <c r="B197" s="225">
        <v>1</v>
      </c>
      <c r="C197" s="226" t="s">
        <v>1261</v>
      </c>
      <c r="D197" s="233">
        <v>1116</v>
      </c>
      <c r="E197" s="227">
        <v>7803781</v>
      </c>
      <c r="F197" s="228">
        <v>44434</v>
      </c>
      <c r="G197" s="225">
        <v>6.9</v>
      </c>
      <c r="H197" s="228">
        <v>45014</v>
      </c>
      <c r="I197" s="230">
        <v>6.7</v>
      </c>
      <c r="J197" s="226"/>
      <c r="K197" s="226"/>
      <c r="L197" s="226"/>
      <c r="M197" s="225">
        <v>150899256403</v>
      </c>
      <c r="N197" s="225">
        <v>0</v>
      </c>
      <c r="O197" s="226"/>
      <c r="P197" s="226" t="s">
        <v>1262</v>
      </c>
    </row>
    <row r="198" spans="1:16" ht="13.5" thickBot="1" x14ac:dyDescent="0.25">
      <c r="A198" s="224">
        <v>197</v>
      </c>
      <c r="B198" s="225">
        <v>2</v>
      </c>
      <c r="C198" s="226" t="s">
        <v>1263</v>
      </c>
      <c r="D198" s="233">
        <v>1118</v>
      </c>
      <c r="E198" s="227">
        <v>5324017</v>
      </c>
      <c r="F198" s="228">
        <v>44434</v>
      </c>
      <c r="G198" s="225">
        <v>8.3000000000000007</v>
      </c>
      <c r="H198" s="226"/>
      <c r="I198" s="230"/>
      <c r="J198" s="226"/>
      <c r="K198" s="226"/>
      <c r="L198" s="226"/>
      <c r="M198" s="225">
        <v>150317967805</v>
      </c>
      <c r="N198" s="225">
        <v>0</v>
      </c>
      <c r="O198" s="226"/>
      <c r="P198" s="226" t="s">
        <v>1264</v>
      </c>
    </row>
    <row r="199" spans="1:16" ht="13.5" thickBot="1" x14ac:dyDescent="0.25">
      <c r="A199" s="224">
        <v>198</v>
      </c>
      <c r="B199" s="225">
        <v>1</v>
      </c>
      <c r="C199" s="226" t="s">
        <v>1265</v>
      </c>
      <c r="D199" s="233">
        <v>1120</v>
      </c>
      <c r="E199" s="227">
        <v>13173007</v>
      </c>
      <c r="F199" s="228">
        <v>44441</v>
      </c>
      <c r="G199" s="225">
        <v>10.1</v>
      </c>
      <c r="H199" s="228">
        <v>44949</v>
      </c>
      <c r="I199" s="230">
        <v>5.2</v>
      </c>
      <c r="J199" s="226"/>
      <c r="K199" s="226"/>
      <c r="L199" s="226"/>
      <c r="M199" s="225">
        <v>150668208500</v>
      </c>
      <c r="N199" s="225">
        <v>1</v>
      </c>
      <c r="O199" s="226"/>
      <c r="P199" s="226" t="s">
        <v>1266</v>
      </c>
    </row>
    <row r="200" spans="1:16" ht="13.5" thickBot="1" x14ac:dyDescent="0.25">
      <c r="A200" s="224">
        <v>199</v>
      </c>
      <c r="B200" s="225">
        <v>2</v>
      </c>
      <c r="C200" s="226" t="s">
        <v>1267</v>
      </c>
      <c r="D200" s="233">
        <v>1123</v>
      </c>
      <c r="E200" s="227">
        <v>5754911</v>
      </c>
      <c r="F200" s="228">
        <v>44441</v>
      </c>
      <c r="G200" s="225">
        <v>7.8</v>
      </c>
      <c r="H200" s="228">
        <v>44909</v>
      </c>
      <c r="I200" s="230">
        <v>4</v>
      </c>
      <c r="J200" s="226"/>
      <c r="K200" s="226"/>
      <c r="L200" s="226"/>
      <c r="M200" s="225">
        <v>150463681600</v>
      </c>
      <c r="N200" s="226"/>
      <c r="O200" s="226"/>
      <c r="P200" s="226" t="s">
        <v>1268</v>
      </c>
    </row>
    <row r="201" spans="1:16" ht="13.5" thickBot="1" x14ac:dyDescent="0.25">
      <c r="A201" s="224">
        <v>200</v>
      </c>
      <c r="B201" s="225">
        <v>1</v>
      </c>
      <c r="C201" s="226" t="s">
        <v>1269</v>
      </c>
      <c r="D201" s="233">
        <v>1125</v>
      </c>
      <c r="E201" s="227">
        <v>4753582</v>
      </c>
      <c r="F201" s="228">
        <v>44441</v>
      </c>
      <c r="G201" s="225">
        <v>6.6</v>
      </c>
      <c r="H201" s="228">
        <v>44949</v>
      </c>
      <c r="I201" s="230">
        <v>6.2</v>
      </c>
      <c r="J201" s="226"/>
      <c r="K201" s="226"/>
      <c r="L201" s="226" t="s">
        <v>1270</v>
      </c>
      <c r="M201" s="225">
        <v>150547751805</v>
      </c>
      <c r="N201" s="225">
        <v>0</v>
      </c>
      <c r="O201" s="226"/>
      <c r="P201" s="226" t="s">
        <v>1271</v>
      </c>
    </row>
    <row r="202" spans="1:16" ht="13.5" thickBot="1" x14ac:dyDescent="0.25">
      <c r="A202" s="224">
        <v>201</v>
      </c>
      <c r="B202" s="225">
        <v>2</v>
      </c>
      <c r="C202" s="226" t="s">
        <v>1272</v>
      </c>
      <c r="D202" s="233">
        <v>1136</v>
      </c>
      <c r="E202" s="227">
        <v>10099001</v>
      </c>
      <c r="F202" s="228">
        <v>44434</v>
      </c>
      <c r="G202" s="225">
        <v>6.5</v>
      </c>
      <c r="H202" s="226"/>
      <c r="I202" s="230"/>
      <c r="J202" s="226"/>
      <c r="K202" s="226"/>
      <c r="L202" s="226"/>
      <c r="M202" s="225">
        <v>150617935602</v>
      </c>
      <c r="N202" s="225">
        <v>0</v>
      </c>
      <c r="O202" s="226"/>
      <c r="P202" s="226" t="s">
        <v>1273</v>
      </c>
    </row>
    <row r="203" spans="1:16" ht="13.5" thickBot="1" x14ac:dyDescent="0.25">
      <c r="A203" s="224">
        <v>202</v>
      </c>
      <c r="B203" s="225">
        <v>1</v>
      </c>
      <c r="C203" s="226" t="s">
        <v>1274</v>
      </c>
      <c r="D203" s="233">
        <v>1140</v>
      </c>
      <c r="E203" s="227">
        <v>5770967</v>
      </c>
      <c r="F203" s="228">
        <v>44490</v>
      </c>
      <c r="G203" s="225">
        <v>5.8</v>
      </c>
      <c r="H203" s="228">
        <v>45015</v>
      </c>
      <c r="I203" s="230">
        <v>7</v>
      </c>
      <c r="J203" s="226"/>
      <c r="K203" s="226"/>
      <c r="L203" s="226"/>
      <c r="M203" s="225">
        <v>150359791105</v>
      </c>
      <c r="N203" s="225">
        <v>0</v>
      </c>
      <c r="O203" s="226"/>
      <c r="P203" s="226" t="s">
        <v>1275</v>
      </c>
    </row>
    <row r="204" spans="1:16" ht="13.5" thickBot="1" x14ac:dyDescent="0.25">
      <c r="A204" s="224">
        <v>203</v>
      </c>
      <c r="B204" s="225">
        <v>2</v>
      </c>
      <c r="C204" s="226" t="s">
        <v>1276</v>
      </c>
      <c r="D204" s="233">
        <v>1141</v>
      </c>
      <c r="E204" s="227">
        <v>10850464</v>
      </c>
      <c r="F204" s="228">
        <v>44441</v>
      </c>
      <c r="G204" s="225">
        <v>6.5</v>
      </c>
      <c r="H204" s="228">
        <v>45013</v>
      </c>
      <c r="I204" s="230">
        <v>5.8</v>
      </c>
      <c r="J204" s="226"/>
      <c r="K204" s="226"/>
      <c r="L204" s="226"/>
      <c r="M204" s="225">
        <v>155571792106</v>
      </c>
      <c r="N204" s="225">
        <v>0</v>
      </c>
      <c r="O204" s="226"/>
      <c r="P204" s="235" t="s">
        <v>1277</v>
      </c>
    </row>
    <row r="205" spans="1:16" ht="13.5" thickBot="1" x14ac:dyDescent="0.25">
      <c r="A205" s="224">
        <v>204</v>
      </c>
      <c r="B205" s="225">
        <v>1</v>
      </c>
      <c r="C205" s="226" t="s">
        <v>1278</v>
      </c>
      <c r="D205" s="233">
        <v>1146</v>
      </c>
      <c r="E205" s="227">
        <v>13923044</v>
      </c>
      <c r="F205" s="228">
        <v>44434</v>
      </c>
      <c r="G205" s="225">
        <v>13.5</v>
      </c>
      <c r="H205" s="228">
        <v>44949</v>
      </c>
      <c r="I205" s="230">
        <v>5.2</v>
      </c>
      <c r="J205" s="226"/>
      <c r="K205" s="226"/>
      <c r="L205" s="226"/>
      <c r="M205" s="225">
        <v>150616495107</v>
      </c>
      <c r="N205" s="225">
        <v>0</v>
      </c>
      <c r="O205" s="226"/>
      <c r="P205" s="226" t="s">
        <v>1279</v>
      </c>
    </row>
    <row r="206" spans="1:16" ht="13.5" thickBot="1" x14ac:dyDescent="0.25">
      <c r="A206" s="224">
        <v>205</v>
      </c>
      <c r="B206" s="225">
        <v>2</v>
      </c>
      <c r="C206" s="226" t="s">
        <v>1280</v>
      </c>
      <c r="D206" s="233">
        <v>1147</v>
      </c>
      <c r="E206" s="227">
        <v>11714165</v>
      </c>
      <c r="F206" s="228">
        <v>44434</v>
      </c>
      <c r="G206" s="225">
        <v>12.3</v>
      </c>
      <c r="H206" s="226"/>
      <c r="I206" s="230"/>
      <c r="J206" s="226"/>
      <c r="K206" s="226"/>
      <c r="L206" s="226"/>
      <c r="M206" s="225">
        <v>1400043592404</v>
      </c>
      <c r="N206" s="225">
        <v>0</v>
      </c>
      <c r="O206" s="226"/>
      <c r="P206" s="226" t="s">
        <v>1281</v>
      </c>
    </row>
    <row r="207" spans="1:16" ht="13.5" thickBot="1" x14ac:dyDescent="0.25">
      <c r="A207" s="224">
        <v>206</v>
      </c>
      <c r="B207" s="225">
        <v>1</v>
      </c>
      <c r="C207" s="226" t="s">
        <v>1282</v>
      </c>
      <c r="D207" s="233">
        <v>1148</v>
      </c>
      <c r="E207" s="227">
        <v>17702515</v>
      </c>
      <c r="F207" s="228">
        <v>44434</v>
      </c>
      <c r="G207" s="225">
        <v>10.1</v>
      </c>
      <c r="H207" s="228">
        <v>44951</v>
      </c>
      <c r="I207" s="230">
        <v>6.4</v>
      </c>
      <c r="J207" s="226"/>
      <c r="K207" s="226"/>
      <c r="L207" s="226"/>
      <c r="M207" s="225">
        <v>150488968801</v>
      </c>
      <c r="N207" s="225">
        <v>0</v>
      </c>
      <c r="O207" s="226"/>
      <c r="P207" s="226" t="s">
        <v>1283</v>
      </c>
    </row>
    <row r="208" spans="1:16" ht="13.5" thickBot="1" x14ac:dyDescent="0.25">
      <c r="A208" s="224">
        <v>207</v>
      </c>
      <c r="B208" s="225">
        <v>1</v>
      </c>
      <c r="C208" s="226" t="s">
        <v>1284</v>
      </c>
      <c r="D208" s="233">
        <v>1149</v>
      </c>
      <c r="E208" s="227">
        <v>10273565</v>
      </c>
      <c r="F208" s="228">
        <v>44441</v>
      </c>
      <c r="G208" s="225">
        <v>6.6</v>
      </c>
      <c r="H208" s="228">
        <v>44942</v>
      </c>
      <c r="I208" s="230">
        <v>7.9</v>
      </c>
      <c r="J208" s="226"/>
      <c r="K208" s="226"/>
      <c r="L208" s="226"/>
      <c r="M208" s="225">
        <v>465908419900</v>
      </c>
      <c r="N208" s="225">
        <v>0</v>
      </c>
      <c r="O208" s="226"/>
      <c r="P208" s="226" t="s">
        <v>1285</v>
      </c>
    </row>
    <row r="209" spans="1:16" ht="13.5" thickBot="1" x14ac:dyDescent="0.25">
      <c r="A209" s="224">
        <v>208</v>
      </c>
      <c r="B209" s="225">
        <v>2</v>
      </c>
      <c r="C209" s="226" t="s">
        <v>1286</v>
      </c>
      <c r="D209" s="233">
        <v>1150</v>
      </c>
      <c r="E209" s="227">
        <v>10506772</v>
      </c>
      <c r="F209" s="228">
        <v>44441</v>
      </c>
      <c r="G209" s="225">
        <v>5.8</v>
      </c>
      <c r="H209" s="228">
        <v>44909</v>
      </c>
      <c r="I209" s="230">
        <v>6.1</v>
      </c>
      <c r="J209" s="226"/>
      <c r="K209" s="226"/>
      <c r="L209" s="226"/>
      <c r="M209" s="225">
        <v>465911131100</v>
      </c>
      <c r="N209" s="225">
        <v>0</v>
      </c>
      <c r="O209" s="226"/>
      <c r="P209" s="226" t="s">
        <v>1287</v>
      </c>
    </row>
    <row r="210" spans="1:16" ht="13.5" thickBot="1" x14ac:dyDescent="0.25">
      <c r="A210" s="224">
        <v>118</v>
      </c>
      <c r="B210" s="225">
        <v>1</v>
      </c>
      <c r="C210" s="226" t="s">
        <v>1288</v>
      </c>
      <c r="D210" s="225">
        <v>118</v>
      </c>
      <c r="E210" s="227">
        <v>6034966</v>
      </c>
      <c r="F210" s="228">
        <v>44378</v>
      </c>
      <c r="G210" s="225">
        <v>6.7</v>
      </c>
      <c r="H210" s="226"/>
      <c r="I210" s="230"/>
      <c r="J210" s="226"/>
      <c r="K210" s="226"/>
      <c r="L210" s="226"/>
      <c r="M210" s="225">
        <v>150315471706</v>
      </c>
      <c r="N210" s="225">
        <v>0</v>
      </c>
      <c r="O210" s="226"/>
      <c r="P210" s="226" t="s">
        <v>1289</v>
      </c>
    </row>
  </sheetData>
  <autoFilter ref="A1:P210" xr:uid="{00000000-0009-0000-0000-000007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Códigos</vt:lpstr>
      <vt:lpstr>TD BASE VALORIZ.</vt:lpstr>
      <vt:lpstr>Tablas edit.</vt:lpstr>
      <vt:lpstr>base valorizada</vt:lpstr>
      <vt:lpstr>Hoja1</vt:lpstr>
      <vt:lpstr>Tablas editadas ok</vt:lpstr>
      <vt:lpstr>Tablas viejas</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user</cp:lastModifiedBy>
  <cp:lastPrinted>2022-10-13T00:30:53Z</cp:lastPrinted>
  <dcterms:created xsi:type="dcterms:W3CDTF">2021-10-26T18:16:32Z</dcterms:created>
  <dcterms:modified xsi:type="dcterms:W3CDTF">2023-04-26T16:31:51Z</dcterms:modified>
</cp:coreProperties>
</file>