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lassFiles\Excel2016.1\iswarya\"/>
    </mc:Choice>
  </mc:AlternateContent>
  <xr:revisionPtr revIDLastSave="0" documentId="11_86EAE8F19EFABEAD21D4AA958F54C9EA4D324849" xr6:coauthVersionLast="47" xr6:coauthVersionMax="47" xr10:uidLastSave="{00000000-0000-0000-0000-000000000000}"/>
  <bookViews>
    <workbookView xWindow="0" yWindow="0" windowWidth="20490" windowHeight="6945" firstSheet="1" activeTab="1" xr2:uid="{00000000-000D-0000-FFFF-FFFF00000000}"/>
  </bookViews>
  <sheets>
    <sheet name="START" sheetId="2" r:id="rId1"/>
    <sheet name="PERSONAL BUDGET" sheetId="1" r:id="rId2"/>
  </sheets>
  <definedNames>
    <definedName name="LastCol">COUNTA('PERSONAL BUDGET'!$4:$4)+1</definedName>
    <definedName name="PrintArea_SET">OFFSET('PERSONAL BUDGET'!$C$2,,,MATCH(REPT("z",255),'PERSONAL BUDGET'!$C:$C),LastCol)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17" i="1" l="1"/>
  <c r="P16" i="1"/>
  <c r="P13" i="1"/>
  <c r="P15" i="1"/>
  <c r="P14" i="1"/>
  <c r="E103" i="1" l="1"/>
  <c r="F103" i="1"/>
  <c r="G103" i="1"/>
  <c r="H103" i="1"/>
  <c r="I103" i="1"/>
  <c r="J103" i="1"/>
  <c r="K103" i="1"/>
  <c r="L103" i="1"/>
  <c r="M103" i="1"/>
  <c r="N103" i="1"/>
  <c r="O103" i="1"/>
  <c r="D103" i="1"/>
  <c r="E95" i="1"/>
  <c r="F95" i="1"/>
  <c r="G95" i="1"/>
  <c r="H95" i="1"/>
  <c r="I95" i="1"/>
  <c r="J95" i="1"/>
  <c r="K95" i="1"/>
  <c r="L95" i="1"/>
  <c r="M95" i="1"/>
  <c r="N95" i="1"/>
  <c r="O95" i="1"/>
  <c r="D95" i="1"/>
  <c r="E87" i="1"/>
  <c r="F87" i="1"/>
  <c r="G87" i="1"/>
  <c r="H87" i="1"/>
  <c r="I87" i="1"/>
  <c r="J87" i="1"/>
  <c r="K87" i="1"/>
  <c r="L87" i="1"/>
  <c r="M87" i="1"/>
  <c r="N87" i="1"/>
  <c r="O87" i="1"/>
  <c r="D87" i="1"/>
  <c r="E79" i="1"/>
  <c r="F79" i="1"/>
  <c r="G79" i="1"/>
  <c r="H79" i="1"/>
  <c r="I79" i="1"/>
  <c r="J79" i="1"/>
  <c r="K79" i="1"/>
  <c r="L79" i="1"/>
  <c r="M79" i="1"/>
  <c r="N79" i="1"/>
  <c r="O79" i="1"/>
  <c r="D79" i="1"/>
  <c r="E69" i="1"/>
  <c r="F69" i="1"/>
  <c r="G69" i="1"/>
  <c r="H69" i="1"/>
  <c r="I69" i="1"/>
  <c r="J69" i="1"/>
  <c r="K69" i="1"/>
  <c r="L69" i="1"/>
  <c r="M69" i="1"/>
  <c r="N69" i="1"/>
  <c r="O69" i="1"/>
  <c r="D69" i="1"/>
  <c r="E62" i="1"/>
  <c r="F62" i="1"/>
  <c r="G62" i="1"/>
  <c r="H62" i="1"/>
  <c r="I62" i="1"/>
  <c r="J62" i="1"/>
  <c r="K62" i="1"/>
  <c r="L62" i="1"/>
  <c r="M62" i="1"/>
  <c r="N62" i="1"/>
  <c r="O62" i="1"/>
  <c r="D62" i="1"/>
  <c r="E53" i="1"/>
  <c r="F53" i="1"/>
  <c r="G53" i="1"/>
  <c r="H53" i="1"/>
  <c r="I53" i="1"/>
  <c r="J53" i="1"/>
  <c r="K53" i="1"/>
  <c r="L53" i="1"/>
  <c r="M53" i="1"/>
  <c r="N53" i="1"/>
  <c r="O53" i="1"/>
  <c r="D53" i="1"/>
  <c r="P99" i="1"/>
  <c r="P100" i="1"/>
  <c r="P101" i="1"/>
  <c r="P102" i="1"/>
  <c r="P98" i="1"/>
  <c r="P91" i="1"/>
  <c r="P92" i="1"/>
  <c r="P93" i="1"/>
  <c r="P94" i="1"/>
  <c r="P90" i="1"/>
  <c r="P83" i="1"/>
  <c r="P84" i="1"/>
  <c r="P85" i="1"/>
  <c r="P86" i="1"/>
  <c r="P82" i="1"/>
  <c r="P73" i="1"/>
  <c r="P74" i="1"/>
  <c r="P75" i="1"/>
  <c r="P76" i="1"/>
  <c r="P77" i="1"/>
  <c r="P78" i="1"/>
  <c r="P72" i="1"/>
  <c r="P66" i="1"/>
  <c r="P67" i="1"/>
  <c r="P68" i="1"/>
  <c r="P65" i="1"/>
  <c r="P57" i="1"/>
  <c r="P58" i="1"/>
  <c r="P59" i="1"/>
  <c r="P60" i="1"/>
  <c r="P61" i="1"/>
  <c r="P56" i="1"/>
  <c r="P47" i="1"/>
  <c r="P48" i="1"/>
  <c r="P49" i="1"/>
  <c r="P50" i="1"/>
  <c r="P51" i="1"/>
  <c r="P52" i="1"/>
  <c r="P46" i="1"/>
  <c r="E43" i="1"/>
  <c r="F43" i="1"/>
  <c r="G43" i="1"/>
  <c r="H43" i="1"/>
  <c r="I43" i="1"/>
  <c r="J43" i="1"/>
  <c r="K43" i="1"/>
  <c r="L43" i="1"/>
  <c r="M43" i="1"/>
  <c r="N43" i="1"/>
  <c r="O43" i="1"/>
  <c r="D43" i="1"/>
  <c r="P40" i="1"/>
  <c r="P41" i="1"/>
  <c r="P42" i="1"/>
  <c r="P39" i="1"/>
  <c r="E36" i="1"/>
  <c r="F36" i="1"/>
  <c r="G36" i="1"/>
  <c r="H36" i="1"/>
  <c r="I36" i="1"/>
  <c r="J36" i="1"/>
  <c r="K36" i="1"/>
  <c r="L36" i="1"/>
  <c r="M36" i="1"/>
  <c r="N36" i="1"/>
  <c r="O36" i="1"/>
  <c r="D36" i="1"/>
  <c r="P31" i="1"/>
  <c r="P32" i="1"/>
  <c r="P33" i="1"/>
  <c r="P34" i="1"/>
  <c r="P35" i="1"/>
  <c r="P30" i="1"/>
  <c r="E27" i="1"/>
  <c r="F27" i="1"/>
  <c r="G27" i="1"/>
  <c r="H27" i="1"/>
  <c r="I27" i="1"/>
  <c r="J27" i="1"/>
  <c r="K27" i="1"/>
  <c r="L27" i="1"/>
  <c r="M27" i="1"/>
  <c r="N27" i="1"/>
  <c r="O27" i="1"/>
  <c r="D27" i="1"/>
  <c r="P22" i="1"/>
  <c r="P23" i="1"/>
  <c r="P24" i="1"/>
  <c r="P25" i="1"/>
  <c r="P26" i="1"/>
  <c r="P21" i="1"/>
  <c r="E18" i="1"/>
  <c r="F18" i="1"/>
  <c r="G18" i="1"/>
  <c r="H18" i="1"/>
  <c r="I18" i="1"/>
  <c r="J18" i="1"/>
  <c r="K18" i="1"/>
  <c r="L18" i="1"/>
  <c r="M18" i="1"/>
  <c r="N18" i="1"/>
  <c r="O18" i="1"/>
  <c r="D18" i="1"/>
  <c r="P43" i="1" l="1"/>
  <c r="P95" i="1"/>
  <c r="P87" i="1"/>
  <c r="P79" i="1"/>
  <c r="P69" i="1"/>
  <c r="P62" i="1"/>
  <c r="P53" i="1"/>
  <c r="L106" i="1"/>
  <c r="P36" i="1"/>
  <c r="P27" i="1"/>
  <c r="P18" i="1"/>
  <c r="K106" i="1"/>
  <c r="J106" i="1"/>
  <c r="I106" i="1"/>
  <c r="D106" i="1"/>
  <c r="H106" i="1"/>
  <c r="O106" i="1"/>
  <c r="N106" i="1"/>
  <c r="M106" i="1"/>
  <c r="E106" i="1"/>
  <c r="G106" i="1"/>
  <c r="F106" i="1"/>
  <c r="P103" i="1"/>
  <c r="O9" i="1"/>
  <c r="G9" i="1"/>
  <c r="L9" i="1"/>
  <c r="N9" i="1"/>
  <c r="F9" i="1"/>
  <c r="E9" i="1"/>
  <c r="I9" i="1"/>
  <c r="H9" i="1"/>
  <c r="D9" i="1"/>
  <c r="M9" i="1"/>
  <c r="K9" i="1"/>
  <c r="P8" i="1"/>
  <c r="P7" i="1"/>
  <c r="J9" i="1"/>
  <c r="P6" i="1"/>
  <c r="D107" i="1" l="1"/>
  <c r="L107" i="1"/>
  <c r="J107" i="1"/>
  <c r="I107" i="1"/>
  <c r="F107" i="1"/>
  <c r="N107" i="1"/>
  <c r="H107" i="1"/>
  <c r="P106" i="1"/>
  <c r="K107" i="1"/>
  <c r="M107" i="1"/>
  <c r="G107" i="1"/>
  <c r="O107" i="1"/>
  <c r="E107" i="1"/>
  <c r="P9" i="1"/>
  <c r="P107" i="1" l="1"/>
</calcChain>
</file>

<file path=xl/sharedStrings.xml><?xml version="1.0" encoding="utf-8"?>
<sst xmlns="http://schemas.openxmlformats.org/spreadsheetml/2006/main" count="325" uniqueCount="127">
  <si>
    <t>About The Template</t>
  </si>
  <si>
    <t>Use this template to maintain monthly and annual budget.</t>
  </si>
  <si>
    <t>Enter Revenues and Expenses in respective tables to calculate Cash shortage or surplus for each month and year.</t>
  </si>
  <si>
    <t>Sparklines are auto updated in each table.</t>
  </si>
  <si>
    <t>Note: </t>
  </si>
  <si>
    <t>Additional instructions have been provided in column A in PERSONAL BUDGET worksheet. This text has been intentionally hidden. To remove text, select column A, then select DELETE. To unhide text, select column A, then change font color.</t>
  </si>
  <si>
    <t>To learn more about tables, press SHIFT and then F10 within a table, select the TABLE option, and then select ALTERNATIVE TEXT.</t>
  </si>
  <si>
    <t>Create a Simple Personal Budget in this worksheet. Helpful instructions on how to use this worksheet are in cells in this column. Arrow down to get started.</t>
  </si>
  <si>
    <t>Title of this worksheet is in cell at right. Enter year in cell Q2. Next instruction is in cell A4.</t>
  </si>
  <si>
    <t>PERSONAL BUDGET</t>
  </si>
  <si>
    <t>Labels are in cells C4 through P4.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</si>
  <si>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</si>
  <si>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</si>
  <si>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</si>
  <si>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</si>
  <si>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</si>
  <si>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</si>
  <si>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</si>
  <si>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</si>
  <si>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</si>
  <si>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</si>
  <si>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</si>
  <si>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</si>
  <si>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</si>
  <si>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</si>
  <si>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Enter details in Income table starting in cell C5. Next instruction is in cell A11.</t>
  </si>
  <si>
    <t>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</si>
  <si>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</si>
  <si>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</si>
  <si>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</si>
  <si>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</si>
  <si>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</si>
  <si>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</si>
  <si>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</si>
  <si>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</si>
  <si>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</si>
  <si>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</si>
  <si>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</si>
  <si>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</si>
  <si>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</si>
  <si>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Sparkline</t>
  </si>
  <si>
    <t>Wages</t>
  </si>
  <si>
    <t>Interest/Dividends</t>
  </si>
  <si>
    <t>Miscellaneous</t>
  </si>
  <si>
    <t>Total</t>
  </si>
  <si>
    <t>Labels are in cells C11 through P11.</t>
  </si>
  <si>
    <t>EXPENSES</t>
  </si>
  <si>
    <t>Enter Home expenses in table starting in cell C12. Next instruction is in cell A20.</t>
  </si>
  <si>
    <t>HOME</t>
  </si>
  <si>
    <t>Mortgage</t>
  </si>
  <si>
    <t>Insurance</t>
  </si>
  <si>
    <t>Repairs</t>
  </si>
  <si>
    <t>Services</t>
  </si>
  <si>
    <t>Utilities</t>
  </si>
  <si>
    <t>Enter Daily expenses in table starting in cell C20. Next instruction is in cell A29.</t>
  </si>
  <si>
    <t>DAILY LIVING</t>
  </si>
  <si>
    <t xml:space="preserve">Groceries </t>
  </si>
  <si>
    <t>Child care</t>
  </si>
  <si>
    <t>Dry cleaning</t>
  </si>
  <si>
    <t>Dining out</t>
  </si>
  <si>
    <t>Housecleaning service</t>
  </si>
  <si>
    <t>Dog walker</t>
  </si>
  <si>
    <t>Enter Transportation expenses in table starting in cell C29. Next instruction is in cell A38.</t>
  </si>
  <si>
    <t>TRANSPORTATION</t>
  </si>
  <si>
    <t>Gas/fuel</t>
  </si>
  <si>
    <t>Car wash/detailing services</t>
  </si>
  <si>
    <t>Parking</t>
  </si>
  <si>
    <t>Public transportation</t>
  </si>
  <si>
    <t>Enter Entertainment expenses in table starting in cell C38. Next instruction is in cell A45.</t>
  </si>
  <si>
    <t>ENTERTAINMENT</t>
  </si>
  <si>
    <t>Cable TV</t>
  </si>
  <si>
    <t>Video/DVD rentals</t>
  </si>
  <si>
    <t>Movies/plays</t>
  </si>
  <si>
    <t>Concerts/clubs</t>
  </si>
  <si>
    <t>Enter Health expenses in table starting in cell C45. Next instruction is in cell A55.</t>
  </si>
  <si>
    <t>HEALTH</t>
  </si>
  <si>
    <t>Health club dues</t>
  </si>
  <si>
    <t>Prescriptions</t>
  </si>
  <si>
    <t>Over-the-counter drugs</t>
  </si>
  <si>
    <t>Co-payments/out-of-pocket</t>
  </si>
  <si>
    <t>Veterinarians/pet medicines</t>
  </si>
  <si>
    <t>Life insurance</t>
  </si>
  <si>
    <t>Enter Vacations expenses in table starting in cell C55. Next instruction is in cell A64.</t>
  </si>
  <si>
    <t>VACATIONS</t>
  </si>
  <si>
    <t>Plane fare</t>
  </si>
  <si>
    <t>Accommodations</t>
  </si>
  <si>
    <t>Food</t>
  </si>
  <si>
    <t>Souvenirs</t>
  </si>
  <si>
    <t>Pet boarding</t>
  </si>
  <si>
    <t>Rental car</t>
  </si>
  <si>
    <t>Enter Recreation expenses in table starting in cell C64. Next instruction is in cell A71.</t>
  </si>
  <si>
    <t>RECREATION</t>
  </si>
  <si>
    <t>Gym fees</t>
  </si>
  <si>
    <t>Sports equipment</t>
  </si>
  <si>
    <t>Team dues</t>
  </si>
  <si>
    <t>Toys/child gear</t>
  </si>
  <si>
    <t>Enter expenses in Dues and Subscription table starting in cell C71. Next instruction is in cell A81.</t>
  </si>
  <si>
    <t>DUES/SUBSCRIPTION</t>
  </si>
  <si>
    <t>Magazines</t>
  </si>
  <si>
    <t>Newspapers</t>
  </si>
  <si>
    <t>Internet connection</t>
  </si>
  <si>
    <t>Public radio</t>
  </si>
  <si>
    <t>Public television</t>
  </si>
  <si>
    <t>Religious organizations</t>
  </si>
  <si>
    <t>Charity</t>
  </si>
  <si>
    <t>Enter Personal expenses in table starting in cell C81. Next instruction is in cell A89.</t>
  </si>
  <si>
    <t>PERSONAL</t>
  </si>
  <si>
    <t>Clothing</t>
  </si>
  <si>
    <t>Gifts</t>
  </si>
  <si>
    <t>Salon/barber</t>
  </si>
  <si>
    <t>Books</t>
  </si>
  <si>
    <t>Music (CDs, etc.)</t>
  </si>
  <si>
    <t>Enter Financial Obligations in table starting in cell C89. Next instruction is in cell A97.</t>
  </si>
  <si>
    <t>FINANCIAL OBLIGATIONS</t>
  </si>
  <si>
    <t>Long-term savings</t>
  </si>
  <si>
    <t>Retirement (401k, Roth IRA)</t>
  </si>
  <si>
    <t>Credit card payments</t>
  </si>
  <si>
    <t>Income tax (additional)</t>
  </si>
  <si>
    <t>Other obligations</t>
  </si>
  <si>
    <t>Enter Miscellaneous Payments in table starting in cell C97. Next instruction is in cell A105.</t>
  </si>
  <si>
    <t>MISC PAYMENTS</t>
  </si>
  <si>
    <t xml:space="preserve">   Other</t>
  </si>
  <si>
    <t>Totals are auto calculated in table starting in cell C105. Total expenses and Cash shortage or surplus are auto calculated for each month and entire year, and sparklines are updated.</t>
  </si>
  <si>
    <t>TOTALS</t>
  </si>
  <si>
    <t>SPARKLINE</t>
  </si>
  <si>
    <t>Total expenses</t>
  </si>
  <si>
    <t>Cash short/extra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</si>
</sst>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2">
    <font>
      <sz val="10"/>
      <color theme="1" tint="0.14993743705557422"/>
      <name val="verdana"/>
      <family val="2"/>
      <scheme val="minor"/>
    </font>
    <font>
      <b/>
      <sz val="10"/>
      <color theme="1" tint="0.14990691854609822"/>
      <name val="Gill Sans MT"/>
      <family val="2"/>
      <scheme val="major"/>
    </font>
    <font>
      <sz val="11"/>
      <color theme="1" tint="0.14993743705557422"/>
      <name val="Gill Sans MT"/>
      <family val="2"/>
      <scheme val="major"/>
    </font>
    <font>
      <sz val="22"/>
      <color theme="1" tint="0.14993743705557422"/>
      <name val="Gill Sans MT"/>
      <family val="2"/>
      <scheme val="major"/>
    </font>
    <font>
      <sz val="10"/>
      <color theme="4" tint="-0.499984740745262"/>
      <name val="verdana"/>
      <family val="2"/>
      <scheme val="minor"/>
    </font>
    <font>
      <sz val="10"/>
      <color theme="5" tint="-0.499984740745262"/>
      <name val="verdana"/>
      <family val="2"/>
      <scheme val="minor"/>
    </font>
    <font>
      <sz val="11"/>
      <color theme="1" tint="0.34998626667073579"/>
      <name val="Gill Sans MT"/>
      <family val="2"/>
      <scheme val="major"/>
    </font>
    <font>
      <b/>
      <sz val="10"/>
      <color theme="4"/>
      <name val="Gill Sans MT"/>
      <family val="2"/>
      <scheme val="major"/>
    </font>
    <font>
      <sz val="10"/>
      <color theme="0"/>
      <name val="verdana"/>
      <family val="2"/>
      <scheme val="minor"/>
    </font>
    <font>
      <b/>
      <sz val="10"/>
      <color theme="5"/>
      <name val="Gill Sans MT"/>
      <family val="2"/>
      <scheme val="major"/>
    </font>
    <font>
      <b/>
      <sz val="10"/>
      <color theme="0"/>
      <name val="Gill Sans MT"/>
      <family val="2"/>
      <scheme val="major"/>
    </font>
    <font>
      <b/>
      <sz val="10"/>
      <color theme="4"/>
      <name val="verdana"/>
      <family val="2"/>
      <scheme val="minor"/>
    </font>
    <font>
      <b/>
      <sz val="10"/>
      <color theme="5"/>
      <name val="verdana"/>
      <family val="2"/>
      <scheme val="minor"/>
    </font>
    <font>
      <b/>
      <sz val="25"/>
      <color rgb="FF000000"/>
      <name val="Gill Sans MT"/>
      <family val="2"/>
    </font>
    <font>
      <sz val="10"/>
      <color theme="5" tint="0.79998168889431442"/>
      <name val="verdana"/>
      <family val="2"/>
      <scheme val="minor"/>
    </font>
    <font>
      <sz val="10"/>
      <color theme="4" tint="0.79998168889431442"/>
      <name val="verdana"/>
      <family val="2"/>
      <scheme val="minor"/>
    </font>
    <font>
      <sz val="16"/>
      <color theme="0"/>
      <name val="Arial"/>
      <family val="2"/>
    </font>
    <font>
      <sz val="11"/>
      <color theme="1" tint="0.14993743705557422"/>
      <name val="Calibri"/>
      <family val="2"/>
    </font>
    <font>
      <b/>
      <sz val="11"/>
      <color theme="1" tint="0.14993743705557422"/>
      <name val="Calibri"/>
      <family val="2"/>
    </font>
    <font>
      <sz val="10"/>
      <color rgb="FFF7F7F7"/>
      <name val="verdana"/>
      <family val="2"/>
      <scheme val="minor"/>
    </font>
    <font>
      <sz val="11"/>
      <color rgb="FFF7F7F7"/>
      <name val="Calibri"/>
      <family val="2"/>
    </font>
    <font>
      <b/>
      <sz val="10"/>
      <color theme="1"/>
      <name val="Gill Sans MT"/>
      <family val="2"/>
      <scheme val="major"/>
    </font>
  </fonts>
  <fills count="1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5" tint="0.80001220740379042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FF5FF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/>
      <diagonal/>
    </border>
    <border>
      <left style="thick">
        <color theme="4"/>
      </left>
      <right/>
      <top/>
      <bottom/>
      <diagonal/>
    </border>
    <border>
      <left style="medium">
        <color theme="4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medium">
        <color theme="4" tint="0.79998168889431442"/>
      </right>
      <top/>
      <bottom/>
      <diagonal/>
    </border>
    <border>
      <left/>
      <right style="medium">
        <color theme="5" tint="0.79998168889431442"/>
      </right>
      <top/>
      <bottom/>
      <diagonal/>
    </border>
    <border>
      <left style="thin">
        <color theme="5"/>
      </left>
      <right/>
      <top/>
      <bottom style="thick">
        <color theme="0"/>
      </bottom>
      <diagonal/>
    </border>
    <border>
      <left style="thick">
        <color theme="4"/>
      </left>
      <right/>
      <top/>
      <bottom style="thick">
        <color theme="0"/>
      </bottom>
      <diagonal/>
    </border>
    <border>
      <left style="thick">
        <color theme="5"/>
      </left>
      <right/>
      <top/>
      <bottom style="thick">
        <color theme="0"/>
      </bottom>
      <diagonal/>
    </border>
  </borders>
  <cellStyleXfs count="5">
    <xf numFmtId="0" fontId="0" fillId="15" borderId="0">
      <alignment vertical="center"/>
    </xf>
    <xf numFmtId="0" fontId="3" fillId="0" borderId="0" applyNumberFormat="0" applyFill="0" applyProtection="0">
      <alignment vertical="center"/>
    </xf>
    <xf numFmtId="0" fontId="2" fillId="0" borderId="1" applyNumberFormat="0" applyFill="0" applyProtection="0">
      <alignment vertical="center"/>
    </xf>
    <xf numFmtId="0" fontId="1" fillId="7" borderId="0" applyNumberFormat="0" applyProtection="0">
      <alignment horizontal="left" vertical="center" indent="1"/>
    </xf>
    <xf numFmtId="0" fontId="1" fillId="2" borderId="0" applyNumberFormat="0" applyProtection="0">
      <alignment vertical="center"/>
    </xf>
  </cellStyleXfs>
  <cellXfs count="72">
    <xf numFmtId="0" fontId="0" fillId="15" borderId="0" xfId="0">
      <alignment vertical="center"/>
    </xf>
    <xf numFmtId="0" fontId="0" fillId="15" borderId="0" xfId="0" applyAlignment="1">
      <alignment horizontal="right" vertical="center"/>
    </xf>
    <xf numFmtId="164" fontId="0" fillId="0" borderId="0" xfId="0" applyNumberForma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left" vertical="center" indent="1"/>
    </xf>
    <xf numFmtId="0" fontId="5" fillId="0" borderId="0" xfId="0" applyFont="1" applyFill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0" fillId="6" borderId="0" xfId="0" applyFill="1">
      <alignment vertical="center"/>
    </xf>
    <xf numFmtId="0" fontId="6" fillId="0" borderId="0" xfId="2" applyFont="1" applyFill="1" applyBorder="1" applyAlignment="1">
      <alignment horizontal="left" vertical="center" indent="1"/>
    </xf>
    <xf numFmtId="0" fontId="6" fillId="0" borderId="0" xfId="2" applyFont="1" applyFill="1" applyBorder="1" applyAlignment="1">
      <alignment horizontal="right" vertical="center"/>
    </xf>
    <xf numFmtId="0" fontId="7" fillId="0" borderId="0" xfId="3" applyFont="1" applyFill="1">
      <alignment horizontal="left" vertical="center" indent="1"/>
    </xf>
    <xf numFmtId="164" fontId="0" fillId="8" borderId="0" xfId="0" applyNumberFormat="1" applyFill="1" applyAlignment="1">
      <alignment horizontal="right" vertical="center"/>
    </xf>
    <xf numFmtId="164" fontId="0" fillId="10" borderId="0" xfId="0" applyNumberFormat="1" applyFill="1" applyAlignment="1">
      <alignment horizontal="right" vertical="center"/>
    </xf>
    <xf numFmtId="164" fontId="0" fillId="3" borderId="0" xfId="0" applyNumberFormat="1" applyFill="1" applyAlignment="1">
      <alignment horizontal="right" vertical="center"/>
    </xf>
    <xf numFmtId="164" fontId="4" fillId="8" borderId="0" xfId="0" applyNumberFormat="1" applyFont="1" applyFill="1" applyAlignment="1">
      <alignment horizontal="right" vertical="center"/>
    </xf>
    <xf numFmtId="0" fontId="9" fillId="0" borderId="0" xfId="3" applyFont="1" applyFill="1">
      <alignment horizontal="left" vertical="center" indent="1"/>
    </xf>
    <xf numFmtId="164" fontId="5" fillId="8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/>
    </xf>
    <xf numFmtId="0" fontId="0" fillId="13" borderId="0" xfId="0" applyFill="1" applyAlignment="1">
      <alignment horizontal="left" vertical="center" indent="1"/>
    </xf>
    <xf numFmtId="164" fontId="0" fillId="13" borderId="0" xfId="0" applyNumberFormat="1" applyFill="1" applyAlignment="1">
      <alignment horizontal="right" vertical="center"/>
    </xf>
    <xf numFmtId="0" fontId="11" fillId="0" borderId="0" xfId="0" applyFont="1" applyFill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10" fillId="11" borderId="0" xfId="3" applyFont="1" applyFill="1">
      <alignment horizontal="left" vertical="center" indent="1"/>
    </xf>
    <xf numFmtId="0" fontId="10" fillId="11" borderId="0" xfId="3" applyFont="1" applyFill="1" applyAlignment="1">
      <alignment horizontal="right" vertical="center"/>
    </xf>
    <xf numFmtId="0" fontId="8" fillId="11" borderId="0" xfId="0" applyFont="1" applyFill="1" applyAlignment="1">
      <alignment horizontal="left" vertical="center" indent="1"/>
    </xf>
    <xf numFmtId="164" fontId="8" fillId="11" borderId="0" xfId="0" applyNumberFormat="1" applyFont="1" applyFill="1" applyAlignment="1">
      <alignment horizontal="right" vertical="center"/>
    </xf>
    <xf numFmtId="164" fontId="8" fillId="12" borderId="0" xfId="0" applyNumberFormat="1" applyFont="1" applyFill="1" applyAlignment="1">
      <alignment horizontal="right" vertical="center"/>
    </xf>
    <xf numFmtId="0" fontId="8" fillId="11" borderId="0" xfId="0" applyFont="1" applyFill="1">
      <alignment vertical="center"/>
    </xf>
    <xf numFmtId="0" fontId="10" fillId="12" borderId="0" xfId="3" applyFont="1" applyFill="1" applyAlignment="1">
      <alignment horizontal="right" vertical="center"/>
    </xf>
    <xf numFmtId="0" fontId="8" fillId="12" borderId="0" xfId="0" applyFont="1" applyFill="1">
      <alignment vertical="center"/>
    </xf>
    <xf numFmtId="0" fontId="0" fillId="15" borderId="4" xfId="0" applyBorder="1">
      <alignment vertical="center"/>
    </xf>
    <xf numFmtId="0" fontId="0" fillId="15" borderId="5" xfId="0" applyBorder="1">
      <alignment vertical="center"/>
    </xf>
    <xf numFmtId="0" fontId="7" fillId="13" borderId="0" xfId="0" applyFont="1" applyFill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15" borderId="2" xfId="0" applyBorder="1" applyAlignment="1">
      <alignment horizontal="right" vertical="center"/>
    </xf>
    <xf numFmtId="0" fontId="4" fillId="8" borderId="8" xfId="0" applyFont="1" applyFill="1" applyBorder="1" applyAlignment="1">
      <alignment horizontal="left" vertical="center" indent="1"/>
    </xf>
    <xf numFmtId="164" fontId="4" fillId="8" borderId="9" xfId="0" applyNumberFormat="1" applyFont="1" applyFill="1" applyBorder="1" applyAlignment="1">
      <alignment horizontal="right" vertical="center"/>
    </xf>
    <xf numFmtId="0" fontId="4" fillId="8" borderId="9" xfId="0" applyFont="1" applyFill="1" applyBorder="1" applyAlignment="1">
      <alignment horizontal="right" vertical="center"/>
    </xf>
    <xf numFmtId="0" fontId="8" fillId="13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4" fillId="10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0" fontId="15" fillId="3" borderId="10" xfId="0" applyFont="1" applyFill="1" applyBorder="1">
      <alignment vertical="center"/>
    </xf>
    <xf numFmtId="0" fontId="14" fillId="10" borderId="11" xfId="0" applyFont="1" applyFill="1" applyBorder="1" applyAlignment="1">
      <alignment horizontal="right" vertical="center"/>
    </xf>
    <xf numFmtId="0" fontId="15" fillId="3" borderId="10" xfId="0" applyFont="1" applyFill="1" applyBorder="1" applyAlignment="1">
      <alignment horizontal="right" vertical="center"/>
    </xf>
    <xf numFmtId="0" fontId="5" fillId="8" borderId="12" xfId="0" applyFont="1" applyFill="1" applyBorder="1" applyAlignment="1">
      <alignment horizontal="left" vertical="center" indent="1"/>
    </xf>
    <xf numFmtId="164" fontId="5" fillId="8" borderId="9" xfId="0" applyNumberFormat="1" applyFont="1" applyFill="1" applyBorder="1" applyAlignment="1">
      <alignment horizontal="right" vertical="center"/>
    </xf>
    <xf numFmtId="0" fontId="5" fillId="8" borderId="9" xfId="0" applyFont="1" applyFill="1" applyBorder="1" applyAlignment="1">
      <alignment horizontal="right" vertical="center"/>
    </xf>
    <xf numFmtId="0" fontId="0" fillId="8" borderId="13" xfId="0" applyFill="1" applyBorder="1" applyAlignment="1">
      <alignment horizontal="left" vertical="center" indent="1"/>
    </xf>
    <xf numFmtId="164" fontId="0" fillId="9" borderId="9" xfId="0" applyNumberFormat="1" applyFill="1" applyBorder="1" applyAlignment="1">
      <alignment horizontal="right" vertical="center"/>
    </xf>
    <xf numFmtId="164" fontId="0" fillId="8" borderId="9" xfId="0" applyNumberFormat="1" applyFill="1" applyBorder="1" applyAlignment="1">
      <alignment horizontal="right" vertical="center"/>
    </xf>
    <xf numFmtId="0" fontId="0" fillId="8" borderId="9" xfId="0" applyFill="1" applyBorder="1" applyAlignment="1">
      <alignment horizontal="right" vertical="center"/>
    </xf>
    <xf numFmtId="0" fontId="0" fillId="8" borderId="14" xfId="0" applyFill="1" applyBorder="1" applyAlignment="1">
      <alignment horizontal="left" vertical="center" indent="1"/>
    </xf>
    <xf numFmtId="164" fontId="0" fillId="14" borderId="9" xfId="0" applyNumberFormat="1" applyFill="1" applyBorder="1" applyAlignment="1">
      <alignment horizontal="right" vertical="center"/>
    </xf>
    <xf numFmtId="0" fontId="16" fillId="16" borderId="0" xfId="0" applyFont="1" applyFill="1" applyAlignment="1">
      <alignment horizontal="center" vertical="center"/>
    </xf>
    <xf numFmtId="0" fontId="17" fillId="15" borderId="0" xfId="0" applyFont="1" applyAlignment="1">
      <alignment vertical="center" wrapText="1"/>
    </xf>
    <xf numFmtId="0" fontId="18" fillId="15" borderId="0" xfId="0" applyFont="1" applyAlignment="1">
      <alignment vertical="center" wrapText="1"/>
    </xf>
    <xf numFmtId="0" fontId="8" fillId="15" borderId="3" xfId="0" applyFont="1" applyBorder="1">
      <alignment vertical="center"/>
    </xf>
    <xf numFmtId="0" fontId="19" fillId="15" borderId="0" xfId="0" applyFont="1" applyAlignment="1">
      <alignment wrapText="1"/>
    </xf>
    <xf numFmtId="0" fontId="20" fillId="15" borderId="0" xfId="0" applyFont="1" applyAlignment="1">
      <alignment vertical="center" wrapText="1"/>
    </xf>
    <xf numFmtId="0" fontId="19" fillId="15" borderId="0" xfId="0" applyFont="1" applyAlignment="1">
      <alignment vertical="center" wrapText="1"/>
    </xf>
    <xf numFmtId="0" fontId="21" fillId="11" borderId="0" xfId="3" applyFont="1" applyFill="1">
      <alignment horizontal="left" vertical="center" indent="1"/>
    </xf>
    <xf numFmtId="0" fontId="13" fillId="15" borderId="0" xfId="0" applyFont="1" applyAlignment="1"/>
    <xf numFmtId="0" fontId="0" fillId="15" borderId="3" xfId="0" applyBorder="1" applyAlignment="1">
      <alignment horizontal="center" vertical="center"/>
    </xf>
    <xf numFmtId="0" fontId="0" fillId="15" borderId="0" xfId="0" applyAlignment="1">
      <alignment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 customBuiltin="1"/>
    <cellStyle name="Normal" xfId="0" builtinId="0" customBuiltin="1"/>
  </cellStyles>
  <dxfs count="336"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numFmt numFmtId="164" formatCode="&quot;$&quot;#,##0.00"/>
      <fill>
        <patternFill patternType="solid">
          <fgColor indexed="64"/>
          <bgColor theme="1" tint="0.34998626667073579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fill>
        <patternFill patternType="solid">
          <fgColor indexed="64"/>
          <bgColor theme="1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Gill Sans MT"/>
        <scheme val="major"/>
      </font>
      <fill>
        <patternFill patternType="solid">
          <fgColor indexed="64"/>
          <bgColor theme="1"/>
        </patternFill>
      </fill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relativeIndent="1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164" formatCode="&quot;$&quot;#,##0.00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fgColor indexed="64"/>
          <bgColor theme="0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5" tint="-0.499984740745262"/>
        <name val="verdana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4"/>
        </left>
        <right/>
        <top/>
        <bottom style="thick">
          <color theme="0"/>
        </bottom>
        <vertical/>
        <horizontal/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verdana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color theme="6" tint="-0.499984740745262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 val="0"/>
        <i val="0"/>
        <color theme="6" tint="-0.499984740745262"/>
      </font>
      <border>
        <top style="thin">
          <color theme="6" tint="-0.24994659260841701"/>
        </top>
      </border>
    </dxf>
    <dxf>
      <font>
        <b val="0"/>
        <i val="0"/>
        <color theme="6" tint="-0.499984740745262"/>
      </font>
      <border>
        <bottom style="thin">
          <color theme="6" tint="-0.24994659260841701"/>
        </bottom>
      </border>
    </dxf>
    <dxf>
      <font>
        <b val="0"/>
        <i val="0"/>
        <color theme="6" tint="-0.499984740745262"/>
      </font>
      <border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color theme="5" tint="-0.499984740745262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</dxf>
    <dxf>
      <font>
        <b val="0"/>
        <i val="0"/>
        <color theme="5" tint="-0.499984740745262"/>
      </font>
      <border>
        <top style="thin">
          <color theme="5" tint="-0.24994659260841701"/>
        </top>
      </border>
    </dxf>
    <dxf>
      <font>
        <b val="0"/>
        <i val="0"/>
        <color theme="5" tint="-0.499984740745262"/>
      </font>
      <border>
        <bottom style="thin">
          <color theme="5" tint="-0.24994659260841701"/>
        </bottom>
      </border>
    </dxf>
    <dxf>
      <font>
        <b val="0"/>
        <i val="0"/>
        <color theme="5" tint="-0.499984740745262"/>
      </font>
      <border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4" tint="-0.499984740745262"/>
      </font>
      <fill>
        <patternFill patternType="solid">
          <fgColor theme="4" tint="0.79995117038483843"/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</dxf>
    <dxf>
      <font>
        <b val="0"/>
        <i val="0"/>
        <color theme="4" tint="-0.499984740745262"/>
      </font>
      <fill>
        <patternFill patternType="none">
          <bgColor auto="1"/>
        </patternFill>
      </fill>
      <border>
        <top style="thin">
          <color theme="4" tint="-0.24994659260841701"/>
        </top>
      </border>
    </dxf>
    <dxf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font>
        <b val="0"/>
        <i val="0"/>
        <color theme="4" tint="-0.499984740745262"/>
      </font>
      <border>
        <top style="thin">
          <color theme="4" tint="-0.24994659260841701"/>
        </top>
        <bottom style="thin">
          <color theme="4" tint="-0.24994659260841701"/>
        </bottom>
      </border>
    </dxf>
  </dxfs>
  <tableStyles count="3" defaultTableStyle="Personal Budget - Expense" defaultPivotStyle="PivotStyleLight16">
    <tableStyle name="Persona Budget - Revenue" pivot="0" count="9" xr9:uid="{00000000-0011-0000-FFFF-FFFF00000000}">
      <tableStyleElement type="wholeTable" dxfId="335"/>
      <tableStyleElement type="headerRow" dxfId="334"/>
      <tableStyleElement type="totalRow" dxfId="333"/>
      <tableStyleElement type="firstColumn" dxfId="332"/>
      <tableStyleElement type="lastColumn" dxfId="331"/>
      <tableStyleElement type="firstRowStripe" dxfId="330"/>
      <tableStyleElement type="firstColumnStripe" dxfId="329"/>
      <tableStyleElement type="firstTotalCell" dxfId="328"/>
      <tableStyleElement type="lastTotalCell" dxfId="327"/>
    </tableStyle>
    <tableStyle name="Personal Budget - Expense" pivot="0" count="9" xr9:uid="{00000000-0011-0000-FFFF-FFFF01000000}">
      <tableStyleElement type="wholeTable" dxfId="326"/>
      <tableStyleElement type="headerRow" dxfId="325"/>
      <tableStyleElement type="totalRow" dxfId="324"/>
      <tableStyleElement type="firstColumn" dxfId="323"/>
      <tableStyleElement type="lastColumn" dxfId="322"/>
      <tableStyleElement type="firstRowStripe" dxfId="321"/>
      <tableStyleElement type="firstColumnStripe" dxfId="320"/>
      <tableStyleElement type="firstTotalCell" dxfId="319"/>
      <tableStyleElement type="lastTotalCell" dxfId="318"/>
    </tableStyle>
    <tableStyle name="Personal Budget - Total" pivot="0" count="9" xr9:uid="{00000000-0011-0000-FFFF-FFFF02000000}">
      <tableStyleElement type="wholeTable" dxfId="317"/>
      <tableStyleElement type="headerRow" dxfId="316"/>
      <tableStyleElement type="totalRow" dxfId="315"/>
      <tableStyleElement type="firstColumn" dxfId="314"/>
      <tableStyleElement type="lastColumn" dxfId="313"/>
      <tableStyleElement type="firstRowStripe" dxfId="312"/>
      <tableStyleElement type="firstColumnStripe" dxfId="311"/>
      <tableStyleElement type="firstTotalCell" dxfId="310"/>
      <tableStyleElement type="lastTotalCell" dxfId="309"/>
    </tableStyle>
  </tableStyles>
  <colors>
    <mruColors>
      <color rgb="FFF7F7F7"/>
      <color rgb="FFF3F8FF"/>
      <color rgb="FFE6F8FA"/>
      <color rgb="FFEFF5FF"/>
      <color rgb="FFD6E8F6"/>
      <color rgb="FFE6E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29765</xdr:colOff>
      <xdr:row>1</xdr:row>
      <xdr:rowOff>188141</xdr:rowOff>
    </xdr:from>
    <xdr:to>
      <xdr:col>17</xdr:col>
      <xdr:colOff>19843</xdr:colOff>
      <xdr:row>2</xdr:row>
      <xdr:rowOff>9526</xdr:rowOff>
    </xdr:to>
    <xdr:sp macro="" textlink="$Q$2">
      <xdr:nvSpPr>
        <xdr:cNvPr id="3" name="Rectangle 2" descr="Year">
          <a:extLst>
            <a:ext uri="{FF2B5EF4-FFF2-40B4-BE49-F238E27FC236}">
              <a16:creationId xmlns:a16="http://schemas.microsoft.com/office/drawing/2014/main" id="{38DB6D2F-4C80-408C-A4C7-B9C2F6BEA823}"/>
            </a:ext>
          </a:extLst>
        </xdr:cNvPr>
        <xdr:cNvSpPr/>
      </xdr:nvSpPr>
      <xdr:spPr>
        <a:xfrm flipH="1">
          <a:off x="15111015" y="346891"/>
          <a:ext cx="932656" cy="26786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5844B8A-4141-4FF4-9316-6625FB86BF57}" type="TxLink">
            <a:rPr lang="en-US" sz="1000" b="1" i="0" u="none" strike="noStrike">
              <a:solidFill>
                <a:schemeClr val="bg1"/>
              </a:solidFill>
              <a:latin typeface="verdana"/>
              <a:ea typeface="verdana"/>
              <a:cs typeface="verdana"/>
            </a:rPr>
            <a:pPr algn="ctr"/>
            <a:t>2024</a:t>
          </a:fld>
          <a:endParaRPr lang="en-US" sz="12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C5:Q9" totalsRowCount="1" headerRowDxfId="307" dataDxfId="306" totalsRowDxfId="305">
  <autoFilter ref="C5:Q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INCOME" totalsRowLabel="Total" totalsRowDxfId="304"/>
    <tableColumn id="2" xr3:uid="{00000000-0010-0000-0000-000002000000}" name="January" totalsRowFunction="sum" totalsRowDxfId="303"/>
    <tableColumn id="3" xr3:uid="{00000000-0010-0000-0000-000003000000}" name="February" totalsRowFunction="sum" totalsRowDxfId="302"/>
    <tableColumn id="4" xr3:uid="{00000000-0010-0000-0000-000004000000}" name="March" totalsRowFunction="sum" totalsRowDxfId="301"/>
    <tableColumn id="5" xr3:uid="{00000000-0010-0000-0000-000005000000}" name="April" totalsRowFunction="sum" totalsRowDxfId="300"/>
    <tableColumn id="6" xr3:uid="{00000000-0010-0000-0000-000006000000}" name="May" totalsRowFunction="sum" totalsRowDxfId="299"/>
    <tableColumn id="7" xr3:uid="{00000000-0010-0000-0000-000007000000}" name="June" totalsRowFunction="sum" totalsRowDxfId="298"/>
    <tableColumn id="8" xr3:uid="{00000000-0010-0000-0000-000008000000}" name="July" totalsRowFunction="sum" totalsRowDxfId="297"/>
    <tableColumn id="9" xr3:uid="{00000000-0010-0000-0000-000009000000}" name="August" totalsRowFunction="sum" totalsRowDxfId="296"/>
    <tableColumn id="10" xr3:uid="{00000000-0010-0000-0000-00000A000000}" name="September" totalsRowFunction="sum" totalsRowDxfId="295"/>
    <tableColumn id="11" xr3:uid="{00000000-0010-0000-0000-00000B000000}" name="October" totalsRowFunction="sum" totalsRowDxfId="294"/>
    <tableColumn id="12" xr3:uid="{00000000-0010-0000-0000-00000C000000}" name="November" totalsRowFunction="sum" totalsRowDxfId="293"/>
    <tableColumn id="13" xr3:uid="{00000000-0010-0000-0000-00000D000000}" name="December" totalsRowFunction="sum" totalsRowDxfId="292"/>
    <tableColumn id="14" xr3:uid="{00000000-0010-0000-0000-00000E000000}" name="Year" totalsRowFunction="sum" totalsRowDxfId="291">
      <calculatedColumnFormula>SUM(Income[[#This Row],[January]:[December]])</calculatedColumnFormula>
    </tableColumn>
    <tableColumn id="15" xr3:uid="{00000000-0010-0000-0000-00000F000000}" name="Sparkline" totalsRowDxfId="290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Income items and monthly amounts in this table. Annual amount and monthly Totals are auto calculated and sparklines are upd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rsonal" displayName="Personal" ref="C81:Q87" totalsRowCount="1" headerRowDxfId="93" dataDxfId="92" totalsRowDxfId="91">
  <autoFilter ref="C81:Q86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900-000001000000}" name="PERSONAL" totalsRowLabel="Total" dataDxfId="89" totalsRowDxfId="90"/>
    <tableColumn id="2" xr3:uid="{00000000-0010-0000-0900-000002000000}" name="January" totalsRowFunction="sum" totalsRowDxfId="88"/>
    <tableColumn id="3" xr3:uid="{00000000-0010-0000-0900-000003000000}" name="February" totalsRowFunction="sum" dataDxfId="86" totalsRowDxfId="87"/>
    <tableColumn id="4" xr3:uid="{00000000-0010-0000-0900-000004000000}" name="March" totalsRowFunction="sum" totalsRowDxfId="85"/>
    <tableColumn id="5" xr3:uid="{00000000-0010-0000-0900-000005000000}" name="April" totalsRowFunction="sum" dataDxfId="83" totalsRowDxfId="84"/>
    <tableColumn id="6" xr3:uid="{00000000-0010-0000-0900-000006000000}" name="May" totalsRowFunction="sum" totalsRowDxfId="82"/>
    <tableColumn id="7" xr3:uid="{00000000-0010-0000-0900-000007000000}" name="June" totalsRowFunction="sum" dataDxfId="80" totalsRowDxfId="81"/>
    <tableColumn id="8" xr3:uid="{00000000-0010-0000-0900-000008000000}" name="July" totalsRowFunction="sum" totalsRowDxfId="79"/>
    <tableColumn id="9" xr3:uid="{00000000-0010-0000-0900-000009000000}" name="August" totalsRowFunction="sum" dataDxfId="77" totalsRowDxfId="78"/>
    <tableColumn id="10" xr3:uid="{00000000-0010-0000-0900-00000A000000}" name="September" totalsRowFunction="sum" totalsRowDxfId="76"/>
    <tableColumn id="11" xr3:uid="{00000000-0010-0000-0900-00000B000000}" name="October" totalsRowFunction="sum" dataDxfId="74" totalsRowDxfId="75"/>
    <tableColumn id="12" xr3:uid="{00000000-0010-0000-0900-00000C000000}" name="November" totalsRowFunction="sum" totalsRowDxfId="73"/>
    <tableColumn id="13" xr3:uid="{00000000-0010-0000-0900-00000D000000}" name="December" totalsRowFunction="sum" dataDxfId="71" totalsRowDxfId="72"/>
    <tableColumn id="14" xr3:uid="{00000000-0010-0000-0900-00000E000000}" name="Year" totalsRowFunction="sum" totalsRowDxfId="70">
      <calculatedColumnFormula>SUM(Personal[[#This Row],[January]:[December]])</calculatedColumnFormula>
    </tableColumn>
    <tableColumn id="15" xr3:uid="{00000000-0010-0000-0900-00000F000000}" name="Sparkline" dataDxfId="68" totalsRowDxfId="69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Personal expenses items and monthly amounts in this table. Annual amount and monthly Totals are auto calculated and sparklines are upd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nancial" displayName="Financial" ref="C89:Q95" totalsRowCount="1" headerRowDxfId="67" dataDxfId="66" totalsRowDxfId="65">
  <autoFilter ref="C89:Q94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A00-000001000000}" name="FINANCIAL OBLIGATIONS" totalsRowLabel="Total" dataDxfId="63" totalsRowDxfId="64"/>
    <tableColumn id="2" xr3:uid="{00000000-0010-0000-0A00-000002000000}" name="January" totalsRowFunction="sum" totalsRowDxfId="62"/>
    <tableColumn id="3" xr3:uid="{00000000-0010-0000-0A00-000003000000}" name="February" totalsRowFunction="sum" dataDxfId="60" totalsRowDxfId="61"/>
    <tableColumn id="4" xr3:uid="{00000000-0010-0000-0A00-000004000000}" name="March" totalsRowFunction="sum" totalsRowDxfId="59"/>
    <tableColumn id="5" xr3:uid="{00000000-0010-0000-0A00-000005000000}" name="April" totalsRowFunction="sum" dataDxfId="57" totalsRowDxfId="58"/>
    <tableColumn id="6" xr3:uid="{00000000-0010-0000-0A00-000006000000}" name="May" totalsRowFunction="sum" totalsRowDxfId="56"/>
    <tableColumn id="7" xr3:uid="{00000000-0010-0000-0A00-000007000000}" name="June" totalsRowFunction="sum" dataDxfId="54" totalsRowDxfId="55"/>
    <tableColumn id="8" xr3:uid="{00000000-0010-0000-0A00-000008000000}" name="July" totalsRowFunction="sum" totalsRowDxfId="53"/>
    <tableColumn id="9" xr3:uid="{00000000-0010-0000-0A00-000009000000}" name="August" totalsRowFunction="sum" dataDxfId="51" totalsRowDxfId="52"/>
    <tableColumn id="10" xr3:uid="{00000000-0010-0000-0A00-00000A000000}" name="September" totalsRowFunction="sum" totalsRowDxfId="50"/>
    <tableColumn id="11" xr3:uid="{00000000-0010-0000-0A00-00000B000000}" name="October" totalsRowFunction="sum" dataDxfId="48" totalsRowDxfId="49"/>
    <tableColumn id="12" xr3:uid="{00000000-0010-0000-0A00-00000C000000}" name="November" totalsRowFunction="sum" totalsRowDxfId="47"/>
    <tableColumn id="13" xr3:uid="{00000000-0010-0000-0A00-00000D000000}" name="December" totalsRowFunction="sum" dataDxfId="45" totalsRowDxfId="46"/>
    <tableColumn id="14" xr3:uid="{00000000-0010-0000-0A00-00000E000000}" name="Year" totalsRowFunction="sum" totalsRowDxfId="44">
      <calculatedColumnFormula>SUM(Financial[[#This Row],[January]:[December]])</calculatedColumnFormula>
    </tableColumn>
    <tableColumn id="15" xr3:uid="{00000000-0010-0000-0A00-00000F000000}" name="Sparkline" dataDxfId="42" totalsRowDxfId="43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Financial Obligations items and monthly amounts in this table. Annual amount and monthly Totals are auto calculated and sparklines are upd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Misc" displayName="Misc" ref="C97:Q103" totalsRowCount="1" headerRowDxfId="41" dataDxfId="40" totalsRowDxfId="39">
  <autoFilter ref="C97:Q102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B00-000001000000}" name="MISC PAYMENTS" totalsRowLabel="Total" totalsRowDxfId="38"/>
    <tableColumn id="2" xr3:uid="{00000000-0010-0000-0B00-000002000000}" name="January" totalsRowFunction="sum" totalsRowDxfId="37"/>
    <tableColumn id="3" xr3:uid="{00000000-0010-0000-0B00-000003000000}" name="February" totalsRowFunction="sum" dataDxfId="35" totalsRowDxfId="36"/>
    <tableColumn id="4" xr3:uid="{00000000-0010-0000-0B00-000004000000}" name="March" totalsRowFunction="sum" totalsRowDxfId="34"/>
    <tableColumn id="5" xr3:uid="{00000000-0010-0000-0B00-000005000000}" name="April" totalsRowFunction="sum" dataDxfId="32" totalsRowDxfId="33"/>
    <tableColumn id="6" xr3:uid="{00000000-0010-0000-0B00-000006000000}" name="May" totalsRowFunction="sum" totalsRowDxfId="31"/>
    <tableColumn id="7" xr3:uid="{00000000-0010-0000-0B00-000007000000}" name="June" totalsRowFunction="sum" dataDxfId="29" totalsRowDxfId="30"/>
    <tableColumn id="8" xr3:uid="{00000000-0010-0000-0B00-000008000000}" name="July" totalsRowFunction="sum" totalsRowDxfId="28"/>
    <tableColumn id="9" xr3:uid="{00000000-0010-0000-0B00-000009000000}" name="August" totalsRowFunction="sum" dataDxfId="26" totalsRowDxfId="27"/>
    <tableColumn id="10" xr3:uid="{00000000-0010-0000-0B00-00000A000000}" name="September" totalsRowFunction="sum" totalsRowDxfId="25"/>
    <tableColumn id="11" xr3:uid="{00000000-0010-0000-0B00-00000B000000}" name="October" totalsRowFunction="sum" dataDxfId="23" totalsRowDxfId="24"/>
    <tableColumn id="12" xr3:uid="{00000000-0010-0000-0B00-00000C000000}" name="November" totalsRowFunction="sum" totalsRowDxfId="22"/>
    <tableColumn id="13" xr3:uid="{00000000-0010-0000-0B00-00000D000000}" name="December" totalsRowFunction="sum" dataDxfId="20" totalsRowDxfId="21"/>
    <tableColumn id="14" xr3:uid="{00000000-0010-0000-0B00-00000E000000}" name="Year" totalsRowFunction="sum" totalsRowDxfId="19">
      <calculatedColumnFormula>SUM(Misc[[#This Row],[January]:[December]])</calculatedColumnFormula>
    </tableColumn>
    <tableColumn id="15" xr3:uid="{00000000-0010-0000-0B00-00000F000000}" name="Sparkline" dataDxfId="17" totalsRowDxfId="18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Miscellaneous items and payments in this table. Annual amount and monthly Totals are auto calculated and sparklines are updated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otals" displayName="Totals" ref="C105:Q107" totalsRowShown="0" headerRowDxfId="16" dataDxfId="15" headerRowCellStyle="Heading 3">
  <tableColumns count="15">
    <tableColumn id="1" xr3:uid="{00000000-0010-0000-0C00-000001000000}" name="TOTALS" dataDxfId="14"/>
    <tableColumn id="2" xr3:uid="{00000000-0010-0000-0C00-000002000000}" name="JAN" dataDxfId="13">
      <calculatedColumnFormula>Income[[#Totals],[January]]-D105</calculatedColumnFormula>
    </tableColumn>
    <tableColumn id="3" xr3:uid="{00000000-0010-0000-0C00-000003000000}" name="FEB" dataDxfId="12">
      <calculatedColumnFormula>Income[[#Totals],[February]]-E105</calculatedColumnFormula>
    </tableColumn>
    <tableColumn id="4" xr3:uid="{00000000-0010-0000-0C00-000004000000}" name="MAR" dataDxfId="11">
      <calculatedColumnFormula>Income[[#Totals],[March]]-F105</calculatedColumnFormula>
    </tableColumn>
    <tableColumn id="5" xr3:uid="{00000000-0010-0000-0C00-000005000000}" name="APR" dataDxfId="10">
      <calculatedColumnFormula>Income[[#Totals],[April]]-G105</calculatedColumnFormula>
    </tableColumn>
    <tableColumn id="6" xr3:uid="{00000000-0010-0000-0C00-000006000000}" name="MAY" dataDxfId="9">
      <calculatedColumnFormula>Income[[#Totals],[May]]-H105</calculatedColumnFormula>
    </tableColumn>
    <tableColumn id="7" xr3:uid="{00000000-0010-0000-0C00-000007000000}" name="JUN" dataDxfId="8">
      <calculatedColumnFormula>Income[[#Totals],[June]]-I105</calculatedColumnFormula>
    </tableColumn>
    <tableColumn id="8" xr3:uid="{00000000-0010-0000-0C00-000008000000}" name="JUL" dataDxfId="7">
      <calculatedColumnFormula>Income[[#Totals],[July]]-J105</calculatedColumnFormula>
    </tableColumn>
    <tableColumn id="9" xr3:uid="{00000000-0010-0000-0C00-000009000000}" name="AUG" dataDxfId="6">
      <calculatedColumnFormula>Income[[#Totals],[August]]-K105</calculatedColumnFormula>
    </tableColumn>
    <tableColumn id="10" xr3:uid="{00000000-0010-0000-0C00-00000A000000}" name="SEP" dataDxfId="5">
      <calculatedColumnFormula>Income[[#Totals],[September]]-L105</calculatedColumnFormula>
    </tableColumn>
    <tableColumn id="11" xr3:uid="{00000000-0010-0000-0C00-00000B000000}" name="OCT" dataDxfId="4">
      <calculatedColumnFormula>Income[[#Totals],[October]]-M105</calculatedColumnFormula>
    </tableColumn>
    <tableColumn id="12" xr3:uid="{00000000-0010-0000-0C00-00000C000000}" name="NOV" dataDxfId="3">
      <calculatedColumnFormula>Income[[#Totals],[November]]-N105</calculatedColumnFormula>
    </tableColumn>
    <tableColumn id="13" xr3:uid="{00000000-0010-0000-0C00-00000D000000}" name="DEC" dataDxfId="2">
      <calculatedColumnFormula>Income[[#Totals],[December]]-O105</calculatedColumnFormula>
    </tableColumn>
    <tableColumn id="14" xr3:uid="{00000000-0010-0000-0C00-00000E000000}" name="YEAR" dataDxfId="1">
      <calculatedColumnFormula>Income[[#Totals],[Year]]-P105</calculatedColumnFormula>
    </tableColumn>
    <tableColumn id="15" xr3:uid="{00000000-0010-0000-0C00-00000F000000}" name="SPARKLINE" dataDxfId="0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Total expenses and Cash shortage or surplus are auto calculated for each month and entire year, and sparklines are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me" displayName="Home" ref="C12:Q18" totalsRowCount="1" headerRowDxfId="289" dataDxfId="288" totalsRowDxfId="287">
  <autoFilter ref="C12:Q1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100-000001000000}" name="HOME" totalsRowLabel="Total" totalsRowDxfId="286"/>
    <tableColumn id="2" xr3:uid="{00000000-0010-0000-0100-000002000000}" name="January" totalsRowFunction="sum" totalsRowDxfId="285"/>
    <tableColumn id="3" xr3:uid="{00000000-0010-0000-0100-000003000000}" name="February" totalsRowFunction="sum" totalsRowDxfId="284"/>
    <tableColumn id="4" xr3:uid="{00000000-0010-0000-0100-000004000000}" name="March" totalsRowFunction="sum" totalsRowDxfId="283"/>
    <tableColumn id="5" xr3:uid="{00000000-0010-0000-0100-000005000000}" name="April" totalsRowFunction="sum" dataDxfId="281" totalsRowDxfId="282"/>
    <tableColumn id="6" xr3:uid="{00000000-0010-0000-0100-000006000000}" name="May" totalsRowFunction="sum" dataDxfId="279" totalsRowDxfId="280"/>
    <tableColumn id="7" xr3:uid="{00000000-0010-0000-0100-000007000000}" name="June" totalsRowFunction="sum" dataDxfId="277" totalsRowDxfId="278"/>
    <tableColumn id="8" xr3:uid="{00000000-0010-0000-0100-000008000000}" name="July" totalsRowFunction="sum" dataDxfId="275" totalsRowDxfId="276"/>
    <tableColumn id="9" xr3:uid="{00000000-0010-0000-0100-000009000000}" name="August" totalsRowFunction="sum" dataDxfId="273" totalsRowDxfId="274"/>
    <tableColumn id="10" xr3:uid="{00000000-0010-0000-0100-00000A000000}" name="September" totalsRowFunction="sum" dataDxfId="271" totalsRowDxfId="272"/>
    <tableColumn id="11" xr3:uid="{00000000-0010-0000-0100-00000B000000}" name="October" totalsRowFunction="sum" dataDxfId="269" totalsRowDxfId="270"/>
    <tableColumn id="12" xr3:uid="{00000000-0010-0000-0100-00000C000000}" name="November" totalsRowFunction="sum" dataDxfId="267" totalsRowDxfId="268"/>
    <tableColumn id="13" xr3:uid="{00000000-0010-0000-0100-00000D000000}" name="December" totalsRowFunction="sum" dataDxfId="265" totalsRowDxfId="266"/>
    <tableColumn id="14" xr3:uid="{00000000-0010-0000-0100-00000E000000}" name="Year" totalsRowFunction="sum" totalsRowDxfId="264">
      <calculatedColumnFormula>SUM(Home[[#This Row],[January]:[December]])</calculatedColumnFormula>
    </tableColumn>
    <tableColumn id="15" xr3:uid="{00000000-0010-0000-0100-00000F000000}" name="Sparkline" totalsRowDxfId="263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Home expense items and monthly amounts in this table. Annual amount and monthly Totals are auto calculated and sparklines are upd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aily" displayName="Daily" ref="C20:Q27" totalsRowCount="1" headerRowDxfId="262" dataDxfId="261" totalsRowDxfId="260">
  <autoFilter ref="C20:Q2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200-000001000000}" name="DAILY LIVING" totalsRowLabel="Total" totalsRowDxfId="259"/>
    <tableColumn id="2" xr3:uid="{00000000-0010-0000-0200-000002000000}" name="January" totalsRowFunction="sum" dataDxfId="257" totalsRowDxfId="258"/>
    <tableColumn id="3" xr3:uid="{00000000-0010-0000-0200-000003000000}" name="February" totalsRowFunction="sum" totalsRowDxfId="256"/>
    <tableColumn id="4" xr3:uid="{00000000-0010-0000-0200-000004000000}" name="March" totalsRowFunction="sum" dataDxfId="254" totalsRowDxfId="255"/>
    <tableColumn id="5" xr3:uid="{00000000-0010-0000-0200-000005000000}" name="April" totalsRowFunction="sum" totalsRowDxfId="253"/>
    <tableColumn id="6" xr3:uid="{00000000-0010-0000-0200-000006000000}" name="May" totalsRowFunction="sum" dataDxfId="251" totalsRowDxfId="252"/>
    <tableColumn id="7" xr3:uid="{00000000-0010-0000-0200-000007000000}" name="June" totalsRowFunction="sum" totalsRowDxfId="250"/>
    <tableColumn id="8" xr3:uid="{00000000-0010-0000-0200-000008000000}" name="July" totalsRowFunction="sum" dataDxfId="248" totalsRowDxfId="249"/>
    <tableColumn id="9" xr3:uid="{00000000-0010-0000-0200-000009000000}" name="August" totalsRowFunction="sum" totalsRowDxfId="247"/>
    <tableColumn id="10" xr3:uid="{00000000-0010-0000-0200-00000A000000}" name="September" totalsRowFunction="sum" dataDxfId="245" totalsRowDxfId="246"/>
    <tableColumn id="11" xr3:uid="{00000000-0010-0000-0200-00000B000000}" name="October" totalsRowFunction="sum" totalsRowDxfId="244"/>
    <tableColumn id="12" xr3:uid="{00000000-0010-0000-0200-00000C000000}" name="November" totalsRowFunction="sum" dataDxfId="242" totalsRowDxfId="243"/>
    <tableColumn id="13" xr3:uid="{00000000-0010-0000-0200-00000D000000}" name="December" totalsRowFunction="sum" totalsRowDxfId="241"/>
    <tableColumn id="14" xr3:uid="{00000000-0010-0000-0200-00000E000000}" name="Year" totalsRowFunction="sum" dataDxfId="239" totalsRowDxfId="240">
      <calculatedColumnFormula>SUM(Daily[[#This Row],[January]:[December]])</calculatedColumnFormula>
    </tableColumn>
    <tableColumn id="15" xr3:uid="{00000000-0010-0000-0200-00000F000000}" name="Sparkline" totalsRowDxfId="238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Daily expense items and monthly amounts in this table. Annual amount and monthly Totals are auto calculated and sparklines are upd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C29:Q36" totalsRowCount="1" headerRowDxfId="237" dataDxfId="236" totalsRowDxfId="235">
  <autoFilter ref="C29:Q3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300-000001000000}" name="TRANSPORTATION" totalsRowLabel="Total" totalsRowDxfId="234"/>
    <tableColumn id="2" xr3:uid="{00000000-0010-0000-0300-000002000000}" name="January" totalsRowFunction="sum" dataDxfId="232" totalsRowDxfId="233"/>
    <tableColumn id="3" xr3:uid="{00000000-0010-0000-0300-000003000000}" name="February" totalsRowFunction="sum" totalsRowDxfId="231"/>
    <tableColumn id="4" xr3:uid="{00000000-0010-0000-0300-000004000000}" name="March" totalsRowFunction="sum" dataDxfId="229" totalsRowDxfId="230"/>
    <tableColumn id="5" xr3:uid="{00000000-0010-0000-0300-000005000000}" name="April" totalsRowFunction="sum" totalsRowDxfId="228"/>
    <tableColumn id="6" xr3:uid="{00000000-0010-0000-0300-000006000000}" name="May" totalsRowFunction="sum" dataDxfId="226" totalsRowDxfId="227"/>
    <tableColumn id="7" xr3:uid="{00000000-0010-0000-0300-000007000000}" name="June" totalsRowFunction="sum" totalsRowDxfId="225"/>
    <tableColumn id="8" xr3:uid="{00000000-0010-0000-0300-000008000000}" name="July" totalsRowFunction="sum" dataDxfId="223" totalsRowDxfId="224"/>
    <tableColumn id="9" xr3:uid="{00000000-0010-0000-0300-000009000000}" name="August" totalsRowFunction="sum" totalsRowDxfId="222"/>
    <tableColumn id="10" xr3:uid="{00000000-0010-0000-0300-00000A000000}" name="September" totalsRowFunction="sum" dataDxfId="220" totalsRowDxfId="221"/>
    <tableColumn id="11" xr3:uid="{00000000-0010-0000-0300-00000B000000}" name="October" totalsRowFunction="sum" totalsRowDxfId="219"/>
    <tableColumn id="12" xr3:uid="{00000000-0010-0000-0300-00000C000000}" name="November" totalsRowFunction="sum" dataDxfId="217" totalsRowDxfId="218"/>
    <tableColumn id="13" xr3:uid="{00000000-0010-0000-0300-00000D000000}" name="December" totalsRowFunction="sum" totalsRowDxfId="216"/>
    <tableColumn id="14" xr3:uid="{00000000-0010-0000-0300-00000E000000}" name="Year" totalsRowFunction="sum" dataDxfId="214" totalsRowDxfId="215">
      <calculatedColumnFormula>SUM(Transportation[[#This Row],[January]:[December]])</calculatedColumnFormula>
    </tableColumn>
    <tableColumn id="15" xr3:uid="{00000000-0010-0000-0300-00000F000000}" name="Sparkline" totalsRowDxfId="213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Transportation expense items and monthly amounts in this table. Annual amount and monthly Totals are auto calculated and sparklines are upd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Entertainment" displayName="Entertainment" ref="C38:Q43" totalsRowCount="1" headerRowDxfId="212" dataDxfId="211" totalsRowDxfId="210">
  <autoFilter ref="C38:Q42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400-000001000000}" name="ENTERTAINMENT" totalsRowLabel="Total" totalsRowDxfId="209"/>
    <tableColumn id="2" xr3:uid="{00000000-0010-0000-0400-000002000000}" name="January" totalsRowFunction="sum" totalsRowDxfId="208"/>
    <tableColumn id="3" xr3:uid="{00000000-0010-0000-0400-000003000000}" name="February" totalsRowFunction="sum" totalsRowDxfId="207"/>
    <tableColumn id="4" xr3:uid="{00000000-0010-0000-0400-000004000000}" name="March" totalsRowFunction="sum" totalsRowDxfId="206"/>
    <tableColumn id="5" xr3:uid="{00000000-0010-0000-0400-000005000000}" name="April" totalsRowFunction="sum" totalsRowDxfId="205"/>
    <tableColumn id="6" xr3:uid="{00000000-0010-0000-0400-000006000000}" name="May" totalsRowFunction="sum" totalsRowDxfId="204"/>
    <tableColumn id="7" xr3:uid="{00000000-0010-0000-0400-000007000000}" name="June" totalsRowFunction="sum" totalsRowDxfId="203"/>
    <tableColumn id="8" xr3:uid="{00000000-0010-0000-0400-000008000000}" name="July" totalsRowFunction="sum" totalsRowDxfId="202"/>
    <tableColumn id="9" xr3:uid="{00000000-0010-0000-0400-000009000000}" name="August" totalsRowFunction="sum" totalsRowDxfId="201"/>
    <tableColumn id="10" xr3:uid="{00000000-0010-0000-0400-00000A000000}" name="September" totalsRowFunction="sum" totalsRowDxfId="200"/>
    <tableColumn id="11" xr3:uid="{00000000-0010-0000-0400-00000B000000}" name="October" totalsRowFunction="sum" totalsRowDxfId="199"/>
    <tableColumn id="12" xr3:uid="{00000000-0010-0000-0400-00000C000000}" name="November" totalsRowFunction="sum" totalsRowDxfId="198"/>
    <tableColumn id="13" xr3:uid="{00000000-0010-0000-0400-00000D000000}" name="December" totalsRowFunction="sum" totalsRowDxfId="197"/>
    <tableColumn id="14" xr3:uid="{00000000-0010-0000-0400-00000E000000}" name="Year" totalsRowFunction="sum" totalsRowDxfId="196">
      <calculatedColumnFormula>SUM(Entertainment[[#This Row],[January]:[December]])</calculatedColumnFormula>
    </tableColumn>
    <tableColumn id="15" xr3:uid="{00000000-0010-0000-0400-00000F000000}" name="Sparkline" totalsRowDxfId="195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Entertainment expense items and monthly amounts in this table. Annual amount and monthly Totals are auto calculated and sparklines are upd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Health" displayName="Health" ref="C45:Q53" totalsRowCount="1" headerRowDxfId="194" dataDxfId="193" totalsRowDxfId="192">
  <autoFilter ref="C45:Q5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500-000001000000}" name="HEALTH" totalsRowLabel="Total" totalsRowDxfId="191"/>
    <tableColumn id="2" xr3:uid="{00000000-0010-0000-0500-000002000000}" name="January" totalsRowFunction="sum" totalsRowDxfId="190"/>
    <tableColumn id="3" xr3:uid="{00000000-0010-0000-0500-000003000000}" name="February" totalsRowFunction="sum" totalsRowDxfId="189"/>
    <tableColumn id="4" xr3:uid="{00000000-0010-0000-0500-000004000000}" name="March" totalsRowFunction="sum" totalsRowDxfId="188"/>
    <tableColumn id="5" xr3:uid="{00000000-0010-0000-0500-000005000000}" name="April" totalsRowFunction="sum" totalsRowDxfId="187"/>
    <tableColumn id="6" xr3:uid="{00000000-0010-0000-0500-000006000000}" name="May" totalsRowFunction="sum" totalsRowDxfId="186"/>
    <tableColumn id="7" xr3:uid="{00000000-0010-0000-0500-000007000000}" name="June" totalsRowFunction="sum" totalsRowDxfId="185"/>
    <tableColumn id="8" xr3:uid="{00000000-0010-0000-0500-000008000000}" name="July" totalsRowFunction="sum" totalsRowDxfId="184"/>
    <tableColumn id="9" xr3:uid="{00000000-0010-0000-0500-000009000000}" name="August" totalsRowFunction="sum" totalsRowDxfId="183"/>
    <tableColumn id="10" xr3:uid="{00000000-0010-0000-0500-00000A000000}" name="September" totalsRowFunction="sum" totalsRowDxfId="182"/>
    <tableColumn id="11" xr3:uid="{00000000-0010-0000-0500-00000B000000}" name="October" totalsRowFunction="sum" totalsRowDxfId="181"/>
    <tableColumn id="12" xr3:uid="{00000000-0010-0000-0500-00000C000000}" name="November" totalsRowFunction="sum" totalsRowDxfId="180"/>
    <tableColumn id="13" xr3:uid="{00000000-0010-0000-0500-00000D000000}" name="December" totalsRowFunction="sum" totalsRowDxfId="179"/>
    <tableColumn id="14" xr3:uid="{00000000-0010-0000-0500-00000E000000}" name="Year" totalsRowFunction="sum" totalsRowDxfId="178">
      <calculatedColumnFormula>SUM(Health[[#This Row],[January]:[December]])</calculatedColumnFormula>
    </tableColumn>
    <tableColumn id="15" xr3:uid="{00000000-0010-0000-0500-00000F000000}" name="Sparkline" totalsRowDxfId="177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Health expense items and monthly amounts in this table. Annual amount and monthly Totals are auto calculated and sparklines are upd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Vacations" displayName="Vacations" ref="C55:Q62" totalsRowCount="1" headerRowDxfId="176" dataDxfId="175" totalsRowDxfId="174">
  <autoFilter ref="C55:Q61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VACATIONS" totalsRowLabel="Total" totalsRowDxfId="173"/>
    <tableColumn id="2" xr3:uid="{00000000-0010-0000-0600-000002000000}" name="January" totalsRowFunction="sum" totalsRowDxfId="172"/>
    <tableColumn id="3" xr3:uid="{00000000-0010-0000-0600-000003000000}" name="February" totalsRowFunction="sum" totalsRowDxfId="171"/>
    <tableColumn id="4" xr3:uid="{00000000-0010-0000-0600-000004000000}" name="March" totalsRowFunction="sum" totalsRowDxfId="170"/>
    <tableColumn id="5" xr3:uid="{00000000-0010-0000-0600-000005000000}" name="April" totalsRowFunction="sum" totalsRowDxfId="169"/>
    <tableColumn id="6" xr3:uid="{00000000-0010-0000-0600-000006000000}" name="May" totalsRowFunction="sum" totalsRowDxfId="168"/>
    <tableColumn id="7" xr3:uid="{00000000-0010-0000-0600-000007000000}" name="June" totalsRowFunction="sum" totalsRowDxfId="167"/>
    <tableColumn id="8" xr3:uid="{00000000-0010-0000-0600-000008000000}" name="July" totalsRowFunction="sum" totalsRowDxfId="166"/>
    <tableColumn id="9" xr3:uid="{00000000-0010-0000-0600-000009000000}" name="August" totalsRowFunction="sum" totalsRowDxfId="165"/>
    <tableColumn id="10" xr3:uid="{00000000-0010-0000-0600-00000A000000}" name="September" totalsRowFunction="sum" totalsRowDxfId="164"/>
    <tableColumn id="11" xr3:uid="{00000000-0010-0000-0600-00000B000000}" name="October" totalsRowFunction="sum" totalsRowDxfId="163"/>
    <tableColumn id="12" xr3:uid="{00000000-0010-0000-0600-00000C000000}" name="November" totalsRowFunction="sum" totalsRowDxfId="162"/>
    <tableColumn id="13" xr3:uid="{00000000-0010-0000-0600-00000D000000}" name="December" totalsRowFunction="sum" totalsRowDxfId="161"/>
    <tableColumn id="14" xr3:uid="{00000000-0010-0000-0600-00000E000000}" name="Year" totalsRowFunction="sum" totalsRowDxfId="160">
      <calculatedColumnFormula>SUM(Vacations[[#This Row],[January]:[December]])</calculatedColumnFormula>
    </tableColumn>
    <tableColumn id="15" xr3:uid="{00000000-0010-0000-0600-00000F000000}" name="Sparkline" totalsRowDxfId="159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Vacations expense items and monthly amounts in this table. Annual amount and monthly Totals are auto calculated and sparklines are upd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ecreation" displayName="Recreation" ref="C64:Q69" totalsRowCount="1" headerRowDxfId="158" dataDxfId="157" totalsRowDxfId="156">
  <autoFilter ref="C64:Q68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RECREATION" totalsRowLabel="Total" dataDxfId="154" totalsRowDxfId="155"/>
    <tableColumn id="2" xr3:uid="{00000000-0010-0000-0700-000002000000}" name="January" totalsRowFunction="sum" dataDxfId="152" totalsRowDxfId="153"/>
    <tableColumn id="3" xr3:uid="{00000000-0010-0000-0700-000003000000}" name="February" totalsRowFunction="sum" dataDxfId="150" totalsRowDxfId="151"/>
    <tableColumn id="4" xr3:uid="{00000000-0010-0000-0700-000004000000}" name="March" totalsRowFunction="sum" dataDxfId="148" totalsRowDxfId="149"/>
    <tableColumn id="5" xr3:uid="{00000000-0010-0000-0700-000005000000}" name="April" totalsRowFunction="sum" dataDxfId="146" totalsRowDxfId="147"/>
    <tableColumn id="6" xr3:uid="{00000000-0010-0000-0700-000006000000}" name="May" totalsRowFunction="sum" dataDxfId="144" totalsRowDxfId="145"/>
    <tableColumn id="7" xr3:uid="{00000000-0010-0000-0700-000007000000}" name="June" totalsRowFunction="sum" dataDxfId="142" totalsRowDxfId="143"/>
    <tableColumn id="8" xr3:uid="{00000000-0010-0000-0700-000008000000}" name="July" totalsRowFunction="sum" dataDxfId="140" totalsRowDxfId="141"/>
    <tableColumn id="9" xr3:uid="{00000000-0010-0000-0700-000009000000}" name="August" totalsRowFunction="sum" dataDxfId="138" totalsRowDxfId="139"/>
    <tableColumn id="10" xr3:uid="{00000000-0010-0000-0700-00000A000000}" name="September" totalsRowFunction="sum" dataDxfId="136" totalsRowDxfId="137"/>
    <tableColumn id="11" xr3:uid="{00000000-0010-0000-0700-00000B000000}" name="October" totalsRowFunction="sum" dataDxfId="134" totalsRowDxfId="135"/>
    <tableColumn id="12" xr3:uid="{00000000-0010-0000-0700-00000C000000}" name="November" totalsRowFunction="sum" dataDxfId="132" totalsRowDxfId="133"/>
    <tableColumn id="13" xr3:uid="{00000000-0010-0000-0700-00000D000000}" name="December" totalsRowFunction="sum" dataDxfId="130" totalsRowDxfId="131"/>
    <tableColumn id="14" xr3:uid="{00000000-0010-0000-0700-00000E000000}" name="Year" totalsRowFunction="sum" dataDxfId="128" totalsRowDxfId="129">
      <calculatedColumnFormula>SUM(Recreation[[#This Row],[January]:[December]])</calculatedColumnFormula>
    </tableColumn>
    <tableColumn id="15" xr3:uid="{00000000-0010-0000-0700-00000F000000}" name="Sparkline" dataDxfId="126" totalsRowDxfId="127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Recreation expense items and monthly amounts in this table. Annual amount and monthly Totals are auto calculated and sparklines are upd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uesAndSubscription" displayName="DuesAndSubscription" ref="C71:Q79" totalsRowCount="1" headerRowDxfId="125" dataDxfId="124" totalsRowDxfId="123">
  <autoFilter ref="C71:Q78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800-000001000000}" name="DUES/SUBSCRIPTION" totalsRowLabel="Total" dataDxfId="121" totalsRowDxfId="122"/>
    <tableColumn id="2" xr3:uid="{00000000-0010-0000-0800-000002000000}" name="January" totalsRowFunction="sum" dataDxfId="119" totalsRowDxfId="120"/>
    <tableColumn id="3" xr3:uid="{00000000-0010-0000-0800-000003000000}" name="February" totalsRowFunction="sum" dataDxfId="117" totalsRowDxfId="118"/>
    <tableColumn id="4" xr3:uid="{00000000-0010-0000-0800-000004000000}" name="March" totalsRowFunction="sum" totalsRowDxfId="116"/>
    <tableColumn id="5" xr3:uid="{00000000-0010-0000-0800-000005000000}" name="April" totalsRowFunction="sum" dataDxfId="114" totalsRowDxfId="115"/>
    <tableColumn id="6" xr3:uid="{00000000-0010-0000-0800-000006000000}" name="May" totalsRowFunction="sum" dataDxfId="112" totalsRowDxfId="113"/>
    <tableColumn id="7" xr3:uid="{00000000-0010-0000-0800-000007000000}" name="June" totalsRowFunction="sum" dataDxfId="110" totalsRowDxfId="111"/>
    <tableColumn id="8" xr3:uid="{00000000-0010-0000-0800-000008000000}" name="July" totalsRowFunction="sum" dataDxfId="108" totalsRowDxfId="109"/>
    <tableColumn id="9" xr3:uid="{00000000-0010-0000-0800-000009000000}" name="August" totalsRowFunction="sum" dataDxfId="106" totalsRowDxfId="107"/>
    <tableColumn id="10" xr3:uid="{00000000-0010-0000-0800-00000A000000}" name="September" totalsRowFunction="sum" dataDxfId="104" totalsRowDxfId="105"/>
    <tableColumn id="11" xr3:uid="{00000000-0010-0000-0800-00000B000000}" name="October" totalsRowFunction="sum" dataDxfId="102" totalsRowDxfId="103"/>
    <tableColumn id="12" xr3:uid="{00000000-0010-0000-0800-00000C000000}" name="November" totalsRowFunction="sum" dataDxfId="100" totalsRowDxfId="101"/>
    <tableColumn id="13" xr3:uid="{00000000-0010-0000-0800-00000D000000}" name="December" totalsRowFunction="sum" dataDxfId="98" totalsRowDxfId="99"/>
    <tableColumn id="14" xr3:uid="{00000000-0010-0000-0800-00000E000000}" name="Year" totalsRowFunction="sum" dataDxfId="96" totalsRowDxfId="97">
      <calculatedColumnFormula>SUM(DuesAndSubscription[[#This Row],[January]:[December]])</calculatedColumnFormula>
    </tableColumn>
    <tableColumn id="15" xr3:uid="{00000000-0010-0000-0800-00000F000000}" name="Sparkline" dataDxfId="94" totalsRowDxfId="95"/>
  </tableColumns>
  <tableStyleInfo showFirstColumn="1" showLastColumn="0" showRowStripes="0" showColumnStripes="1"/>
  <extLst>
    <ext xmlns:x14="http://schemas.microsoft.com/office/spreadsheetml/2009/9/main" uri="{504A1905-F514-4f6f-8877-14C23A59335A}">
      <x14:table altTextSummary="Enter Dues and Subscription items and monthly amounts in this table. Annual amount and monthly Totals are auto calculated and sparklines are updated"/>
    </ext>
  </extLst>
</table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304157"/>
      </a:dk2>
      <a:lt2>
        <a:srgbClr val="E7E6E6"/>
      </a:lt2>
      <a:accent1>
        <a:srgbClr val="1B79AD"/>
      </a:accent1>
      <a:accent2>
        <a:srgbClr val="1D7B7D"/>
      </a:accent2>
      <a:accent3>
        <a:srgbClr val="EF4755"/>
      </a:accent3>
      <a:accent4>
        <a:srgbClr val="FFC000"/>
      </a:accent4>
      <a:accent5>
        <a:srgbClr val="176795"/>
      </a:accent5>
      <a:accent6>
        <a:srgbClr val="4D81BF"/>
      </a:accent6>
      <a:hlink>
        <a:srgbClr val="F78F2F"/>
      </a:hlink>
      <a:folHlink>
        <a:srgbClr val="F78F2F"/>
      </a:folHlink>
    </a:clrScheme>
    <a:fontScheme name="Custom 13">
      <a:majorFont>
        <a:latin typeface="Gill Sans MT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B7"/>
  <sheetViews>
    <sheetView topLeftCell="A6" workbookViewId="0"/>
  </sheetViews>
  <sheetFormatPr defaultRowHeight="12.75"/>
  <cols>
    <col min="1" max="1" width="2.625" customWidth="1"/>
    <col min="2" max="2" width="80.625" customWidth="1"/>
    <col min="3" max="3" width="2.625" customWidth="1"/>
  </cols>
  <sheetData>
    <row r="1" spans="2:2" ht="30" customHeight="1">
      <c r="B1" s="61" t="s">
        <v>0</v>
      </c>
    </row>
    <row r="2" spans="2:2" ht="30" customHeight="1">
      <c r="B2" s="62" t="s">
        <v>1</v>
      </c>
    </row>
    <row r="3" spans="2:2" ht="30" customHeight="1">
      <c r="B3" s="62" t="s">
        <v>2</v>
      </c>
    </row>
    <row r="4" spans="2:2" ht="30" customHeight="1">
      <c r="B4" s="62" t="s">
        <v>3</v>
      </c>
    </row>
    <row r="5" spans="2:2" ht="30" customHeight="1">
      <c r="B5" s="63" t="s">
        <v>4</v>
      </c>
    </row>
    <row r="6" spans="2:2" ht="61.5" customHeight="1">
      <c r="B6" s="62" t="s">
        <v>5</v>
      </c>
    </row>
    <row r="7" spans="2:2" ht="30">
      <c r="B7" s="62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A1:R108"/>
  <sheetViews>
    <sheetView showGridLines="0" tabSelected="1" zoomScale="96" zoomScaleNormal="96" workbookViewId="0"/>
  </sheetViews>
  <sheetFormatPr defaultRowHeight="30" customHeight="1"/>
  <cols>
    <col min="1" max="1" width="4.75" style="65" customWidth="1"/>
    <col min="2" max="2" width="1.875" customWidth="1"/>
    <col min="3" max="3" width="30.625" customWidth="1"/>
    <col min="4" max="16" width="12.375" style="1" customWidth="1"/>
    <col min="17" max="17" width="12.375" customWidth="1"/>
    <col min="18" max="18" width="2.625" customWidth="1"/>
  </cols>
  <sheetData>
    <row r="1" spans="1:18" ht="12.75" customHeight="1">
      <c r="A1" s="65" t="s">
        <v>7</v>
      </c>
    </row>
    <row r="2" spans="1:18" ht="35.25" customHeight="1" thickBot="1">
      <c r="A2" s="66" t="s">
        <v>8</v>
      </c>
      <c r="B2" s="69" t="s">
        <v>9</v>
      </c>
      <c r="C2" s="69"/>
      <c r="D2" s="69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64">
        <f ca="1">YEAR(TODAY())</f>
        <v>2024</v>
      </c>
    </row>
    <row r="3" spans="1:18" ht="26.25" customHeight="1">
      <c r="E3" s="40"/>
    </row>
    <row r="4" spans="1:18" ht="21" customHeight="1">
      <c r="A4" s="65" t="s">
        <v>10</v>
      </c>
      <c r="B4" s="25"/>
      <c r="C4" s="9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21</v>
      </c>
      <c r="N4" s="10" t="s">
        <v>22</v>
      </c>
      <c r="O4" s="10" t="s">
        <v>23</v>
      </c>
      <c r="P4" s="10" t="s">
        <v>24</v>
      </c>
      <c r="Q4" s="10"/>
    </row>
    <row r="5" spans="1:18" ht="15.95" customHeight="1">
      <c r="A5" s="66" t="s">
        <v>25</v>
      </c>
      <c r="B5" s="25"/>
      <c r="C5" s="11" t="s">
        <v>26</v>
      </c>
      <c r="D5" s="44" t="s">
        <v>27</v>
      </c>
      <c r="E5" s="44" t="s">
        <v>28</v>
      </c>
      <c r="F5" s="44" t="s">
        <v>29</v>
      </c>
      <c r="G5" s="44" t="s">
        <v>30</v>
      </c>
      <c r="H5" s="44" t="s">
        <v>31</v>
      </c>
      <c r="I5" s="44" t="s">
        <v>32</v>
      </c>
      <c r="J5" s="44" t="s">
        <v>33</v>
      </c>
      <c r="K5" s="44" t="s">
        <v>34</v>
      </c>
      <c r="L5" s="44" t="s">
        <v>35</v>
      </c>
      <c r="M5" s="44" t="s">
        <v>36</v>
      </c>
      <c r="N5" s="44" t="s">
        <v>37</v>
      </c>
      <c r="O5" s="44" t="s">
        <v>38</v>
      </c>
      <c r="P5" s="44" t="s">
        <v>39</v>
      </c>
      <c r="Q5" s="44" t="s">
        <v>40</v>
      </c>
    </row>
    <row r="6" spans="1:18" ht="15.95" customHeight="1">
      <c r="B6" s="25"/>
      <c r="C6" s="7" t="s">
        <v>41</v>
      </c>
      <c r="D6" s="3">
        <v>2600</v>
      </c>
      <c r="E6" s="3">
        <v>2600</v>
      </c>
      <c r="F6" s="3">
        <v>2600</v>
      </c>
      <c r="G6" s="3"/>
      <c r="H6" s="3"/>
      <c r="I6" s="3"/>
      <c r="J6" s="3"/>
      <c r="K6" s="3"/>
      <c r="L6" s="3"/>
      <c r="M6" s="3"/>
      <c r="N6" s="3"/>
      <c r="O6" s="3"/>
      <c r="P6" s="3">
        <f>SUM(Income[[#This Row],[January]:[December]])</f>
        <v>7800</v>
      </c>
      <c r="Q6" s="3"/>
    </row>
    <row r="7" spans="1:18" ht="15.95" customHeight="1">
      <c r="B7" s="25"/>
      <c r="C7" s="7" t="s">
        <v>42</v>
      </c>
      <c r="D7" s="3">
        <v>649</v>
      </c>
      <c r="E7" s="3">
        <v>313</v>
      </c>
      <c r="F7" s="3">
        <v>664</v>
      </c>
      <c r="G7" s="3"/>
      <c r="H7" s="3"/>
      <c r="I7" s="3"/>
      <c r="J7" s="3"/>
      <c r="K7" s="3"/>
      <c r="L7" s="3"/>
      <c r="M7" s="3"/>
      <c r="N7" s="3"/>
      <c r="O7" s="3"/>
      <c r="P7" s="3">
        <f>SUM(Income[[#This Row],[January]:[December]])</f>
        <v>1626</v>
      </c>
      <c r="Q7" s="15"/>
    </row>
    <row r="8" spans="1:18" ht="15.95" customHeight="1">
      <c r="B8" s="25"/>
      <c r="C8" s="7" t="s">
        <v>43</v>
      </c>
      <c r="D8" s="3">
        <v>474</v>
      </c>
      <c r="E8" s="3">
        <v>643</v>
      </c>
      <c r="F8" s="3">
        <v>380</v>
      </c>
      <c r="G8" s="3"/>
      <c r="H8" s="3"/>
      <c r="I8" s="3"/>
      <c r="J8" s="3"/>
      <c r="K8" s="3"/>
      <c r="L8" s="3"/>
      <c r="M8" s="3"/>
      <c r="N8" s="3"/>
      <c r="O8" s="3"/>
      <c r="P8" s="3">
        <f>SUM(Income[[#This Row],[January]:[December]])</f>
        <v>1497</v>
      </c>
      <c r="Q8" s="3"/>
    </row>
    <row r="9" spans="1:18" ht="21" customHeight="1" thickBot="1">
      <c r="B9" s="25"/>
      <c r="C9" s="41" t="s">
        <v>44</v>
      </c>
      <c r="D9" s="42">
        <f>SUBTOTAL(109,Income[January])</f>
        <v>3723</v>
      </c>
      <c r="E9" s="42">
        <f>SUBTOTAL(109,Income[February])</f>
        <v>3556</v>
      </c>
      <c r="F9" s="42">
        <f>SUBTOTAL(109,Income[March])</f>
        <v>3644</v>
      </c>
      <c r="G9" s="42">
        <f>SUBTOTAL(109,Income[April])</f>
        <v>0</v>
      </c>
      <c r="H9" s="42">
        <f>SUBTOTAL(109,Income[May])</f>
        <v>0</v>
      </c>
      <c r="I9" s="42">
        <f>SUBTOTAL(109,Income[June])</f>
        <v>0</v>
      </c>
      <c r="J9" s="42">
        <f>SUBTOTAL(109,Income[July])</f>
        <v>0</v>
      </c>
      <c r="K9" s="42">
        <f>SUBTOTAL(109,Income[August])</f>
        <v>0</v>
      </c>
      <c r="L9" s="42">
        <f>SUBTOTAL(109,Income[September])</f>
        <v>0</v>
      </c>
      <c r="M9" s="42">
        <f>SUBTOTAL(109,Income[October])</f>
        <v>0</v>
      </c>
      <c r="N9" s="42">
        <f>SUBTOTAL(109,Income[November])</f>
        <v>0</v>
      </c>
      <c r="O9" s="42">
        <f>SUBTOTAL(109,Income[December])</f>
        <v>0</v>
      </c>
      <c r="P9" s="42">
        <f>SUBTOTAL(109,Income[Year])</f>
        <v>10923</v>
      </c>
      <c r="Q9" s="43"/>
    </row>
    <row r="10" spans="1:18" ht="24" customHeight="1" thickTop="1"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8" ht="21" customHeight="1">
      <c r="A11" s="65" t="s">
        <v>45</v>
      </c>
      <c r="B11" s="26"/>
      <c r="C11" s="9" t="s">
        <v>46</v>
      </c>
      <c r="D11" s="10" t="s">
        <v>12</v>
      </c>
      <c r="E11" s="10" t="s">
        <v>13</v>
      </c>
      <c r="F11" s="10" t="s">
        <v>14</v>
      </c>
      <c r="G11" s="10" t="s">
        <v>15</v>
      </c>
      <c r="H11" s="10" t="s">
        <v>16</v>
      </c>
      <c r="I11" s="10" t="s">
        <v>17</v>
      </c>
      <c r="J11" s="10" t="s">
        <v>18</v>
      </c>
      <c r="K11" s="10" t="s">
        <v>19</v>
      </c>
      <c r="L11" s="10" t="s">
        <v>20</v>
      </c>
      <c r="M11" s="10" t="s">
        <v>21</v>
      </c>
      <c r="N11" s="10" t="s">
        <v>22</v>
      </c>
      <c r="O11" s="10" t="s">
        <v>23</v>
      </c>
      <c r="P11" s="10" t="s">
        <v>24</v>
      </c>
      <c r="Q11" s="10"/>
    </row>
    <row r="12" spans="1:18" ht="15.95" customHeight="1">
      <c r="A12" s="65" t="s">
        <v>47</v>
      </c>
      <c r="B12" s="26"/>
      <c r="C12" s="16" t="s">
        <v>48</v>
      </c>
      <c r="D12" s="44" t="s">
        <v>27</v>
      </c>
      <c r="E12" s="44" t="s">
        <v>28</v>
      </c>
      <c r="F12" s="44" t="s">
        <v>29</v>
      </c>
      <c r="G12" s="44" t="s">
        <v>30</v>
      </c>
      <c r="H12" s="44" t="s">
        <v>31</v>
      </c>
      <c r="I12" s="44" t="s">
        <v>32</v>
      </c>
      <c r="J12" s="44" t="s">
        <v>33</v>
      </c>
      <c r="K12" s="44" t="s">
        <v>34</v>
      </c>
      <c r="L12" s="44" t="s">
        <v>35</v>
      </c>
      <c r="M12" s="44" t="s">
        <v>36</v>
      </c>
      <c r="N12" s="44" t="s">
        <v>37</v>
      </c>
      <c r="O12" s="44" t="s">
        <v>38</v>
      </c>
      <c r="P12" s="44" t="s">
        <v>39</v>
      </c>
      <c r="Q12" s="44" t="s">
        <v>40</v>
      </c>
    </row>
    <row r="13" spans="1:18" ht="15.95" customHeight="1">
      <c r="B13" s="26"/>
      <c r="C13" s="6" t="s">
        <v>49</v>
      </c>
      <c r="D13" s="4">
        <v>750</v>
      </c>
      <c r="E13" s="4">
        <v>750</v>
      </c>
      <c r="F13" s="4">
        <v>750</v>
      </c>
      <c r="G13" s="4"/>
      <c r="H13" s="4"/>
      <c r="I13" s="4"/>
      <c r="J13" s="4"/>
      <c r="K13" s="4"/>
      <c r="L13" s="4"/>
      <c r="M13" s="4"/>
      <c r="N13" s="4"/>
      <c r="O13" s="4"/>
      <c r="P13" s="4">
        <f>SUM(Home[[#This Row],[January]:[December]])</f>
        <v>2250</v>
      </c>
      <c r="Q13" s="4"/>
    </row>
    <row r="14" spans="1:18" ht="15.95" customHeight="1">
      <c r="B14" s="26"/>
      <c r="C14" s="6" t="s">
        <v>50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f>SUM(Home[[#This Row],[January]:[December]])</f>
        <v>0</v>
      </c>
      <c r="Q14" s="17"/>
    </row>
    <row r="15" spans="1:18" ht="15.95" customHeight="1">
      <c r="B15" s="26"/>
      <c r="C15" s="6" t="s">
        <v>51</v>
      </c>
      <c r="D15" s="4"/>
      <c r="E15" s="4"/>
      <c r="F15" s="4">
        <v>75</v>
      </c>
      <c r="G15" s="4"/>
      <c r="H15" s="4"/>
      <c r="I15" s="4"/>
      <c r="J15" s="4"/>
      <c r="K15" s="4"/>
      <c r="L15" s="4"/>
      <c r="M15" s="4"/>
      <c r="N15" s="4"/>
      <c r="O15" s="4"/>
      <c r="P15" s="4">
        <f>SUM(Home[[#This Row],[January]:[December]])</f>
        <v>75</v>
      </c>
      <c r="Q15" s="4"/>
    </row>
    <row r="16" spans="1:18" ht="15.95" customHeight="1">
      <c r="B16" s="26"/>
      <c r="C16" s="6" t="s">
        <v>52</v>
      </c>
      <c r="D16" s="4">
        <v>35</v>
      </c>
      <c r="E16" s="4">
        <v>35</v>
      </c>
      <c r="F16" s="4">
        <v>35</v>
      </c>
      <c r="G16" s="4"/>
      <c r="H16" s="4"/>
      <c r="I16" s="4"/>
      <c r="J16" s="4"/>
      <c r="K16" s="4"/>
      <c r="L16" s="4"/>
      <c r="M16" s="4"/>
      <c r="N16" s="4"/>
      <c r="O16" s="4"/>
      <c r="P16" s="4">
        <f>SUM(Home[[#This Row],[January]:[December]])</f>
        <v>105</v>
      </c>
      <c r="Q16" s="17"/>
      <c r="R16" s="8"/>
    </row>
    <row r="17" spans="1:17" ht="15.95" customHeight="1">
      <c r="B17" s="26"/>
      <c r="C17" s="6" t="s">
        <v>53</v>
      </c>
      <c r="D17" s="4">
        <v>165</v>
      </c>
      <c r="E17" s="4">
        <v>165</v>
      </c>
      <c r="F17" s="4">
        <v>165</v>
      </c>
      <c r="G17" s="4"/>
      <c r="H17" s="4"/>
      <c r="I17" s="4"/>
      <c r="J17" s="4"/>
      <c r="K17" s="4"/>
      <c r="L17" s="4"/>
      <c r="M17" s="4"/>
      <c r="N17" s="4"/>
      <c r="O17" s="4"/>
      <c r="P17" s="4">
        <f>SUM(Home[[#This Row],[January]:[December]])</f>
        <v>495</v>
      </c>
      <c r="Q17" s="4"/>
    </row>
    <row r="18" spans="1:17" ht="21" customHeight="1" thickBot="1">
      <c r="A18" s="67"/>
      <c r="B18" s="26"/>
      <c r="C18" s="52" t="s">
        <v>44</v>
      </c>
      <c r="D18" s="53">
        <f>SUBTOTAL(109,Home[January])</f>
        <v>950</v>
      </c>
      <c r="E18" s="53">
        <f>SUBTOTAL(109,Home[February])</f>
        <v>950</v>
      </c>
      <c r="F18" s="53">
        <f>SUBTOTAL(109,Home[March])</f>
        <v>1025</v>
      </c>
      <c r="G18" s="53">
        <f>SUBTOTAL(109,Home[April])</f>
        <v>0</v>
      </c>
      <c r="H18" s="53">
        <f>SUBTOTAL(109,Home[May])</f>
        <v>0</v>
      </c>
      <c r="I18" s="53">
        <f>SUBTOTAL(109,Home[June])</f>
        <v>0</v>
      </c>
      <c r="J18" s="53">
        <f>SUBTOTAL(109,Home[July])</f>
        <v>0</v>
      </c>
      <c r="K18" s="53">
        <f>SUBTOTAL(109,Home[August])</f>
        <v>0</v>
      </c>
      <c r="L18" s="53">
        <f>SUBTOTAL(109,Home[September])</f>
        <v>0</v>
      </c>
      <c r="M18" s="53">
        <f>SUBTOTAL(109,Home[October])</f>
        <v>0</v>
      </c>
      <c r="N18" s="53">
        <f>SUBTOTAL(109,Home[November])</f>
        <v>0</v>
      </c>
      <c r="O18" s="53">
        <f>SUBTOTAL(109,Home[December])</f>
        <v>0</v>
      </c>
      <c r="P18" s="53">
        <f>SUBTOTAL(109,Home[Year])</f>
        <v>2925</v>
      </c>
      <c r="Q18" s="54"/>
    </row>
    <row r="19" spans="1:17" ht="24" customHeight="1" thickTop="1"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7" ht="15.95" customHeight="1">
      <c r="A20" s="65" t="s">
        <v>54</v>
      </c>
      <c r="B20" s="35"/>
      <c r="C20" s="37" t="s">
        <v>55</v>
      </c>
      <c r="D20" s="48" t="s">
        <v>27</v>
      </c>
      <c r="E20" s="44" t="s">
        <v>28</v>
      </c>
      <c r="F20" s="48" t="s">
        <v>29</v>
      </c>
      <c r="G20" s="44" t="s">
        <v>30</v>
      </c>
      <c r="H20" s="48" t="s">
        <v>31</v>
      </c>
      <c r="I20" s="44" t="s">
        <v>32</v>
      </c>
      <c r="J20" s="48" t="s">
        <v>33</v>
      </c>
      <c r="K20" s="44" t="s">
        <v>34</v>
      </c>
      <c r="L20" s="48" t="s">
        <v>35</v>
      </c>
      <c r="M20" s="44" t="s">
        <v>36</v>
      </c>
      <c r="N20" s="48" t="s">
        <v>37</v>
      </c>
      <c r="O20" s="44" t="s">
        <v>38</v>
      </c>
      <c r="P20" s="48" t="s">
        <v>39</v>
      </c>
      <c r="Q20" s="44" t="s">
        <v>40</v>
      </c>
    </row>
    <row r="21" spans="1:17" ht="15.95" customHeight="1">
      <c r="B21" s="35"/>
      <c r="C21" s="20" t="s">
        <v>56</v>
      </c>
      <c r="D21" s="14">
        <v>191</v>
      </c>
      <c r="E21" s="21">
        <v>152</v>
      </c>
      <c r="F21" s="14">
        <v>145</v>
      </c>
      <c r="G21" s="21"/>
      <c r="H21" s="14"/>
      <c r="I21" s="21"/>
      <c r="J21" s="14"/>
      <c r="K21" s="21"/>
      <c r="L21" s="14"/>
      <c r="M21" s="21"/>
      <c r="N21" s="14"/>
      <c r="O21" s="21"/>
      <c r="P21" s="14">
        <f>SUM(Daily[[#This Row],[January]:[December]])</f>
        <v>488</v>
      </c>
      <c r="Q21" s="12"/>
    </row>
    <row r="22" spans="1:17" ht="15.95" customHeight="1">
      <c r="B22" s="35"/>
      <c r="C22" s="20" t="s">
        <v>57</v>
      </c>
      <c r="D22" s="14">
        <v>200</v>
      </c>
      <c r="E22" s="21">
        <v>200</v>
      </c>
      <c r="F22" s="14">
        <v>200</v>
      </c>
      <c r="G22" s="21"/>
      <c r="H22" s="14"/>
      <c r="I22" s="21"/>
      <c r="J22" s="14"/>
      <c r="K22" s="21"/>
      <c r="L22" s="14"/>
      <c r="M22" s="21"/>
      <c r="N22" s="14"/>
      <c r="O22" s="21"/>
      <c r="P22" s="14">
        <f>SUM(Daily[[#This Row],[January]:[December]])</f>
        <v>600</v>
      </c>
      <c r="Q22" s="21"/>
    </row>
    <row r="23" spans="1:17" ht="15.95" customHeight="1">
      <c r="B23" s="35"/>
      <c r="C23" s="20" t="s">
        <v>58</v>
      </c>
      <c r="D23" s="14">
        <v>20</v>
      </c>
      <c r="E23" s="21"/>
      <c r="F23" s="14">
        <v>20</v>
      </c>
      <c r="G23" s="21"/>
      <c r="H23" s="14"/>
      <c r="I23" s="21"/>
      <c r="J23" s="14"/>
      <c r="K23" s="21"/>
      <c r="L23" s="14"/>
      <c r="M23" s="21"/>
      <c r="N23" s="14"/>
      <c r="O23" s="21"/>
      <c r="P23" s="14">
        <f>SUM(Daily[[#This Row],[January]:[December]])</f>
        <v>40</v>
      </c>
      <c r="Q23" s="12"/>
    </row>
    <row r="24" spans="1:17" ht="15.95" customHeight="1">
      <c r="B24" s="35"/>
      <c r="C24" s="20" t="s">
        <v>59</v>
      </c>
      <c r="D24" s="14">
        <v>55</v>
      </c>
      <c r="E24" s="21"/>
      <c r="F24" s="14">
        <v>56</v>
      </c>
      <c r="G24" s="21"/>
      <c r="H24" s="14"/>
      <c r="I24" s="21"/>
      <c r="J24" s="14"/>
      <c r="K24" s="21"/>
      <c r="L24" s="14"/>
      <c r="M24" s="21"/>
      <c r="N24" s="14"/>
      <c r="O24" s="21"/>
      <c r="P24" s="14">
        <f>SUM(Daily[[#This Row],[January]:[December]])</f>
        <v>111</v>
      </c>
      <c r="Q24" s="21"/>
    </row>
    <row r="25" spans="1:17" ht="15.95" customHeight="1">
      <c r="B25" s="35"/>
      <c r="C25" s="20" t="s">
        <v>60</v>
      </c>
      <c r="D25" s="14">
        <v>25</v>
      </c>
      <c r="E25" s="21">
        <v>17</v>
      </c>
      <c r="F25" s="14">
        <v>7</v>
      </c>
      <c r="G25" s="21"/>
      <c r="H25" s="14"/>
      <c r="I25" s="21"/>
      <c r="J25" s="14"/>
      <c r="K25" s="21"/>
      <c r="L25" s="14"/>
      <c r="M25" s="21"/>
      <c r="N25" s="14"/>
      <c r="O25" s="21"/>
      <c r="P25" s="14">
        <f>SUM(Daily[[#This Row],[January]:[December]])</f>
        <v>49</v>
      </c>
      <c r="Q25" s="12"/>
    </row>
    <row r="26" spans="1:17" ht="19.5" customHeight="1">
      <c r="A26" s="67"/>
      <c r="B26" s="35"/>
      <c r="C26" s="20" t="s">
        <v>61</v>
      </c>
      <c r="D26" s="14">
        <v>10</v>
      </c>
      <c r="E26" s="21">
        <v>5</v>
      </c>
      <c r="F26" s="14">
        <v>7</v>
      </c>
      <c r="G26" s="21"/>
      <c r="H26" s="14"/>
      <c r="I26" s="21"/>
      <c r="J26" s="14"/>
      <c r="K26" s="21"/>
      <c r="L26" s="14"/>
      <c r="M26" s="21"/>
      <c r="N26" s="14"/>
      <c r="O26" s="21"/>
      <c r="P26" s="14">
        <f>SUM(Daily[[#This Row],[January]:[December]])</f>
        <v>22</v>
      </c>
      <c r="Q26" s="21"/>
    </row>
    <row r="27" spans="1:17" ht="21" customHeight="1" thickBot="1">
      <c r="B27" s="35"/>
      <c r="C27" s="55" t="s">
        <v>44</v>
      </c>
      <c r="D27" s="56">
        <f>SUBTOTAL(109,Daily[January])</f>
        <v>501</v>
      </c>
      <c r="E27" s="57">
        <f>SUBTOTAL(109,Daily[February])</f>
        <v>374</v>
      </c>
      <c r="F27" s="56">
        <f>SUBTOTAL(109,Daily[March])</f>
        <v>435</v>
      </c>
      <c r="G27" s="57">
        <f>SUBTOTAL(109,Daily[April])</f>
        <v>0</v>
      </c>
      <c r="H27" s="56">
        <f>SUBTOTAL(109,Daily[May])</f>
        <v>0</v>
      </c>
      <c r="I27" s="57">
        <f>SUBTOTAL(109,Daily[June])</f>
        <v>0</v>
      </c>
      <c r="J27" s="56">
        <f>SUBTOTAL(109,Daily[July])</f>
        <v>0</v>
      </c>
      <c r="K27" s="57">
        <f>SUBTOTAL(109,Daily[August])</f>
        <v>0</v>
      </c>
      <c r="L27" s="56">
        <f>SUBTOTAL(109,Daily[September])</f>
        <v>0</v>
      </c>
      <c r="M27" s="57">
        <f>SUBTOTAL(109,Daily[October])</f>
        <v>0</v>
      </c>
      <c r="N27" s="56">
        <f>SUBTOTAL(109,Daily[November])</f>
        <v>0</v>
      </c>
      <c r="O27" s="57">
        <f>SUBTOTAL(109,Daily[December])</f>
        <v>0</v>
      </c>
      <c r="P27" s="56">
        <f>SUBTOTAL(109,Daily[Year])</f>
        <v>1310</v>
      </c>
      <c r="Q27" s="58"/>
    </row>
    <row r="28" spans="1:17" ht="20.100000000000001" customHeight="1" thickTop="1"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</row>
    <row r="29" spans="1:17" ht="15.95" customHeight="1">
      <c r="A29" s="66" t="s">
        <v>62</v>
      </c>
      <c r="B29" s="35"/>
      <c r="C29" s="18" t="s">
        <v>63</v>
      </c>
      <c r="D29" s="51" t="s">
        <v>27</v>
      </c>
      <c r="E29" s="44" t="s">
        <v>28</v>
      </c>
      <c r="F29" s="51" t="s">
        <v>29</v>
      </c>
      <c r="G29" s="44" t="s">
        <v>30</v>
      </c>
      <c r="H29" s="51" t="s">
        <v>31</v>
      </c>
      <c r="I29" s="44" t="s">
        <v>32</v>
      </c>
      <c r="J29" s="51" t="s">
        <v>33</v>
      </c>
      <c r="K29" s="44" t="s">
        <v>34</v>
      </c>
      <c r="L29" s="51" t="s">
        <v>35</v>
      </c>
      <c r="M29" s="44" t="s">
        <v>36</v>
      </c>
      <c r="N29" s="51" t="s">
        <v>37</v>
      </c>
      <c r="O29" s="44" t="s">
        <v>38</v>
      </c>
      <c r="P29" s="51" t="s">
        <v>39</v>
      </c>
      <c r="Q29" s="44" t="s">
        <v>40</v>
      </c>
    </row>
    <row r="30" spans="1:17" ht="15.95" customHeight="1">
      <c r="B30" s="35"/>
      <c r="C30" s="5" t="s">
        <v>64</v>
      </c>
      <c r="D30" s="14">
        <v>195</v>
      </c>
      <c r="E30" s="2">
        <v>125</v>
      </c>
      <c r="F30" s="14">
        <v>171</v>
      </c>
      <c r="G30" s="2"/>
      <c r="H30" s="14"/>
      <c r="I30" s="2"/>
      <c r="J30" s="14"/>
      <c r="K30" s="2"/>
      <c r="L30" s="14"/>
      <c r="M30" s="2"/>
      <c r="N30" s="14"/>
      <c r="O30" s="2"/>
      <c r="P30" s="14">
        <f>SUM(Transportation[[#This Row],[January]:[December]])</f>
        <v>491</v>
      </c>
      <c r="Q30" s="12"/>
    </row>
    <row r="31" spans="1:17" ht="15.95" customHeight="1">
      <c r="B31" s="35"/>
      <c r="C31" s="5" t="s">
        <v>50</v>
      </c>
      <c r="D31" s="14">
        <v>165</v>
      </c>
      <c r="E31" s="2">
        <v>165</v>
      </c>
      <c r="F31" s="14">
        <v>165</v>
      </c>
      <c r="G31" s="2"/>
      <c r="H31" s="14"/>
      <c r="I31" s="2"/>
      <c r="J31" s="14"/>
      <c r="K31" s="2"/>
      <c r="L31" s="14"/>
      <c r="M31" s="2"/>
      <c r="N31" s="14"/>
      <c r="O31" s="2"/>
      <c r="P31" s="14">
        <f>SUM(Transportation[[#This Row],[January]:[December]])</f>
        <v>495</v>
      </c>
      <c r="Q31" s="2"/>
    </row>
    <row r="32" spans="1:17" ht="15.95" customHeight="1">
      <c r="B32" s="35"/>
      <c r="C32" s="5" t="s">
        <v>51</v>
      </c>
      <c r="D32" s="14"/>
      <c r="E32" s="2"/>
      <c r="F32" s="14"/>
      <c r="G32" s="2"/>
      <c r="H32" s="14"/>
      <c r="I32" s="2"/>
      <c r="J32" s="14"/>
      <c r="K32" s="2"/>
      <c r="L32" s="14"/>
      <c r="M32" s="2"/>
      <c r="N32" s="14"/>
      <c r="O32" s="2"/>
      <c r="P32" s="14">
        <f>SUM(Transportation[[#This Row],[January]:[December]])</f>
        <v>0</v>
      </c>
      <c r="Q32" s="12"/>
    </row>
    <row r="33" spans="1:17" ht="15.95" customHeight="1">
      <c r="B33" s="35"/>
      <c r="C33" s="5" t="s">
        <v>65</v>
      </c>
      <c r="D33" s="14">
        <v>10</v>
      </c>
      <c r="E33" s="2"/>
      <c r="F33" s="14"/>
      <c r="G33" s="2"/>
      <c r="H33" s="14"/>
      <c r="I33" s="2"/>
      <c r="J33" s="14"/>
      <c r="K33" s="2"/>
      <c r="L33" s="14"/>
      <c r="M33" s="2"/>
      <c r="N33" s="14"/>
      <c r="O33" s="2"/>
      <c r="P33" s="14">
        <f>SUM(Transportation[[#This Row],[January]:[December]])</f>
        <v>10</v>
      </c>
      <c r="Q33" s="2"/>
    </row>
    <row r="34" spans="1:17" ht="15.95" customHeight="1">
      <c r="A34" s="67"/>
      <c r="B34" s="35"/>
      <c r="C34" s="5" t="s">
        <v>66</v>
      </c>
      <c r="D34" s="14">
        <v>10</v>
      </c>
      <c r="E34" s="2">
        <v>40</v>
      </c>
      <c r="F34" s="14">
        <v>20</v>
      </c>
      <c r="G34" s="2"/>
      <c r="H34" s="14"/>
      <c r="I34" s="2"/>
      <c r="J34" s="14"/>
      <c r="K34" s="2"/>
      <c r="L34" s="14"/>
      <c r="M34" s="2"/>
      <c r="N34" s="14"/>
      <c r="O34" s="2"/>
      <c r="P34" s="14">
        <f>SUM(Transportation[[#This Row],[January]:[December]])</f>
        <v>70</v>
      </c>
      <c r="Q34" s="12"/>
    </row>
    <row r="35" spans="1:17" ht="15.95" customHeight="1">
      <c r="B35" s="35"/>
      <c r="C35" s="5" t="s">
        <v>67</v>
      </c>
      <c r="D35" s="14">
        <v>20</v>
      </c>
      <c r="E35" s="2">
        <v>40</v>
      </c>
      <c r="F35" s="14">
        <v>30</v>
      </c>
      <c r="G35" s="2"/>
      <c r="H35" s="14"/>
      <c r="I35" s="2"/>
      <c r="J35" s="14"/>
      <c r="K35" s="2"/>
      <c r="L35" s="14"/>
      <c r="M35" s="2"/>
      <c r="N35" s="14"/>
      <c r="O35" s="2"/>
      <c r="P35" s="14">
        <f>SUM(Transportation[[#This Row],[January]:[December]])</f>
        <v>90</v>
      </c>
      <c r="Q35" s="2"/>
    </row>
    <row r="36" spans="1:17" ht="21" customHeight="1" thickBot="1">
      <c r="B36" s="35"/>
      <c r="C36" s="55" t="s">
        <v>44</v>
      </c>
      <c r="D36" s="56">
        <f>SUBTOTAL(109,Transportation[January])</f>
        <v>400</v>
      </c>
      <c r="E36" s="57">
        <f>SUBTOTAL(109,Transportation[February])</f>
        <v>370</v>
      </c>
      <c r="F36" s="56">
        <f>SUBTOTAL(109,Transportation[March])</f>
        <v>386</v>
      </c>
      <c r="G36" s="57">
        <f>SUBTOTAL(109,Transportation[April])</f>
        <v>0</v>
      </c>
      <c r="H36" s="56">
        <f>SUBTOTAL(109,Transportation[May])</f>
        <v>0</v>
      </c>
      <c r="I36" s="57">
        <f>SUBTOTAL(109,Transportation[June])</f>
        <v>0</v>
      </c>
      <c r="J36" s="56">
        <f>SUBTOTAL(109,Transportation[July])</f>
        <v>0</v>
      </c>
      <c r="K36" s="57">
        <f>SUBTOTAL(109,Transportation[August])</f>
        <v>0</v>
      </c>
      <c r="L36" s="56">
        <f>SUBTOTAL(109,Transportation[September])</f>
        <v>0</v>
      </c>
      <c r="M36" s="57">
        <f>SUBTOTAL(109,Transportation[October])</f>
        <v>0</v>
      </c>
      <c r="N36" s="56">
        <f>SUBTOTAL(109,Transportation[November])</f>
        <v>0</v>
      </c>
      <c r="O36" s="57">
        <f>SUBTOTAL(109,Transportation[December])</f>
        <v>0</v>
      </c>
      <c r="P36" s="56">
        <f>SUBTOTAL(109,Transportation[Year])</f>
        <v>1156</v>
      </c>
      <c r="Q36" s="58"/>
    </row>
    <row r="37" spans="1:17" ht="20.100000000000001" customHeight="1" thickTop="1"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 ht="21" customHeight="1">
      <c r="A38" s="65" t="s">
        <v>68</v>
      </c>
      <c r="B38" s="36"/>
      <c r="C38" s="23" t="s">
        <v>69</v>
      </c>
      <c r="D38" s="50" t="s">
        <v>27</v>
      </c>
      <c r="E38" s="44" t="s">
        <v>28</v>
      </c>
      <c r="F38" s="50" t="s">
        <v>29</v>
      </c>
      <c r="G38" s="44" t="s">
        <v>30</v>
      </c>
      <c r="H38" s="50" t="s">
        <v>31</v>
      </c>
      <c r="I38" s="44" t="s">
        <v>32</v>
      </c>
      <c r="J38" s="50" t="s">
        <v>33</v>
      </c>
      <c r="K38" s="44" t="s">
        <v>34</v>
      </c>
      <c r="L38" s="50" t="s">
        <v>35</v>
      </c>
      <c r="M38" s="44" t="s">
        <v>36</v>
      </c>
      <c r="N38" s="50" t="s">
        <v>37</v>
      </c>
      <c r="O38" s="44" t="s">
        <v>38</v>
      </c>
      <c r="P38" s="50" t="s">
        <v>39</v>
      </c>
      <c r="Q38" s="44" t="s">
        <v>40</v>
      </c>
    </row>
    <row r="39" spans="1:17" ht="15.95" customHeight="1">
      <c r="B39" s="36"/>
      <c r="C39" s="5" t="s">
        <v>70</v>
      </c>
      <c r="D39" s="13">
        <v>85</v>
      </c>
      <c r="E39" s="2">
        <v>85</v>
      </c>
      <c r="F39" s="13">
        <v>85</v>
      </c>
      <c r="G39" s="2"/>
      <c r="H39" s="13"/>
      <c r="I39" s="2"/>
      <c r="J39" s="13"/>
      <c r="K39" s="2"/>
      <c r="L39" s="13"/>
      <c r="M39" s="2"/>
      <c r="N39" s="13"/>
      <c r="O39" s="2"/>
      <c r="P39" s="13">
        <f>SUM(Entertainment[[#This Row],[January]:[December]])</f>
        <v>255</v>
      </c>
      <c r="Q39" s="12"/>
    </row>
    <row r="40" spans="1:17" ht="15.95" customHeight="1">
      <c r="A40" s="67"/>
      <c r="B40" s="36"/>
      <c r="C40" s="5" t="s">
        <v>71</v>
      </c>
      <c r="D40" s="13">
        <v>7</v>
      </c>
      <c r="E40" s="2">
        <v>8</v>
      </c>
      <c r="F40" s="13">
        <v>9</v>
      </c>
      <c r="G40" s="2"/>
      <c r="H40" s="13"/>
      <c r="I40" s="2"/>
      <c r="J40" s="13"/>
      <c r="K40" s="2"/>
      <c r="L40" s="13"/>
      <c r="M40" s="2"/>
      <c r="N40" s="13"/>
      <c r="O40" s="2"/>
      <c r="P40" s="13">
        <f>SUM(Entertainment[[#This Row],[January]:[December]])</f>
        <v>24</v>
      </c>
      <c r="Q40" s="2"/>
    </row>
    <row r="41" spans="1:17" ht="15.95" customHeight="1">
      <c r="B41" s="36"/>
      <c r="C41" s="5" t="s">
        <v>72</v>
      </c>
      <c r="D41" s="13">
        <v>9</v>
      </c>
      <c r="E41" s="2">
        <v>5</v>
      </c>
      <c r="F41" s="13">
        <v>9</v>
      </c>
      <c r="G41" s="2"/>
      <c r="H41" s="13"/>
      <c r="I41" s="2"/>
      <c r="J41" s="13"/>
      <c r="K41" s="2"/>
      <c r="L41" s="13"/>
      <c r="M41" s="2"/>
      <c r="N41" s="13"/>
      <c r="O41" s="2"/>
      <c r="P41" s="13">
        <f>SUM(Entertainment[[#This Row],[January]:[December]])</f>
        <v>23</v>
      </c>
      <c r="Q41" s="12"/>
    </row>
    <row r="42" spans="1:17" ht="15.95" customHeight="1">
      <c r="B42" s="36"/>
      <c r="C42" s="5" t="s">
        <v>73</v>
      </c>
      <c r="D42" s="13">
        <v>5</v>
      </c>
      <c r="E42" s="2">
        <v>5</v>
      </c>
      <c r="F42" s="13">
        <v>7</v>
      </c>
      <c r="G42" s="2"/>
      <c r="H42" s="13"/>
      <c r="I42" s="2"/>
      <c r="J42" s="13"/>
      <c r="K42" s="2"/>
      <c r="L42" s="13"/>
      <c r="M42" s="2"/>
      <c r="N42" s="13"/>
      <c r="O42" s="2"/>
      <c r="P42" s="13">
        <f>SUM(Entertainment[[#This Row],[January]:[December]])</f>
        <v>17</v>
      </c>
      <c r="Q42" s="2"/>
    </row>
    <row r="43" spans="1:17" ht="21" customHeight="1" thickBot="1">
      <c r="C43" s="59" t="s">
        <v>44</v>
      </c>
      <c r="D43" s="60">
        <f>SUBTOTAL(109,Entertainment[January])</f>
        <v>106</v>
      </c>
      <c r="E43" s="57">
        <f>SUBTOTAL(109,Entertainment[February])</f>
        <v>103</v>
      </c>
      <c r="F43" s="60">
        <f>SUBTOTAL(109,Entertainment[March])</f>
        <v>110</v>
      </c>
      <c r="G43" s="57">
        <f>SUBTOTAL(109,Entertainment[April])</f>
        <v>0</v>
      </c>
      <c r="H43" s="60">
        <f>SUBTOTAL(109,Entertainment[May])</f>
        <v>0</v>
      </c>
      <c r="I43" s="57">
        <f>SUBTOTAL(109,Entertainment[June])</f>
        <v>0</v>
      </c>
      <c r="J43" s="60">
        <f>SUBTOTAL(109,Entertainment[July])</f>
        <v>0</v>
      </c>
      <c r="K43" s="57">
        <f>SUBTOTAL(109,Entertainment[August])</f>
        <v>0</v>
      </c>
      <c r="L43" s="60">
        <f>SUBTOTAL(109,Entertainment[September])</f>
        <v>0</v>
      </c>
      <c r="M43" s="57">
        <f>SUBTOTAL(109,Entertainment[October])</f>
        <v>0</v>
      </c>
      <c r="N43" s="60">
        <f>SUBTOTAL(109,Entertainment[November])</f>
        <v>0</v>
      </c>
      <c r="O43" s="57">
        <f>SUBTOTAL(109,Entertainment[December])</f>
        <v>0</v>
      </c>
      <c r="P43" s="60">
        <f>SUBTOTAL(109,Entertainment[Year])</f>
        <v>319</v>
      </c>
      <c r="Q43" s="58"/>
    </row>
    <row r="44" spans="1:17" ht="20.100000000000001" customHeight="1" thickTop="1"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1:17" ht="21" customHeight="1">
      <c r="A45" s="65" t="s">
        <v>74</v>
      </c>
      <c r="B45" s="36"/>
      <c r="C45" s="23" t="s">
        <v>75</v>
      </c>
      <c r="D45" s="50" t="s">
        <v>27</v>
      </c>
      <c r="E45" s="44" t="s">
        <v>28</v>
      </c>
      <c r="F45" s="50" t="s">
        <v>29</v>
      </c>
      <c r="G45" s="44" t="s">
        <v>30</v>
      </c>
      <c r="H45" s="50" t="s">
        <v>31</v>
      </c>
      <c r="I45" s="44" t="s">
        <v>32</v>
      </c>
      <c r="J45" s="50" t="s">
        <v>33</v>
      </c>
      <c r="K45" s="44" t="s">
        <v>34</v>
      </c>
      <c r="L45" s="50" t="s">
        <v>35</v>
      </c>
      <c r="M45" s="44" t="s">
        <v>36</v>
      </c>
      <c r="N45" s="50" t="s">
        <v>37</v>
      </c>
      <c r="O45" s="44" t="s">
        <v>38</v>
      </c>
      <c r="P45" s="50" t="s">
        <v>39</v>
      </c>
      <c r="Q45" s="44" t="s">
        <v>40</v>
      </c>
    </row>
    <row r="46" spans="1:17" ht="15.95" customHeight="1">
      <c r="B46" s="36"/>
      <c r="C46" s="5" t="s">
        <v>76</v>
      </c>
      <c r="D46" s="13">
        <v>50</v>
      </c>
      <c r="E46" s="2">
        <v>50</v>
      </c>
      <c r="F46" s="13">
        <v>50</v>
      </c>
      <c r="G46" s="2"/>
      <c r="H46" s="13"/>
      <c r="I46" s="2"/>
      <c r="J46" s="13"/>
      <c r="K46" s="2"/>
      <c r="L46" s="13"/>
      <c r="M46" s="2"/>
      <c r="N46" s="13"/>
      <c r="O46" s="2"/>
      <c r="P46" s="13">
        <f>SUM(Health[[#This Row],[January]:[December]])</f>
        <v>150</v>
      </c>
      <c r="Q46" s="2"/>
    </row>
    <row r="47" spans="1:17" ht="15.95" customHeight="1">
      <c r="B47" s="36"/>
      <c r="C47" s="5" t="s">
        <v>50</v>
      </c>
      <c r="D47" s="13">
        <v>225</v>
      </c>
      <c r="E47" s="2">
        <v>225</v>
      </c>
      <c r="F47" s="13">
        <v>225</v>
      </c>
      <c r="G47" s="2"/>
      <c r="H47" s="13"/>
      <c r="I47" s="2"/>
      <c r="J47" s="13"/>
      <c r="K47" s="2"/>
      <c r="L47" s="13"/>
      <c r="M47" s="2"/>
      <c r="N47" s="13"/>
      <c r="O47" s="2"/>
      <c r="P47" s="13">
        <f>SUM(Health[[#This Row],[January]:[December]])</f>
        <v>675</v>
      </c>
      <c r="Q47" s="12"/>
    </row>
    <row r="48" spans="1:17" ht="15.95" customHeight="1">
      <c r="B48" s="36"/>
      <c r="C48" s="5" t="s">
        <v>77</v>
      </c>
      <c r="D48" s="13">
        <v>100</v>
      </c>
      <c r="E48" s="2">
        <v>100</v>
      </c>
      <c r="F48" s="13">
        <v>100</v>
      </c>
      <c r="G48" s="2"/>
      <c r="H48" s="13"/>
      <c r="I48" s="2"/>
      <c r="J48" s="13"/>
      <c r="K48" s="2"/>
      <c r="L48" s="13"/>
      <c r="M48" s="2"/>
      <c r="N48" s="13"/>
      <c r="O48" s="2"/>
      <c r="P48" s="13">
        <f>SUM(Health[[#This Row],[January]:[December]])</f>
        <v>300</v>
      </c>
      <c r="Q48" s="2"/>
    </row>
    <row r="49" spans="1:17" ht="15.95" customHeight="1">
      <c r="A49" s="67"/>
      <c r="C49" s="38" t="s">
        <v>78</v>
      </c>
      <c r="D49" s="13">
        <v>6</v>
      </c>
      <c r="E49" s="2">
        <v>2</v>
      </c>
      <c r="F49" s="13">
        <v>9</v>
      </c>
      <c r="G49" s="2"/>
      <c r="H49" s="13"/>
      <c r="I49" s="2"/>
      <c r="J49" s="13"/>
      <c r="K49" s="2"/>
      <c r="L49" s="13"/>
      <c r="M49" s="2"/>
      <c r="N49" s="13"/>
      <c r="O49" s="2"/>
      <c r="P49" s="13">
        <f>SUM(Health[[#This Row],[January]:[December]])</f>
        <v>17</v>
      </c>
      <c r="Q49" s="12"/>
    </row>
    <row r="50" spans="1:17" ht="15.95" customHeight="1">
      <c r="B50" s="36"/>
      <c r="C50" s="38" t="s">
        <v>79</v>
      </c>
      <c r="D50" s="13">
        <v>20</v>
      </c>
      <c r="E50" s="2"/>
      <c r="F50" s="13">
        <v>41</v>
      </c>
      <c r="G50" s="2"/>
      <c r="H50" s="13"/>
      <c r="I50" s="2"/>
      <c r="J50" s="13"/>
      <c r="K50" s="2"/>
      <c r="L50" s="13"/>
      <c r="M50" s="2"/>
      <c r="N50" s="13"/>
      <c r="O50" s="2"/>
      <c r="P50" s="13">
        <f>SUM(Health[[#This Row],[January]:[December]])</f>
        <v>61</v>
      </c>
      <c r="Q50" s="2"/>
    </row>
    <row r="51" spans="1:17" ht="15.95" customHeight="1">
      <c r="B51" s="36"/>
      <c r="C51" s="5" t="s">
        <v>80</v>
      </c>
      <c r="D51" s="13">
        <v>4</v>
      </c>
      <c r="E51" s="2"/>
      <c r="F51" s="13">
        <v>25</v>
      </c>
      <c r="G51" s="2"/>
      <c r="H51" s="13"/>
      <c r="I51" s="2"/>
      <c r="J51" s="13"/>
      <c r="K51" s="2"/>
      <c r="L51" s="13"/>
      <c r="M51" s="2"/>
      <c r="N51" s="13"/>
      <c r="O51" s="2"/>
      <c r="P51" s="13">
        <f>SUM(Health[[#This Row],[January]:[December]])</f>
        <v>29</v>
      </c>
      <c r="Q51" s="12"/>
    </row>
    <row r="52" spans="1:17" ht="15.95" customHeight="1">
      <c r="B52" s="36"/>
      <c r="C52" s="5" t="s">
        <v>81</v>
      </c>
      <c r="D52" s="13">
        <v>55</v>
      </c>
      <c r="E52" s="2">
        <v>55</v>
      </c>
      <c r="F52" s="13">
        <v>55</v>
      </c>
      <c r="G52" s="2"/>
      <c r="H52" s="13"/>
      <c r="I52" s="2"/>
      <c r="J52" s="13"/>
      <c r="K52" s="2"/>
      <c r="L52" s="13"/>
      <c r="M52" s="2"/>
      <c r="N52" s="13"/>
      <c r="O52" s="2"/>
      <c r="P52" s="13">
        <f>SUM(Health[[#This Row],[January]:[December]])</f>
        <v>165</v>
      </c>
      <c r="Q52" s="2"/>
    </row>
    <row r="53" spans="1:17" ht="21" customHeight="1" thickBot="1">
      <c r="B53" s="36"/>
      <c r="C53" s="59" t="s">
        <v>44</v>
      </c>
      <c r="D53" s="60">
        <f>SUBTOTAL(109,Health[January])</f>
        <v>460</v>
      </c>
      <c r="E53" s="57">
        <f>SUBTOTAL(109,Health[February])</f>
        <v>432</v>
      </c>
      <c r="F53" s="60">
        <f>SUBTOTAL(109,Health[March])</f>
        <v>505</v>
      </c>
      <c r="G53" s="57">
        <f>SUBTOTAL(109,Health[April])</f>
        <v>0</v>
      </c>
      <c r="H53" s="60">
        <f>SUBTOTAL(109,Health[May])</f>
        <v>0</v>
      </c>
      <c r="I53" s="57">
        <f>SUBTOTAL(109,Health[June])</f>
        <v>0</v>
      </c>
      <c r="J53" s="60">
        <f>SUBTOTAL(109,Health[July])</f>
        <v>0</v>
      </c>
      <c r="K53" s="57">
        <f>SUBTOTAL(109,Health[August])</f>
        <v>0</v>
      </c>
      <c r="L53" s="60">
        <f>SUBTOTAL(109,Health[September])</f>
        <v>0</v>
      </c>
      <c r="M53" s="57">
        <f>SUBTOTAL(109,Health[October])</f>
        <v>0</v>
      </c>
      <c r="N53" s="60">
        <f>SUBTOTAL(109,Health[November])</f>
        <v>0</v>
      </c>
      <c r="O53" s="57">
        <f>SUBTOTAL(109,Health[December])</f>
        <v>0</v>
      </c>
      <c r="P53" s="60">
        <f>SUBTOTAL(109,Health[Year])</f>
        <v>1397</v>
      </c>
      <c r="Q53" s="58"/>
    </row>
    <row r="54" spans="1:17" ht="20.100000000000001" customHeight="1" thickTop="1"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</row>
    <row r="55" spans="1:17" ht="21" customHeight="1">
      <c r="A55" s="65" t="s">
        <v>82</v>
      </c>
      <c r="B55" s="35"/>
      <c r="C55" s="18" t="s">
        <v>83</v>
      </c>
      <c r="D55" s="49" t="s">
        <v>27</v>
      </c>
      <c r="E55" s="44" t="s">
        <v>28</v>
      </c>
      <c r="F55" s="49" t="s">
        <v>29</v>
      </c>
      <c r="G55" s="44" t="s">
        <v>30</v>
      </c>
      <c r="H55" s="49" t="s">
        <v>31</v>
      </c>
      <c r="I55" s="44" t="s">
        <v>32</v>
      </c>
      <c r="J55" s="49" t="s">
        <v>33</v>
      </c>
      <c r="K55" s="44" t="s">
        <v>34</v>
      </c>
      <c r="L55" s="49" t="s">
        <v>35</v>
      </c>
      <c r="M55" s="44" t="s">
        <v>36</v>
      </c>
      <c r="N55" s="49" t="s">
        <v>37</v>
      </c>
      <c r="O55" s="44" t="s">
        <v>38</v>
      </c>
      <c r="P55" s="49" t="s">
        <v>39</v>
      </c>
      <c r="Q55" s="44" t="s">
        <v>40</v>
      </c>
    </row>
    <row r="56" spans="1:17" ht="15.95" customHeight="1">
      <c r="B56" s="35"/>
      <c r="C56" s="5" t="s">
        <v>84</v>
      </c>
      <c r="D56" s="14"/>
      <c r="E56" s="2">
        <v>485</v>
      </c>
      <c r="F56" s="14"/>
      <c r="G56" s="2"/>
      <c r="H56" s="14"/>
      <c r="I56" s="2"/>
      <c r="J56" s="14"/>
      <c r="K56" s="2"/>
      <c r="L56" s="14"/>
      <c r="M56" s="2"/>
      <c r="N56" s="14"/>
      <c r="O56" s="2"/>
      <c r="P56" s="14">
        <f>SUM(Vacations[[#This Row],[January]:[December]])</f>
        <v>485</v>
      </c>
      <c r="Q56" s="12"/>
    </row>
    <row r="57" spans="1:17" ht="15.95" customHeight="1">
      <c r="C57" s="39" t="s">
        <v>85</v>
      </c>
      <c r="D57" s="14"/>
      <c r="E57" s="2">
        <v>245</v>
      </c>
      <c r="F57" s="14"/>
      <c r="G57" s="2"/>
      <c r="H57" s="14"/>
      <c r="I57" s="2"/>
      <c r="J57" s="14"/>
      <c r="K57" s="2"/>
      <c r="L57" s="14"/>
      <c r="M57" s="2"/>
      <c r="N57" s="14"/>
      <c r="O57" s="2"/>
      <c r="P57" s="14">
        <f>SUM(Vacations[[#This Row],[January]:[December]])</f>
        <v>245</v>
      </c>
      <c r="Q57" s="2"/>
    </row>
    <row r="58" spans="1:17" ht="15.95" customHeight="1">
      <c r="B58" s="35"/>
      <c r="C58" s="5" t="s">
        <v>86</v>
      </c>
      <c r="D58" s="14"/>
      <c r="E58" s="2">
        <v>95</v>
      </c>
      <c r="F58" s="14"/>
      <c r="G58" s="2"/>
      <c r="H58" s="14"/>
      <c r="I58" s="2"/>
      <c r="J58" s="14"/>
      <c r="K58" s="2"/>
      <c r="L58" s="14"/>
      <c r="M58" s="2"/>
      <c r="N58" s="14"/>
      <c r="O58" s="2"/>
      <c r="P58" s="14">
        <f>SUM(Vacations[[#This Row],[January]:[December]])</f>
        <v>95</v>
      </c>
      <c r="Q58" s="12"/>
    </row>
    <row r="59" spans="1:17" ht="15.95" customHeight="1">
      <c r="B59" s="35"/>
      <c r="C59" s="5" t="s">
        <v>87</v>
      </c>
      <c r="D59" s="14"/>
      <c r="E59" s="2"/>
      <c r="F59" s="14"/>
      <c r="G59" s="2"/>
      <c r="H59" s="14"/>
      <c r="I59" s="2"/>
      <c r="J59" s="14"/>
      <c r="K59" s="2"/>
      <c r="L59" s="14"/>
      <c r="M59" s="2"/>
      <c r="N59" s="14"/>
      <c r="O59" s="2"/>
      <c r="P59" s="14">
        <f>SUM(Vacations[[#This Row],[January]:[December]])</f>
        <v>0</v>
      </c>
      <c r="Q59" s="2"/>
    </row>
    <row r="60" spans="1:17" ht="15.95" customHeight="1">
      <c r="B60" s="35"/>
      <c r="C60" s="5" t="s">
        <v>88</v>
      </c>
      <c r="D60" s="14"/>
      <c r="E60" s="2"/>
      <c r="F60" s="14"/>
      <c r="G60" s="2"/>
      <c r="H60" s="14"/>
      <c r="I60" s="2"/>
      <c r="J60" s="14"/>
      <c r="K60" s="2"/>
      <c r="L60" s="14"/>
      <c r="M60" s="2"/>
      <c r="N60" s="14"/>
      <c r="O60" s="2"/>
      <c r="P60" s="14">
        <f>SUM(Vacations[[#This Row],[January]:[December]])</f>
        <v>0</v>
      </c>
      <c r="Q60" s="12"/>
    </row>
    <row r="61" spans="1:17" ht="15.95" customHeight="1">
      <c r="B61" s="35"/>
      <c r="C61" s="5" t="s">
        <v>89</v>
      </c>
      <c r="D61" s="14"/>
      <c r="E61" s="2">
        <v>85</v>
      </c>
      <c r="F61" s="14"/>
      <c r="G61" s="2"/>
      <c r="H61" s="14"/>
      <c r="I61" s="2"/>
      <c r="J61" s="14"/>
      <c r="K61" s="2"/>
      <c r="L61" s="14"/>
      <c r="M61" s="2"/>
      <c r="N61" s="14"/>
      <c r="O61" s="2"/>
      <c r="P61" s="14">
        <f>SUM(Vacations[[#This Row],[January]:[December]])</f>
        <v>85</v>
      </c>
      <c r="Q61" s="2"/>
    </row>
    <row r="62" spans="1:17" ht="21" customHeight="1" thickBot="1">
      <c r="B62" s="35"/>
      <c r="C62" s="55" t="s">
        <v>44</v>
      </c>
      <c r="D62" s="56">
        <f>SUBTOTAL(109,Vacations[January])</f>
        <v>0</v>
      </c>
      <c r="E62" s="57">
        <f>SUBTOTAL(109,Vacations[February])</f>
        <v>910</v>
      </c>
      <c r="F62" s="56">
        <f>SUBTOTAL(109,Vacations[March])</f>
        <v>0</v>
      </c>
      <c r="G62" s="57">
        <f>SUBTOTAL(109,Vacations[April])</f>
        <v>0</v>
      </c>
      <c r="H62" s="56">
        <f>SUBTOTAL(109,Vacations[May])</f>
        <v>0</v>
      </c>
      <c r="I62" s="57">
        <f>SUBTOTAL(109,Vacations[June])</f>
        <v>0</v>
      </c>
      <c r="J62" s="56">
        <f>SUBTOTAL(109,Vacations[July])</f>
        <v>0</v>
      </c>
      <c r="K62" s="57">
        <f>SUBTOTAL(109,Vacations[August])</f>
        <v>0</v>
      </c>
      <c r="L62" s="56">
        <f>SUBTOTAL(109,Vacations[September])</f>
        <v>0</v>
      </c>
      <c r="M62" s="57">
        <f>SUBTOTAL(109,Vacations[October])</f>
        <v>0</v>
      </c>
      <c r="N62" s="56">
        <f>SUBTOTAL(109,Vacations[November])</f>
        <v>0</v>
      </c>
      <c r="O62" s="57">
        <f>SUBTOTAL(109,Vacations[December])</f>
        <v>0</v>
      </c>
      <c r="P62" s="56">
        <f>SUBTOTAL(109,Vacations[Year])</f>
        <v>910</v>
      </c>
      <c r="Q62" s="58"/>
    </row>
    <row r="63" spans="1:17" ht="20.100000000000001" customHeight="1" thickTop="1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17" ht="21" customHeight="1">
      <c r="A64" s="65" t="s">
        <v>90</v>
      </c>
      <c r="B64" s="35"/>
      <c r="C64" s="22" t="s">
        <v>91</v>
      </c>
      <c r="D64" s="46" t="s">
        <v>27</v>
      </c>
      <c r="E64" s="45" t="s">
        <v>28</v>
      </c>
      <c r="F64" s="46" t="s">
        <v>29</v>
      </c>
      <c r="G64" s="45" t="s">
        <v>30</v>
      </c>
      <c r="H64" s="46" t="s">
        <v>31</v>
      </c>
      <c r="I64" s="45" t="s">
        <v>32</v>
      </c>
      <c r="J64" s="46" t="s">
        <v>33</v>
      </c>
      <c r="K64" s="45" t="s">
        <v>34</v>
      </c>
      <c r="L64" s="46" t="s">
        <v>35</v>
      </c>
      <c r="M64" s="45" t="s">
        <v>36</v>
      </c>
      <c r="N64" s="46" t="s">
        <v>37</v>
      </c>
      <c r="O64" s="45" t="s">
        <v>38</v>
      </c>
      <c r="P64" s="46" t="s">
        <v>39</v>
      </c>
      <c r="Q64" s="45" t="s">
        <v>40</v>
      </c>
    </row>
    <row r="65" spans="1:17" ht="15.95" customHeight="1">
      <c r="B65" s="35"/>
      <c r="C65" s="5" t="s">
        <v>92</v>
      </c>
      <c r="D65" s="14"/>
      <c r="E65" s="2"/>
      <c r="F65" s="14"/>
      <c r="G65" s="2"/>
      <c r="H65" s="14"/>
      <c r="I65" s="2"/>
      <c r="J65" s="14"/>
      <c r="K65" s="2"/>
      <c r="L65" s="14"/>
      <c r="M65" s="2"/>
      <c r="N65" s="14"/>
      <c r="O65" s="2"/>
      <c r="P65" s="14">
        <f>SUM(Recreation[[#This Row],[January]:[December]])</f>
        <v>0</v>
      </c>
      <c r="Q65" s="12"/>
    </row>
    <row r="66" spans="1:17" ht="15.95" customHeight="1">
      <c r="B66" s="35"/>
      <c r="C66" s="5" t="s">
        <v>93</v>
      </c>
      <c r="D66" s="14"/>
      <c r="E66" s="2"/>
      <c r="F66" s="14"/>
      <c r="G66" s="2"/>
      <c r="H66" s="14"/>
      <c r="I66" s="2"/>
      <c r="J66" s="14"/>
      <c r="K66" s="2"/>
      <c r="L66" s="14"/>
      <c r="M66" s="2"/>
      <c r="N66" s="14"/>
      <c r="O66" s="2"/>
      <c r="P66" s="14">
        <f>SUM(Recreation[[#This Row],[January]:[December]])</f>
        <v>0</v>
      </c>
      <c r="Q66" s="2"/>
    </row>
    <row r="67" spans="1:17" ht="15.95" customHeight="1">
      <c r="B67" s="35"/>
      <c r="C67" s="5" t="s">
        <v>94</v>
      </c>
      <c r="D67" s="14"/>
      <c r="E67" s="2"/>
      <c r="F67" s="14"/>
      <c r="G67" s="2"/>
      <c r="H67" s="14"/>
      <c r="I67" s="2"/>
      <c r="J67" s="14"/>
      <c r="K67" s="2"/>
      <c r="L67" s="14"/>
      <c r="M67" s="2"/>
      <c r="N67" s="14"/>
      <c r="O67" s="2"/>
      <c r="P67" s="14">
        <f>SUM(Recreation[[#This Row],[January]:[December]])</f>
        <v>0</v>
      </c>
      <c r="Q67" s="12"/>
    </row>
    <row r="68" spans="1:17" ht="15.95" customHeight="1">
      <c r="B68" s="35"/>
      <c r="C68" s="5" t="s">
        <v>95</v>
      </c>
      <c r="D68" s="14">
        <v>39</v>
      </c>
      <c r="E68" s="2">
        <v>33</v>
      </c>
      <c r="F68" s="14">
        <v>40</v>
      </c>
      <c r="G68" s="2"/>
      <c r="H68" s="14"/>
      <c r="I68" s="2"/>
      <c r="J68" s="14"/>
      <c r="K68" s="2"/>
      <c r="L68" s="14"/>
      <c r="M68" s="2"/>
      <c r="N68" s="14"/>
      <c r="O68" s="2"/>
      <c r="P68" s="14">
        <f>SUM(Recreation[[#This Row],[January]:[December]])</f>
        <v>112</v>
      </c>
      <c r="Q68" s="2"/>
    </row>
    <row r="69" spans="1:17" ht="21" customHeight="1" thickBot="1">
      <c r="B69" s="35"/>
      <c r="C69" s="55" t="s">
        <v>44</v>
      </c>
      <c r="D69" s="56">
        <f>SUBTOTAL(109,Recreation[January])</f>
        <v>39</v>
      </c>
      <c r="E69" s="57">
        <f>SUBTOTAL(109,Recreation[February])</f>
        <v>33</v>
      </c>
      <c r="F69" s="56">
        <f>SUBTOTAL(109,Recreation[March])</f>
        <v>40</v>
      </c>
      <c r="G69" s="57">
        <f>SUBTOTAL(109,Recreation[April])</f>
        <v>0</v>
      </c>
      <c r="H69" s="56">
        <f>SUBTOTAL(109,Recreation[May])</f>
        <v>0</v>
      </c>
      <c r="I69" s="57">
        <f>SUBTOTAL(109,Recreation[June])</f>
        <v>0</v>
      </c>
      <c r="J69" s="56">
        <f>SUBTOTAL(109,Recreation[July])</f>
        <v>0</v>
      </c>
      <c r="K69" s="57">
        <f>SUBTOTAL(109,Recreation[August])</f>
        <v>0</v>
      </c>
      <c r="L69" s="56">
        <f>SUBTOTAL(109,Recreation[September])</f>
        <v>0</v>
      </c>
      <c r="M69" s="57">
        <f>SUBTOTAL(109,Recreation[October])</f>
        <v>0</v>
      </c>
      <c r="N69" s="56">
        <f>SUBTOTAL(109,Recreation[November])</f>
        <v>0</v>
      </c>
      <c r="O69" s="57">
        <f>SUBTOTAL(109,Recreation[December])</f>
        <v>0</v>
      </c>
      <c r="P69" s="56">
        <f>SUBTOTAL(109,Recreation[Year])</f>
        <v>112</v>
      </c>
      <c r="Q69" s="58"/>
    </row>
    <row r="70" spans="1:17" ht="20.100000000000001" customHeight="1" thickTop="1"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</row>
    <row r="71" spans="1:17" ht="21" customHeight="1">
      <c r="A71" s="65" t="s">
        <v>96</v>
      </c>
      <c r="B71" s="36"/>
      <c r="C71" s="24" t="s">
        <v>97</v>
      </c>
      <c r="D71" s="47" t="s">
        <v>27</v>
      </c>
      <c r="E71" s="45" t="s">
        <v>28</v>
      </c>
      <c r="F71" s="47" t="s">
        <v>29</v>
      </c>
      <c r="G71" s="45" t="s">
        <v>30</v>
      </c>
      <c r="H71" s="47" t="s">
        <v>31</v>
      </c>
      <c r="I71" s="45" t="s">
        <v>32</v>
      </c>
      <c r="J71" s="47" t="s">
        <v>33</v>
      </c>
      <c r="K71" s="45" t="s">
        <v>34</v>
      </c>
      <c r="L71" s="47" t="s">
        <v>35</v>
      </c>
      <c r="M71" s="45" t="s">
        <v>36</v>
      </c>
      <c r="N71" s="47" t="s">
        <v>37</v>
      </c>
      <c r="O71" s="45" t="s">
        <v>38</v>
      </c>
      <c r="P71" s="47" t="s">
        <v>39</v>
      </c>
      <c r="Q71" s="45" t="s">
        <v>40</v>
      </c>
    </row>
    <row r="72" spans="1:17" ht="15.95" customHeight="1">
      <c r="C72" s="38" t="s">
        <v>98</v>
      </c>
      <c r="D72" s="13"/>
      <c r="E72" s="2"/>
      <c r="F72" s="13"/>
      <c r="G72" s="2"/>
      <c r="H72" s="13"/>
      <c r="I72" s="2"/>
      <c r="J72" s="13"/>
      <c r="K72" s="2"/>
      <c r="L72" s="13"/>
      <c r="M72" s="2"/>
      <c r="N72" s="13"/>
      <c r="O72" s="2"/>
      <c r="P72" s="13">
        <f>SUM(DuesAndSubscription[[#This Row],[January]:[December]])</f>
        <v>0</v>
      </c>
      <c r="Q72" s="2"/>
    </row>
    <row r="73" spans="1:17" ht="15.95" customHeight="1">
      <c r="B73" s="36"/>
      <c r="C73" s="5" t="s">
        <v>99</v>
      </c>
      <c r="D73" s="13"/>
      <c r="E73" s="2"/>
      <c r="F73" s="13"/>
      <c r="G73" s="2"/>
      <c r="H73" s="13"/>
      <c r="I73" s="2"/>
      <c r="J73" s="13"/>
      <c r="K73" s="2"/>
      <c r="L73" s="13"/>
      <c r="M73" s="2"/>
      <c r="N73" s="13"/>
      <c r="O73" s="2"/>
      <c r="P73" s="13">
        <f>SUM(DuesAndSubscription[[#This Row],[January]:[December]])</f>
        <v>0</v>
      </c>
      <c r="Q73" s="12"/>
    </row>
    <row r="74" spans="1:17" ht="15.95" customHeight="1">
      <c r="B74" s="36"/>
      <c r="C74" s="5" t="s">
        <v>100</v>
      </c>
      <c r="D74" s="13"/>
      <c r="E74" s="2"/>
      <c r="F74" s="13"/>
      <c r="G74" s="2"/>
      <c r="H74" s="13"/>
      <c r="I74" s="2"/>
      <c r="J74" s="13"/>
      <c r="K74" s="2"/>
      <c r="L74" s="13"/>
      <c r="M74" s="2"/>
      <c r="N74" s="13"/>
      <c r="O74" s="2"/>
      <c r="P74" s="13">
        <f>SUM(DuesAndSubscription[[#This Row],[January]:[December]])</f>
        <v>0</v>
      </c>
      <c r="Q74" s="2"/>
    </row>
    <row r="75" spans="1:17" ht="15.95" customHeight="1">
      <c r="B75" s="36"/>
      <c r="C75" s="5" t="s">
        <v>101</v>
      </c>
      <c r="D75" s="13"/>
      <c r="E75" s="2"/>
      <c r="F75" s="13"/>
      <c r="G75" s="2"/>
      <c r="H75" s="13"/>
      <c r="I75" s="2"/>
      <c r="J75" s="13"/>
      <c r="K75" s="2"/>
      <c r="L75" s="13"/>
      <c r="M75" s="2"/>
      <c r="N75" s="13"/>
      <c r="O75" s="2"/>
      <c r="P75" s="13">
        <f>SUM(DuesAndSubscription[[#This Row],[January]:[December]])</f>
        <v>0</v>
      </c>
      <c r="Q75" s="12"/>
    </row>
    <row r="76" spans="1:17" ht="15.95" customHeight="1">
      <c r="B76" s="36"/>
      <c r="C76" s="5" t="s">
        <v>102</v>
      </c>
      <c r="D76" s="13"/>
      <c r="E76" s="2"/>
      <c r="F76" s="13"/>
      <c r="G76" s="2"/>
      <c r="H76" s="13"/>
      <c r="I76" s="2"/>
      <c r="J76" s="13"/>
      <c r="K76" s="2"/>
      <c r="L76" s="13"/>
      <c r="M76" s="2"/>
      <c r="N76" s="13"/>
      <c r="O76" s="2"/>
      <c r="P76" s="13">
        <f>SUM(DuesAndSubscription[[#This Row],[January]:[December]])</f>
        <v>0</v>
      </c>
      <c r="Q76" s="2"/>
    </row>
    <row r="77" spans="1:17" ht="15.95" customHeight="1">
      <c r="B77" s="36"/>
      <c r="C77" s="5" t="s">
        <v>103</v>
      </c>
      <c r="D77" s="13">
        <v>29</v>
      </c>
      <c r="E77" s="2">
        <v>18</v>
      </c>
      <c r="F77" s="13">
        <v>17</v>
      </c>
      <c r="G77" s="2"/>
      <c r="H77" s="13"/>
      <c r="I77" s="2"/>
      <c r="J77" s="13"/>
      <c r="K77" s="2"/>
      <c r="L77" s="13"/>
      <c r="M77" s="2"/>
      <c r="N77" s="13"/>
      <c r="O77" s="2"/>
      <c r="P77" s="13">
        <f>SUM(DuesAndSubscription[[#This Row],[January]:[December]])</f>
        <v>64</v>
      </c>
      <c r="Q77" s="12"/>
    </row>
    <row r="78" spans="1:17" ht="15.95" customHeight="1">
      <c r="B78" s="36"/>
      <c r="C78" s="5" t="s">
        <v>104</v>
      </c>
      <c r="D78" s="13"/>
      <c r="E78" s="2"/>
      <c r="F78" s="13"/>
      <c r="G78" s="2"/>
      <c r="H78" s="13"/>
      <c r="I78" s="2"/>
      <c r="J78" s="13"/>
      <c r="K78" s="2"/>
      <c r="L78" s="13"/>
      <c r="M78" s="2"/>
      <c r="N78" s="13"/>
      <c r="O78" s="2"/>
      <c r="P78" s="13">
        <f>SUM(DuesAndSubscription[[#This Row],[January]:[December]])</f>
        <v>0</v>
      </c>
      <c r="Q78" s="2"/>
    </row>
    <row r="79" spans="1:17" ht="21" customHeight="1" thickBot="1">
      <c r="B79" s="36"/>
      <c r="C79" s="59" t="s">
        <v>44</v>
      </c>
      <c r="D79" s="60">
        <f>SUBTOTAL(109,DuesAndSubscription[January])</f>
        <v>29</v>
      </c>
      <c r="E79" s="57">
        <f>SUBTOTAL(109,DuesAndSubscription[February])</f>
        <v>18</v>
      </c>
      <c r="F79" s="60">
        <f>SUBTOTAL(109,DuesAndSubscription[March])</f>
        <v>17</v>
      </c>
      <c r="G79" s="57">
        <f>SUBTOTAL(109,DuesAndSubscription[April])</f>
        <v>0</v>
      </c>
      <c r="H79" s="60">
        <f>SUBTOTAL(109,DuesAndSubscription[May])</f>
        <v>0</v>
      </c>
      <c r="I79" s="57">
        <f>SUBTOTAL(109,DuesAndSubscription[June])</f>
        <v>0</v>
      </c>
      <c r="J79" s="60">
        <f>SUBTOTAL(109,DuesAndSubscription[July])</f>
        <v>0</v>
      </c>
      <c r="K79" s="57">
        <f>SUBTOTAL(109,DuesAndSubscription[August])</f>
        <v>0</v>
      </c>
      <c r="L79" s="60">
        <f>SUBTOTAL(109,DuesAndSubscription[September])</f>
        <v>0</v>
      </c>
      <c r="M79" s="57">
        <f>SUBTOTAL(109,DuesAndSubscription[October])</f>
        <v>0</v>
      </c>
      <c r="N79" s="60">
        <f>SUBTOTAL(109,DuesAndSubscription[November])</f>
        <v>0</v>
      </c>
      <c r="O79" s="57">
        <f>SUBTOTAL(109,DuesAndSubscription[December])</f>
        <v>0</v>
      </c>
      <c r="P79" s="60">
        <f>SUBTOTAL(109,DuesAndSubscription[Year])</f>
        <v>64</v>
      </c>
      <c r="Q79" s="58"/>
    </row>
    <row r="80" spans="1:17" ht="20.100000000000001" customHeight="1" thickTop="1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1:17" ht="21" customHeight="1">
      <c r="A81" s="65" t="s">
        <v>105</v>
      </c>
      <c r="B81" s="36"/>
      <c r="C81" s="24" t="s">
        <v>106</v>
      </c>
      <c r="D81" s="46" t="s">
        <v>27</v>
      </c>
      <c r="E81" s="45" t="s">
        <v>28</v>
      </c>
      <c r="F81" s="46" t="s">
        <v>29</v>
      </c>
      <c r="G81" s="45" t="s">
        <v>30</v>
      </c>
      <c r="H81" s="46" t="s">
        <v>31</v>
      </c>
      <c r="I81" s="45" t="s">
        <v>32</v>
      </c>
      <c r="J81" s="46" t="s">
        <v>33</v>
      </c>
      <c r="K81" s="45" t="s">
        <v>34</v>
      </c>
      <c r="L81" s="46" t="s">
        <v>35</v>
      </c>
      <c r="M81" s="45" t="s">
        <v>36</v>
      </c>
      <c r="N81" s="46" t="s">
        <v>37</v>
      </c>
      <c r="O81" s="45" t="s">
        <v>38</v>
      </c>
      <c r="P81" s="46" t="s">
        <v>39</v>
      </c>
      <c r="Q81" s="45" t="s">
        <v>40</v>
      </c>
    </row>
    <row r="82" spans="1:17" ht="15.95" customHeight="1">
      <c r="B82" s="36"/>
      <c r="C82" s="5" t="s">
        <v>107</v>
      </c>
      <c r="D82" s="13"/>
      <c r="E82" s="2"/>
      <c r="F82" s="13">
        <v>29</v>
      </c>
      <c r="G82" s="2"/>
      <c r="H82" s="13"/>
      <c r="I82" s="2"/>
      <c r="J82" s="13"/>
      <c r="K82" s="2"/>
      <c r="L82" s="13"/>
      <c r="M82" s="2"/>
      <c r="N82" s="13"/>
      <c r="O82" s="2"/>
      <c r="P82" s="13">
        <f>SUM(Personal[[#This Row],[January]:[December]])</f>
        <v>29</v>
      </c>
      <c r="Q82" s="2"/>
    </row>
    <row r="83" spans="1:17" ht="15.95" customHeight="1">
      <c r="B83" s="36"/>
      <c r="C83" s="5" t="s">
        <v>108</v>
      </c>
      <c r="D83" s="13"/>
      <c r="E83" s="2">
        <v>35</v>
      </c>
      <c r="F83" s="13"/>
      <c r="G83" s="2"/>
      <c r="H83" s="13"/>
      <c r="I83" s="2"/>
      <c r="J83" s="13"/>
      <c r="K83" s="2"/>
      <c r="L83" s="13"/>
      <c r="M83" s="2"/>
      <c r="N83" s="13"/>
      <c r="O83" s="2"/>
      <c r="P83" s="13">
        <f>SUM(Personal[[#This Row],[January]:[December]])</f>
        <v>35</v>
      </c>
      <c r="Q83" s="12"/>
    </row>
    <row r="84" spans="1:17" ht="15.95" customHeight="1">
      <c r="B84" s="36"/>
      <c r="C84" s="5" t="s">
        <v>109</v>
      </c>
      <c r="D84" s="13">
        <v>25</v>
      </c>
      <c r="E84" s="2">
        <v>25</v>
      </c>
      <c r="F84" s="13">
        <v>25</v>
      </c>
      <c r="G84" s="2"/>
      <c r="H84" s="13"/>
      <c r="I84" s="2"/>
      <c r="J84" s="13"/>
      <c r="K84" s="2"/>
      <c r="L84" s="13"/>
      <c r="M84" s="2"/>
      <c r="N84" s="13"/>
      <c r="O84" s="2"/>
      <c r="P84" s="13">
        <f>SUM(Personal[[#This Row],[January]:[December]])</f>
        <v>75</v>
      </c>
      <c r="Q84" s="2"/>
    </row>
    <row r="85" spans="1:17" ht="15.95" customHeight="1">
      <c r="B85" s="36"/>
      <c r="C85" s="5" t="s">
        <v>110</v>
      </c>
      <c r="D85" s="13"/>
      <c r="E85" s="2"/>
      <c r="F85" s="13"/>
      <c r="G85" s="2"/>
      <c r="H85" s="13"/>
      <c r="I85" s="2"/>
      <c r="J85" s="13"/>
      <c r="K85" s="2"/>
      <c r="L85" s="13"/>
      <c r="M85" s="2"/>
      <c r="N85" s="13"/>
      <c r="O85" s="2"/>
      <c r="P85" s="13">
        <f>SUM(Personal[[#This Row],[January]:[December]])</f>
        <v>0</v>
      </c>
      <c r="Q85" s="12"/>
    </row>
    <row r="86" spans="1:17" ht="15.95" customHeight="1">
      <c r="B86" s="36"/>
      <c r="C86" s="5" t="s">
        <v>111</v>
      </c>
      <c r="D86" s="13"/>
      <c r="E86" s="2"/>
      <c r="F86" s="13"/>
      <c r="G86" s="2"/>
      <c r="H86" s="13"/>
      <c r="I86" s="2"/>
      <c r="J86" s="13"/>
      <c r="K86" s="2"/>
      <c r="L86" s="13"/>
      <c r="M86" s="2"/>
      <c r="N86" s="13"/>
      <c r="O86" s="2"/>
      <c r="P86" s="13">
        <f>SUM(Personal[[#This Row],[January]:[December]])</f>
        <v>0</v>
      </c>
      <c r="Q86" s="2"/>
    </row>
    <row r="87" spans="1:17" ht="21" customHeight="1" thickBot="1">
      <c r="B87" s="36"/>
      <c r="C87" s="59" t="s">
        <v>44</v>
      </c>
      <c r="D87" s="60">
        <f>SUBTOTAL(109,Personal[January])</f>
        <v>25</v>
      </c>
      <c r="E87" s="57">
        <f>SUBTOTAL(109,Personal[February])</f>
        <v>60</v>
      </c>
      <c r="F87" s="60">
        <f>SUBTOTAL(109,Personal[March])</f>
        <v>54</v>
      </c>
      <c r="G87" s="57">
        <f>SUBTOTAL(109,Personal[April])</f>
        <v>0</v>
      </c>
      <c r="H87" s="60">
        <f>SUBTOTAL(109,Personal[May])</f>
        <v>0</v>
      </c>
      <c r="I87" s="57">
        <f>SUBTOTAL(109,Personal[June])</f>
        <v>0</v>
      </c>
      <c r="J87" s="60">
        <f>SUBTOTAL(109,Personal[July])</f>
        <v>0</v>
      </c>
      <c r="K87" s="57">
        <f>SUBTOTAL(109,Personal[August])</f>
        <v>0</v>
      </c>
      <c r="L87" s="60">
        <f>SUBTOTAL(109,Personal[September])</f>
        <v>0</v>
      </c>
      <c r="M87" s="57">
        <f>SUBTOTAL(109,Personal[October])</f>
        <v>0</v>
      </c>
      <c r="N87" s="60">
        <f>SUBTOTAL(109,Personal[November])</f>
        <v>0</v>
      </c>
      <c r="O87" s="57">
        <f>SUBTOTAL(109,Personal[December])</f>
        <v>0</v>
      </c>
      <c r="P87" s="60">
        <f>SUBTOTAL(109,Personal[Year])</f>
        <v>139</v>
      </c>
      <c r="Q87" s="58"/>
    </row>
    <row r="88" spans="1:17" ht="20.100000000000001" customHeight="1" thickTop="1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7" ht="21" customHeight="1">
      <c r="A89" s="65" t="s">
        <v>112</v>
      </c>
      <c r="B89" s="35"/>
      <c r="C89" s="22" t="s">
        <v>113</v>
      </c>
      <c r="D89" s="46" t="s">
        <v>27</v>
      </c>
      <c r="E89" s="45" t="s">
        <v>28</v>
      </c>
      <c r="F89" s="46" t="s">
        <v>29</v>
      </c>
      <c r="G89" s="45" t="s">
        <v>30</v>
      </c>
      <c r="H89" s="46" t="s">
        <v>31</v>
      </c>
      <c r="I89" s="45" t="s">
        <v>32</v>
      </c>
      <c r="J89" s="46" t="s">
        <v>33</v>
      </c>
      <c r="K89" s="45" t="s">
        <v>34</v>
      </c>
      <c r="L89" s="46" t="s">
        <v>35</v>
      </c>
      <c r="M89" s="45" t="s">
        <v>36</v>
      </c>
      <c r="N89" s="46" t="s">
        <v>37</v>
      </c>
      <c r="O89" s="45" t="s">
        <v>38</v>
      </c>
      <c r="P89" s="46" t="s">
        <v>39</v>
      </c>
      <c r="Q89" s="45" t="s">
        <v>40</v>
      </c>
    </row>
    <row r="90" spans="1:17" ht="15.95" customHeight="1">
      <c r="B90" s="35"/>
      <c r="C90" s="5" t="s">
        <v>114</v>
      </c>
      <c r="D90" s="14">
        <v>25</v>
      </c>
      <c r="E90" s="2">
        <v>25</v>
      </c>
      <c r="F90" s="14">
        <v>25</v>
      </c>
      <c r="G90" s="2"/>
      <c r="H90" s="14"/>
      <c r="I90" s="2"/>
      <c r="J90" s="14"/>
      <c r="K90" s="2"/>
      <c r="L90" s="14"/>
      <c r="M90" s="2"/>
      <c r="N90" s="14"/>
      <c r="O90" s="2"/>
      <c r="P90" s="14">
        <f>SUM(Financial[[#This Row],[January]:[December]])</f>
        <v>75</v>
      </c>
      <c r="Q90" s="2"/>
    </row>
    <row r="91" spans="1:17" ht="15.95" customHeight="1">
      <c r="B91" s="35"/>
      <c r="C91" s="5" t="s">
        <v>115</v>
      </c>
      <c r="D91" s="14">
        <v>45</v>
      </c>
      <c r="E91" s="2">
        <v>45</v>
      </c>
      <c r="F91" s="14">
        <v>45</v>
      </c>
      <c r="G91" s="2"/>
      <c r="H91" s="14"/>
      <c r="I91" s="2"/>
      <c r="J91" s="14"/>
      <c r="K91" s="2"/>
      <c r="L91" s="14"/>
      <c r="M91" s="2"/>
      <c r="N91" s="14"/>
      <c r="O91" s="2"/>
      <c r="P91" s="14">
        <f>SUM(Financial[[#This Row],[January]:[December]])</f>
        <v>135</v>
      </c>
      <c r="Q91" s="12"/>
    </row>
    <row r="92" spans="1:17" ht="15.95" customHeight="1">
      <c r="B92" s="35"/>
      <c r="C92" s="5" t="s">
        <v>116</v>
      </c>
      <c r="D92" s="14">
        <v>75</v>
      </c>
      <c r="E92" s="2">
        <v>75</v>
      </c>
      <c r="F92" s="14">
        <v>75</v>
      </c>
      <c r="G92" s="2"/>
      <c r="H92" s="14"/>
      <c r="I92" s="2"/>
      <c r="J92" s="14"/>
      <c r="K92" s="2"/>
      <c r="L92" s="14"/>
      <c r="M92" s="2"/>
      <c r="N92" s="14"/>
      <c r="O92" s="2"/>
      <c r="P92" s="14">
        <f>SUM(Financial[[#This Row],[January]:[December]])</f>
        <v>225</v>
      </c>
      <c r="Q92" s="2"/>
    </row>
    <row r="93" spans="1:17" ht="15.95" customHeight="1">
      <c r="B93" s="35"/>
      <c r="C93" s="5" t="s">
        <v>117</v>
      </c>
      <c r="D93" s="14"/>
      <c r="E93" s="2"/>
      <c r="F93" s="14"/>
      <c r="G93" s="2"/>
      <c r="H93" s="14"/>
      <c r="I93" s="2"/>
      <c r="J93" s="14"/>
      <c r="K93" s="2"/>
      <c r="L93" s="14"/>
      <c r="M93" s="2"/>
      <c r="N93" s="14"/>
      <c r="O93" s="2"/>
      <c r="P93" s="14">
        <f>SUM(Financial[[#This Row],[January]:[December]])</f>
        <v>0</v>
      </c>
      <c r="Q93" s="12"/>
    </row>
    <row r="94" spans="1:17" ht="15.95" customHeight="1">
      <c r="B94" s="35"/>
      <c r="C94" s="5" t="s">
        <v>118</v>
      </c>
      <c r="D94" s="14">
        <v>32</v>
      </c>
      <c r="E94" s="2">
        <v>34</v>
      </c>
      <c r="F94" s="14">
        <v>1</v>
      </c>
      <c r="G94" s="2"/>
      <c r="H94" s="14"/>
      <c r="I94" s="2"/>
      <c r="J94" s="14"/>
      <c r="K94" s="2"/>
      <c r="L94" s="14"/>
      <c r="M94" s="2"/>
      <c r="N94" s="14"/>
      <c r="O94" s="2"/>
      <c r="P94" s="14">
        <f>SUM(Financial[[#This Row],[January]:[December]])</f>
        <v>67</v>
      </c>
      <c r="Q94" s="2"/>
    </row>
    <row r="95" spans="1:17" ht="21" customHeight="1" thickBot="1">
      <c r="B95" s="35"/>
      <c r="C95" s="55" t="s">
        <v>44</v>
      </c>
      <c r="D95" s="56">
        <f>SUBTOTAL(109,Financial[January])</f>
        <v>177</v>
      </c>
      <c r="E95" s="57">
        <f>SUBTOTAL(109,Financial[February])</f>
        <v>179</v>
      </c>
      <c r="F95" s="56">
        <f>SUBTOTAL(109,Financial[March])</f>
        <v>146</v>
      </c>
      <c r="G95" s="57">
        <f>SUBTOTAL(109,Financial[April])</f>
        <v>0</v>
      </c>
      <c r="H95" s="56">
        <f>SUBTOTAL(109,Financial[May])</f>
        <v>0</v>
      </c>
      <c r="I95" s="57">
        <f>SUBTOTAL(109,Financial[June])</f>
        <v>0</v>
      </c>
      <c r="J95" s="56">
        <f>SUBTOTAL(109,Financial[July])</f>
        <v>0</v>
      </c>
      <c r="K95" s="57">
        <f>SUBTOTAL(109,Financial[August])</f>
        <v>0</v>
      </c>
      <c r="L95" s="56">
        <f>SUBTOTAL(109,Financial[September])</f>
        <v>0</v>
      </c>
      <c r="M95" s="57">
        <f>SUBTOTAL(109,Financial[October])</f>
        <v>0</v>
      </c>
      <c r="N95" s="56">
        <f>SUBTOTAL(109,Financial[November])</f>
        <v>0</v>
      </c>
      <c r="O95" s="57">
        <f>SUBTOTAL(109,Financial[December])</f>
        <v>0</v>
      </c>
      <c r="P95" s="56">
        <f>SUBTOTAL(109,Financial[Year])</f>
        <v>502</v>
      </c>
      <c r="Q95" s="58"/>
    </row>
    <row r="96" spans="1:17" ht="20.100000000000001" customHeight="1" thickTop="1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</row>
    <row r="97" spans="1:17" ht="21" customHeight="1">
      <c r="A97" s="65" t="s">
        <v>119</v>
      </c>
      <c r="B97" s="35"/>
      <c r="C97" s="22" t="s">
        <v>120</v>
      </c>
      <c r="D97" s="46" t="s">
        <v>27</v>
      </c>
      <c r="E97" s="44" t="s">
        <v>28</v>
      </c>
      <c r="F97" s="46" t="s">
        <v>29</v>
      </c>
      <c r="G97" s="44" t="s">
        <v>30</v>
      </c>
      <c r="H97" s="46" t="s">
        <v>31</v>
      </c>
      <c r="I97" s="45" t="s">
        <v>32</v>
      </c>
      <c r="J97" s="46" t="s">
        <v>33</v>
      </c>
      <c r="K97" s="45" t="s">
        <v>34</v>
      </c>
      <c r="L97" s="46" t="s">
        <v>35</v>
      </c>
      <c r="M97" s="45" t="s">
        <v>36</v>
      </c>
      <c r="N97" s="46" t="s">
        <v>37</v>
      </c>
      <c r="O97" s="45" t="s">
        <v>38</v>
      </c>
      <c r="P97" s="46" t="s">
        <v>39</v>
      </c>
      <c r="Q97" s="45" t="s">
        <v>40</v>
      </c>
    </row>
    <row r="98" spans="1:17" ht="15.95" customHeight="1">
      <c r="B98" s="35"/>
      <c r="C98" s="19" t="s">
        <v>121</v>
      </c>
      <c r="D98" s="14"/>
      <c r="E98" s="2"/>
      <c r="F98" s="14"/>
      <c r="G98" s="2"/>
      <c r="H98" s="14"/>
      <c r="I98" s="2"/>
      <c r="J98" s="14"/>
      <c r="K98" s="2"/>
      <c r="L98" s="14"/>
      <c r="M98" s="2"/>
      <c r="N98" s="14"/>
      <c r="O98" s="2"/>
      <c r="P98" s="14">
        <f>SUM(Misc[[#This Row],[January]:[December]])</f>
        <v>0</v>
      </c>
      <c r="Q98" s="2"/>
    </row>
    <row r="99" spans="1:17" ht="15.95" customHeight="1">
      <c r="B99" s="35"/>
      <c r="C99" s="19" t="s">
        <v>121</v>
      </c>
      <c r="D99" s="14"/>
      <c r="E99" s="2"/>
      <c r="F99" s="14"/>
      <c r="G99" s="2"/>
      <c r="H99" s="14"/>
      <c r="I99" s="2"/>
      <c r="J99" s="14"/>
      <c r="K99" s="2"/>
      <c r="L99" s="14"/>
      <c r="M99" s="2"/>
      <c r="N99" s="14"/>
      <c r="O99" s="2"/>
      <c r="P99" s="14">
        <f>SUM(Misc[[#This Row],[January]:[December]])</f>
        <v>0</v>
      </c>
      <c r="Q99" s="12"/>
    </row>
    <row r="100" spans="1:17" ht="15.95" customHeight="1">
      <c r="B100" s="35"/>
      <c r="C100" s="19" t="s">
        <v>121</v>
      </c>
      <c r="D100" s="14"/>
      <c r="E100" s="2"/>
      <c r="F100" s="14"/>
      <c r="G100" s="2"/>
      <c r="H100" s="14"/>
      <c r="I100" s="2"/>
      <c r="J100" s="14"/>
      <c r="K100" s="2"/>
      <c r="L100" s="14"/>
      <c r="M100" s="2"/>
      <c r="N100" s="14"/>
      <c r="O100" s="2"/>
      <c r="P100" s="14">
        <f>SUM(Misc[[#This Row],[January]:[December]])</f>
        <v>0</v>
      </c>
      <c r="Q100" s="2"/>
    </row>
    <row r="101" spans="1:17" ht="15.95" customHeight="1">
      <c r="B101" s="35"/>
      <c r="C101" s="19" t="s">
        <v>121</v>
      </c>
      <c r="D101" s="14"/>
      <c r="E101" s="2"/>
      <c r="F101" s="14"/>
      <c r="G101" s="2"/>
      <c r="H101" s="14"/>
      <c r="I101" s="2"/>
      <c r="J101" s="14"/>
      <c r="K101" s="2"/>
      <c r="L101" s="14"/>
      <c r="M101" s="2"/>
      <c r="N101" s="14"/>
      <c r="O101" s="2"/>
      <c r="P101" s="14">
        <f>SUM(Misc[[#This Row],[January]:[December]])</f>
        <v>0</v>
      </c>
      <c r="Q101" s="12"/>
    </row>
    <row r="102" spans="1:17" ht="15.95" customHeight="1">
      <c r="B102" s="35"/>
      <c r="C102" s="19" t="s">
        <v>121</v>
      </c>
      <c r="D102" s="14"/>
      <c r="E102" s="2"/>
      <c r="F102" s="14"/>
      <c r="G102" s="2"/>
      <c r="H102" s="14"/>
      <c r="I102" s="2"/>
      <c r="J102" s="14"/>
      <c r="K102" s="2"/>
      <c r="L102" s="14"/>
      <c r="M102" s="2"/>
      <c r="N102" s="14"/>
      <c r="O102" s="2"/>
      <c r="P102" s="14">
        <f>SUM(Misc[[#This Row],[January]:[December]])</f>
        <v>0</v>
      </c>
      <c r="Q102" s="2"/>
    </row>
    <row r="103" spans="1:17" ht="21" customHeight="1" thickBot="1">
      <c r="C103" s="55" t="s">
        <v>44</v>
      </c>
      <c r="D103" s="56">
        <f>SUBTOTAL(109,Misc[January])</f>
        <v>0</v>
      </c>
      <c r="E103" s="57">
        <f>SUBTOTAL(109,Misc[February])</f>
        <v>0</v>
      </c>
      <c r="F103" s="56">
        <f>SUBTOTAL(109,Misc[March])</f>
        <v>0</v>
      </c>
      <c r="G103" s="57">
        <f>SUBTOTAL(109,Misc[April])</f>
        <v>0</v>
      </c>
      <c r="H103" s="56">
        <f>SUBTOTAL(109,Misc[May])</f>
        <v>0</v>
      </c>
      <c r="I103" s="57">
        <f>SUBTOTAL(109,Misc[June])</f>
        <v>0</v>
      </c>
      <c r="J103" s="56">
        <f>SUBTOTAL(109,Misc[July])</f>
        <v>0</v>
      </c>
      <c r="K103" s="57">
        <f>SUBTOTAL(109,Misc[August])</f>
        <v>0</v>
      </c>
      <c r="L103" s="56">
        <f>SUBTOTAL(109,Misc[September])</f>
        <v>0</v>
      </c>
      <c r="M103" s="57">
        <f>SUBTOTAL(109,Misc[October])</f>
        <v>0</v>
      </c>
      <c r="N103" s="56">
        <f>SUBTOTAL(109,Misc[November])</f>
        <v>0</v>
      </c>
      <c r="O103" s="57">
        <f>SUBTOTAL(109,Misc[December])</f>
        <v>0</v>
      </c>
      <c r="P103" s="56">
        <f>SUBTOTAL(109,Misc[Year])</f>
        <v>0</v>
      </c>
      <c r="Q103" s="58"/>
    </row>
    <row r="104" spans="1:17" ht="20.100000000000001" customHeight="1" thickTop="1"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</row>
    <row r="105" spans="1:17" ht="21" customHeight="1">
      <c r="A105" s="65" t="s">
        <v>122</v>
      </c>
      <c r="B105" s="25"/>
      <c r="C105" s="27" t="s">
        <v>123</v>
      </c>
      <c r="D105" s="33" t="s">
        <v>12</v>
      </c>
      <c r="E105" s="28" t="s">
        <v>13</v>
      </c>
      <c r="F105" s="33" t="s">
        <v>14</v>
      </c>
      <c r="G105" s="28" t="s">
        <v>15</v>
      </c>
      <c r="H105" s="33" t="s">
        <v>16</v>
      </c>
      <c r="I105" s="28" t="s">
        <v>17</v>
      </c>
      <c r="J105" s="33" t="s">
        <v>18</v>
      </c>
      <c r="K105" s="28" t="s">
        <v>19</v>
      </c>
      <c r="L105" s="33" t="s">
        <v>20</v>
      </c>
      <c r="M105" s="28" t="s">
        <v>21</v>
      </c>
      <c r="N105" s="33" t="s">
        <v>22</v>
      </c>
      <c r="O105" s="28" t="s">
        <v>23</v>
      </c>
      <c r="P105" s="33" t="s">
        <v>24</v>
      </c>
      <c r="Q105" s="68" t="s">
        <v>124</v>
      </c>
    </row>
    <row r="106" spans="1:17" ht="15.95" customHeight="1">
      <c r="B106" s="25"/>
      <c r="C106" s="29" t="s">
        <v>125</v>
      </c>
      <c r="D106" s="31">
        <f>SUM(Misc[[#Totals],[January]],Financial[[#Totals],[January]],Personal[[#Totals],[January]],DuesAndSubscription[[#Totals],[January]],Recreation[[#Totals],[January]],Vacations[[#Totals],[January]],Health[[#Totals],[January]],Entertainment[[#Totals],[January]],Transportation[[#Totals],[January]],Daily[[#Totals],[January]],Home[[#Totals],[January]])</f>
        <v>2687</v>
      </c>
      <c r="E106" s="30">
        <f>SUM(Misc[[#Totals],[February]],Financial[[#Totals],[February]],Personal[[#Totals],[February]],DuesAndSubscription[[#Totals],[February]],Recreation[[#Totals],[February]],Vacations[[#Totals],[February]],Health[[#Totals],[February]],Entertainment[[#Totals],[February]],Transportation[[#Totals],[February]],Daily[[#Totals],[February]],Home[[#Totals],[February]])</f>
        <v>3429</v>
      </c>
      <c r="F106" s="31">
        <f>SUM(Misc[[#Totals],[March]],Financial[[#Totals],[March]],Personal[[#Totals],[March]],DuesAndSubscription[[#Totals],[March]],Recreation[[#Totals],[March]],Vacations[[#Totals],[March]],Health[[#Totals],[March]],Entertainment[[#Totals],[March]],Transportation[[#Totals],[March]],Daily[[#Totals],[March]],Home[[#Totals],[March]])</f>
        <v>2718</v>
      </c>
      <c r="G106" s="30">
        <f>SUM(Misc[[#Totals],[April]],Financial[[#Totals],[April]],Personal[[#Totals],[April]],DuesAndSubscription[[#Totals],[April]],Recreation[[#Totals],[April]],Vacations[[#Totals],[April]],Health[[#Totals],[April]],Entertainment[[#Totals],[April]],Transportation[[#Totals],[April]],Daily[[#Totals],[April]],Home[[#Totals],[April]])</f>
        <v>0</v>
      </c>
      <c r="H106" s="31">
        <f>SUM(Misc[[#Totals],[May]],Financial[[#Totals],[May]],Personal[[#Totals],[May]],DuesAndSubscription[[#Totals],[May]],Recreation[[#Totals],[May]],Vacations[[#Totals],[May]],Health[[#Totals],[May]],Entertainment[[#Totals],[May]],Transportation[[#Totals],[May]],Daily[[#Totals],[May]],Home[[#Totals],[May]])</f>
        <v>0</v>
      </c>
      <c r="I106" s="30">
        <f>SUM(Misc[[#Totals],[June]],Financial[[#Totals],[June]],Personal[[#Totals],[June]],DuesAndSubscription[[#Totals],[June]],Recreation[[#Totals],[June]],Vacations[[#Totals],[June]],Health[[#Totals],[June]],Entertainment[[#Totals],[June]],Transportation[[#Totals],[June]],Daily[[#Totals],[June]],Home[[#Totals],[June]])</f>
        <v>0</v>
      </c>
      <c r="J106" s="31">
        <f>SUM(Misc[[#Totals],[July]],Financial[[#Totals],[July]],Personal[[#Totals],[July]],DuesAndSubscription[[#Totals],[July]],Recreation[[#Totals],[July]],Vacations[[#Totals],[July]],Health[[#Totals],[July]],Entertainment[[#Totals],[July]],Transportation[[#Totals],[July]],Daily[[#Totals],[July]],Home[[#Totals],[July]])</f>
        <v>0</v>
      </c>
      <c r="K106" s="30">
        <f>SUM(Misc[[#Totals],[August]],Financial[[#Totals],[August]],Personal[[#Totals],[August]],DuesAndSubscription[[#Totals],[August]],Recreation[[#Totals],[August]],Vacations[[#Totals],[August]],Health[[#Totals],[August]],Entertainment[[#Totals],[August]],Transportation[[#Totals],[August]],Daily[[#Totals],[August]],Home[[#Totals],[August]])</f>
        <v>0</v>
      </c>
      <c r="L106" s="31">
        <f>SUM(Misc[[#Totals],[September]],Financial[[#Totals],[September]],Personal[[#Totals],[September]],DuesAndSubscription[[#Totals],[September]],Recreation[[#Totals],[September]],Vacations[[#Totals],[September]],Health[[#Totals],[September]],Entertainment[[#Totals],[September]],Transportation[[#Totals],[September]],Daily[[#Totals],[September]],Home[[#Totals],[September]])</f>
        <v>0</v>
      </c>
      <c r="M106" s="30">
        <f>SUM(Misc[[#Totals],[October]],Financial[[#Totals],[October]],Personal[[#Totals],[October]],DuesAndSubscription[[#Totals],[October]],Recreation[[#Totals],[October]],Vacations[[#Totals],[October]],Health[[#Totals],[October]],Entertainment[[#Totals],[October]],Transportation[[#Totals],[October]],Daily[[#Totals],[October]],Home[[#Totals],[October]])</f>
        <v>0</v>
      </c>
      <c r="N106" s="31">
        <f>SUM(Misc[[#Totals],[November]],Financial[[#Totals],[November]],Personal[[#Totals],[November]],DuesAndSubscription[[#Totals],[November]],Recreation[[#Totals],[November]],Vacations[[#Totals],[November]],Health[[#Totals],[November]],Entertainment[[#Totals],[November]],Transportation[[#Totals],[November]],Daily[[#Totals],[November]],Home[[#Totals],[November]])</f>
        <v>0</v>
      </c>
      <c r="O106" s="30">
        <f>SUM(Misc[[#Totals],[December]],Financial[[#Totals],[December]],Personal[[#Totals],[December]],DuesAndSubscription[[#Totals],[December]],Recreation[[#Totals],[December]],Vacations[[#Totals],[December]],Health[[#Totals],[December]],Entertainment[[#Totals],[December]],Transportation[[#Totals],[December]],Daily[[#Totals],[December]],Home[[#Totals],[December]])</f>
        <v>0</v>
      </c>
      <c r="P106" s="31">
        <f>SUM(Misc[[#Totals],[Year]],Financial[[#Totals],[Year]],Personal[[#Totals],[Year]],DuesAndSubscription[[#Totals],[Year]],Recreation[[#Totals],[Year]],Vacations[[#Totals],[Year]],Health[[#Totals],[Year]],Entertainment[[#Totals],[Year]],Transportation[[#Totals],[Year]],Daily[[#Totals],[Year]],Home[[#Totals],[Year]])</f>
        <v>8834</v>
      </c>
      <c r="Q106" s="30"/>
    </row>
    <row r="107" spans="1:17" ht="15.95" customHeight="1">
      <c r="B107" s="25"/>
      <c r="C107" s="29" t="s">
        <v>126</v>
      </c>
      <c r="D107" s="31">
        <f>Income[[#Totals],[January]]-D106</f>
        <v>1036</v>
      </c>
      <c r="E107" s="30">
        <f>Income[[#Totals],[February]]-E106</f>
        <v>127</v>
      </c>
      <c r="F107" s="31">
        <f>Income[[#Totals],[March]]-F106</f>
        <v>926</v>
      </c>
      <c r="G107" s="30">
        <f>Income[[#Totals],[April]]-G106</f>
        <v>0</v>
      </c>
      <c r="H107" s="31">
        <f>Income[[#Totals],[May]]-H106</f>
        <v>0</v>
      </c>
      <c r="I107" s="30">
        <f>Income[[#Totals],[June]]-I106</f>
        <v>0</v>
      </c>
      <c r="J107" s="31">
        <f>Income[[#Totals],[July]]-J106</f>
        <v>0</v>
      </c>
      <c r="K107" s="30">
        <f>Income[[#Totals],[August]]-K106</f>
        <v>0</v>
      </c>
      <c r="L107" s="31">
        <f>Income[[#Totals],[September]]-L106</f>
        <v>0</v>
      </c>
      <c r="M107" s="30">
        <f>Income[[#Totals],[October]]-M106</f>
        <v>0</v>
      </c>
      <c r="N107" s="31">
        <f>Income[[#Totals],[November]]-N106</f>
        <v>0</v>
      </c>
      <c r="O107" s="30">
        <f>Income[[#Totals],[December]]-O106</f>
        <v>0</v>
      </c>
      <c r="P107" s="31">
        <f>Income[[#Totals],[Year]]-P106</f>
        <v>2089</v>
      </c>
      <c r="Q107" s="30"/>
    </row>
    <row r="108" spans="1:17" ht="8.1" customHeight="1">
      <c r="B108" s="25"/>
      <c r="C108" s="32"/>
      <c r="D108" s="34"/>
      <c r="E108" s="32"/>
      <c r="F108" s="34"/>
      <c r="G108" s="32"/>
      <c r="H108" s="34"/>
      <c r="I108" s="32"/>
      <c r="J108" s="34"/>
      <c r="K108" s="32"/>
      <c r="L108" s="34"/>
      <c r="M108" s="32"/>
      <c r="N108" s="34"/>
      <c r="O108" s="32"/>
      <c r="P108" s="34"/>
      <c r="Q108" s="32"/>
    </row>
  </sheetData>
  <mergeCells count="12">
    <mergeCell ref="B2:D2"/>
    <mergeCell ref="E2:P2"/>
    <mergeCell ref="C28:Q28"/>
    <mergeCell ref="C104:Q104"/>
    <mergeCell ref="C96:Q96"/>
    <mergeCell ref="C88:Q88"/>
    <mergeCell ref="C80:Q80"/>
    <mergeCell ref="C70:Q70"/>
    <mergeCell ref="C63:Q63"/>
    <mergeCell ref="C54:Q54"/>
    <mergeCell ref="C44:Q44"/>
    <mergeCell ref="C37:Q37"/>
  </mergeCells>
  <conditionalFormatting sqref="D107:P107">
    <cfRule type="cellIs" dxfId="308" priority="1" operator="lessThan">
      <formula>0</formula>
    </cfRule>
  </conditionalFormatting>
  <printOptions horizontalCentered="1"/>
  <pageMargins left="0.4" right="0.4" top="0.4" bottom="0.4" header="0.3" footer="0.3"/>
  <pageSetup scale="72" fitToHeight="0" orientation="landscape" r:id="rId1"/>
  <headerFooter differentFirst="1">
    <oddFooter>Page &amp;P of &amp;N</oddFooter>
  </headerFooter>
  <ignoredErrors>
    <ignoredError sqref="D106:P106" calculatedColumn="1"/>
    <ignoredError sqref="P6:P8 P13:P17 P21:P26 P30:P35 P39:P42 P46:P52 P56:P61 P65:P68 P72:P78 P82:P86 P90:P94 P98:P102" emptyCellReference="1"/>
  </ignoredErrors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00000000-0003-0000-0100-00000D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BUDGET'!D14:O14</xm:f>
              <xm:sqref>Q14</xm:sqref>
            </x14:sparkline>
            <x14:sparkline>
              <xm:f>'PERSONAL BUDGET'!D15:O15</xm:f>
              <xm:sqref>Q15</xm:sqref>
            </x14:sparkline>
            <x14:sparkline>
              <xm:f>'PERSONAL BUDGET'!D16:O16</xm:f>
              <xm:sqref>Q16</xm:sqref>
            </x14:sparkline>
            <x14:sparkline>
              <xm:f>'PERSONAL BUDGET'!D17:O17</xm:f>
              <xm:sqref>Q17</xm:sqref>
            </x14:sparkline>
            <x14:sparkline>
              <xm:f>'PERSONAL BUDGET'!D18:O18</xm:f>
              <xm:sqref>Q18</xm:sqref>
            </x14:sparkline>
          </x14:sparklines>
        </x14:sparklineGroup>
        <x14:sparklineGroup displayEmptyCellsAs="gap" high="1" low="1" xr2:uid="{00000000-0003-0000-0100-00000C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BUDGET'!D6:O6</xm:f>
              <xm:sqref>Q6</xm:sqref>
            </x14:sparkline>
            <x14:sparkline>
              <xm:f>'PERSONAL BUDGET'!D7:O7</xm:f>
              <xm:sqref>Q7</xm:sqref>
            </x14:sparkline>
            <x14:sparkline>
              <xm:f>'PERSONAL BUDGET'!D8:O8</xm:f>
              <xm:sqref>Q8</xm:sqref>
            </x14:sparkline>
            <x14:sparkline>
              <xm:f>'PERSONAL BUDGET'!D9:O9</xm:f>
              <xm:sqref>Q9</xm:sqref>
            </x14:sparkline>
          </x14:sparklines>
        </x14:sparklineGroup>
        <x14:sparklineGroup displayEmptyCellsAs="gap" high="1" low="1" xr2:uid="{00000000-0003-0000-0100-00000B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BUDGET'!D13:O13</xm:f>
              <xm:sqref>Q13</xm:sqref>
            </x14:sparkline>
          </x14:sparklines>
        </x14:sparklineGroup>
        <x14:sparklineGroup displayEmptyCellsAs="gap" high="1" low="1" xr2:uid="{00000000-0003-0000-0100-00000A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BUDGET'!D21:O21</xm:f>
              <xm:sqref>Q21</xm:sqref>
            </x14:sparkline>
            <x14:sparkline>
              <xm:f>'PERSONAL BUDGET'!D22:O22</xm:f>
              <xm:sqref>Q22</xm:sqref>
            </x14:sparkline>
            <x14:sparkline>
              <xm:f>'PERSONAL BUDGET'!D23:O23</xm:f>
              <xm:sqref>Q23</xm:sqref>
            </x14:sparkline>
            <x14:sparkline>
              <xm:f>'PERSONAL BUDGET'!D24:O24</xm:f>
              <xm:sqref>Q24</xm:sqref>
            </x14:sparkline>
            <x14:sparkline>
              <xm:f>'PERSONAL BUDGET'!D25:O25</xm:f>
              <xm:sqref>Q25</xm:sqref>
            </x14:sparkline>
            <x14:sparkline>
              <xm:f>'PERSONAL BUDGET'!D26:O26</xm:f>
              <xm:sqref>Q26</xm:sqref>
            </x14:sparkline>
            <x14:sparkline>
              <xm:f>'PERSONAL BUDGET'!D27:O27</xm:f>
              <xm:sqref>Q27</xm:sqref>
            </x14:sparkline>
          </x14:sparklines>
        </x14:sparklineGroup>
        <x14:sparklineGroup displayEmptyCellsAs="gap" high="1" low="1" xr2:uid="{00000000-0003-0000-0100-000009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BUDGET'!D30:O30</xm:f>
              <xm:sqref>Q30</xm:sqref>
            </x14:sparkline>
            <x14:sparkline>
              <xm:f>'PERSONAL BUDGET'!D31:O31</xm:f>
              <xm:sqref>Q31</xm:sqref>
            </x14:sparkline>
            <x14:sparkline>
              <xm:f>'PERSONAL BUDGET'!D32:O32</xm:f>
              <xm:sqref>Q32</xm:sqref>
            </x14:sparkline>
            <x14:sparkline>
              <xm:f>'PERSONAL BUDGET'!D33:O33</xm:f>
              <xm:sqref>Q33</xm:sqref>
            </x14:sparkline>
            <x14:sparkline>
              <xm:f>'PERSONAL BUDGET'!D34:O34</xm:f>
              <xm:sqref>Q34</xm:sqref>
            </x14:sparkline>
            <x14:sparkline>
              <xm:f>'PERSONAL BUDGET'!D35:O35</xm:f>
              <xm:sqref>Q35</xm:sqref>
            </x14:sparkline>
            <x14:sparkline>
              <xm:f>'PERSONAL BUDGET'!D36:O36</xm:f>
              <xm:sqref>Q36</xm:sqref>
            </x14:sparkline>
          </x14:sparklines>
        </x14:sparklineGroup>
        <x14:sparklineGroup displayEmptyCellsAs="gap" high="1" low="1" xr2:uid="{00000000-0003-0000-0100-000008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BUDGET'!D39:O39</xm:f>
              <xm:sqref>Q39</xm:sqref>
            </x14:sparkline>
            <x14:sparkline>
              <xm:f>'PERSONAL BUDGET'!D40:O40</xm:f>
              <xm:sqref>Q40</xm:sqref>
            </x14:sparkline>
            <x14:sparkline>
              <xm:f>'PERSONAL BUDGET'!D41:O41</xm:f>
              <xm:sqref>Q41</xm:sqref>
            </x14:sparkline>
            <x14:sparkline>
              <xm:f>'PERSONAL BUDGET'!D42:O42</xm:f>
              <xm:sqref>Q42</xm:sqref>
            </x14:sparkline>
            <x14:sparkline>
              <xm:f>'PERSONAL BUDGET'!D43:O43</xm:f>
              <xm:sqref>Q43</xm:sqref>
            </x14:sparkline>
          </x14:sparklines>
        </x14:sparklineGroup>
        <x14:sparklineGroup displayEmptyCellsAs="gap" high="1" low="1" xr2:uid="{00000000-0003-0000-0100-000007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BUDGET'!D46:O46</xm:f>
              <xm:sqref>Q46</xm:sqref>
            </x14:sparkline>
            <x14:sparkline>
              <xm:f>'PERSONAL BUDGET'!D47:O47</xm:f>
              <xm:sqref>Q47</xm:sqref>
            </x14:sparkline>
            <x14:sparkline>
              <xm:f>'PERSONAL BUDGET'!D48:O48</xm:f>
              <xm:sqref>Q48</xm:sqref>
            </x14:sparkline>
            <x14:sparkline>
              <xm:f>'PERSONAL BUDGET'!D49:O49</xm:f>
              <xm:sqref>Q49</xm:sqref>
            </x14:sparkline>
            <x14:sparkline>
              <xm:f>'PERSONAL BUDGET'!D50:O50</xm:f>
              <xm:sqref>Q50</xm:sqref>
            </x14:sparkline>
            <x14:sparkline>
              <xm:f>'PERSONAL BUDGET'!D51:O51</xm:f>
              <xm:sqref>Q51</xm:sqref>
            </x14:sparkline>
            <x14:sparkline>
              <xm:f>'PERSONAL BUDGET'!D52:O52</xm:f>
              <xm:sqref>Q52</xm:sqref>
            </x14:sparkline>
            <x14:sparkline>
              <xm:f>'PERSONAL BUDGET'!D53:O53</xm:f>
              <xm:sqref>Q53</xm:sqref>
            </x14:sparkline>
          </x14:sparklines>
        </x14:sparklineGroup>
        <x14:sparklineGroup displayEmptyCellsAs="gap" high="1" low="1" xr2:uid="{00000000-0003-0000-0100-000006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BUDGET'!D56:O56</xm:f>
              <xm:sqref>Q56</xm:sqref>
            </x14:sparkline>
            <x14:sparkline>
              <xm:f>'PERSONAL BUDGET'!D57:O57</xm:f>
              <xm:sqref>Q57</xm:sqref>
            </x14:sparkline>
            <x14:sparkline>
              <xm:f>'PERSONAL BUDGET'!D58:O58</xm:f>
              <xm:sqref>Q58</xm:sqref>
            </x14:sparkline>
            <x14:sparkline>
              <xm:f>'PERSONAL BUDGET'!D59:O59</xm:f>
              <xm:sqref>Q59</xm:sqref>
            </x14:sparkline>
            <x14:sparkline>
              <xm:f>'PERSONAL BUDGET'!D60:O60</xm:f>
              <xm:sqref>Q60</xm:sqref>
            </x14:sparkline>
            <x14:sparkline>
              <xm:f>'PERSONAL BUDGET'!D61:O61</xm:f>
              <xm:sqref>Q61</xm:sqref>
            </x14:sparkline>
            <x14:sparkline>
              <xm:f>'PERSONAL BUDGET'!D62:O62</xm:f>
              <xm:sqref>Q62</xm:sqref>
            </x14:sparkline>
          </x14:sparklines>
        </x14:sparklineGroup>
        <x14:sparklineGroup displayEmptyCellsAs="gap" high="1" low="1" xr2:uid="{00000000-0003-0000-0100-000005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BUDGET'!D65:O65</xm:f>
              <xm:sqref>Q65</xm:sqref>
            </x14:sparkline>
            <x14:sparkline>
              <xm:f>'PERSONAL BUDGET'!D66:O66</xm:f>
              <xm:sqref>Q66</xm:sqref>
            </x14:sparkline>
            <x14:sparkline>
              <xm:f>'PERSONAL BUDGET'!D67:O67</xm:f>
              <xm:sqref>Q67</xm:sqref>
            </x14:sparkline>
            <x14:sparkline>
              <xm:f>'PERSONAL BUDGET'!D68:O68</xm:f>
              <xm:sqref>Q68</xm:sqref>
            </x14:sparkline>
            <x14:sparkline>
              <xm:f>'PERSONAL BUDGET'!D69:O69</xm:f>
              <xm:sqref>Q69</xm:sqref>
            </x14:sparkline>
          </x14:sparklines>
        </x14:sparklineGroup>
        <x14:sparklineGroup displayEmptyCellsAs="gap" high="1" low="1" xr2:uid="{00000000-0003-0000-0100-000004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BUDGET'!D72:O72</xm:f>
              <xm:sqref>Q72</xm:sqref>
            </x14:sparkline>
            <x14:sparkline>
              <xm:f>'PERSONAL BUDGET'!D73:O73</xm:f>
              <xm:sqref>Q73</xm:sqref>
            </x14:sparkline>
            <x14:sparkline>
              <xm:f>'PERSONAL BUDGET'!D74:O74</xm:f>
              <xm:sqref>Q74</xm:sqref>
            </x14:sparkline>
            <x14:sparkline>
              <xm:f>'PERSONAL BUDGET'!D75:O75</xm:f>
              <xm:sqref>Q75</xm:sqref>
            </x14:sparkline>
            <x14:sparkline>
              <xm:f>'PERSONAL BUDGET'!D76:O76</xm:f>
              <xm:sqref>Q76</xm:sqref>
            </x14:sparkline>
            <x14:sparkline>
              <xm:f>'PERSONAL BUDGET'!D77:O77</xm:f>
              <xm:sqref>Q77</xm:sqref>
            </x14:sparkline>
            <x14:sparkline>
              <xm:f>'PERSONAL BUDGET'!D78:O78</xm:f>
              <xm:sqref>Q78</xm:sqref>
            </x14:sparkline>
            <x14:sparkline>
              <xm:f>'PERSONAL BUDGET'!D79:O79</xm:f>
              <xm:sqref>Q79</xm:sqref>
            </x14:sparkline>
          </x14:sparklines>
        </x14:sparklineGroup>
        <x14:sparklineGroup displayEmptyCellsAs="gap" high="1" low="1" xr2:uid="{00000000-0003-0000-0100-000003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BUDGET'!D82:O82</xm:f>
              <xm:sqref>Q82</xm:sqref>
            </x14:sparkline>
            <x14:sparkline>
              <xm:f>'PERSONAL BUDGET'!D83:O83</xm:f>
              <xm:sqref>Q83</xm:sqref>
            </x14:sparkline>
            <x14:sparkline>
              <xm:f>'PERSONAL BUDGET'!D84:O84</xm:f>
              <xm:sqref>Q84</xm:sqref>
            </x14:sparkline>
            <x14:sparkline>
              <xm:f>'PERSONAL BUDGET'!D85:O85</xm:f>
              <xm:sqref>Q85</xm:sqref>
            </x14:sparkline>
            <x14:sparkline>
              <xm:f>'PERSONAL BUDGET'!D86:O86</xm:f>
              <xm:sqref>Q86</xm:sqref>
            </x14:sparkline>
            <x14:sparkline>
              <xm:f>'PERSONAL BUDGET'!D87:O87</xm:f>
              <xm:sqref>Q87</xm:sqref>
            </x14:sparkline>
          </x14:sparklines>
        </x14:sparklineGroup>
        <x14:sparklineGroup displayEmptyCellsAs="gap" high="1" low="1" xr2:uid="{00000000-0003-0000-0100-000002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BUDGET'!D90:O90</xm:f>
              <xm:sqref>Q90</xm:sqref>
            </x14:sparkline>
            <x14:sparkline>
              <xm:f>'PERSONAL BUDGET'!D91:O91</xm:f>
              <xm:sqref>Q91</xm:sqref>
            </x14:sparkline>
            <x14:sparkline>
              <xm:f>'PERSONAL BUDGET'!D92:O92</xm:f>
              <xm:sqref>Q92</xm:sqref>
            </x14:sparkline>
            <x14:sparkline>
              <xm:f>'PERSONAL BUDGET'!D93:O93</xm:f>
              <xm:sqref>Q93</xm:sqref>
            </x14:sparkline>
            <x14:sparkline>
              <xm:f>'PERSONAL BUDGET'!D94:O94</xm:f>
              <xm:sqref>Q94</xm:sqref>
            </x14:sparkline>
            <x14:sparkline>
              <xm:f>'PERSONAL BUDGET'!D95:O95</xm:f>
              <xm:sqref>Q95</xm:sqref>
            </x14:sparkline>
          </x14:sparklines>
        </x14:sparklineGroup>
        <x14:sparklineGroup displayEmptyCellsAs="gap" high="1" low="1" xr2:uid="{00000000-0003-0000-0100-000001000000}">
          <x14:colorSeries theme="0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BUDGET'!D106:O106</xm:f>
              <xm:sqref>Q106</xm:sqref>
            </x14:sparkline>
            <x14:sparkline>
              <xm:f>'PERSONAL BUDGET'!D107:O107</xm:f>
              <xm:sqref>Q107</xm:sqref>
            </x14:sparkline>
          </x14:sparklines>
        </x14:sparklineGroup>
        <x14:sparklineGroup displayEmptyCellsAs="gap" high="1" low="1" xr2:uid="{00000000-0003-0000-0100-00000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'PERSONAL BUDGET'!D98:O98</xm:f>
              <xm:sqref>Q98</xm:sqref>
            </x14:sparkline>
            <x14:sparkline>
              <xm:f>'PERSONAL BUDGET'!D99:O99</xm:f>
              <xm:sqref>Q99</xm:sqref>
            </x14:sparkline>
            <x14:sparkline>
              <xm:f>'PERSONAL BUDGET'!D100:O100</xm:f>
              <xm:sqref>Q100</xm:sqref>
            </x14:sparkline>
            <x14:sparkline>
              <xm:f>'PERSONAL BUDGET'!D101:O101</xm:f>
              <xm:sqref>Q101</xm:sqref>
            </x14:sparkline>
            <x14:sparkline>
              <xm:f>'PERSONAL BUDGET'!D102:O102</xm:f>
              <xm:sqref>Q102</xm:sqref>
            </x14:sparkline>
            <x14:sparkline>
              <xm:f>'PERSONAL BUDGET'!D103:O103</xm:f>
              <xm:sqref>Q103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Iswarya Gudala</cp:lastModifiedBy>
  <cp:revision/>
  <dcterms:created xsi:type="dcterms:W3CDTF">2018-06-21T11:23:21Z</dcterms:created>
  <dcterms:modified xsi:type="dcterms:W3CDTF">2024-03-06T11:41:43Z</dcterms:modified>
  <cp:category/>
  <cp:contentStatus/>
</cp:coreProperties>
</file>