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Aurélio\Desktop\"/>
    </mc:Choice>
  </mc:AlternateContent>
  <xr:revisionPtr revIDLastSave="0" documentId="13_ncr:1_{54BFD882-BD28-4CFA-81AD-AD4C507A2A45}" xr6:coauthVersionLast="45" xr6:coauthVersionMax="45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Abril" sheetId="13" state="hidden" r:id="rId1"/>
    <sheet name="Maio" sheetId="1" r:id="rId2"/>
    <sheet name="Junho" sheetId="6" r:id="rId3"/>
    <sheet name="Julho" sheetId="7" r:id="rId4"/>
    <sheet name="Agosto" sheetId="8" r:id="rId5"/>
    <sheet name="Setembro" sheetId="9" r:id="rId6"/>
    <sheet name="Outubro" sheetId="10" r:id="rId7"/>
    <sheet name="Novembro" sheetId="11" r:id="rId8"/>
    <sheet name="Dezembro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gmz2ufWD5u1qg0+bsrRMa7BfO5YQ=="/>
    </ext>
  </extLst>
</workbook>
</file>

<file path=xl/calcChain.xml><?xml version="1.0" encoding="utf-8"?>
<calcChain xmlns="http://schemas.openxmlformats.org/spreadsheetml/2006/main">
  <c r="I4" i="6" l="1"/>
  <c r="F10" i="6" l="1"/>
  <c r="F15" i="6"/>
  <c r="F9" i="6"/>
  <c r="F13" i="6"/>
  <c r="F16" i="6"/>
  <c r="F17" i="6"/>
  <c r="F14" i="6"/>
  <c r="F8" i="6"/>
  <c r="G8" i="1"/>
  <c r="G9" i="1"/>
  <c r="G10" i="1"/>
  <c r="G11" i="1"/>
  <c r="G12" i="1"/>
  <c r="G13" i="1"/>
  <c r="G14" i="1"/>
  <c r="G15" i="1"/>
  <c r="G16" i="1"/>
  <c r="G17" i="1"/>
  <c r="O9" i="1"/>
  <c r="O10" i="1"/>
  <c r="O11" i="1"/>
  <c r="O12" i="1"/>
  <c r="O13" i="1"/>
  <c r="O14" i="1"/>
  <c r="O15" i="1"/>
  <c r="O16" i="1"/>
  <c r="O17" i="1"/>
  <c r="O8" i="1"/>
  <c r="I10" i="1"/>
  <c r="L19" i="13" l="1"/>
  <c r="I17" i="13"/>
  <c r="G17" i="13"/>
  <c r="I16" i="13"/>
  <c r="G16" i="13"/>
  <c r="I15" i="13"/>
  <c r="G15" i="13"/>
  <c r="I14" i="13"/>
  <c r="G14" i="13"/>
  <c r="I13" i="13"/>
  <c r="G13" i="13"/>
  <c r="I12" i="13"/>
  <c r="G12" i="13"/>
  <c r="I11" i="13"/>
  <c r="G11" i="13"/>
  <c r="I10" i="13"/>
  <c r="G10" i="13"/>
  <c r="I9" i="13"/>
  <c r="G9" i="13"/>
  <c r="I8" i="13"/>
  <c r="G8" i="13"/>
  <c r="E4" i="13" l="1"/>
  <c r="J11" i="13" s="1"/>
  <c r="L11" i="13" s="1"/>
  <c r="M11" i="13" s="1"/>
  <c r="J8" i="13"/>
  <c r="L8" i="13" s="1"/>
  <c r="M8" i="13" s="1"/>
  <c r="J10" i="13"/>
  <c r="L10" i="13" s="1"/>
  <c r="M10" i="13" s="1"/>
  <c r="J12" i="13"/>
  <c r="L12" i="13" s="1"/>
  <c r="M12" i="13" s="1"/>
  <c r="J14" i="13"/>
  <c r="L14" i="13" s="1"/>
  <c r="M14" i="13" s="1"/>
  <c r="J9" i="13"/>
  <c r="L9" i="13" s="1"/>
  <c r="M9" i="13" s="1"/>
  <c r="J13" i="13"/>
  <c r="L13" i="13" s="1"/>
  <c r="M13" i="13" s="1"/>
  <c r="J17" i="13"/>
  <c r="L17" i="13" s="1"/>
  <c r="M17" i="13" s="1"/>
  <c r="J15" i="13"/>
  <c r="L15" i="13" s="1"/>
  <c r="M15" i="13" s="1"/>
  <c r="I8" i="1"/>
  <c r="I17" i="1"/>
  <c r="I12" i="1"/>
  <c r="J16" i="13" l="1"/>
  <c r="L16" i="13" s="1"/>
  <c r="M16" i="13" s="1"/>
  <c r="L19" i="12"/>
  <c r="I17" i="12"/>
  <c r="I16" i="12"/>
  <c r="I15" i="12"/>
  <c r="I14" i="12"/>
  <c r="I13" i="12"/>
  <c r="I12" i="12"/>
  <c r="I11" i="12"/>
  <c r="I10" i="12"/>
  <c r="I9" i="12"/>
  <c r="I8" i="12"/>
  <c r="L19" i="11"/>
  <c r="I17" i="11"/>
  <c r="I16" i="11"/>
  <c r="I15" i="11"/>
  <c r="I14" i="11"/>
  <c r="I13" i="11"/>
  <c r="I12" i="11"/>
  <c r="I11" i="11"/>
  <c r="I10" i="11"/>
  <c r="I9" i="11"/>
  <c r="I8" i="11"/>
  <c r="L19" i="10"/>
  <c r="I17" i="10"/>
  <c r="I16" i="10"/>
  <c r="I15" i="10"/>
  <c r="I14" i="10"/>
  <c r="I13" i="10"/>
  <c r="I12" i="10"/>
  <c r="I11" i="10"/>
  <c r="I10" i="10"/>
  <c r="I9" i="10"/>
  <c r="I8" i="10"/>
  <c r="L19" i="9"/>
  <c r="I17" i="9"/>
  <c r="I16" i="9"/>
  <c r="I15" i="9"/>
  <c r="I14" i="9"/>
  <c r="I13" i="9"/>
  <c r="I12" i="9"/>
  <c r="I11" i="9"/>
  <c r="I10" i="9"/>
  <c r="I9" i="9"/>
  <c r="I8" i="9"/>
  <c r="L19" i="8"/>
  <c r="I17" i="8"/>
  <c r="I16" i="8"/>
  <c r="I15" i="8"/>
  <c r="I14" i="8"/>
  <c r="I13" i="8"/>
  <c r="I12" i="8"/>
  <c r="I11" i="8"/>
  <c r="I10" i="8"/>
  <c r="I9" i="8"/>
  <c r="I8" i="8"/>
  <c r="L19" i="7"/>
  <c r="L19" i="6"/>
  <c r="I14" i="6"/>
  <c r="I8" i="6"/>
  <c r="L19" i="1"/>
  <c r="I16" i="1"/>
  <c r="I15" i="1"/>
  <c r="I14" i="1"/>
  <c r="I13" i="1"/>
  <c r="I11" i="1"/>
  <c r="I9" i="1"/>
  <c r="I2" i="13" l="1"/>
  <c r="F4" i="13" s="1"/>
  <c r="I4" i="13" s="1"/>
  <c r="K18" i="13"/>
  <c r="L18" i="13" s="1"/>
  <c r="E4" i="1"/>
  <c r="J8" i="1" l="1"/>
  <c r="J10" i="1"/>
  <c r="L10" i="1" s="1"/>
  <c r="M10" i="1" s="1"/>
  <c r="J9" i="1"/>
  <c r="L9" i="1" s="1"/>
  <c r="M9" i="1" s="1"/>
  <c r="J14" i="1"/>
  <c r="J13" i="1"/>
  <c r="J15" i="1"/>
  <c r="J17" i="1"/>
  <c r="J16" i="1"/>
  <c r="J12" i="1"/>
  <c r="J11" i="1"/>
  <c r="L11" i="1" l="1"/>
  <c r="M11" i="1" s="1"/>
  <c r="L13" i="1"/>
  <c r="M13" i="1" s="1"/>
  <c r="L16" i="1"/>
  <c r="M16" i="1" s="1"/>
  <c r="L14" i="1"/>
  <c r="M14" i="1" s="1"/>
  <c r="L8" i="1"/>
  <c r="L12" i="1"/>
  <c r="M12" i="1" s="1"/>
  <c r="L17" i="1"/>
  <c r="M17" i="1" s="1"/>
  <c r="L15" i="1"/>
  <c r="M15" i="1" s="1"/>
  <c r="I2" i="1" l="1"/>
  <c r="F4" i="1" s="1"/>
  <c r="I4" i="1" s="1"/>
  <c r="M8" i="1"/>
  <c r="D4" i="6" l="1"/>
  <c r="G11" i="6" s="1"/>
  <c r="K18" i="1"/>
  <c r="L18" i="1" s="1"/>
  <c r="G8" i="6" l="1"/>
  <c r="G14" i="6"/>
  <c r="G16" i="6"/>
  <c r="I16" i="6" s="1"/>
  <c r="I11" i="6"/>
  <c r="F18" i="6"/>
  <c r="G9" i="6"/>
  <c r="I9" i="6" s="1"/>
  <c r="G12" i="6"/>
  <c r="I12" i="6" s="1"/>
  <c r="G10" i="6"/>
  <c r="I10" i="6" s="1"/>
  <c r="G15" i="6"/>
  <c r="I15" i="6" s="1"/>
  <c r="G17" i="6"/>
  <c r="I17" i="6" s="1"/>
  <c r="G13" i="6"/>
  <c r="I13" i="6" s="1"/>
  <c r="E4" i="6" l="1"/>
  <c r="J8" i="6" s="1"/>
  <c r="L8" i="6" s="1"/>
  <c r="J16" i="6" l="1"/>
  <c r="L16" i="6" s="1"/>
  <c r="M16" i="6" s="1"/>
  <c r="J13" i="6"/>
  <c r="L13" i="6" s="1"/>
  <c r="M13" i="6" s="1"/>
  <c r="J12" i="6"/>
  <c r="L12" i="6" s="1"/>
  <c r="M12" i="6" s="1"/>
  <c r="J11" i="6"/>
  <c r="L11" i="6" s="1"/>
  <c r="M11" i="6" s="1"/>
  <c r="J14" i="6"/>
  <c r="L14" i="6" s="1"/>
  <c r="M14" i="6" s="1"/>
  <c r="J15" i="6"/>
  <c r="L15" i="6" s="1"/>
  <c r="M15" i="6" s="1"/>
  <c r="J17" i="6"/>
  <c r="L17" i="6" s="1"/>
  <c r="M17" i="6" s="1"/>
  <c r="J9" i="6"/>
  <c r="L9" i="6" s="1"/>
  <c r="M9" i="6" s="1"/>
  <c r="J10" i="6"/>
  <c r="L10" i="6" s="1"/>
  <c r="M10" i="6" s="1"/>
  <c r="M8" i="6"/>
  <c r="I2" i="6" l="1"/>
  <c r="F4" i="6" s="1"/>
  <c r="L18" i="6"/>
  <c r="D4" i="7" l="1"/>
  <c r="G9" i="7" l="1"/>
  <c r="H9" i="7" s="1"/>
  <c r="I9" i="7" s="1"/>
  <c r="G13" i="7"/>
  <c r="H13" i="7" s="1"/>
  <c r="I13" i="7" s="1"/>
  <c r="G17" i="7"/>
  <c r="H17" i="7" s="1"/>
  <c r="I17" i="7" s="1"/>
  <c r="G10" i="7"/>
  <c r="H10" i="7" s="1"/>
  <c r="I10" i="7" s="1"/>
  <c r="G14" i="7"/>
  <c r="G8" i="7"/>
  <c r="H8" i="7" s="1"/>
  <c r="I8" i="7" s="1"/>
  <c r="G11" i="7"/>
  <c r="H11" i="7" s="1"/>
  <c r="I11" i="7" s="1"/>
  <c r="G15" i="7"/>
  <c r="H15" i="7" s="1"/>
  <c r="I15" i="7" s="1"/>
  <c r="G12" i="7"/>
  <c r="H12" i="7" s="1"/>
  <c r="I12" i="7" s="1"/>
  <c r="G16" i="7"/>
  <c r="H16" i="7" s="1"/>
  <c r="I16" i="7" s="1"/>
  <c r="F18" i="7"/>
  <c r="H14" i="7"/>
  <c r="I14" i="7" s="1"/>
  <c r="E4" i="7" l="1"/>
  <c r="J9" i="7" s="1"/>
  <c r="L9" i="7" s="1"/>
  <c r="M9" i="7" s="1"/>
  <c r="J17" i="7" l="1"/>
  <c r="L17" i="7" s="1"/>
  <c r="M17" i="7" s="1"/>
  <c r="J15" i="7"/>
  <c r="L15" i="7" s="1"/>
  <c r="M15" i="7" s="1"/>
  <c r="J10" i="7"/>
  <c r="L10" i="7" s="1"/>
  <c r="M10" i="7" s="1"/>
  <c r="J14" i="7"/>
  <c r="L14" i="7" s="1"/>
  <c r="M14" i="7" s="1"/>
  <c r="J12" i="7"/>
  <c r="L12" i="7" s="1"/>
  <c r="M12" i="7" s="1"/>
  <c r="J13" i="7"/>
  <c r="L13" i="7" s="1"/>
  <c r="M13" i="7" s="1"/>
  <c r="J8" i="7"/>
  <c r="L8" i="7" s="1"/>
  <c r="M8" i="7" s="1"/>
  <c r="J11" i="7"/>
  <c r="L11" i="7" s="1"/>
  <c r="M11" i="7" s="1"/>
  <c r="J16" i="7"/>
  <c r="L16" i="7" s="1"/>
  <c r="M16" i="7" s="1"/>
  <c r="L2" i="7" l="1"/>
  <c r="F4" i="7" s="1"/>
  <c r="L4" i="7" s="1"/>
  <c r="D4" i="8" l="1"/>
  <c r="F18" i="8" s="1"/>
  <c r="K18" i="7"/>
  <c r="L18" i="7" s="1"/>
  <c r="G9" i="8" l="1"/>
  <c r="G15" i="8"/>
  <c r="G11" i="8"/>
  <c r="G17" i="8"/>
  <c r="G16" i="8"/>
  <c r="G14" i="8"/>
  <c r="G13" i="8"/>
  <c r="E4" i="8"/>
  <c r="J12" i="8" s="1"/>
  <c r="L12" i="8" s="1"/>
  <c r="M12" i="8" s="1"/>
  <c r="G10" i="8"/>
  <c r="G12" i="8"/>
  <c r="G8" i="8"/>
  <c r="J14" i="8" l="1"/>
  <c r="L14" i="8" s="1"/>
  <c r="M14" i="8" s="1"/>
  <c r="J11" i="8"/>
  <c r="L11" i="8" s="1"/>
  <c r="M11" i="8" s="1"/>
  <c r="J10" i="8"/>
  <c r="L10" i="8" s="1"/>
  <c r="M10" i="8" s="1"/>
  <c r="J9" i="8"/>
  <c r="L9" i="8" s="1"/>
  <c r="M9" i="8" s="1"/>
  <c r="J13" i="8"/>
  <c r="L13" i="8" s="1"/>
  <c r="M13" i="8" s="1"/>
  <c r="J17" i="8"/>
  <c r="L17" i="8" s="1"/>
  <c r="M17" i="8" s="1"/>
  <c r="J8" i="8"/>
  <c r="L8" i="8" s="1"/>
  <c r="M8" i="8" s="1"/>
  <c r="J15" i="8"/>
  <c r="L15" i="8" s="1"/>
  <c r="M15" i="8" s="1"/>
  <c r="J16" i="8"/>
  <c r="L16" i="8" s="1"/>
  <c r="M16" i="8" s="1"/>
  <c r="I2" i="8" l="1"/>
  <c r="F4" i="8" s="1"/>
  <c r="I4" i="8" s="1"/>
  <c r="D4" i="9" l="1"/>
  <c r="G16" i="9" s="1"/>
  <c r="K18" i="8"/>
  <c r="L18" i="8" s="1"/>
  <c r="G12" i="9"/>
  <c r="G11" i="9"/>
  <c r="G13" i="9"/>
  <c r="F18" i="9"/>
  <c r="G14" i="9"/>
  <c r="G9" i="9"/>
  <c r="G15" i="9"/>
  <c r="G10" i="9"/>
  <c r="E4" i="9"/>
  <c r="J11" i="9" s="1"/>
  <c r="L11" i="9" s="1"/>
  <c r="M11" i="9" s="1"/>
  <c r="G8" i="9"/>
  <c r="G17" i="9"/>
  <c r="J8" i="9" l="1"/>
  <c r="L8" i="9" s="1"/>
  <c r="M8" i="9" s="1"/>
  <c r="J14" i="9"/>
  <c r="L14" i="9" s="1"/>
  <c r="M14" i="9" s="1"/>
  <c r="J15" i="9"/>
  <c r="L15" i="9" s="1"/>
  <c r="M15" i="9" s="1"/>
  <c r="J12" i="9"/>
  <c r="L12" i="9" s="1"/>
  <c r="M12" i="9" s="1"/>
  <c r="J17" i="9"/>
  <c r="L17" i="9" s="1"/>
  <c r="M17" i="9" s="1"/>
  <c r="J13" i="9"/>
  <c r="L13" i="9" s="1"/>
  <c r="M13" i="9" s="1"/>
  <c r="J16" i="9"/>
  <c r="L16" i="9" s="1"/>
  <c r="M16" i="9" s="1"/>
  <c r="J10" i="9"/>
  <c r="L10" i="9" s="1"/>
  <c r="M10" i="9" s="1"/>
  <c r="J9" i="9"/>
  <c r="L9" i="9" s="1"/>
  <c r="M9" i="9" s="1"/>
  <c r="I2" i="9" l="1"/>
  <c r="F4" i="9" s="1"/>
  <c r="I4" i="9" s="1"/>
  <c r="K18" i="9" l="1"/>
  <c r="L18" i="9" s="1"/>
  <c r="D4" i="10"/>
  <c r="G10" i="10" s="1"/>
  <c r="G13" i="10" l="1"/>
  <c r="F18" i="10"/>
  <c r="G14" i="10"/>
  <c r="G16" i="10"/>
  <c r="G17" i="10"/>
  <c r="G8" i="10"/>
  <c r="G12" i="10"/>
  <c r="G9" i="10"/>
  <c r="G11" i="10"/>
  <c r="G15" i="10"/>
  <c r="E4" i="10"/>
  <c r="J13" i="10" s="1"/>
  <c r="L13" i="10" s="1"/>
  <c r="M13" i="10" s="1"/>
  <c r="J14" i="10" l="1"/>
  <c r="L14" i="10" s="1"/>
  <c r="M14" i="10" s="1"/>
  <c r="J16" i="10"/>
  <c r="L16" i="10" s="1"/>
  <c r="M16" i="10" s="1"/>
  <c r="J10" i="10"/>
  <c r="L10" i="10" s="1"/>
  <c r="M10" i="10" s="1"/>
  <c r="J17" i="10"/>
  <c r="L17" i="10" s="1"/>
  <c r="M17" i="10" s="1"/>
  <c r="J11" i="10"/>
  <c r="L11" i="10" s="1"/>
  <c r="M11" i="10" s="1"/>
  <c r="J12" i="10"/>
  <c r="L12" i="10" s="1"/>
  <c r="M12" i="10" s="1"/>
  <c r="J9" i="10"/>
  <c r="L9" i="10" s="1"/>
  <c r="M9" i="10" s="1"/>
  <c r="J8" i="10"/>
  <c r="L8" i="10" s="1"/>
  <c r="M8" i="10" s="1"/>
  <c r="J15" i="10"/>
  <c r="L15" i="10" s="1"/>
  <c r="M15" i="10" s="1"/>
  <c r="I2" i="10" l="1"/>
  <c r="F4" i="10" s="1"/>
  <c r="I4" i="10" s="1"/>
  <c r="K18" i="10" l="1"/>
  <c r="L18" i="10" s="1"/>
  <c r="D4" i="11"/>
  <c r="G8" i="11" s="1"/>
  <c r="G14" i="11" l="1"/>
  <c r="G10" i="11"/>
  <c r="F18" i="11"/>
  <c r="G17" i="11"/>
  <c r="G11" i="11"/>
  <c r="G13" i="11"/>
  <c r="G12" i="11"/>
  <c r="E4" i="11"/>
  <c r="J16" i="11" s="1"/>
  <c r="L16" i="11" s="1"/>
  <c r="M16" i="11" s="1"/>
  <c r="G9" i="11"/>
  <c r="G15" i="11"/>
  <c r="G16" i="11"/>
  <c r="J12" i="11" l="1"/>
  <c r="L12" i="11" s="1"/>
  <c r="M12" i="11" s="1"/>
  <c r="J14" i="11"/>
  <c r="L14" i="11" s="1"/>
  <c r="M14" i="11" s="1"/>
  <c r="J10" i="11"/>
  <c r="L10" i="11" s="1"/>
  <c r="M10" i="11" s="1"/>
  <c r="J13" i="11"/>
  <c r="L13" i="11" s="1"/>
  <c r="M13" i="11" s="1"/>
  <c r="J15" i="11"/>
  <c r="L15" i="11" s="1"/>
  <c r="M15" i="11" s="1"/>
  <c r="J17" i="11"/>
  <c r="L17" i="11" s="1"/>
  <c r="M17" i="11" s="1"/>
  <c r="J9" i="11"/>
  <c r="L9" i="11" s="1"/>
  <c r="M9" i="11" s="1"/>
  <c r="J11" i="11"/>
  <c r="L11" i="11" s="1"/>
  <c r="M11" i="11" s="1"/>
  <c r="J8" i="11"/>
  <c r="L8" i="11" s="1"/>
  <c r="M8" i="11" s="1"/>
  <c r="I2" i="11" l="1"/>
  <c r="F4" i="11" s="1"/>
  <c r="D4" i="12" s="1"/>
  <c r="K18" i="11" l="1"/>
  <c r="L18" i="11" s="1"/>
  <c r="I4" i="11"/>
  <c r="F18" i="12"/>
  <c r="G15" i="12"/>
  <c r="G10" i="12"/>
  <c r="G8" i="12"/>
  <c r="G9" i="12"/>
  <c r="G17" i="12"/>
  <c r="G12" i="12"/>
  <c r="G16" i="12"/>
  <c r="G11" i="12"/>
  <c r="E4" i="12"/>
  <c r="G14" i="12"/>
  <c r="G13" i="12"/>
  <c r="J13" i="12" l="1"/>
  <c r="L13" i="12" s="1"/>
  <c r="M13" i="12" s="1"/>
  <c r="J9" i="12"/>
  <c r="L9" i="12" s="1"/>
  <c r="M9" i="12" s="1"/>
  <c r="J11" i="12"/>
  <c r="L11" i="12" s="1"/>
  <c r="M11" i="12" s="1"/>
  <c r="J16" i="12"/>
  <c r="L16" i="12" s="1"/>
  <c r="M16" i="12" s="1"/>
  <c r="J12" i="12"/>
  <c r="L12" i="12" s="1"/>
  <c r="M12" i="12" s="1"/>
  <c r="J10" i="12"/>
  <c r="L10" i="12" s="1"/>
  <c r="M10" i="12" s="1"/>
  <c r="J17" i="12"/>
  <c r="L17" i="12" s="1"/>
  <c r="M17" i="12" s="1"/>
  <c r="J14" i="12"/>
  <c r="L14" i="12" s="1"/>
  <c r="M14" i="12" s="1"/>
  <c r="J8" i="12"/>
  <c r="L8" i="12" s="1"/>
  <c r="J15" i="12"/>
  <c r="L15" i="12" s="1"/>
  <c r="M15" i="12" s="1"/>
  <c r="M8" i="12" l="1"/>
  <c r="I2" i="12"/>
  <c r="F4" i="12" s="1"/>
  <c r="I4" i="12" l="1"/>
  <c r="K18" i="12"/>
  <c r="L18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tc={B55C2367-528D-4841-BB23-C4066130E4D0}</author>
    <author>tc={16BBAD93-6F81-4B63-B7F8-B3EDE63739A7}</author>
    <author>tc={587B0042-734E-4D5A-89CA-26F70A0C34ED}</author>
    <author>tc={509F176C-E747-444B-B622-6D5BC47982A7}</author>
    <author>tc={71A6F7B1-09F9-4675-BF05-E30B4492E21B}</author>
    <author>tc={181D55B0-6909-4319-AA6A-982016F7CD70}</author>
    <author>tc={C9AA2DF0-78A2-4909-8ABE-26446F791401}</author>
    <author>tc={88DD79DF-B6BB-43F6-A8FA-CFB206597B3F}</author>
    <author>tc={749CF765-772F-4A49-86DF-6CD58BEC07AE}</author>
    <author>tc={07356645-3094-4733-BF9D-DA662AAC262A}</author>
  </authors>
  <commentList>
    <comment ref="C7" authorId="0" shapeId="0" xr:uid="{00000000-0006-0000-0000-000001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00000000-0006-0000-0000-000002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00000000-0006-0000-0000-000003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00000000-0006-0000-0000-000004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00000000-0006-0000-0000-000005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00000000-0006-0000-0000-000006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00000000-0006-0000-0000-000007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00000000-0006-0000-0000-000008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00000000-0006-0000-0000-000009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00000000-0006-0000-0000-00000A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tc={B55C2367-528D-4841-BB23-C4066130E4D0}</author>
    <author>tc={16BBAD93-6F81-4B63-B7F8-B3EDE63739A7}</author>
    <author>tc={587B0042-734E-4D5A-89CA-26F70A0C34ED}</author>
    <author>tc={509F176C-E747-444B-B622-6D5BC47982A7}</author>
    <author>tc={71A6F7B1-09F9-4675-BF05-E30B4492E21B}</author>
    <author>tc={181D55B0-6909-4319-AA6A-982016F7CD70}</author>
    <author>tc={C9AA2DF0-78A2-4909-8ABE-26446F791401}</author>
    <author>tc={88DD79DF-B6BB-43F6-A8FA-CFB206597B3F}</author>
    <author>tc={07356645-3094-4733-BF9D-DA662AAC262A}</author>
  </authors>
  <commentList>
    <comment ref="C7" authorId="0" shapeId="0" xr:uid="{00000000-0006-0000-0100-000001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00000000-0006-0000-0100-000002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00000000-0006-0000-0100-000003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00000000-0006-0000-0100-000004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00000000-0006-0000-0100-000005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00000000-0006-0000-0100-000006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00000000-0006-0000-0100-000007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00000000-0006-0000-0100-000008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00000000-0006-0000-0100-000009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K19" authorId="8" shapeId="0" xr:uid="{00000000-0006-0000-0100-00000A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MPJCEdhFbrYv8jk3Ie+X/qNpf9g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tc={688FEA80-25FE-4B75-801E-3CA19B3D65FC}</author>
    <author>tc={CEEFC563-CA86-4D43-8A28-44C59565EF4E}</author>
    <author>tc={67270B89-2037-4C96-98AE-5AC1319F80E0}</author>
    <author>tc={A67FB370-0C52-49A8-A768-D7E315EF6814}</author>
    <author>tc={3539FD91-F263-4EEF-A963-3C45A456AB66}</author>
    <author>tc={911F194A-5361-48A6-BB68-1ADA0719DA33}</author>
    <author>tc={8A368ABE-FCEC-42C2-ABA5-0C33242F0033}</author>
    <author>tc={40CE3917-303A-4788-A324-9259519F025E}</author>
    <author>tc={07356645-3094-4733-BF9D-DA662AAC262A}</author>
    <author>tc={9B3A2961-CCBE-4C8B-9D39-B4D400A339C0}</author>
  </authors>
  <commentList>
    <comment ref="C7" authorId="0" shapeId="0" xr:uid="{00000000-0006-0000-0200-000001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00000000-0006-0000-0200-000002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00000000-0006-0000-0200-000003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00000000-0006-0000-0200-000004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00000000-0006-0000-0200-000005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00000000-0006-0000-0200-000006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00000000-0006-0000-0200-000007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00000000-0006-0000-0200-000008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782CBC06-8FB0-410A-B3AA-A7DA290FD1B4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K19" authorId="9" shapeId="0" xr:uid="{00000000-0006-0000-0200-00000A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tc={D3C70F70-EF06-4993-8D58-DA19E78162EF}</author>
    <author>tc={482EA452-15E1-4C06-9E5B-1E2B1E779CD8}</author>
    <author>tc={9A534764-84B7-4D11-ACAE-E5B0C927D501}</author>
    <author>tc={1042266D-BD10-4E7A-A27E-E54248919544}</author>
    <author>tc={6AB3508A-F023-47E0-8758-9E254731109F}</author>
    <author>tc={E467A9D0-3AC5-48AA-AB4B-0596D221D80B}</author>
    <author>tc={F12B247E-BCA5-477C-B996-9CCAB97EBC73}</author>
    <author>tc={8BD41DE3-2870-4F87-8E2D-1ADC8683C45E}</author>
    <author>tc={2B760078-2817-46A2-84E7-B32BDF66B513}</author>
    <author>tc={A19E2F08-15C5-4CCF-9AE6-B026D0393041}</author>
  </authors>
  <commentList>
    <comment ref="C7" authorId="0" shapeId="0" xr:uid="{00000000-0006-0000-0300-000001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00000000-0006-0000-0300-000002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00000000-0006-0000-0300-000003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00000000-0006-0000-0300-000004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00000000-0006-0000-0300-000005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00000000-0006-0000-0300-000006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00000000-0006-0000-0300-000007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00000000-0006-0000-0300-000008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00000000-0006-0000-0300-000009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00000000-0006-0000-0300-00000A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tc={607E85AC-9A32-429A-8573-60CAA2E2CBE1}</author>
    <author>tc={B581FA51-5EBA-4EF3-8253-BC5F13F97ACB}</author>
    <author>tc={1D50B807-28CB-43F3-B1A8-D846F0D413B9}</author>
    <author>tc={97E5CDF9-55D6-498D-81F0-2259C41ABB07}</author>
    <author>tc={654B4EFE-0B9A-43F7-914D-757CF1F3E8C9}</author>
    <author>tc={AD8998AF-BD4D-4740-8218-D5E48EA496FB}</author>
    <author>tc={A206ADB7-07A0-447C-B4E8-C4759AA390F9}</author>
    <author>tc={745D8065-1CCB-4A4A-8DA3-9C0464129F3C}</author>
    <author>tc={0D9DA082-B953-4C29-8054-D9D1AB2A5627}</author>
    <author>tc={7A93F0BE-01CD-45D5-AD9B-AFF63BCD89AF}</author>
  </authors>
  <commentList>
    <comment ref="C7" authorId="0" shapeId="0" xr:uid="{00000000-0006-0000-0400-000001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00000000-0006-0000-0400-000002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00000000-0006-0000-0400-000003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00000000-0006-0000-0400-000004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00000000-0006-0000-0400-000005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00000000-0006-0000-0400-000006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00000000-0006-0000-0400-000007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00000000-0006-0000-0400-000008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00000000-0006-0000-0400-000009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00000000-0006-0000-0400-00000A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tc={1E98A9A8-8A31-4E85-A1E4-8D2B0D046D33}</author>
    <author>tc={635F5587-80CB-4175-82EB-8696C6EB688A}</author>
    <author>tc={2F5A09F0-B440-4069-A8B9-8C72BF0DD6C4}</author>
    <author>tc={38FC7AD3-3124-4A5E-BDE8-58C6037BC265}</author>
    <author>tc={731A9A4C-0552-4189-9240-15D17773F725}</author>
    <author>tc={A5087398-BF86-4E43-8F71-48466C1D45B9}</author>
    <author>tc={D90697C3-E758-437E-B73C-4FF449A2E749}</author>
    <author>tc={7BFADBC6-9362-469E-8D5C-202A68C2FE77}</author>
    <author>tc={8DE47843-3F50-4C53-84E8-E181295C736A}</author>
    <author>tc={D4C375FA-6293-45BD-833F-7360BA536125}</author>
  </authors>
  <commentList>
    <comment ref="C7" authorId="0" shapeId="0" xr:uid="{00000000-0006-0000-0500-000001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00000000-0006-0000-0500-000002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00000000-0006-0000-0500-000003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00000000-0006-0000-0500-000004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00000000-0006-0000-0500-000005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00000000-0006-0000-0500-000006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00000000-0006-0000-0500-000007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00000000-0006-0000-0500-000008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00000000-0006-0000-0500-000009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00000000-0006-0000-0500-00000A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tc={67964B61-810C-4DF8-91B9-EDB3014B5FE5}</author>
    <author>tc={C0C54AC5-B3BD-4CAE-A8E0-0DAA5C3199C0}</author>
    <author>tc={1BBFF5F6-B6EA-4BE6-A0FB-3C74693184DC}</author>
    <author>tc={AA5F370C-5DB6-4664-BFF2-2631DD80AF21}</author>
    <author>tc={421E120E-2047-4EB4-9508-9F38F8186301}</author>
    <author>tc={4AAA708A-8571-4DFC-A79E-3756C2F92E2B}</author>
    <author>tc={BC8B0F31-23E3-4FDA-A976-62F7687EBFAE}</author>
    <author>tc={16BEA4CA-31A5-4087-8E14-71966A7E5387}</author>
    <author>tc={C14A0E4E-BBB4-4492-9C97-EE12FDD28DA8}</author>
    <author>tc={FEF8E825-B3A9-4C57-9CA5-C61A739C92A8}</author>
  </authors>
  <commentList>
    <comment ref="C7" authorId="0" shapeId="0" xr:uid="{00000000-0006-0000-0600-000001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00000000-0006-0000-0600-000002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00000000-0006-0000-0600-000003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00000000-0006-0000-0600-000004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00000000-0006-0000-0600-000005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00000000-0006-0000-0600-000006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00000000-0006-0000-0600-000007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00000000-0006-0000-0600-000008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00000000-0006-0000-0600-000009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00000000-0006-0000-0600-00000A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tc={A0C285BA-F422-4DD9-9B84-EB210939840E}</author>
    <author>tc={40E5B91B-B676-455F-9368-D0A1AC144889}</author>
    <author>tc={B2A3DBD5-0D5C-42F5-9263-DB1694B43BC1}</author>
    <author>tc={4166CF13-92FA-4D1D-B5BD-0739D160D423}</author>
    <author>tc={7893E8D5-DE99-4C03-AE57-0DD7A8B8D782}</author>
    <author>tc={66B7981D-AD7C-43E2-BC9C-A617DEC2C203}</author>
    <author>tc={00A22400-096C-466C-A7E7-B4FBAD053C23}</author>
    <author>tc={A422C7BC-6ED1-4B5C-813A-9C0FDF863B37}</author>
    <author>tc={4052D1C2-B057-4DFE-AC2F-480A005CDCAB}</author>
    <author>tc={F8C20322-B2AB-4522-BF40-B2ACA39B5C31}</author>
  </authors>
  <commentList>
    <comment ref="C7" authorId="0" shapeId="0" xr:uid="{00000000-0006-0000-0700-000001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00000000-0006-0000-0700-000002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00000000-0006-0000-0700-000003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00000000-0006-0000-0700-000004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00000000-0006-0000-0700-000005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00000000-0006-0000-0700-000006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00000000-0006-0000-0700-000007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00000000-0006-0000-0700-000008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00000000-0006-0000-0700-000009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00000000-0006-0000-0700-00000A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tc={E83EB81F-37DE-4374-934A-DB95FAA4247E}</author>
    <author>tc={16EC303E-53C4-4F53-99A3-0F155DE169CF}</author>
    <author>tc={A782504A-B6F7-498C-B6FA-F9529EE00516}</author>
    <author>tc={B7F0E5A7-B09A-480D-8E54-2447CB993BB1}</author>
    <author>tc={5EA5737E-F53A-4530-BB43-1AAB510DEECE}</author>
    <author>tc={1D77E804-465B-4171-9176-39CB82D428CB}</author>
    <author>tc={DEC0A3F1-5812-4030-ABD7-59988F89926F}</author>
    <author>tc={D6DAED45-4578-4201-93C8-19F06DA3B647}</author>
    <author>tc={ED257713-68C3-4210-BCF1-B68356BB7592}</author>
    <author>tc={BB1F67A7-0656-4DEE-A61F-B9F0AD903AB7}</author>
  </authors>
  <commentList>
    <comment ref="C7" authorId="0" shapeId="0" xr:uid="{00000000-0006-0000-0800-000001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00000000-0006-0000-0800-000002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00000000-0006-0000-0800-000003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00000000-0006-0000-0800-000004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00000000-0006-0000-0800-000005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00000000-0006-0000-0800-000006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00000000-0006-0000-0800-000007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00000000-0006-0000-0800-000008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00000000-0006-0000-0800-000009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00000000-0006-0000-0800-00000A00000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sharedStrings.xml><?xml version="1.0" encoding="utf-8"?>
<sst xmlns="http://schemas.openxmlformats.org/spreadsheetml/2006/main" count="288" uniqueCount="43">
  <si>
    <t>CAPITAL</t>
  </si>
  <si>
    <t>INICIAL</t>
  </si>
  <si>
    <t>INVESTIDO</t>
  </si>
  <si>
    <t>ATUAL</t>
  </si>
  <si>
    <t>Ativos</t>
  </si>
  <si>
    <t>Composição</t>
  </si>
  <si>
    <t>Preço Compra</t>
  </si>
  <si>
    <t>Qnt 1</t>
  </si>
  <si>
    <t>Qnt 2</t>
  </si>
  <si>
    <t>Montante</t>
  </si>
  <si>
    <t>Comp2</t>
  </si>
  <si>
    <t>Preço Atual</t>
  </si>
  <si>
    <t>Retorno</t>
  </si>
  <si>
    <t>ELET3</t>
  </si>
  <si>
    <t>CSNA3</t>
  </si>
  <si>
    <t>ENBR3</t>
  </si>
  <si>
    <t>EGIE3</t>
  </si>
  <si>
    <t>TAEE3</t>
  </si>
  <si>
    <t>BBAS3</t>
  </si>
  <si>
    <t>yduq3</t>
  </si>
  <si>
    <t>ECOR3</t>
  </si>
  <si>
    <t>ITSA4</t>
  </si>
  <si>
    <t>CARTEIRA</t>
  </si>
  <si>
    <t>SANB4</t>
  </si>
  <si>
    <t>IBOVESPA</t>
  </si>
  <si>
    <t>Maio de 2020</t>
  </si>
  <si>
    <t>Rentabilidade Acumulada</t>
  </si>
  <si>
    <t>-&gt;</t>
  </si>
  <si>
    <t>Rentabilidade Mensal dos Ativos (sem caixa)</t>
  </si>
  <si>
    <t xml:space="preserve">      -&gt; Rentabilidade mensal da carteira</t>
  </si>
  <si>
    <t>VALE3</t>
  </si>
  <si>
    <t>VVAR3</t>
  </si>
  <si>
    <t>PETR4</t>
  </si>
  <si>
    <t>SLCE3</t>
  </si>
  <si>
    <t>BEEF3</t>
  </si>
  <si>
    <t>LOGN3</t>
  </si>
  <si>
    <t>COGN3</t>
  </si>
  <si>
    <t>SQIA3</t>
  </si>
  <si>
    <t>KLBN11</t>
  </si>
  <si>
    <t>BBDC4</t>
  </si>
  <si>
    <t>AZUL4</t>
  </si>
  <si>
    <t>EZTC3</t>
  </si>
  <si>
    <t xml:space="preserve"> JHSF3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</si>
</sst>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"/>
    <numFmt numFmtId="165" formatCode="_-* #,##0.00_-;\-* #,##0.00_-;_-* &quot;-&quot;??_-;_-@"/>
    <numFmt numFmtId="166" formatCode="_-* #,##0_-;\-* #,##0_-;_-* &quot;-&quot;??_-;_-@"/>
  </numFmts>
  <fonts count="9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5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D9E2F3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0" fillId="2" borderId="1" xfId="0" applyFont="1" applyFill="1" applyBorder="1"/>
    <xf numFmtId="164" fontId="1" fillId="3" borderId="5" xfId="0" applyNumberFormat="1" applyFont="1" applyFill="1" applyBorder="1" applyAlignment="1">
      <alignment vertical="center"/>
    </xf>
    <xf numFmtId="164" fontId="1" fillId="3" borderId="11" xfId="0" applyNumberFormat="1" applyFont="1" applyFill="1" applyBorder="1" applyAlignment="1">
      <alignment vertical="center"/>
    </xf>
    <xf numFmtId="164" fontId="1" fillId="3" borderId="10" xfId="0" applyNumberFormat="1" applyFont="1" applyFill="1" applyBorder="1" applyAlignment="1">
      <alignment vertical="center"/>
    </xf>
    <xf numFmtId="165" fontId="1" fillId="3" borderId="5" xfId="0" applyNumberFormat="1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9" fontId="0" fillId="2" borderId="1" xfId="0" applyNumberFormat="1" applyFont="1" applyFill="1" applyBorder="1"/>
    <xf numFmtId="0" fontId="0" fillId="2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1" fillId="3" borderId="10" xfId="0" applyNumberFormat="1" applyFont="1" applyFill="1" applyBorder="1" applyAlignment="1">
      <alignment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0" fontId="0" fillId="5" borderId="0" xfId="0" applyFont="1" applyFill="1" applyAlignment="1"/>
    <xf numFmtId="164" fontId="0" fillId="4" borderId="6" xfId="0" applyNumberFormat="1" applyFont="1" applyFill="1" applyBorder="1" applyAlignment="1">
      <alignment horizontal="center" vertical="center"/>
    </xf>
    <xf numFmtId="164" fontId="0" fillId="5" borderId="7" xfId="0" applyNumberFormat="1" applyFont="1" applyFill="1" applyBorder="1" applyAlignment="1">
      <alignment horizontal="center" vertical="center" wrapText="1"/>
    </xf>
    <xf numFmtId="164" fontId="0" fillId="5" borderId="8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66" fontId="0" fillId="4" borderId="13" xfId="0" applyNumberFormat="1" applyFont="1" applyFill="1" applyBorder="1" applyAlignment="1">
      <alignment horizontal="center" vertical="center"/>
    </xf>
    <xf numFmtId="165" fontId="0" fillId="4" borderId="13" xfId="0" applyNumberFormat="1" applyFont="1" applyFill="1" applyBorder="1" applyAlignment="1">
      <alignment horizontal="center" vertical="center"/>
    </xf>
    <xf numFmtId="9" fontId="0" fillId="4" borderId="1" xfId="0" applyNumberFormat="1" applyFont="1" applyFill="1" applyBorder="1" applyAlignment="1">
      <alignment horizontal="center" vertical="center"/>
    </xf>
    <xf numFmtId="164" fontId="0" fillId="4" borderId="14" xfId="0" applyNumberFormat="1" applyFont="1" applyFill="1" applyBorder="1" applyAlignment="1">
      <alignment horizontal="center" vertical="center"/>
    </xf>
    <xf numFmtId="165" fontId="0" fillId="5" borderId="14" xfId="0" applyNumberFormat="1" applyFont="1" applyFill="1" applyBorder="1" applyAlignment="1">
      <alignment horizontal="center" vertical="center"/>
    </xf>
    <xf numFmtId="165" fontId="0" fillId="5" borderId="15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9" fontId="0" fillId="5" borderId="15" xfId="0" applyNumberFormat="1" applyFont="1" applyFill="1" applyBorder="1" applyAlignment="1">
      <alignment horizontal="center" vertical="center"/>
    </xf>
    <xf numFmtId="164" fontId="0" fillId="4" borderId="13" xfId="0" applyNumberFormat="1" applyFont="1" applyFill="1" applyBorder="1" applyAlignment="1">
      <alignment horizontal="center" vertical="center"/>
    </xf>
    <xf numFmtId="10" fontId="0" fillId="4" borderId="9" xfId="0" applyNumberFormat="1" applyFont="1" applyFill="1" applyBorder="1" applyAlignment="1">
      <alignment horizontal="center" vertical="center"/>
    </xf>
    <xf numFmtId="10" fontId="0" fillId="4" borderId="12" xfId="0" applyNumberFormat="1" applyFont="1" applyFill="1" applyBorder="1" applyAlignment="1">
      <alignment horizontal="center" vertical="center"/>
    </xf>
    <xf numFmtId="166" fontId="0" fillId="4" borderId="12" xfId="0" applyNumberFormat="1" applyFont="1" applyFill="1" applyBorder="1" applyAlignment="1">
      <alignment horizontal="center" vertical="center"/>
    </xf>
    <xf numFmtId="165" fontId="0" fillId="4" borderId="12" xfId="0" applyNumberFormat="1" applyFont="1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10" fontId="3" fillId="6" borderId="23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5" fillId="4" borderId="1" xfId="0" quotePrefix="1" applyFont="1" applyFill="1" applyBorder="1" applyAlignment="1">
      <alignment horizontal="center" vertical="center"/>
    </xf>
    <xf numFmtId="0" fontId="5" fillId="2" borderId="1" xfId="0" quotePrefix="1" applyFont="1" applyFill="1" applyBorder="1"/>
    <xf numFmtId="10" fontId="8" fillId="0" borderId="9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/>
    <xf numFmtId="165" fontId="5" fillId="4" borderId="12" xfId="0" applyNumberFormat="1" applyFont="1" applyFill="1" applyBorder="1" applyAlignment="1">
      <alignment horizontal="center" vertical="center"/>
    </xf>
    <xf numFmtId="0" fontId="5" fillId="2" borderId="1" xfId="0" applyFont="1" applyFill="1" applyBorder="1"/>
    <xf numFmtId="0" fontId="1" fillId="3" borderId="17" xfId="0" applyFont="1" applyFill="1" applyBorder="1" applyAlignment="1">
      <alignment horizontal="center" vertical="center"/>
    </xf>
    <xf numFmtId="10" fontId="1" fillId="3" borderId="2" xfId="0" applyNumberFormat="1" applyFont="1" applyFill="1" applyBorder="1" applyAlignment="1">
      <alignment horizontal="center" vertical="center"/>
    </xf>
    <xf numFmtId="0" fontId="2" fillId="0" borderId="4" xfId="0" applyFont="1" applyBorder="1"/>
    <xf numFmtId="0" fontId="1" fillId="4" borderId="2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2" fillId="5" borderId="4" xfId="0" applyFont="1" applyFill="1" applyBorder="1"/>
    <xf numFmtId="0" fontId="6" fillId="4" borderId="18" xfId="0" applyNumberFormat="1" applyFont="1" applyFill="1" applyBorder="1" applyAlignment="1">
      <alignment horizontal="center" vertical="center"/>
    </xf>
    <xf numFmtId="0" fontId="4" fillId="4" borderId="19" xfId="0" applyNumberFormat="1" applyFont="1" applyFill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2" fillId="5" borderId="17" xfId="0" applyFont="1" applyFill="1" applyBorder="1"/>
    <xf numFmtId="165" fontId="5" fillId="4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éssia Santana" id="{D2815B33-11D7-49E5-97A6-8F244408F7FE}" userId="Késsia Santana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B55C2367-528D-4841-BB23-C4066130E4D0}">
    <text>Inserir código dos ativos que se deseja comprar</text>
  </threadedComment>
  <threadedComment ref="E7" dT="2020-04-27T19:44:42.32" personId="{D2815B33-11D7-49E5-97A6-8F244408F7FE}" id="{16BBAD93-6F81-4B63-B7F8-B3EDE63739A7}">
    <text>Composição desejada pelo membro (percentual da carteira)</text>
  </threadedComment>
  <threadedComment ref="F7" dT="2020-04-27T19:45:28.33" personId="{D2815B33-11D7-49E5-97A6-8F244408F7FE}" id="{587B0042-734E-4D5A-89CA-26F70A0C34ED}">
    <text>Preço baseados no fechamento do último pregão do mês.</text>
  </threadedComment>
  <threadedComment ref="G7" dT="2020-04-27T19:48:28.11" personId="{D2815B33-11D7-49E5-97A6-8F244408F7FE}" id="{509F176C-E747-444B-B622-6D5BC47982A7}">
    <text>Nº REAL DE LOTES SEGUNDO A FÓRMULA</text>
  </threadedComment>
  <threadedComment ref="H7" dT="2020-04-27T19:48:41.34" personId="{D2815B33-11D7-49E5-97A6-8F244408F7FE}" id="{71A6F7B1-09F9-4675-BF05-E30B4492E21B}">
    <text>Nº REAL DE LOTES DESEJADO</text>
  </threadedComment>
  <threadedComment ref="J7" dT="2020-04-27T19:49:07.36" personId="{D2815B33-11D7-49E5-97A6-8F244408F7FE}" id="{181D55B0-6909-4319-AA6A-982016F7CD70}">
    <text>Composição final da carteira com base no que realmente foi "comprado"</text>
  </threadedComment>
  <threadedComment ref="K7" dT="2020-04-27T19:49:37.46" personId="{D2815B33-11D7-49E5-97A6-8F244408F7FE}" id="{C9AA2DF0-78A2-4909-8ABE-26446F791401}">
    <text>Cotação de fechamento do mês</text>
  </threadedComment>
  <threadedComment ref="L7" dT="2020-04-27T19:50:30.02" personId="{D2815B33-11D7-49E5-97A6-8F244408F7FE}" id="{88DD79DF-B6BB-43F6-A8FA-CFB206597B3F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749CF765-772F-4A49-86DF-6CD58BEC07AE}">
    <text>Pontuação de fechamento do Ibovespa no último dia do mês anterior</text>
  </threadedComment>
  <threadedComment ref="K19" dT="2020-04-27T19:42:31.26" personId="{D2815B33-11D7-49E5-97A6-8F244408F7FE}" id="{07356645-3094-4733-BF9D-DA662AAC262A}">
    <text>Pontuação de fechamento do Ibovespa no mês correspondente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88FEA80-25FE-4B75-801E-3CA19B3D65FC}">
    <text>Inserir código dos ativos que se deseja comprar</text>
  </threadedComment>
  <threadedComment ref="E7" dT="2020-04-27T19:44:42.32" personId="{D2815B33-11D7-49E5-97A6-8F244408F7FE}" id="{CEEFC563-CA86-4D43-8A28-44C59565EF4E}">
    <text>Composição desejada pelo membro (percentual da carteira)</text>
  </threadedComment>
  <threadedComment ref="F7" dT="2020-04-27T19:45:28.33" personId="{D2815B33-11D7-49E5-97A6-8F244408F7FE}" id="{67270B89-2037-4C96-98AE-5AC1319F80E0}">
    <text>Preço baseados no fechamento do último pregão do mês.</text>
  </threadedComment>
  <threadedComment ref="G7" dT="2020-04-27T19:48:28.11" personId="{D2815B33-11D7-49E5-97A6-8F244408F7FE}" id="{A67FB370-0C52-49A8-A768-D7E315EF6814}">
    <text>Nº REAL DE LOTES SEGUNDO A FÓRMULA</text>
  </threadedComment>
  <threadedComment ref="H7" dT="2020-04-27T19:48:41.34" personId="{D2815B33-11D7-49E5-97A6-8F244408F7FE}" id="{3539FD91-F263-4EEF-A963-3C45A456AB66}">
    <text>Nº REAL DE LOTES DESEJADO</text>
  </threadedComment>
  <threadedComment ref="J7" dT="2020-04-27T19:49:07.36" personId="{D2815B33-11D7-49E5-97A6-8F244408F7FE}" id="{911F194A-5361-48A6-BB68-1ADA0719DA33}">
    <text>Composição final da carteira com base no que realmente foi "comprado"</text>
  </threadedComment>
  <threadedComment ref="K7" dT="2020-04-27T19:49:37.46" personId="{D2815B33-11D7-49E5-97A6-8F244408F7FE}" id="{8A368ABE-FCEC-42C2-ABA5-0C33242F0033}">
    <text>Cotação de fechamento do mês</text>
  </threadedComment>
  <threadedComment ref="L7" dT="2020-04-27T19:50:30.02" personId="{D2815B33-11D7-49E5-97A6-8F244408F7FE}" id="{40CE3917-303A-4788-A324-9259519F02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61D265A0-D3CE-448D-8970-3F6F8B2C2890}">
    <text>Pontuação de fechamento do Ibovespa no último dia do mês anterior</text>
  </threadedComment>
  <threadedComment ref="K19" dT="2020-04-27T19:42:31.26" personId="{D2815B33-11D7-49E5-97A6-8F244408F7FE}" id="{9B3A2961-CCBE-4C8B-9D39-B4D400A339C0}">
    <text>Pontuação de fechamento do Ibovespa no mês correspondente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D3C70F70-EF06-4993-8D58-DA19E78162EF}">
    <text>Inserir código dos ativos que se deseja comprar</text>
  </threadedComment>
  <threadedComment ref="E7" dT="2020-04-27T19:44:42.32" personId="{D2815B33-11D7-49E5-97A6-8F244408F7FE}" id="{482EA452-15E1-4C06-9E5B-1E2B1E779CD8}">
    <text>Composição desejada pelo membro (percentual da carteira)</text>
  </threadedComment>
  <threadedComment ref="F7" dT="2020-04-27T19:45:28.33" personId="{D2815B33-11D7-49E5-97A6-8F244408F7FE}" id="{9A534764-84B7-4D11-ACAE-E5B0C927D501}">
    <text>Preço baseados no fechamento do último pregão do mês.</text>
  </threadedComment>
  <threadedComment ref="G7" dT="2020-04-27T19:48:28.11" personId="{D2815B33-11D7-49E5-97A6-8F244408F7FE}" id="{1042266D-BD10-4E7A-A27E-E54248919544}">
    <text>Nº REAL DE LOTES SEGUNDO A FÓRMULA</text>
  </threadedComment>
  <threadedComment ref="H7" dT="2020-04-27T19:48:41.34" personId="{D2815B33-11D7-49E5-97A6-8F244408F7FE}" id="{6AB3508A-F023-47E0-8758-9E254731109F}">
    <text>Nº REAL DE LOTES DESEJADO</text>
  </threadedComment>
  <threadedComment ref="J7" dT="2020-04-27T19:49:07.36" personId="{D2815B33-11D7-49E5-97A6-8F244408F7FE}" id="{E467A9D0-3AC5-48AA-AB4B-0596D221D80B}">
    <text>Composição final da carteira com base no que realmente foi "comprado"</text>
  </threadedComment>
  <threadedComment ref="K7" dT="2020-04-27T19:49:37.46" personId="{D2815B33-11D7-49E5-97A6-8F244408F7FE}" id="{F12B247E-BCA5-477C-B996-9CCAB97EBC73}">
    <text>Cotação de fechamento do mês</text>
  </threadedComment>
  <threadedComment ref="L7" dT="2020-04-27T19:50:30.02" personId="{D2815B33-11D7-49E5-97A6-8F244408F7FE}" id="{8BD41DE3-2870-4F87-8E2D-1ADC8683C4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2B760078-2817-46A2-84E7-B32BDF66B513}">
    <text>Pontuação de fechamento do Ibovespa no último dia do mês anterior</text>
  </threadedComment>
  <threadedComment ref="K19" dT="2020-04-27T19:42:31.26" personId="{D2815B33-11D7-49E5-97A6-8F244408F7FE}" id="{A19E2F08-15C5-4CCF-9AE6-B026D0393041}">
    <text>Pontuação de fechamento do Ibovespa no mês correspondente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07E85AC-9A32-429A-8573-60CAA2E2CBE1}">
    <text>Inserir código dos ativos que se deseja comprar</text>
  </threadedComment>
  <threadedComment ref="E7" dT="2020-04-27T19:44:42.32" personId="{D2815B33-11D7-49E5-97A6-8F244408F7FE}" id="{B581FA51-5EBA-4EF3-8253-BC5F13F97ACB}">
    <text>Composição desejada pelo membro (percentual da carteira)</text>
  </threadedComment>
  <threadedComment ref="F7" dT="2020-04-27T19:45:28.33" personId="{D2815B33-11D7-49E5-97A6-8F244408F7FE}" id="{1D50B807-28CB-43F3-B1A8-D846F0D413B9}">
    <text>Preço baseados no fechamento do último pregão do mês.</text>
  </threadedComment>
  <threadedComment ref="G7" dT="2020-04-27T19:48:28.11" personId="{D2815B33-11D7-49E5-97A6-8F244408F7FE}" id="{97E5CDF9-55D6-498D-81F0-2259C41ABB07}">
    <text>Nº REAL DE LOTES SEGUNDO A FÓRMULA</text>
  </threadedComment>
  <threadedComment ref="H7" dT="2020-04-27T19:48:41.34" personId="{D2815B33-11D7-49E5-97A6-8F244408F7FE}" id="{654B4EFE-0B9A-43F7-914D-757CF1F3E8C9}">
    <text>Nº REAL DE LOTES DESEJADO</text>
  </threadedComment>
  <threadedComment ref="J7" dT="2020-04-27T19:49:07.36" personId="{D2815B33-11D7-49E5-97A6-8F244408F7FE}" id="{AD8998AF-BD4D-4740-8218-D5E48EA496FB}">
    <text>Composição final da carteira com base no que realmente foi "comprado"</text>
  </threadedComment>
  <threadedComment ref="K7" dT="2020-04-27T19:49:37.46" personId="{D2815B33-11D7-49E5-97A6-8F244408F7FE}" id="{A206ADB7-07A0-447C-B4E8-C4759AA390F9}">
    <text>Cotação de fechamento do mês</text>
  </threadedComment>
  <threadedComment ref="L7" dT="2020-04-27T19:50:30.02" personId="{D2815B33-11D7-49E5-97A6-8F244408F7FE}" id="{745D8065-1CCB-4A4A-8DA3-9C0464129F3C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0D9DA082-B953-4C29-8054-D9D1AB2A5627}">
    <text>Pontuação de fechamento do Ibovespa no último dia do mês anterior</text>
  </threadedComment>
  <threadedComment ref="K19" dT="2020-04-27T19:42:31.26" personId="{D2815B33-11D7-49E5-97A6-8F244408F7FE}" id="{7A93F0BE-01CD-45D5-AD9B-AFF63BCD89AF}">
    <text>Pontuação de fechamento do Ibovespa no mês correspondente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1E98A9A8-8A31-4E85-A1E4-8D2B0D046D33}">
    <text>Inserir código dos ativos que se deseja comprar</text>
  </threadedComment>
  <threadedComment ref="E7" dT="2020-04-27T19:44:42.32" personId="{D2815B33-11D7-49E5-97A6-8F244408F7FE}" id="{635F5587-80CB-4175-82EB-8696C6EB688A}">
    <text>Composição desejada pelo membro (percentual da carteira)</text>
  </threadedComment>
  <threadedComment ref="F7" dT="2020-04-27T19:45:28.33" personId="{D2815B33-11D7-49E5-97A6-8F244408F7FE}" id="{2F5A09F0-B440-4069-A8B9-8C72BF0DD6C4}">
    <text>Preço baseados no fechamento do último pregão do mês.</text>
  </threadedComment>
  <threadedComment ref="G7" dT="2020-04-27T19:48:28.11" personId="{D2815B33-11D7-49E5-97A6-8F244408F7FE}" id="{38FC7AD3-3124-4A5E-BDE8-58C6037BC265}">
    <text>Nº REAL DE LOTES SEGUNDO A FÓRMULA</text>
  </threadedComment>
  <threadedComment ref="H7" dT="2020-04-27T19:48:41.34" personId="{D2815B33-11D7-49E5-97A6-8F244408F7FE}" id="{731A9A4C-0552-4189-9240-15D17773F725}">
    <text>Nº REAL DE LOTES DESEJADO</text>
  </threadedComment>
  <threadedComment ref="J7" dT="2020-04-27T19:49:07.36" personId="{D2815B33-11D7-49E5-97A6-8F244408F7FE}" id="{A5087398-BF86-4E43-8F71-48466C1D45B9}">
    <text>Composição final da carteira com base no que realmente foi "comprado"</text>
  </threadedComment>
  <threadedComment ref="K7" dT="2020-04-27T19:49:37.46" personId="{D2815B33-11D7-49E5-97A6-8F244408F7FE}" id="{D90697C3-E758-437E-B73C-4FF449A2E749}">
    <text>Cotação de fechamento do mês</text>
  </threadedComment>
  <threadedComment ref="L7" dT="2020-04-27T19:50:30.02" personId="{D2815B33-11D7-49E5-97A6-8F244408F7FE}" id="{7BFADBC6-9362-469E-8D5C-202A68C2FE7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8DE47843-3F50-4C53-84E8-E181295C736A}">
    <text>Pontuação de fechamento do Ibovespa no último dia do mês anterior</text>
  </threadedComment>
  <threadedComment ref="K19" dT="2020-04-27T19:42:31.26" personId="{D2815B33-11D7-49E5-97A6-8F244408F7FE}" id="{D4C375FA-6293-45BD-833F-7360BA536125}">
    <text>Pontuação de fechamento do Ibovespa no mês correspondente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7964B61-810C-4DF8-91B9-EDB3014B5FE5}">
    <text>Inserir código dos ativos que se deseja comprar</text>
  </threadedComment>
  <threadedComment ref="E7" dT="2020-04-27T19:44:42.32" personId="{D2815B33-11D7-49E5-97A6-8F244408F7FE}" id="{C0C54AC5-B3BD-4CAE-A8E0-0DAA5C3199C0}">
    <text>Composição desejada pelo membro (percentual da carteira)</text>
  </threadedComment>
  <threadedComment ref="F7" dT="2020-04-27T19:45:28.33" personId="{D2815B33-11D7-49E5-97A6-8F244408F7FE}" id="{1BBFF5F6-B6EA-4BE6-A0FB-3C74693184DC}">
    <text>Preço baseados no fechamento do último pregão do mês.</text>
  </threadedComment>
  <threadedComment ref="G7" dT="2020-04-27T19:48:28.11" personId="{D2815B33-11D7-49E5-97A6-8F244408F7FE}" id="{AA5F370C-5DB6-4664-BFF2-2631DD80AF21}">
    <text>Nº REAL DE LOTES SEGUNDO A FÓRMULA</text>
  </threadedComment>
  <threadedComment ref="H7" dT="2020-04-27T19:48:41.34" personId="{D2815B33-11D7-49E5-97A6-8F244408F7FE}" id="{421E120E-2047-4EB4-9508-9F38F8186301}">
    <text>Nº REAL DE LOTES DESEJADO</text>
  </threadedComment>
  <threadedComment ref="J7" dT="2020-04-27T19:49:07.36" personId="{D2815B33-11D7-49E5-97A6-8F244408F7FE}" id="{4AAA708A-8571-4DFC-A79E-3756C2F92E2B}">
    <text>Composição final da carteira com base no que realmente foi "comprado"</text>
  </threadedComment>
  <threadedComment ref="K7" dT="2020-04-27T19:49:37.46" personId="{D2815B33-11D7-49E5-97A6-8F244408F7FE}" id="{BC8B0F31-23E3-4FDA-A976-62F7687EBFAE}">
    <text>Cotação de fechamento do mês</text>
  </threadedComment>
  <threadedComment ref="L7" dT="2020-04-27T19:50:30.02" personId="{D2815B33-11D7-49E5-97A6-8F244408F7FE}" id="{16BEA4CA-31A5-4087-8E14-71966A7E538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C14A0E4E-BBB4-4492-9C97-EE12FDD28DA8}">
    <text>Pontuação de fechamento do Ibovespa no último dia do mês anterior</text>
  </threadedComment>
  <threadedComment ref="K19" dT="2020-04-27T19:42:31.26" personId="{D2815B33-11D7-49E5-97A6-8F244408F7FE}" id="{FEF8E825-B3A9-4C57-9CA5-C61A739C92A8}">
    <text>Pontuação de fechamento do Ibovespa no mês correspondente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A0C285BA-F422-4DD9-9B84-EB210939840E}">
    <text>Inserir código dos ativos que se deseja comprar</text>
  </threadedComment>
  <threadedComment ref="E7" dT="2020-04-27T19:44:42.32" personId="{D2815B33-11D7-49E5-97A6-8F244408F7FE}" id="{40E5B91B-B676-455F-9368-D0A1AC144889}">
    <text>Composição desejada pelo membro (percentual da carteira)</text>
  </threadedComment>
  <threadedComment ref="F7" dT="2020-04-27T19:45:28.33" personId="{D2815B33-11D7-49E5-97A6-8F244408F7FE}" id="{B2A3DBD5-0D5C-42F5-9263-DB1694B43BC1}">
    <text>Preço baseados no fechamento do último pregão do mês.</text>
  </threadedComment>
  <threadedComment ref="G7" dT="2020-04-27T19:48:28.11" personId="{D2815B33-11D7-49E5-97A6-8F244408F7FE}" id="{4166CF13-92FA-4D1D-B5BD-0739D160D423}">
    <text>Nº REAL DE LOTES SEGUNDO A FÓRMULA</text>
  </threadedComment>
  <threadedComment ref="H7" dT="2020-04-27T19:48:41.34" personId="{D2815B33-11D7-49E5-97A6-8F244408F7FE}" id="{7893E8D5-DE99-4C03-AE57-0DD7A8B8D782}">
    <text>Nº REAL DE LOTES DESEJADO</text>
  </threadedComment>
  <threadedComment ref="J7" dT="2020-04-27T19:49:07.36" personId="{D2815B33-11D7-49E5-97A6-8F244408F7FE}" id="{66B7981D-AD7C-43E2-BC9C-A617DEC2C203}">
    <text>Composição final da carteira com base no que realmente foi "comprado"</text>
  </threadedComment>
  <threadedComment ref="K7" dT="2020-04-27T19:49:37.46" personId="{D2815B33-11D7-49E5-97A6-8F244408F7FE}" id="{00A22400-096C-466C-A7E7-B4FBAD053C23}">
    <text>Cotação de fechamento do mês</text>
  </threadedComment>
  <threadedComment ref="L7" dT="2020-04-27T19:50:30.02" personId="{D2815B33-11D7-49E5-97A6-8F244408F7FE}" id="{A422C7BC-6ED1-4B5C-813A-9C0FDF863B3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4052D1C2-B057-4DFE-AC2F-480A005CDCAB}">
    <text>Pontuação de fechamento do Ibovespa no último dia do mês anterior</text>
  </threadedComment>
  <threadedComment ref="K19" dT="2020-04-27T19:42:31.26" personId="{D2815B33-11D7-49E5-97A6-8F244408F7FE}" id="{F8C20322-B2AB-4522-BF40-B2ACA39B5C31}">
    <text>Pontuação de fechamento do Ibovespa no mês correspondente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E83EB81F-37DE-4374-934A-DB95FAA4247E}">
    <text>Inserir código dos ativos que se deseja comprar</text>
  </threadedComment>
  <threadedComment ref="E7" dT="2020-04-27T19:44:42.32" personId="{D2815B33-11D7-49E5-97A6-8F244408F7FE}" id="{16EC303E-53C4-4F53-99A3-0F155DE169CF}">
    <text>Composição desejada pelo membro (percentual da carteira)</text>
  </threadedComment>
  <threadedComment ref="F7" dT="2020-04-27T19:45:28.33" personId="{D2815B33-11D7-49E5-97A6-8F244408F7FE}" id="{A782504A-B6F7-498C-B6FA-F9529EE00516}">
    <text>Preço baseados no fechamento do último pregão do mês.</text>
  </threadedComment>
  <threadedComment ref="G7" dT="2020-04-27T19:48:28.11" personId="{D2815B33-11D7-49E5-97A6-8F244408F7FE}" id="{B7F0E5A7-B09A-480D-8E54-2447CB993BB1}">
    <text>Nº REAL DE LOTES SEGUNDO A FÓRMULA</text>
  </threadedComment>
  <threadedComment ref="H7" dT="2020-04-27T19:48:41.34" personId="{D2815B33-11D7-49E5-97A6-8F244408F7FE}" id="{5EA5737E-F53A-4530-BB43-1AAB510DEECE}">
    <text>Nº REAL DE LOTES DESEJADO</text>
  </threadedComment>
  <threadedComment ref="J7" dT="2020-04-27T19:49:07.36" personId="{D2815B33-11D7-49E5-97A6-8F244408F7FE}" id="{1D77E804-465B-4171-9176-39CB82D428CB}">
    <text>Composição final da carteira com base no que realmente foi "comprado"</text>
  </threadedComment>
  <threadedComment ref="K7" dT="2020-04-27T19:49:37.46" personId="{D2815B33-11D7-49E5-97A6-8F244408F7FE}" id="{DEC0A3F1-5812-4030-ABD7-59988F89926F}">
    <text>Cotação de fechamento do mês</text>
  </threadedComment>
  <threadedComment ref="L7" dT="2020-04-27T19:50:30.02" personId="{D2815B33-11D7-49E5-97A6-8F244408F7FE}" id="{D6DAED45-4578-4201-93C8-19F06DA3B64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ED257713-68C3-4210-BCF1-B68356BB7592}">
    <text>Pontuação de fechamento do Ibovespa no último dia do mês anterior</text>
  </threadedComment>
  <threadedComment ref="K19" dT="2020-04-27T19:42:31.26" personId="{D2815B33-11D7-49E5-97A6-8F244408F7FE}" id="{BB1F67A7-0656-4DEE-A61F-B9F0AD903AB7}">
    <text>Pontuação de fechamento do Ibovespa no mês correspondente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8"/>
  <sheetViews>
    <sheetView showGridLines="0" topLeftCell="A2" workbookViewId="0">
      <selection activeCell="B20" sqref="B20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9" t="s">
        <v>0</v>
      </c>
      <c r="E2" s="50"/>
      <c r="F2" s="51"/>
      <c r="G2" s="13"/>
      <c r="H2" s="13"/>
      <c r="I2" s="42">
        <f>SUM(L8:L17)</f>
        <v>0.25393219610466039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v>100000</v>
      </c>
      <c r="E4" s="19">
        <f>IF(SUM(I8:I17)&lt;=D4,SUM(I8:I17),"VALOR ACIMA DO DISPONÍVEL")</f>
        <v>99575.400000000009</v>
      </c>
      <c r="F4" s="20">
        <f>(E4*I2)+E4+(D4-E4)</f>
        <v>125285.40000000001</v>
      </c>
      <c r="G4" s="13"/>
      <c r="H4" s="13"/>
      <c r="I4" s="37">
        <f>F4/D4-1</f>
        <v>0.25285400000000013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2" t="s">
        <v>25</v>
      </c>
      <c r="D6" s="53"/>
      <c r="E6" s="53"/>
      <c r="F6" s="53"/>
      <c r="G6" s="53"/>
      <c r="H6" s="53"/>
      <c r="I6" s="53"/>
      <c r="J6" s="53"/>
      <c r="K6" s="53"/>
      <c r="L6" s="53"/>
      <c r="M6" s="5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5" t="s">
        <v>4</v>
      </c>
      <c r="D7" s="5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57" t="s">
        <v>12</v>
      </c>
      <c r="M7" s="5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21</v>
      </c>
      <c r="E8" s="25">
        <v>0.1</v>
      </c>
      <c r="F8" s="26">
        <v>8.77</v>
      </c>
      <c r="G8" s="27">
        <f t="shared" ref="G8:G17" si="0">((E8*$D$4)/100)/F8</f>
        <v>11.402508551881414</v>
      </c>
      <c r="H8" s="28">
        <v>11.4</v>
      </c>
      <c r="I8" s="29">
        <f>H8*F8*100</f>
        <v>9997.7999999999993</v>
      </c>
      <c r="J8" s="30">
        <f>I8/$E$4</f>
        <v>0.1004043167288306</v>
      </c>
      <c r="K8" s="31">
        <v>9</v>
      </c>
      <c r="L8" s="32">
        <f t="shared" ref="L8:L17" si="1">IFERROR((K8/F8-1)*J8,0)</f>
        <v>2.6331804843364999E-3</v>
      </c>
      <c r="M8" s="33">
        <f t="shared" ref="M8:M17" si="2">IFERROR(L8/J8,0)</f>
        <v>2.6225769669327326E-2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30</v>
      </c>
      <c r="E9" s="25">
        <v>0.1</v>
      </c>
      <c r="F9" s="26">
        <v>43.22</v>
      </c>
      <c r="G9" s="27">
        <f t="shared" si="0"/>
        <v>2.3137436372049978</v>
      </c>
      <c r="H9" s="28">
        <v>2.2999999999999998</v>
      </c>
      <c r="I9" s="29">
        <f t="shared" ref="I9:I16" si="3">H9*F9*100</f>
        <v>9940.5999999999985</v>
      </c>
      <c r="J9" s="30">
        <f t="shared" ref="J9:J17" si="4">I9/$E$4</f>
        <v>9.9829877660546656E-2</v>
      </c>
      <c r="K9" s="31">
        <v>44.86</v>
      </c>
      <c r="L9" s="36">
        <f t="shared" si="1"/>
        <v>3.7880842055367202E-3</v>
      </c>
      <c r="M9" s="33">
        <f t="shared" si="2"/>
        <v>3.7945395650162084E-2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31</v>
      </c>
      <c r="E10" s="25">
        <v>0.1</v>
      </c>
      <c r="F10" s="26">
        <v>5.28</v>
      </c>
      <c r="G10" s="27">
        <f t="shared" si="0"/>
        <v>18.939393939393938</v>
      </c>
      <c r="H10" s="28">
        <v>18.899999999999999</v>
      </c>
      <c r="I10" s="29">
        <f>H10*F10*100</f>
        <v>9979.2000000000007</v>
      </c>
      <c r="J10" s="30">
        <f t="shared" si="4"/>
        <v>0.1002175236052278</v>
      </c>
      <c r="K10" s="31">
        <v>9.18</v>
      </c>
      <c r="L10" s="36">
        <f t="shared" si="1"/>
        <v>7.4024307208406886E-2</v>
      </c>
      <c r="M10" s="33">
        <f t="shared" si="2"/>
        <v>0.73863636363636354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32</v>
      </c>
      <c r="E11" s="25">
        <v>0.1</v>
      </c>
      <c r="F11" s="26">
        <v>13.99</v>
      </c>
      <c r="G11" s="27">
        <f t="shared" si="0"/>
        <v>7.147962830593281</v>
      </c>
      <c r="H11" s="28">
        <v>7.1</v>
      </c>
      <c r="I11" s="29">
        <f t="shared" si="3"/>
        <v>9932.9</v>
      </c>
      <c r="J11" s="30">
        <f t="shared" si="4"/>
        <v>9.9752549324431519E-2</v>
      </c>
      <c r="K11" s="31">
        <v>18.05</v>
      </c>
      <c r="L11" s="36">
        <f t="shared" si="1"/>
        <v>2.8948917102015151E-2</v>
      </c>
      <c r="M11" s="33">
        <f t="shared" si="2"/>
        <v>0.29020729092208719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33</v>
      </c>
      <c r="E12" s="25">
        <v>0.1</v>
      </c>
      <c r="F12" s="26">
        <v>22.7</v>
      </c>
      <c r="G12" s="27">
        <f t="shared" si="0"/>
        <v>4.4052863436123353</v>
      </c>
      <c r="H12" s="28">
        <v>4.4000000000000004</v>
      </c>
      <c r="I12" s="29">
        <f>H12*F12*100</f>
        <v>9988.0000000000018</v>
      </c>
      <c r="J12" s="30">
        <f t="shared" si="4"/>
        <v>0.10030589884650226</v>
      </c>
      <c r="K12" s="31">
        <v>24</v>
      </c>
      <c r="L12" s="36">
        <f t="shared" si="1"/>
        <v>5.7443906828393365E-3</v>
      </c>
      <c r="M12" s="33">
        <f t="shared" si="2"/>
        <v>5.7268722466960353E-2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34</v>
      </c>
      <c r="E13" s="25">
        <v>0.1</v>
      </c>
      <c r="F13" s="26">
        <v>7.95</v>
      </c>
      <c r="G13" s="27">
        <f t="shared" si="0"/>
        <v>12.578616352201257</v>
      </c>
      <c r="H13" s="28">
        <v>12.5</v>
      </c>
      <c r="I13" s="29">
        <f t="shared" si="3"/>
        <v>9937.5</v>
      </c>
      <c r="J13" s="30">
        <f t="shared" si="4"/>
        <v>9.9798745473279535E-2</v>
      </c>
      <c r="K13" s="31">
        <v>12.26</v>
      </c>
      <c r="L13" s="36">
        <f t="shared" si="1"/>
        <v>5.4104728677966632E-2</v>
      </c>
      <c r="M13" s="33">
        <f t="shared" si="2"/>
        <v>0.54213836477987409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35</v>
      </c>
      <c r="E14" s="25">
        <v>0.1</v>
      </c>
      <c r="F14" s="26">
        <v>14.26</v>
      </c>
      <c r="G14" s="27">
        <f t="shared" si="0"/>
        <v>7.0126227208976157</v>
      </c>
      <c r="H14" s="28">
        <v>7</v>
      </c>
      <c r="I14" s="29">
        <f t="shared" si="3"/>
        <v>9982</v>
      </c>
      <c r="J14" s="30">
        <f t="shared" si="4"/>
        <v>0.10024564300017876</v>
      </c>
      <c r="K14" s="31">
        <v>13.75</v>
      </c>
      <c r="L14" s="36">
        <f t="shared" si="1"/>
        <v>-3.5852228562476313E-3</v>
      </c>
      <c r="M14" s="33">
        <f t="shared" si="2"/>
        <v>-3.5764375876577881E-2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38</v>
      </c>
      <c r="E15" s="25">
        <v>0.1</v>
      </c>
      <c r="F15" s="26">
        <v>15.99</v>
      </c>
      <c r="G15" s="27">
        <f t="shared" si="0"/>
        <v>6.2539086929330834</v>
      </c>
      <c r="H15" s="28">
        <v>6.2</v>
      </c>
      <c r="I15" s="29">
        <f t="shared" si="3"/>
        <v>9913.8000000000011</v>
      </c>
      <c r="J15" s="30">
        <f t="shared" si="4"/>
        <v>9.956073488030176E-2</v>
      </c>
      <c r="K15" s="31">
        <v>17.809999999999999</v>
      </c>
      <c r="L15" s="36">
        <f t="shared" si="1"/>
        <v>1.1332116165237594E-2</v>
      </c>
      <c r="M15" s="33">
        <f t="shared" si="2"/>
        <v>0.11382113821138207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36</v>
      </c>
      <c r="E16" s="25">
        <v>0.1</v>
      </c>
      <c r="F16" s="26">
        <v>4</v>
      </c>
      <c r="G16" s="27">
        <f t="shared" si="0"/>
        <v>25</v>
      </c>
      <c r="H16" s="28">
        <v>25</v>
      </c>
      <c r="I16" s="29">
        <f t="shared" si="3"/>
        <v>10000</v>
      </c>
      <c r="J16" s="30">
        <f t="shared" si="4"/>
        <v>0.10042641053914922</v>
      </c>
      <c r="K16" s="31">
        <v>5.54</v>
      </c>
      <c r="L16" s="36">
        <f t="shared" si="1"/>
        <v>3.8664168057572453E-2</v>
      </c>
      <c r="M16" s="33">
        <f t="shared" si="2"/>
        <v>0.38500000000000001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37</v>
      </c>
      <c r="E17" s="25">
        <v>0.1</v>
      </c>
      <c r="F17" s="26">
        <v>15.72</v>
      </c>
      <c r="G17" s="27">
        <f t="shared" si="0"/>
        <v>6.3613231552162848</v>
      </c>
      <c r="H17" s="28">
        <v>6.3</v>
      </c>
      <c r="I17" s="29">
        <f>H17*F17*100</f>
        <v>9903.6</v>
      </c>
      <c r="J17" s="30">
        <f t="shared" si="4"/>
        <v>9.9458299941551823E-2</v>
      </c>
      <c r="K17" s="31">
        <v>21.77</v>
      </c>
      <c r="L17" s="36">
        <f t="shared" si="1"/>
        <v>3.8277526376996711E-2</v>
      </c>
      <c r="M17" s="33">
        <f t="shared" si="2"/>
        <v>0.38486005089058511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46" t="s">
        <v>22</v>
      </c>
      <c r="D18" s="46"/>
      <c r="E18" s="46"/>
      <c r="F18" s="4">
        <v>100000</v>
      </c>
      <c r="G18" s="3"/>
      <c r="H18" s="3"/>
      <c r="I18" s="3"/>
      <c r="J18" s="4"/>
      <c r="K18" s="2">
        <f>F4</f>
        <v>125285.40000000001</v>
      </c>
      <c r="L18" s="47">
        <f t="shared" ref="L18" si="5">(K18/F18-1)</f>
        <v>0.25285400000000013</v>
      </c>
      <c r="M18" s="48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46" t="s">
        <v>24</v>
      </c>
      <c r="D19" s="46"/>
      <c r="E19" s="46"/>
      <c r="F19" s="11">
        <v>73019.759999999995</v>
      </c>
      <c r="G19" s="6"/>
      <c r="H19" s="6"/>
      <c r="I19" s="6"/>
      <c r="J19" s="7"/>
      <c r="K19" s="5">
        <v>80505.89</v>
      </c>
      <c r="L19" s="47">
        <f>(K19/F19-1)</f>
        <v>0.10252197487365078</v>
      </c>
      <c r="M19" s="48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8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8"/>
  <sheetViews>
    <sheetView showGridLines="0" workbookViewId="0">
      <selection activeCell="I4" sqref="I4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14" width="8.7109375" customWidth="1"/>
    <col min="15" max="15" width="9.5703125" bestFit="1" customWidth="1"/>
    <col min="16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9" t="s">
        <v>0</v>
      </c>
      <c r="E2" s="50"/>
      <c r="F2" s="51"/>
      <c r="G2" s="13"/>
      <c r="H2" s="13"/>
      <c r="I2" s="42">
        <f>SUM(L8:L17)</f>
        <v>7.5532531154099816E-2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v>100000</v>
      </c>
      <c r="E4" s="19">
        <f>IF(SUM(I8:I17)&lt;=D4,SUM(I8:I17),"VALOR ACIMA DO DISPONÍVEL")</f>
        <v>99778.200000000012</v>
      </c>
      <c r="F4" s="20">
        <f>(E4*I2)+E4+(D4-E4)</f>
        <v>107536.5</v>
      </c>
      <c r="G4" s="13"/>
      <c r="H4" s="13"/>
      <c r="I4" s="37">
        <f>F4/D4-1</f>
        <v>7.5364999999999904E-2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2" t="s">
        <v>25</v>
      </c>
      <c r="D6" s="53"/>
      <c r="E6" s="53"/>
      <c r="F6" s="53"/>
      <c r="G6" s="53"/>
      <c r="H6" s="53"/>
      <c r="I6" s="53"/>
      <c r="J6" s="53"/>
      <c r="K6" s="53"/>
      <c r="L6" s="53"/>
      <c r="M6" s="5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5" t="s">
        <v>4</v>
      </c>
      <c r="D7" s="5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57" t="s">
        <v>12</v>
      </c>
      <c r="M7" s="5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21</v>
      </c>
      <c r="E8" s="25">
        <v>0.1</v>
      </c>
      <c r="F8" s="26">
        <v>9</v>
      </c>
      <c r="G8" s="27">
        <f t="shared" ref="G8:G17" si="0">((E8*$D$4)/100)/F8</f>
        <v>11.111111111111111</v>
      </c>
      <c r="H8" s="28">
        <v>11.5</v>
      </c>
      <c r="I8" s="29">
        <f>H8*F8*100</f>
        <v>10350</v>
      </c>
      <c r="J8" s="30">
        <f>I8/$E$4</f>
        <v>0.10373007330258512</v>
      </c>
      <c r="K8" s="31">
        <v>8.86</v>
      </c>
      <c r="L8" s="32">
        <f t="shared" ref="L8:L17" si="1">IFERROR((K8/F8-1)*J8,0)</f>
        <v>-1.6135789180402233E-3</v>
      </c>
      <c r="M8" s="33">
        <f t="shared" ref="M8:M17" si="2">IFERROR(L8/J8,0)</f>
        <v>-1.5555555555555656E-2</v>
      </c>
      <c r="N8" s="1"/>
      <c r="O8" s="43">
        <f>H8*100</f>
        <v>1150</v>
      </c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30</v>
      </c>
      <c r="E9" s="25">
        <v>0.1</v>
      </c>
      <c r="F9" s="26">
        <v>44.86</v>
      </c>
      <c r="G9" s="27">
        <f t="shared" si="0"/>
        <v>2.2291573785109229</v>
      </c>
      <c r="H9" s="28">
        <v>2.2000000000000002</v>
      </c>
      <c r="I9" s="29">
        <f t="shared" ref="I9:I16" si="3">H9*F9*100</f>
        <v>9869.2000000000007</v>
      </c>
      <c r="J9" s="30">
        <f t="shared" ref="J9:J17" si="4">I9/$E$4</f>
        <v>9.8911385452934611E-2</v>
      </c>
      <c r="K9" s="31">
        <v>53</v>
      </c>
      <c r="L9" s="36">
        <f t="shared" si="1"/>
        <v>1.7947808238673389E-2</v>
      </c>
      <c r="M9" s="33">
        <f t="shared" si="2"/>
        <v>0.18145341061078923</v>
      </c>
      <c r="N9" s="1"/>
      <c r="O9" s="43">
        <f t="shared" ref="O9:O17" si="5">H9*100</f>
        <v>220.00000000000003</v>
      </c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31</v>
      </c>
      <c r="E10" s="25">
        <v>0.1</v>
      </c>
      <c r="F10" s="26">
        <v>9.18</v>
      </c>
      <c r="G10" s="27">
        <f t="shared" si="0"/>
        <v>10.893246187363834</v>
      </c>
      <c r="H10" s="28">
        <v>10.9</v>
      </c>
      <c r="I10" s="29">
        <f>H10*F10*100</f>
        <v>10006.199999999999</v>
      </c>
      <c r="J10" s="30">
        <f t="shared" si="4"/>
        <v>0.10028443086766446</v>
      </c>
      <c r="K10" s="31">
        <v>12.4</v>
      </c>
      <c r="L10" s="36">
        <f t="shared" si="1"/>
        <v>3.5176020413276658E-2</v>
      </c>
      <c r="M10" s="33">
        <f t="shared" si="2"/>
        <v>0.35076252723311563</v>
      </c>
      <c r="N10" s="1"/>
      <c r="O10" s="43">
        <f t="shared" si="5"/>
        <v>1090</v>
      </c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32</v>
      </c>
      <c r="E11" s="25">
        <v>0.1</v>
      </c>
      <c r="F11" s="26">
        <v>18.05</v>
      </c>
      <c r="G11" s="27">
        <f t="shared" si="0"/>
        <v>5.5401662049861491</v>
      </c>
      <c r="H11" s="28">
        <v>5.5</v>
      </c>
      <c r="I11" s="29">
        <f t="shared" si="3"/>
        <v>9927.5</v>
      </c>
      <c r="J11" s="30">
        <f t="shared" si="4"/>
        <v>9.9495681421392632E-2</v>
      </c>
      <c r="K11" s="31">
        <v>20.34</v>
      </c>
      <c r="L11" s="36">
        <f t="shared" si="1"/>
        <v>1.2622997809140675E-2</v>
      </c>
      <c r="M11" s="33">
        <f t="shared" si="2"/>
        <v>0.12686980609418286</v>
      </c>
      <c r="N11" s="1"/>
      <c r="O11" s="43">
        <f t="shared" si="5"/>
        <v>550</v>
      </c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33</v>
      </c>
      <c r="E12" s="25">
        <v>0.1</v>
      </c>
      <c r="F12" s="26">
        <v>23.64</v>
      </c>
      <c r="G12" s="27">
        <f t="shared" si="0"/>
        <v>4.230118443316413</v>
      </c>
      <c r="H12" s="28">
        <v>4.2</v>
      </c>
      <c r="I12" s="29">
        <f>H12*F12*100</f>
        <v>9928.8000000000011</v>
      </c>
      <c r="J12" s="30">
        <f t="shared" si="4"/>
        <v>9.950871031948863E-2</v>
      </c>
      <c r="K12" s="31">
        <v>24.91</v>
      </c>
      <c r="L12" s="36">
        <f t="shared" si="1"/>
        <v>5.3458571110723517E-3</v>
      </c>
      <c r="M12" s="33">
        <f t="shared" si="2"/>
        <v>5.3722504230118373E-2</v>
      </c>
      <c r="N12" s="1"/>
      <c r="O12" s="43">
        <f t="shared" si="5"/>
        <v>420</v>
      </c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34</v>
      </c>
      <c r="E13" s="25">
        <v>0.1</v>
      </c>
      <c r="F13" s="26">
        <v>12.26</v>
      </c>
      <c r="G13" s="27">
        <f t="shared" si="0"/>
        <v>8.1566068515497552</v>
      </c>
      <c r="H13" s="28">
        <v>8</v>
      </c>
      <c r="I13" s="29">
        <f t="shared" si="3"/>
        <v>9808</v>
      </c>
      <c r="J13" s="30">
        <f t="shared" si="4"/>
        <v>9.8298025019493224E-2</v>
      </c>
      <c r="K13" s="31">
        <v>13.39</v>
      </c>
      <c r="L13" s="36">
        <f t="shared" si="1"/>
        <v>9.0600952913562401E-3</v>
      </c>
      <c r="M13" s="33">
        <f t="shared" si="2"/>
        <v>9.2169657422512374E-2</v>
      </c>
      <c r="N13" s="1"/>
      <c r="O13" s="43">
        <f t="shared" si="5"/>
        <v>800</v>
      </c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35</v>
      </c>
      <c r="E14" s="25">
        <v>0.1</v>
      </c>
      <c r="F14" s="26">
        <v>13.75</v>
      </c>
      <c r="G14" s="27">
        <f t="shared" si="0"/>
        <v>7.2727272727272725</v>
      </c>
      <c r="H14" s="28">
        <v>7.1</v>
      </c>
      <c r="I14" s="29">
        <f t="shared" si="3"/>
        <v>9762.5</v>
      </c>
      <c r="J14" s="30">
        <f t="shared" si="4"/>
        <v>9.7842013586134036E-2</v>
      </c>
      <c r="K14" s="31">
        <v>13.95</v>
      </c>
      <c r="L14" s="36">
        <f t="shared" si="1"/>
        <v>1.4231565612528461E-3</v>
      </c>
      <c r="M14" s="33">
        <f t="shared" si="2"/>
        <v>1.4545454545454417E-2</v>
      </c>
      <c r="N14" s="1"/>
      <c r="O14" s="43">
        <f t="shared" si="5"/>
        <v>710</v>
      </c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38</v>
      </c>
      <c r="E15" s="25">
        <v>0.1</v>
      </c>
      <c r="F15" s="26">
        <v>17.809999999999999</v>
      </c>
      <c r="G15" s="27">
        <f t="shared" si="0"/>
        <v>5.614823133071309</v>
      </c>
      <c r="H15" s="28">
        <v>5.6</v>
      </c>
      <c r="I15" s="29">
        <f t="shared" si="3"/>
        <v>9973.5999999999985</v>
      </c>
      <c r="J15" s="30">
        <f t="shared" si="4"/>
        <v>9.9957706192334572E-2</v>
      </c>
      <c r="K15" s="31">
        <v>19.71</v>
      </c>
      <c r="L15" s="36">
        <f t="shared" si="1"/>
        <v>1.0663651980091851E-2</v>
      </c>
      <c r="M15" s="33">
        <f t="shared" si="2"/>
        <v>0.10668163952835495</v>
      </c>
      <c r="N15" s="1"/>
      <c r="O15" s="43">
        <f t="shared" si="5"/>
        <v>560</v>
      </c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36</v>
      </c>
      <c r="E16" s="25">
        <v>0.1</v>
      </c>
      <c r="F16" s="26">
        <v>5.54</v>
      </c>
      <c r="G16" s="27">
        <f t="shared" si="0"/>
        <v>18.050541516245488</v>
      </c>
      <c r="H16" s="28">
        <v>18.3</v>
      </c>
      <c r="I16" s="29">
        <f t="shared" si="3"/>
        <v>10138.200000000001</v>
      </c>
      <c r="J16" s="30">
        <f t="shared" si="4"/>
        <v>0.10160736513587136</v>
      </c>
      <c r="K16" s="31">
        <v>5.26</v>
      </c>
      <c r="L16" s="36">
        <f t="shared" si="1"/>
        <v>-5.1353902956758138E-3</v>
      </c>
      <c r="M16" s="33">
        <f t="shared" si="2"/>
        <v>-5.054151624548741E-2</v>
      </c>
      <c r="N16" s="1"/>
      <c r="O16" s="43">
        <f t="shared" si="5"/>
        <v>1830</v>
      </c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37</v>
      </c>
      <c r="E17" s="25">
        <v>0.1</v>
      </c>
      <c r="F17" s="26">
        <v>21.77</v>
      </c>
      <c r="G17" s="27">
        <f t="shared" si="0"/>
        <v>4.5934772622875517</v>
      </c>
      <c r="H17" s="28">
        <v>4.5999999999999996</v>
      </c>
      <c r="I17" s="29">
        <f>H17*F17*100</f>
        <v>10014.199999999999</v>
      </c>
      <c r="J17" s="30">
        <f t="shared" si="4"/>
        <v>0.10036460870210123</v>
      </c>
      <c r="K17" s="31">
        <v>19.61</v>
      </c>
      <c r="L17" s="36">
        <f t="shared" si="1"/>
        <v>-9.9580870370481658E-3</v>
      </c>
      <c r="M17" s="33">
        <f t="shared" si="2"/>
        <v>-9.9219108865411076E-2</v>
      </c>
      <c r="N17" s="1"/>
      <c r="O17" s="43">
        <f t="shared" si="5"/>
        <v>459.99999999999994</v>
      </c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46" t="s">
        <v>22</v>
      </c>
      <c r="D18" s="46"/>
      <c r="E18" s="46"/>
      <c r="F18" s="4">
        <v>100000</v>
      </c>
      <c r="G18" s="3"/>
      <c r="H18" s="3"/>
      <c r="I18" s="3"/>
      <c r="J18" s="4"/>
      <c r="K18" s="2">
        <f>F4</f>
        <v>107536.5</v>
      </c>
      <c r="L18" s="47">
        <f t="shared" ref="L18:L19" si="6">(K18/F18-1)</f>
        <v>7.5364999999999904E-2</v>
      </c>
      <c r="M18" s="48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46" t="s">
        <v>24</v>
      </c>
      <c r="D19" s="46"/>
      <c r="E19" s="46"/>
      <c r="F19" s="5">
        <v>80505.89</v>
      </c>
      <c r="G19" s="6"/>
      <c r="H19" s="6"/>
      <c r="I19" s="6"/>
      <c r="J19" s="7"/>
      <c r="K19" s="5">
        <v>87402.59</v>
      </c>
      <c r="L19" s="47">
        <f t="shared" si="6"/>
        <v>8.5667023866204062E-2</v>
      </c>
      <c r="M19" s="48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L19:M19"/>
    <mergeCell ref="D2:F2"/>
    <mergeCell ref="L7:M7"/>
    <mergeCell ref="L18:M18"/>
    <mergeCell ref="C6:M6"/>
    <mergeCell ref="C7:D7"/>
    <mergeCell ref="C18:E18"/>
    <mergeCell ref="C19:E19"/>
  </mergeCells>
  <conditionalFormatting sqref="M8:M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7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98"/>
  <sheetViews>
    <sheetView showGridLines="0" workbookViewId="0">
      <selection activeCell="M8" sqref="M8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9" t="s">
        <v>0</v>
      </c>
      <c r="E2" s="50"/>
      <c r="F2" s="51"/>
      <c r="G2" s="13"/>
      <c r="H2" s="13"/>
      <c r="I2" s="42">
        <f>SUM(L8:L17)</f>
        <v>8.8321055054586275E-2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f>Maio!F4</f>
        <v>107536.5</v>
      </c>
      <c r="E4" s="19">
        <f>IF(SUM(I8:I17)&lt;=D4,SUM(I8:I17),"VALOR ACIMA DO DISPONÍVEL")</f>
        <v>107326.39</v>
      </c>
      <c r="F4" s="20">
        <f>(E4*I2)+E4+(D4-E4)</f>
        <v>117015.67999999999</v>
      </c>
      <c r="G4" s="13"/>
      <c r="H4" s="13"/>
      <c r="I4" s="37">
        <f>F4/100000-1</f>
        <v>0.1701568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2" t="s">
        <v>25</v>
      </c>
      <c r="D6" s="53"/>
      <c r="E6" s="53"/>
      <c r="F6" s="53"/>
      <c r="G6" s="53"/>
      <c r="H6" s="53"/>
      <c r="I6" s="53"/>
      <c r="J6" s="53"/>
      <c r="K6" s="53"/>
      <c r="L6" s="53"/>
      <c r="M6" s="5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5" t="s">
        <v>4</v>
      </c>
      <c r="D7" s="5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57" t="s">
        <v>12</v>
      </c>
      <c r="M7" s="5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45"/>
      <c r="C8" s="23">
        <v>1</v>
      </c>
      <c r="D8" s="24" t="s">
        <v>30</v>
      </c>
      <c r="E8" s="25">
        <v>0.15</v>
      </c>
      <c r="F8" s="26">
        <f>VLOOKUP(D8,Maio!$D$8:$K$17,8,0)</f>
        <v>53</v>
      </c>
      <c r="G8" s="27">
        <f t="shared" ref="G8:G17" si="0">((E8*$D$4)/100)/F8</f>
        <v>3.0434858490566037</v>
      </c>
      <c r="H8" s="28">
        <v>3.03</v>
      </c>
      <c r="I8" s="29">
        <f t="shared" ref="I8:I17" si="1">H8*F8*100</f>
        <v>16059</v>
      </c>
      <c r="J8" s="30">
        <f t="shared" ref="J8:J17" si="2">I8/$E$4</f>
        <v>0.14962769175409701</v>
      </c>
      <c r="K8" s="31">
        <v>55.92</v>
      </c>
      <c r="L8" s="32">
        <f t="shared" ref="L8:L17" si="3">IFERROR((K8/F8-1)*J8,0)</f>
        <v>8.243638866452142E-3</v>
      </c>
      <c r="M8" s="33">
        <f t="shared" ref="M8:M17" si="4">IFERROR(L8/J8,0)</f>
        <v>5.5094339622641542E-2</v>
      </c>
      <c r="N8" s="1"/>
      <c r="O8" s="43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32</v>
      </c>
      <c r="E9" s="25">
        <v>0.15</v>
      </c>
      <c r="F9" s="26">
        <f>VLOOKUP(D9,Maio!$D$8:$K$17,8,0)</f>
        <v>20.34</v>
      </c>
      <c r="G9" s="27">
        <f t="shared" si="0"/>
        <v>7.9304203539823002</v>
      </c>
      <c r="H9" s="28">
        <v>7.92</v>
      </c>
      <c r="I9" s="29">
        <f t="shared" si="1"/>
        <v>16109.28</v>
      </c>
      <c r="J9" s="30">
        <f t="shared" si="2"/>
        <v>0.15009616926461425</v>
      </c>
      <c r="K9" s="31">
        <v>21.55</v>
      </c>
      <c r="L9" s="36">
        <f t="shared" si="3"/>
        <v>8.929024818593069E-3</v>
      </c>
      <c r="M9" s="33">
        <f t="shared" si="4"/>
        <v>5.9488692232054996E-2</v>
      </c>
      <c r="N9" s="1"/>
      <c r="O9" s="43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31</v>
      </c>
      <c r="E10" s="25">
        <v>0.12</v>
      </c>
      <c r="F10" s="26">
        <f>VLOOKUP(D10,Maio!$D$8:$K$17,8,0)</f>
        <v>12.4</v>
      </c>
      <c r="G10" s="27">
        <f t="shared" si="0"/>
        <v>10.406758064516129</v>
      </c>
      <c r="H10" s="28">
        <v>10.39</v>
      </c>
      <c r="I10" s="29">
        <f t="shared" si="1"/>
        <v>12883.600000000002</v>
      </c>
      <c r="J10" s="30">
        <f t="shared" si="2"/>
        <v>0.12004130577763775</v>
      </c>
      <c r="K10" s="31">
        <v>15.31</v>
      </c>
      <c r="L10" s="36">
        <f t="shared" si="3"/>
        <v>2.8170983855881109E-2</v>
      </c>
      <c r="M10" s="33">
        <f t="shared" si="4"/>
        <v>0.23467741935483866</v>
      </c>
      <c r="N10" s="1"/>
      <c r="O10" s="43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44" t="s">
        <v>39</v>
      </c>
      <c r="E11" s="25">
        <v>0.1</v>
      </c>
      <c r="F11" s="26">
        <v>18.91</v>
      </c>
      <c r="G11" s="27">
        <f t="shared" si="0"/>
        <v>5.6867530407191973</v>
      </c>
      <c r="H11" s="28">
        <v>5.66</v>
      </c>
      <c r="I11" s="29">
        <f t="shared" si="1"/>
        <v>10703.060000000001</v>
      </c>
      <c r="J11" s="30">
        <f t="shared" si="2"/>
        <v>9.9724401426340731E-2</v>
      </c>
      <c r="K11" s="31">
        <v>20.68</v>
      </c>
      <c r="L11" s="36">
        <f t="shared" si="3"/>
        <v>9.3343305406992615E-3</v>
      </c>
      <c r="M11" s="33">
        <f t="shared" si="4"/>
        <v>9.3601269169751422E-2</v>
      </c>
      <c r="N11" s="1"/>
      <c r="O11" s="43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8"/>
      <c r="C12" s="34">
        <v>5</v>
      </c>
      <c r="D12" s="35" t="s">
        <v>21</v>
      </c>
      <c r="E12" s="25">
        <v>0.1</v>
      </c>
      <c r="F12" s="26">
        <v>8.84</v>
      </c>
      <c r="G12" s="27">
        <f t="shared" si="0"/>
        <v>12.164762443438915</v>
      </c>
      <c r="H12" s="28">
        <v>12.12</v>
      </c>
      <c r="I12" s="29">
        <f t="shared" si="1"/>
        <v>10714.079999999998</v>
      </c>
      <c r="J12" s="30">
        <f t="shared" si="2"/>
        <v>9.9827078875940931E-2</v>
      </c>
      <c r="K12" s="31">
        <v>9.59</v>
      </c>
      <c r="L12" s="36">
        <f t="shared" si="3"/>
        <v>8.4694919860809539E-3</v>
      </c>
      <c r="M12" s="33">
        <f t="shared" si="4"/>
        <v>8.4841628959275939E-2</v>
      </c>
      <c r="N12" s="1"/>
      <c r="O12" s="43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8"/>
      <c r="C13" s="34">
        <v>6</v>
      </c>
      <c r="D13" s="44" t="s">
        <v>37</v>
      </c>
      <c r="E13" s="25">
        <v>0.1</v>
      </c>
      <c r="F13" s="26">
        <f>VLOOKUP(D13,Maio!$D$8:$K$17,8,0)</f>
        <v>19.61</v>
      </c>
      <c r="G13" s="27">
        <f t="shared" si="0"/>
        <v>5.4837582865884764</v>
      </c>
      <c r="H13" s="28">
        <v>5.48</v>
      </c>
      <c r="I13" s="29">
        <f t="shared" si="1"/>
        <v>10746.28</v>
      </c>
      <c r="J13" s="30">
        <f t="shared" si="2"/>
        <v>0.10012709828402876</v>
      </c>
      <c r="K13" s="31">
        <v>19.239999999999998</v>
      </c>
      <c r="L13" s="36">
        <f t="shared" si="3"/>
        <v>-1.8891905336609195E-3</v>
      </c>
      <c r="M13" s="33">
        <f t="shared" si="4"/>
        <v>-1.8867924528301883E-2</v>
      </c>
      <c r="N13" s="1"/>
      <c r="O13" s="43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44" t="s">
        <v>38</v>
      </c>
      <c r="E14" s="25">
        <v>0.1</v>
      </c>
      <c r="F14" s="26">
        <f>VLOOKUP(D14,Maio!$D$8:$K$17,8,0)</f>
        <v>19.71</v>
      </c>
      <c r="G14" s="27">
        <f t="shared" si="0"/>
        <v>5.4559360730593616</v>
      </c>
      <c r="H14" s="28">
        <v>5.47</v>
      </c>
      <c r="I14" s="29">
        <f t="shared" si="1"/>
        <v>10781.369999999999</v>
      </c>
      <c r="J14" s="30">
        <f t="shared" si="2"/>
        <v>0.10045404489986105</v>
      </c>
      <c r="K14" s="31">
        <v>20.68</v>
      </c>
      <c r="L14" s="36">
        <f t="shared" si="3"/>
        <v>4.9437048986740286E-3</v>
      </c>
      <c r="M14" s="33">
        <f t="shared" si="4"/>
        <v>4.921359715880258E-2</v>
      </c>
      <c r="N14" s="1"/>
      <c r="O14" s="43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45"/>
      <c r="C15" s="34">
        <v>8</v>
      </c>
      <c r="D15" s="35" t="s">
        <v>36</v>
      </c>
      <c r="E15" s="25">
        <v>0.08</v>
      </c>
      <c r="F15" s="26">
        <f>VLOOKUP(D15,Maio!$D$8:$K$17,8,0)</f>
        <v>5.26</v>
      </c>
      <c r="G15" s="27">
        <f t="shared" si="0"/>
        <v>16.355361216730039</v>
      </c>
      <c r="H15" s="28">
        <v>16.329999999999998</v>
      </c>
      <c r="I15" s="29">
        <f t="shared" si="1"/>
        <v>8589.58</v>
      </c>
      <c r="J15" s="30">
        <f t="shared" si="2"/>
        <v>8.0032320103191765E-2</v>
      </c>
      <c r="K15" s="31">
        <v>6.61</v>
      </c>
      <c r="L15" s="36">
        <f t="shared" si="3"/>
        <v>2.054061447515379E-2</v>
      </c>
      <c r="M15" s="33">
        <f t="shared" si="4"/>
        <v>0.2566539923954374</v>
      </c>
      <c r="N15" s="1"/>
      <c r="O15" s="43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44" t="s">
        <v>34</v>
      </c>
      <c r="E16" s="25">
        <v>0.05</v>
      </c>
      <c r="F16" s="26">
        <f>VLOOKUP(D16,Maio!$D$8:$K$17,8,0)</f>
        <v>13.39</v>
      </c>
      <c r="G16" s="27">
        <f t="shared" si="0"/>
        <v>4.0155526512322632</v>
      </c>
      <c r="H16" s="28">
        <v>4.01</v>
      </c>
      <c r="I16" s="29">
        <f t="shared" si="1"/>
        <v>5369.39</v>
      </c>
      <c r="J16" s="30">
        <f t="shared" si="2"/>
        <v>5.0028608993556947E-2</v>
      </c>
      <c r="K16" s="31">
        <v>13.15</v>
      </c>
      <c r="L16" s="36">
        <f t="shared" si="3"/>
        <v>-8.9670397001147977E-4</v>
      </c>
      <c r="M16" s="33">
        <f t="shared" si="4"/>
        <v>-1.7923823749066536E-2</v>
      </c>
      <c r="N16" s="1"/>
      <c r="O16" s="43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45"/>
      <c r="C17" s="34">
        <v>10</v>
      </c>
      <c r="D17" s="44" t="s">
        <v>35</v>
      </c>
      <c r="E17" s="25">
        <v>0.05</v>
      </c>
      <c r="F17" s="26">
        <f>VLOOKUP(D17,Maio!$D$8:$K$17,8,0)</f>
        <v>13.95</v>
      </c>
      <c r="G17" s="27">
        <f t="shared" si="0"/>
        <v>3.8543548387096784</v>
      </c>
      <c r="H17" s="28">
        <v>3.85</v>
      </c>
      <c r="I17" s="29">
        <f t="shared" si="1"/>
        <v>5370.75</v>
      </c>
      <c r="J17" s="30">
        <f t="shared" si="2"/>
        <v>5.0041280620730835E-2</v>
      </c>
      <c r="K17" s="31">
        <v>14.64</v>
      </c>
      <c r="L17" s="36">
        <f t="shared" si="3"/>
        <v>2.4751601167243252E-3</v>
      </c>
      <c r="M17" s="33">
        <f t="shared" si="4"/>
        <v>4.9462365591397939E-2</v>
      </c>
      <c r="N17" s="1"/>
      <c r="O17" s="43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46" t="s">
        <v>22</v>
      </c>
      <c r="D18" s="46"/>
      <c r="E18" s="46"/>
      <c r="F18" s="4">
        <f>D4</f>
        <v>107536.5</v>
      </c>
      <c r="G18" s="3"/>
      <c r="H18" s="3"/>
      <c r="I18" s="3"/>
      <c r="J18" s="4"/>
      <c r="K18" s="2">
        <v>107385.3</v>
      </c>
      <c r="L18" s="47">
        <f t="shared" ref="L18:L19" si="5">(K18/F18-1)</f>
        <v>-1.4060342302381068E-3</v>
      </c>
      <c r="M18" s="48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46" t="s">
        <v>24</v>
      </c>
      <c r="D19" s="46"/>
      <c r="E19" s="46"/>
      <c r="F19" s="5">
        <v>87402.59</v>
      </c>
      <c r="G19" s="6"/>
      <c r="H19" s="6"/>
      <c r="I19" s="6"/>
      <c r="J19" s="7"/>
      <c r="K19" s="5">
        <v>87402.59</v>
      </c>
      <c r="L19" s="47">
        <f t="shared" si="5"/>
        <v>0</v>
      </c>
      <c r="M19" s="48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ortState xmlns:xlrd2="http://schemas.microsoft.com/office/spreadsheetml/2017/richdata2" ref="D8:M17">
    <sortCondition descending="1" ref="E8:E17"/>
  </sortState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6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998"/>
  <sheetViews>
    <sheetView showGridLines="0" tabSelected="1" workbookViewId="0">
      <selection activeCell="E14" sqref="E14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hidden="1" customWidth="1"/>
    <col min="8" max="8" width="7" hidden="1" customWidth="1"/>
    <col min="9" max="9" width="15" hidden="1" customWidth="1"/>
    <col min="10" max="10" width="7.140625" hidden="1" customWidth="1"/>
    <col min="11" max="11" width="15" customWidth="1"/>
    <col min="12" max="12" width="12.140625" bestFit="1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9" t="s">
        <v>0</v>
      </c>
      <c r="E2" s="50"/>
      <c r="F2" s="51"/>
      <c r="G2" s="13"/>
      <c r="H2" s="13"/>
      <c r="L2" s="42">
        <f>SUM(L8:L17)</f>
        <v>0</v>
      </c>
      <c r="M2" s="40" t="s">
        <v>27</v>
      </c>
      <c r="N2" s="38" t="s">
        <v>28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L3" s="17"/>
      <c r="M3" s="13"/>
      <c r="N3" s="39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f>Junho!F4</f>
        <v>117015.67999999999</v>
      </c>
      <c r="E4" s="19">
        <f>IF(SUM(I8:I17)&lt;=D4,SUM(I8:I17),"VALOR ACIMA DO DISPONÍVEL")</f>
        <v>117015.67999999999</v>
      </c>
      <c r="F4" s="20">
        <f>(E4*L2)+E4+(D4-E4)</f>
        <v>117015.67999999999</v>
      </c>
      <c r="G4" s="13"/>
      <c r="H4" s="13"/>
      <c r="L4" s="37">
        <f>F4/100000-1</f>
        <v>0.1701568</v>
      </c>
      <c r="M4" s="40" t="s">
        <v>27</v>
      </c>
      <c r="N4" s="38" t="s">
        <v>26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2" t="s">
        <v>25</v>
      </c>
      <c r="D6" s="53"/>
      <c r="E6" s="53"/>
      <c r="F6" s="53"/>
      <c r="G6" s="53"/>
      <c r="H6" s="53"/>
      <c r="I6" s="53"/>
      <c r="J6" s="53"/>
      <c r="K6" s="53"/>
      <c r="L6" s="53"/>
      <c r="M6" s="5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5" t="s">
        <v>4</v>
      </c>
      <c r="D7" s="5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57" t="s">
        <v>12</v>
      </c>
      <c r="M7" s="5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59" t="s">
        <v>40</v>
      </c>
      <c r="E8" s="25">
        <v>0.1</v>
      </c>
      <c r="F8" s="26">
        <v>20.11</v>
      </c>
      <c r="G8" s="27">
        <f>IFERROR(((E8*$D$4)/100)/F8,0)</f>
        <v>5.8187807061163594</v>
      </c>
      <c r="H8" s="28">
        <f>G8</f>
        <v>5.8187807061163594</v>
      </c>
      <c r="I8" s="29">
        <f>H8*F8*100</f>
        <v>11701.567999999999</v>
      </c>
      <c r="J8" s="30">
        <f t="shared" ref="J8:J17" si="0">I8/$E$4</f>
        <v>0.1</v>
      </c>
      <c r="K8" s="31">
        <v>20.11</v>
      </c>
      <c r="L8" s="32">
        <f t="shared" ref="L8:L17" si="1">IFERROR((K8/F8-1)*J8,0)</f>
        <v>0</v>
      </c>
      <c r="M8" s="33">
        <f t="shared" ref="M8:M17" si="2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44" t="s">
        <v>41</v>
      </c>
      <c r="E9" s="25">
        <v>0.1</v>
      </c>
      <c r="F9" s="26">
        <v>39.9</v>
      </c>
      <c r="G9" s="27">
        <f t="shared" ref="G9:G17" si="3">IFERROR(((E9*$D$4)/100)/F9,0)</f>
        <v>2.9327238095238095</v>
      </c>
      <c r="H9" s="28">
        <f t="shared" ref="H9:H17" si="4">G9</f>
        <v>2.9327238095238095</v>
      </c>
      <c r="I9" s="29">
        <f t="shared" ref="I9:I17" si="5">H9*F9*100</f>
        <v>11701.567999999999</v>
      </c>
      <c r="J9" s="30">
        <f t="shared" si="0"/>
        <v>0.1</v>
      </c>
      <c r="K9" s="31">
        <v>39.9</v>
      </c>
      <c r="L9" s="36">
        <f t="shared" si="1"/>
        <v>0</v>
      </c>
      <c r="M9" s="33">
        <f t="shared" si="2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31</v>
      </c>
      <c r="E10" s="25">
        <v>0.06</v>
      </c>
      <c r="F10" s="26">
        <v>15.31</v>
      </c>
      <c r="G10" s="27">
        <f t="shared" si="3"/>
        <v>4.5858529065969948</v>
      </c>
      <c r="H10" s="28">
        <f t="shared" si="4"/>
        <v>4.5858529065969948</v>
      </c>
      <c r="I10" s="29">
        <f t="shared" si="5"/>
        <v>7020.9407999999994</v>
      </c>
      <c r="J10" s="30">
        <f t="shared" si="0"/>
        <v>0.06</v>
      </c>
      <c r="K10" s="31">
        <v>15.31</v>
      </c>
      <c r="L10" s="36">
        <f t="shared" si="1"/>
        <v>0</v>
      </c>
      <c r="M10" s="33">
        <f t="shared" si="2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8"/>
      <c r="C11" s="34">
        <v>4</v>
      </c>
      <c r="D11" s="44" t="s">
        <v>39</v>
      </c>
      <c r="E11" s="25">
        <v>0.13</v>
      </c>
      <c r="F11" s="26">
        <v>20.68</v>
      </c>
      <c r="G11" s="27">
        <f t="shared" si="3"/>
        <v>7.3559179883945847</v>
      </c>
      <c r="H11" s="28">
        <f t="shared" si="4"/>
        <v>7.3559179883945847</v>
      </c>
      <c r="I11" s="29">
        <f t="shared" si="5"/>
        <v>15212.038399999999</v>
      </c>
      <c r="J11" s="30">
        <f t="shared" si="0"/>
        <v>0.13</v>
      </c>
      <c r="K11" s="31">
        <v>20.68</v>
      </c>
      <c r="L11" s="36">
        <f t="shared" si="1"/>
        <v>0</v>
      </c>
      <c r="M11" s="33">
        <f t="shared" si="2"/>
        <v>0</v>
      </c>
      <c r="N11" s="1"/>
      <c r="O11" s="1"/>
      <c r="P11" s="1"/>
      <c r="Q11" s="1"/>
      <c r="R11" s="24" t="s">
        <v>31</v>
      </c>
      <c r="S11" s="25">
        <v>0.06</v>
      </c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21</v>
      </c>
      <c r="E12" s="25">
        <v>0.12</v>
      </c>
      <c r="F12" s="26">
        <v>9.59</v>
      </c>
      <c r="G12" s="27">
        <f t="shared" si="3"/>
        <v>14.642212304483836</v>
      </c>
      <c r="H12" s="28">
        <f t="shared" si="4"/>
        <v>14.642212304483836</v>
      </c>
      <c r="I12" s="29">
        <f t="shared" si="5"/>
        <v>14041.881599999999</v>
      </c>
      <c r="J12" s="30">
        <f t="shared" si="0"/>
        <v>0.12</v>
      </c>
      <c r="K12" s="31">
        <v>9.59</v>
      </c>
      <c r="L12" s="36">
        <f t="shared" si="1"/>
        <v>0</v>
      </c>
      <c r="M12" s="33">
        <f t="shared" si="2"/>
        <v>0</v>
      </c>
      <c r="N12" s="1"/>
      <c r="O12" s="1"/>
      <c r="P12" s="1"/>
      <c r="Q12" s="1"/>
      <c r="R12" s="44" t="s">
        <v>34</v>
      </c>
      <c r="S12" s="25">
        <v>0.06</v>
      </c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44" t="s">
        <v>37</v>
      </c>
      <c r="E13" s="25">
        <v>0.12</v>
      </c>
      <c r="F13" s="26">
        <v>19.239999999999998</v>
      </c>
      <c r="G13" s="27">
        <f t="shared" si="3"/>
        <v>7.2982752598752603</v>
      </c>
      <c r="H13" s="28">
        <f t="shared" si="4"/>
        <v>7.2982752598752603</v>
      </c>
      <c r="I13" s="29">
        <f t="shared" si="5"/>
        <v>14041.881599999999</v>
      </c>
      <c r="J13" s="30">
        <f t="shared" si="0"/>
        <v>0.12</v>
      </c>
      <c r="K13" s="31">
        <v>19.239999999999998</v>
      </c>
      <c r="L13" s="36">
        <f t="shared" si="1"/>
        <v>0</v>
      </c>
      <c r="M13" s="33">
        <f t="shared" si="2"/>
        <v>0</v>
      </c>
      <c r="N13" s="1"/>
      <c r="O13" s="1"/>
      <c r="P13" s="1"/>
      <c r="Q13" s="1"/>
      <c r="R13" s="44" t="s">
        <v>40</v>
      </c>
      <c r="S13" s="25">
        <v>0.1</v>
      </c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44" t="s">
        <v>38</v>
      </c>
      <c r="E14" s="25">
        <v>0.1</v>
      </c>
      <c r="F14" s="26">
        <v>20.68</v>
      </c>
      <c r="G14" s="27">
        <f t="shared" si="3"/>
        <v>5.6583984526112179</v>
      </c>
      <c r="H14" s="28">
        <f t="shared" si="4"/>
        <v>5.6583984526112179</v>
      </c>
      <c r="I14" s="29">
        <f t="shared" si="5"/>
        <v>11701.567999999999</v>
      </c>
      <c r="J14" s="30">
        <f t="shared" si="0"/>
        <v>0.1</v>
      </c>
      <c r="K14" s="31">
        <v>20.68</v>
      </c>
      <c r="L14" s="36">
        <f t="shared" si="1"/>
        <v>0</v>
      </c>
      <c r="M14" s="33">
        <f t="shared" si="2"/>
        <v>0</v>
      </c>
      <c r="N14" s="1"/>
      <c r="O14" s="1"/>
      <c r="P14" s="1"/>
      <c r="Q14" s="1"/>
      <c r="R14" s="44" t="s">
        <v>41</v>
      </c>
      <c r="S14" s="25">
        <v>0.1</v>
      </c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36</v>
      </c>
      <c r="E15" s="25">
        <v>0.1</v>
      </c>
      <c r="F15" s="26">
        <v>6.61</v>
      </c>
      <c r="G15" s="27">
        <f t="shared" si="3"/>
        <v>17.702826021180027</v>
      </c>
      <c r="H15" s="28">
        <f t="shared" si="4"/>
        <v>17.702826021180027</v>
      </c>
      <c r="I15" s="29">
        <f t="shared" si="5"/>
        <v>11701.567999999997</v>
      </c>
      <c r="J15" s="30">
        <f t="shared" si="0"/>
        <v>9.9999999999999978E-2</v>
      </c>
      <c r="K15" s="31">
        <v>6.61</v>
      </c>
      <c r="L15" s="36">
        <f t="shared" si="1"/>
        <v>0</v>
      </c>
      <c r="M15" s="33">
        <f t="shared" si="2"/>
        <v>0</v>
      </c>
      <c r="N15" s="1"/>
      <c r="O15" s="1"/>
      <c r="P15" s="1"/>
      <c r="Q15" s="1"/>
      <c r="R15" s="44" t="s">
        <v>38</v>
      </c>
      <c r="S15" s="25">
        <v>0.1</v>
      </c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44" t="s">
        <v>34</v>
      </c>
      <c r="E16" s="25">
        <v>0.06</v>
      </c>
      <c r="F16" s="26">
        <v>13.15</v>
      </c>
      <c r="G16" s="27">
        <f t="shared" si="3"/>
        <v>5.3391184790874524</v>
      </c>
      <c r="H16" s="28">
        <f t="shared" si="4"/>
        <v>5.3391184790874524</v>
      </c>
      <c r="I16" s="29">
        <f t="shared" si="5"/>
        <v>7020.9407999999994</v>
      </c>
      <c r="J16" s="30">
        <f t="shared" si="0"/>
        <v>0.06</v>
      </c>
      <c r="K16" s="31">
        <v>13.15</v>
      </c>
      <c r="L16" s="36">
        <f t="shared" si="1"/>
        <v>0</v>
      </c>
      <c r="M16" s="33">
        <f t="shared" si="2"/>
        <v>0</v>
      </c>
      <c r="N16" s="1"/>
      <c r="O16" s="1"/>
      <c r="P16" s="1"/>
      <c r="Q16" s="1"/>
      <c r="R16" s="35" t="s">
        <v>36</v>
      </c>
      <c r="S16" s="25">
        <v>0.1</v>
      </c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44" t="s">
        <v>42</v>
      </c>
      <c r="E17" s="25">
        <v>0.11</v>
      </c>
      <c r="F17" s="26">
        <v>20.68</v>
      </c>
      <c r="G17" s="27">
        <f t="shared" si="3"/>
        <v>6.2242382978723407</v>
      </c>
      <c r="H17" s="28">
        <f t="shared" si="4"/>
        <v>6.2242382978723407</v>
      </c>
      <c r="I17" s="29">
        <f t="shared" si="5"/>
        <v>12871.724800000002</v>
      </c>
      <c r="J17" s="30">
        <f t="shared" si="0"/>
        <v>0.11000000000000003</v>
      </c>
      <c r="K17" s="31">
        <v>20.68</v>
      </c>
      <c r="L17" s="36">
        <f t="shared" si="1"/>
        <v>0</v>
      </c>
      <c r="M17" s="33">
        <f t="shared" si="2"/>
        <v>0</v>
      </c>
      <c r="N17" s="1"/>
      <c r="O17" s="1"/>
      <c r="P17" s="1"/>
      <c r="Q17" s="1"/>
      <c r="R17" s="44" t="s">
        <v>42</v>
      </c>
      <c r="S17" s="25">
        <v>0.1</v>
      </c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46" t="s">
        <v>22</v>
      </c>
      <c r="D18" s="46"/>
      <c r="E18" s="46"/>
      <c r="F18" s="4">
        <f>D4</f>
        <v>117015.67999999999</v>
      </c>
      <c r="G18" s="3"/>
      <c r="H18" s="3"/>
      <c r="I18" s="3"/>
      <c r="J18" s="4"/>
      <c r="K18" s="2">
        <f>F4</f>
        <v>117015.67999999999</v>
      </c>
      <c r="L18" s="47">
        <f t="shared" ref="L18:L19" si="6">(K18/F18-1)</f>
        <v>0</v>
      </c>
      <c r="M18" s="48"/>
      <c r="N18" s="41" t="s">
        <v>29</v>
      </c>
      <c r="O18" s="1"/>
      <c r="P18" s="1"/>
      <c r="Q18" s="1"/>
      <c r="R18" s="35" t="s">
        <v>21</v>
      </c>
      <c r="S18" s="25">
        <v>0.12</v>
      </c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46" t="s">
        <v>24</v>
      </c>
      <c r="D19" s="46"/>
      <c r="E19" s="46"/>
      <c r="F19" s="11">
        <v>100967.2</v>
      </c>
      <c r="G19" s="6"/>
      <c r="H19" s="6"/>
      <c r="I19" s="6"/>
      <c r="J19" s="7"/>
      <c r="K19" s="5">
        <v>102673.28</v>
      </c>
      <c r="L19" s="47">
        <f t="shared" si="6"/>
        <v>1.6897368650413247E-2</v>
      </c>
      <c r="M19" s="48"/>
      <c r="N19" s="1"/>
      <c r="O19" s="1"/>
      <c r="P19" s="1"/>
      <c r="Q19" s="1"/>
      <c r="R19" s="44" t="s">
        <v>37</v>
      </c>
      <c r="S19" s="25">
        <v>0.12</v>
      </c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44" t="s">
        <v>39</v>
      </c>
      <c r="S20" s="25">
        <v>0.13</v>
      </c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ortState xmlns:xlrd2="http://schemas.microsoft.com/office/spreadsheetml/2017/richdata2" ref="R11:S20">
    <sortCondition ref="S11"/>
  </sortState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5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8"/>
  <sheetViews>
    <sheetView showGridLines="0" workbookViewId="0">
      <selection activeCell="N18" sqref="N18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9" t="s">
        <v>0</v>
      </c>
      <c r="E2" s="50"/>
      <c r="F2" s="51"/>
      <c r="G2" s="13"/>
      <c r="H2" s="13"/>
      <c r="I2" s="42">
        <f>SUM(L8:L17)</f>
        <v>5.7952967096125282E-2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f>Julho!F4</f>
        <v>117015.67999999999</v>
      </c>
      <c r="E4" s="19">
        <f>IF(SUM(I8:I17)&lt;=D4,SUM(I8:I17),"VALOR ACIMA DO DISPONÍVEL")</f>
        <v>83516</v>
      </c>
      <c r="F4" s="20">
        <f>(E4*I2)+E4+(D4-E4)</f>
        <v>121855.67999999999</v>
      </c>
      <c r="G4" s="13"/>
      <c r="H4" s="13"/>
      <c r="I4" s="37">
        <f>F4/100000-1</f>
        <v>0.2185568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2" t="s">
        <v>25</v>
      </c>
      <c r="D6" s="53"/>
      <c r="E6" s="53"/>
      <c r="F6" s="53"/>
      <c r="G6" s="53"/>
      <c r="H6" s="53"/>
      <c r="I6" s="53"/>
      <c r="J6" s="53"/>
      <c r="K6" s="53"/>
      <c r="L6" s="53"/>
      <c r="M6" s="5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5" t="s">
        <v>4</v>
      </c>
      <c r="D7" s="5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57" t="s">
        <v>12</v>
      </c>
      <c r="M7" s="5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7.0027336923997598</v>
      </c>
      <c r="H8" s="28">
        <v>6</v>
      </c>
      <c r="I8" s="29">
        <f>H8*F8*100</f>
        <v>10026</v>
      </c>
      <c r="J8" s="30">
        <f t="shared" ref="J8:J17" si="1">I8/$E$4</f>
        <v>0.12004885291441161</v>
      </c>
      <c r="K8" s="31">
        <v>15.86</v>
      </c>
      <c r="L8" s="32">
        <f t="shared" ref="L8:L17" si="2">IFERROR((K8/F8-1)*J8,0)</f>
        <v>-6.1066143014512284E-3</v>
      </c>
      <c r="M8" s="33">
        <f t="shared" ref="M8:M17" si="3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3.3195937588652478</v>
      </c>
      <c r="H9" s="28">
        <v>3</v>
      </c>
      <c r="I9" s="29">
        <f t="shared" ref="I9:I17" si="4">H9*F9*100</f>
        <v>10575</v>
      </c>
      <c r="J9" s="30">
        <f t="shared" si="1"/>
        <v>0.12662244360362088</v>
      </c>
      <c r="K9" s="31">
        <v>42.95</v>
      </c>
      <c r="L9" s="36">
        <f t="shared" si="2"/>
        <v>2.7659370659514359E-2</v>
      </c>
      <c r="M9" s="33">
        <f t="shared" si="3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>
        <f t="shared" si="0"/>
        <v>10.648545197168854</v>
      </c>
      <c r="H10" s="28">
        <v>10</v>
      </c>
      <c r="I10" s="29">
        <f t="shared" si="4"/>
        <v>9890</v>
      </c>
      <c r="J10" s="30">
        <f t="shared" si="1"/>
        <v>0.11842042243402462</v>
      </c>
      <c r="K10" s="31">
        <v>10.19</v>
      </c>
      <c r="L10" s="36">
        <f t="shared" si="2"/>
        <v>3.5921260596771618E-3</v>
      </c>
      <c r="M10" s="33">
        <f t="shared" si="3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>
        <f t="shared" si="0"/>
        <v>2.4226848861283639</v>
      </c>
      <c r="H11" s="28">
        <v>2</v>
      </c>
      <c r="I11" s="29">
        <f t="shared" si="4"/>
        <v>8694</v>
      </c>
      <c r="J11" s="30">
        <f t="shared" si="1"/>
        <v>0.10409981320944489</v>
      </c>
      <c r="K11" s="31">
        <v>48.33</v>
      </c>
      <c r="L11" s="36">
        <f t="shared" si="2"/>
        <v>1.1638488433354086E-2</v>
      </c>
      <c r="M11" s="33">
        <f t="shared" si="3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>
        <f t="shared" si="0"/>
        <v>3.2280187586206894</v>
      </c>
      <c r="H12" s="28">
        <v>3</v>
      </c>
      <c r="I12" s="29">
        <f t="shared" si="4"/>
        <v>8700</v>
      </c>
      <c r="J12" s="30">
        <f t="shared" si="1"/>
        <v>0.10417165573063844</v>
      </c>
      <c r="K12" s="31">
        <v>34.659999999999997</v>
      </c>
      <c r="L12" s="36">
        <f t="shared" si="2"/>
        <v>2.0331433497772861E-2</v>
      </c>
      <c r="M12" s="33">
        <f t="shared" si="3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>
        <f t="shared" si="0"/>
        <v>5.5721752380952374</v>
      </c>
      <c r="H13" s="28">
        <v>5</v>
      </c>
      <c r="I13" s="29">
        <f t="shared" si="4"/>
        <v>9450</v>
      </c>
      <c r="J13" s="30">
        <f t="shared" si="1"/>
        <v>0.11315197087983141</v>
      </c>
      <c r="K13" s="31">
        <v>19.850000000000001</v>
      </c>
      <c r="L13" s="36">
        <f t="shared" si="2"/>
        <v>5.6875329278222352E-3</v>
      </c>
      <c r="M13" s="33">
        <f t="shared" si="3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>
        <f t="shared" si="0"/>
        <v>7.6125442379182164</v>
      </c>
      <c r="H14" s="28">
        <v>7</v>
      </c>
      <c r="I14" s="29">
        <f t="shared" si="4"/>
        <v>7531.9999999999991</v>
      </c>
      <c r="J14" s="30">
        <f t="shared" si="1"/>
        <v>9.0186311604961919E-2</v>
      </c>
      <c r="K14" s="31">
        <v>11.85</v>
      </c>
      <c r="L14" s="36">
        <f t="shared" si="2"/>
        <v>9.13597394511231E-3</v>
      </c>
      <c r="M14" s="33">
        <f t="shared" si="3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>
        <f t="shared" si="0"/>
        <v>6.3546141194724592</v>
      </c>
      <c r="H15" s="28">
        <v>5</v>
      </c>
      <c r="I15" s="29">
        <f t="shared" si="4"/>
        <v>6445</v>
      </c>
      <c r="J15" s="30">
        <f t="shared" si="1"/>
        <v>7.7170841515398242E-2</v>
      </c>
      <c r="K15" s="31">
        <v>12.46</v>
      </c>
      <c r="L15" s="36">
        <f t="shared" si="2"/>
        <v>-2.5743570094353147E-3</v>
      </c>
      <c r="M15" s="33">
        <f t="shared" si="3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>
        <f t="shared" si="0"/>
        <v>3.6084130396475773</v>
      </c>
      <c r="H16" s="28">
        <v>3</v>
      </c>
      <c r="I16" s="29">
        <f t="shared" si="4"/>
        <v>6809.9999999999991</v>
      </c>
      <c r="J16" s="30">
        <f t="shared" si="1"/>
        <v>8.1541261554672145E-2</v>
      </c>
      <c r="K16" s="31">
        <v>21.25</v>
      </c>
      <c r="L16" s="36">
        <f t="shared" si="2"/>
        <v>-5.2085827865319166E-3</v>
      </c>
      <c r="M16" s="33">
        <f t="shared" si="3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>
        <f t="shared" si="0"/>
        <v>1.7354939562476828</v>
      </c>
      <c r="H17" s="28">
        <v>1</v>
      </c>
      <c r="I17" s="29">
        <f t="shared" si="4"/>
        <v>5394</v>
      </c>
      <c r="J17" s="30">
        <f t="shared" si="1"/>
        <v>6.4586426552995832E-2</v>
      </c>
      <c r="K17" s="31">
        <v>48.76</v>
      </c>
      <c r="L17" s="36">
        <f t="shared" si="2"/>
        <v>-6.2024043297092789E-3</v>
      </c>
      <c r="M17" s="33">
        <f t="shared" si="3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46" t="s">
        <v>22</v>
      </c>
      <c r="D18" s="46"/>
      <c r="E18" s="46"/>
      <c r="F18" s="4">
        <f>D4</f>
        <v>117015.67999999999</v>
      </c>
      <c r="G18" s="3"/>
      <c r="H18" s="3"/>
      <c r="I18" s="3"/>
      <c r="J18" s="4"/>
      <c r="K18" s="2">
        <f>F4</f>
        <v>121855.67999999999</v>
      </c>
      <c r="L18" s="47">
        <f t="shared" ref="L18:L19" si="5">(K18/F18-1)</f>
        <v>4.1361978155406209E-2</v>
      </c>
      <c r="M18" s="48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46" t="s">
        <v>24</v>
      </c>
      <c r="D19" s="46"/>
      <c r="E19" s="46"/>
      <c r="F19" s="11">
        <v>100967.2</v>
      </c>
      <c r="G19" s="6"/>
      <c r="H19" s="6"/>
      <c r="I19" s="6"/>
      <c r="J19" s="7"/>
      <c r="K19" s="5">
        <v>102673.28</v>
      </c>
      <c r="L19" s="47">
        <f t="shared" si="5"/>
        <v>1.6897368650413247E-2</v>
      </c>
      <c r="M19" s="48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4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998"/>
  <sheetViews>
    <sheetView showGridLines="0" workbookViewId="0">
      <selection activeCell="N18" sqref="N18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9" t="s">
        <v>0</v>
      </c>
      <c r="E2" s="50"/>
      <c r="F2" s="51"/>
      <c r="G2" s="13"/>
      <c r="H2" s="13"/>
      <c r="I2" s="42">
        <f>SUM(L8:L17)</f>
        <v>5.7952967096125282E-2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f>Agosto!F4</f>
        <v>121855.67999999999</v>
      </c>
      <c r="E4" s="19">
        <f>IF(SUM(I8:I17)&lt;=D4,SUM(I8:I17),"VALOR ACIMA DO DISPONÍVEL")</f>
        <v>83516</v>
      </c>
      <c r="F4" s="20">
        <f>(E4*I2)+E4+(D4-E4)</f>
        <v>126695.67999999999</v>
      </c>
      <c r="G4" s="13"/>
      <c r="H4" s="13"/>
      <c r="I4" s="37">
        <f>F4/100000-1</f>
        <v>0.26695679999999999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2" t="s">
        <v>25</v>
      </c>
      <c r="D6" s="53"/>
      <c r="E6" s="53"/>
      <c r="F6" s="53"/>
      <c r="G6" s="53"/>
      <c r="H6" s="53"/>
      <c r="I6" s="53"/>
      <c r="J6" s="53"/>
      <c r="K6" s="53"/>
      <c r="L6" s="53"/>
      <c r="M6" s="5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5" t="s">
        <v>4</v>
      </c>
      <c r="D7" s="5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57" t="s">
        <v>12</v>
      </c>
      <c r="M7" s="5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7.2923806104129252</v>
      </c>
      <c r="H8" s="28">
        <v>6</v>
      </c>
      <c r="I8" s="29">
        <f>H8*F8*100</f>
        <v>10026</v>
      </c>
      <c r="J8" s="30">
        <f t="shared" ref="J8:J17" si="1">I8/$E$4</f>
        <v>0.12004885291441161</v>
      </c>
      <c r="K8" s="31">
        <v>15.86</v>
      </c>
      <c r="L8" s="32">
        <f t="shared" ref="L8:L17" si="2">IFERROR((K8/F8-1)*J8,0)</f>
        <v>-6.1066143014512284E-3</v>
      </c>
      <c r="M8" s="33">
        <f t="shared" ref="M8:M17" si="3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3.456898723404255</v>
      </c>
      <c r="H9" s="28">
        <v>3</v>
      </c>
      <c r="I9" s="29">
        <f t="shared" ref="I9:I17" si="4">H9*F9*100</f>
        <v>10575</v>
      </c>
      <c r="J9" s="30">
        <f t="shared" si="1"/>
        <v>0.12662244360362088</v>
      </c>
      <c r="K9" s="31">
        <v>42.95</v>
      </c>
      <c r="L9" s="36">
        <f t="shared" si="2"/>
        <v>2.7659370659514359E-2</v>
      </c>
      <c r="M9" s="33">
        <f t="shared" si="3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>
        <f t="shared" si="0"/>
        <v>11.08899009100101</v>
      </c>
      <c r="H10" s="28">
        <v>10</v>
      </c>
      <c r="I10" s="29">
        <f t="shared" si="4"/>
        <v>9890</v>
      </c>
      <c r="J10" s="30">
        <f t="shared" si="1"/>
        <v>0.11842042243402462</v>
      </c>
      <c r="K10" s="31">
        <v>10.19</v>
      </c>
      <c r="L10" s="36">
        <f t="shared" si="2"/>
        <v>3.5921260596771618E-3</v>
      </c>
      <c r="M10" s="33">
        <f t="shared" si="3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>
        <f t="shared" si="0"/>
        <v>2.5228919254658382</v>
      </c>
      <c r="H11" s="28">
        <v>2</v>
      </c>
      <c r="I11" s="29">
        <f t="shared" si="4"/>
        <v>8694</v>
      </c>
      <c r="J11" s="30">
        <f t="shared" si="1"/>
        <v>0.10409981320944489</v>
      </c>
      <c r="K11" s="31">
        <v>48.33</v>
      </c>
      <c r="L11" s="36">
        <f t="shared" si="2"/>
        <v>1.1638488433354086E-2</v>
      </c>
      <c r="M11" s="33">
        <f t="shared" si="3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>
        <f t="shared" si="0"/>
        <v>3.3615360000000001</v>
      </c>
      <c r="H12" s="28">
        <v>3</v>
      </c>
      <c r="I12" s="29">
        <f t="shared" si="4"/>
        <v>8700</v>
      </c>
      <c r="J12" s="30">
        <f t="shared" si="1"/>
        <v>0.10417165573063844</v>
      </c>
      <c r="K12" s="31">
        <v>34.659999999999997</v>
      </c>
      <c r="L12" s="36">
        <f t="shared" si="2"/>
        <v>2.0331433497772861E-2</v>
      </c>
      <c r="M12" s="33">
        <f t="shared" si="3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>
        <f t="shared" si="0"/>
        <v>5.8026514285714281</v>
      </c>
      <c r="H13" s="28">
        <v>5</v>
      </c>
      <c r="I13" s="29">
        <f t="shared" si="4"/>
        <v>9450</v>
      </c>
      <c r="J13" s="30">
        <f t="shared" si="1"/>
        <v>0.11315197087983141</v>
      </c>
      <c r="K13" s="31">
        <v>19.850000000000001</v>
      </c>
      <c r="L13" s="36">
        <f t="shared" si="2"/>
        <v>5.6875329278222352E-3</v>
      </c>
      <c r="M13" s="33">
        <f t="shared" si="3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>
        <f t="shared" si="0"/>
        <v>7.9274141263940514</v>
      </c>
      <c r="H14" s="28">
        <v>7</v>
      </c>
      <c r="I14" s="29">
        <f t="shared" si="4"/>
        <v>7531.9999999999991</v>
      </c>
      <c r="J14" s="30">
        <f t="shared" si="1"/>
        <v>9.0186311604961919E-2</v>
      </c>
      <c r="K14" s="31">
        <v>11.85</v>
      </c>
      <c r="L14" s="36">
        <f t="shared" si="2"/>
        <v>9.13597394511231E-3</v>
      </c>
      <c r="M14" s="33">
        <f t="shared" si="3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>
        <f t="shared" si="0"/>
        <v>6.6174535298681141</v>
      </c>
      <c r="H15" s="28">
        <v>5</v>
      </c>
      <c r="I15" s="29">
        <f t="shared" si="4"/>
        <v>6445</v>
      </c>
      <c r="J15" s="30">
        <f t="shared" si="1"/>
        <v>7.7170841515398242E-2</v>
      </c>
      <c r="K15" s="31">
        <v>12.46</v>
      </c>
      <c r="L15" s="36">
        <f t="shared" si="2"/>
        <v>-2.5743570094353147E-3</v>
      </c>
      <c r="M15" s="33">
        <f t="shared" si="3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>
        <f t="shared" si="0"/>
        <v>3.7576641409691631</v>
      </c>
      <c r="H16" s="28">
        <v>3</v>
      </c>
      <c r="I16" s="29">
        <f t="shared" si="4"/>
        <v>6809.9999999999991</v>
      </c>
      <c r="J16" s="30">
        <f t="shared" si="1"/>
        <v>8.1541261554672145E-2</v>
      </c>
      <c r="K16" s="31">
        <v>21.25</v>
      </c>
      <c r="L16" s="36">
        <f t="shared" si="2"/>
        <v>-5.2085827865319166E-3</v>
      </c>
      <c r="M16" s="33">
        <f t="shared" si="3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>
        <f t="shared" si="0"/>
        <v>1.8072774193548389</v>
      </c>
      <c r="H17" s="28">
        <v>1</v>
      </c>
      <c r="I17" s="29">
        <f t="shared" si="4"/>
        <v>5394</v>
      </c>
      <c r="J17" s="30">
        <f t="shared" si="1"/>
        <v>6.4586426552995832E-2</v>
      </c>
      <c r="K17" s="31">
        <v>48.76</v>
      </c>
      <c r="L17" s="36">
        <f t="shared" si="2"/>
        <v>-6.2024043297092789E-3</v>
      </c>
      <c r="M17" s="33">
        <f t="shared" si="3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46" t="s">
        <v>22</v>
      </c>
      <c r="D18" s="46"/>
      <c r="E18" s="46"/>
      <c r="F18" s="4">
        <f>D4</f>
        <v>121855.67999999999</v>
      </c>
      <c r="G18" s="3"/>
      <c r="H18" s="3"/>
      <c r="I18" s="3"/>
      <c r="J18" s="4"/>
      <c r="K18" s="2">
        <f>F4</f>
        <v>126695.67999999999</v>
      </c>
      <c r="L18" s="47">
        <f t="shared" ref="L18:L19" si="5">(K18/F18-1)</f>
        <v>3.971911690944574E-2</v>
      </c>
      <c r="M18" s="48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46" t="s">
        <v>24</v>
      </c>
      <c r="D19" s="46"/>
      <c r="E19" s="46"/>
      <c r="F19" s="11">
        <v>100967.2</v>
      </c>
      <c r="G19" s="6"/>
      <c r="H19" s="6"/>
      <c r="I19" s="6"/>
      <c r="J19" s="7"/>
      <c r="K19" s="5">
        <v>102673.28</v>
      </c>
      <c r="L19" s="47">
        <f t="shared" si="5"/>
        <v>1.6897368650413247E-2</v>
      </c>
      <c r="M19" s="48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3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998"/>
  <sheetViews>
    <sheetView showGridLines="0" workbookViewId="0">
      <selection activeCell="N18" sqref="N18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9" t="s">
        <v>0</v>
      </c>
      <c r="E2" s="50"/>
      <c r="F2" s="51"/>
      <c r="G2" s="13"/>
      <c r="H2" s="13"/>
      <c r="I2" s="42">
        <f>SUM(L8:L17)</f>
        <v>5.7952967096125282E-2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f>Setembro!F4</f>
        <v>126695.67999999999</v>
      </c>
      <c r="E4" s="19">
        <f>IF(SUM(I8:I17)&lt;=D4,SUM(I8:I17),"VALOR ACIMA DO DISPONÍVEL")</f>
        <v>83516</v>
      </c>
      <c r="F4" s="20">
        <f>(E4*I2)+E4+(D4-E4)</f>
        <v>131535.67999999999</v>
      </c>
      <c r="G4" s="13"/>
      <c r="H4" s="13"/>
      <c r="I4" s="37">
        <f>F4/100000-1</f>
        <v>0.31535679999999999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2" t="s">
        <v>25</v>
      </c>
      <c r="D6" s="53"/>
      <c r="E6" s="53"/>
      <c r="F6" s="53"/>
      <c r="G6" s="53"/>
      <c r="H6" s="53"/>
      <c r="I6" s="53"/>
      <c r="J6" s="53"/>
      <c r="K6" s="53"/>
      <c r="L6" s="53"/>
      <c r="M6" s="5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5" t="s">
        <v>4</v>
      </c>
      <c r="D7" s="5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57" t="s">
        <v>12</v>
      </c>
      <c r="M7" s="5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7.5820275284260914</v>
      </c>
      <c r="H8" s="28">
        <v>6</v>
      </c>
      <c r="I8" s="29">
        <f>H8*F8*100</f>
        <v>10026</v>
      </c>
      <c r="J8" s="30">
        <f t="shared" ref="J8:J17" si="1">I8/$E$4</f>
        <v>0.12004885291441161</v>
      </c>
      <c r="K8" s="31">
        <v>15.86</v>
      </c>
      <c r="L8" s="32">
        <f t="shared" ref="L8:L17" si="2">IFERROR((K8/F8-1)*J8,0)</f>
        <v>-6.1066143014512284E-3</v>
      </c>
      <c r="M8" s="33">
        <f t="shared" ref="M8:M17" si="3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3.5942036879432622</v>
      </c>
      <c r="H9" s="28">
        <v>3</v>
      </c>
      <c r="I9" s="29">
        <f t="shared" ref="I9:I17" si="4">H9*F9*100</f>
        <v>10575</v>
      </c>
      <c r="J9" s="30">
        <f t="shared" si="1"/>
        <v>0.12662244360362088</v>
      </c>
      <c r="K9" s="31">
        <v>42.95</v>
      </c>
      <c r="L9" s="36">
        <f t="shared" si="2"/>
        <v>2.7659370659514359E-2</v>
      </c>
      <c r="M9" s="33">
        <f t="shared" si="3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>
        <f t="shared" si="0"/>
        <v>11.529434984833165</v>
      </c>
      <c r="H10" s="28">
        <v>10</v>
      </c>
      <c r="I10" s="29">
        <f t="shared" si="4"/>
        <v>9890</v>
      </c>
      <c r="J10" s="30">
        <f t="shared" si="1"/>
        <v>0.11842042243402462</v>
      </c>
      <c r="K10" s="31">
        <v>10.19</v>
      </c>
      <c r="L10" s="36">
        <f t="shared" si="2"/>
        <v>3.5921260596771618E-3</v>
      </c>
      <c r="M10" s="33">
        <f t="shared" si="3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>
        <f t="shared" si="0"/>
        <v>2.6230989648033125</v>
      </c>
      <c r="H11" s="28">
        <v>2</v>
      </c>
      <c r="I11" s="29">
        <f t="shared" si="4"/>
        <v>8694</v>
      </c>
      <c r="J11" s="30">
        <f t="shared" si="1"/>
        <v>0.10409981320944489</v>
      </c>
      <c r="K11" s="31">
        <v>48.33</v>
      </c>
      <c r="L11" s="36">
        <f t="shared" si="2"/>
        <v>1.1638488433354086E-2</v>
      </c>
      <c r="M11" s="33">
        <f t="shared" si="3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>
        <f t="shared" si="0"/>
        <v>3.4950532413793103</v>
      </c>
      <c r="H12" s="28">
        <v>3</v>
      </c>
      <c r="I12" s="29">
        <f t="shared" si="4"/>
        <v>8700</v>
      </c>
      <c r="J12" s="30">
        <f t="shared" si="1"/>
        <v>0.10417165573063844</v>
      </c>
      <c r="K12" s="31">
        <v>34.659999999999997</v>
      </c>
      <c r="L12" s="36">
        <f t="shared" si="2"/>
        <v>2.0331433497772861E-2</v>
      </c>
      <c r="M12" s="33">
        <f t="shared" si="3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>
        <f t="shared" si="0"/>
        <v>6.0331276190476197</v>
      </c>
      <c r="H13" s="28">
        <v>5</v>
      </c>
      <c r="I13" s="29">
        <f t="shared" si="4"/>
        <v>9450</v>
      </c>
      <c r="J13" s="30">
        <f t="shared" si="1"/>
        <v>0.11315197087983141</v>
      </c>
      <c r="K13" s="31">
        <v>19.850000000000001</v>
      </c>
      <c r="L13" s="36">
        <f t="shared" si="2"/>
        <v>5.6875329278222352E-3</v>
      </c>
      <c r="M13" s="33">
        <f t="shared" si="3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>
        <f t="shared" si="0"/>
        <v>8.2422840148698882</v>
      </c>
      <c r="H14" s="28">
        <v>7</v>
      </c>
      <c r="I14" s="29">
        <f t="shared" si="4"/>
        <v>7531.9999999999991</v>
      </c>
      <c r="J14" s="30">
        <f t="shared" si="1"/>
        <v>9.0186311604961919E-2</v>
      </c>
      <c r="K14" s="31">
        <v>11.85</v>
      </c>
      <c r="L14" s="36">
        <f t="shared" si="2"/>
        <v>9.13597394511231E-3</v>
      </c>
      <c r="M14" s="33">
        <f t="shared" si="3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>
        <f t="shared" si="0"/>
        <v>6.8802929402637698</v>
      </c>
      <c r="H15" s="28">
        <v>5</v>
      </c>
      <c r="I15" s="29">
        <f t="shared" si="4"/>
        <v>6445</v>
      </c>
      <c r="J15" s="30">
        <f t="shared" si="1"/>
        <v>7.7170841515398242E-2</v>
      </c>
      <c r="K15" s="31">
        <v>12.46</v>
      </c>
      <c r="L15" s="36">
        <f t="shared" si="2"/>
        <v>-2.5743570094353147E-3</v>
      </c>
      <c r="M15" s="33">
        <f t="shared" si="3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>
        <f t="shared" si="0"/>
        <v>3.9069152422907489</v>
      </c>
      <c r="H16" s="28">
        <v>3</v>
      </c>
      <c r="I16" s="29">
        <f t="shared" si="4"/>
        <v>6809.9999999999991</v>
      </c>
      <c r="J16" s="30">
        <f t="shared" si="1"/>
        <v>8.1541261554672145E-2</v>
      </c>
      <c r="K16" s="31">
        <v>21.25</v>
      </c>
      <c r="L16" s="36">
        <f t="shared" si="2"/>
        <v>-5.2085827865319166E-3</v>
      </c>
      <c r="M16" s="33">
        <f t="shared" si="3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>
        <f t="shared" si="0"/>
        <v>1.879060882461995</v>
      </c>
      <c r="H17" s="28">
        <v>1</v>
      </c>
      <c r="I17" s="29">
        <f t="shared" si="4"/>
        <v>5394</v>
      </c>
      <c r="J17" s="30">
        <f t="shared" si="1"/>
        <v>6.4586426552995832E-2</v>
      </c>
      <c r="K17" s="31">
        <v>48.76</v>
      </c>
      <c r="L17" s="36">
        <f t="shared" si="2"/>
        <v>-6.2024043297092789E-3</v>
      </c>
      <c r="M17" s="33">
        <f t="shared" si="3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46" t="s">
        <v>22</v>
      </c>
      <c r="D18" s="46"/>
      <c r="E18" s="46"/>
      <c r="F18" s="4">
        <f>D4</f>
        <v>126695.67999999999</v>
      </c>
      <c r="G18" s="3"/>
      <c r="H18" s="3"/>
      <c r="I18" s="3"/>
      <c r="J18" s="4"/>
      <c r="K18" s="2">
        <f>F4</f>
        <v>131535.67999999999</v>
      </c>
      <c r="L18" s="47">
        <f t="shared" ref="L18:L19" si="5">(K18/F18-1)</f>
        <v>3.8201776098443219E-2</v>
      </c>
      <c r="M18" s="48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46" t="s">
        <v>24</v>
      </c>
      <c r="D19" s="46"/>
      <c r="E19" s="46"/>
      <c r="F19" s="11">
        <v>100967.2</v>
      </c>
      <c r="G19" s="6"/>
      <c r="H19" s="6"/>
      <c r="I19" s="6"/>
      <c r="J19" s="7"/>
      <c r="K19" s="5">
        <v>102673.28</v>
      </c>
      <c r="L19" s="47">
        <f t="shared" si="5"/>
        <v>1.6897368650413247E-2</v>
      </c>
      <c r="M19" s="48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2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998"/>
  <sheetViews>
    <sheetView showGridLines="0" workbookViewId="0">
      <selection activeCell="E8" sqref="E8:E17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9" t="s">
        <v>0</v>
      </c>
      <c r="E2" s="50"/>
      <c r="F2" s="51"/>
      <c r="G2" s="13"/>
      <c r="H2" s="13"/>
      <c r="I2" s="42">
        <f>SUM(L8:L17)</f>
        <v>5.7952967096125282E-2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f>Outubro!F4</f>
        <v>131535.67999999999</v>
      </c>
      <c r="E4" s="19">
        <f>IF(SUM(I8:I17)&lt;=D4,SUM(I8:I17),"VALOR ACIMA DO DISPONÍVEL")</f>
        <v>83516</v>
      </c>
      <c r="F4" s="20">
        <f>(E4*I2)+E4+(D4-E4)</f>
        <v>136375.67999999999</v>
      </c>
      <c r="G4" s="13"/>
      <c r="H4" s="13"/>
      <c r="I4" s="37">
        <f>F4/100000-1</f>
        <v>0.36375679999999999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2" t="s">
        <v>25</v>
      </c>
      <c r="D6" s="53"/>
      <c r="E6" s="53"/>
      <c r="F6" s="53"/>
      <c r="G6" s="53"/>
      <c r="H6" s="53"/>
      <c r="I6" s="53"/>
      <c r="J6" s="53"/>
      <c r="K6" s="53"/>
      <c r="L6" s="53"/>
      <c r="M6" s="5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5" t="s">
        <v>4</v>
      </c>
      <c r="D7" s="5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57" t="s">
        <v>12</v>
      </c>
      <c r="M7" s="5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7.8716744464392567</v>
      </c>
      <c r="H8" s="28">
        <v>6</v>
      </c>
      <c r="I8" s="29">
        <f>H8*F8*100</f>
        <v>10026</v>
      </c>
      <c r="J8" s="30">
        <f t="shared" ref="J8:J17" si="1">I8/$E$4</f>
        <v>0.12004885291441161</v>
      </c>
      <c r="K8" s="31">
        <v>15.86</v>
      </c>
      <c r="L8" s="32">
        <f t="shared" ref="L8:L17" si="2">IFERROR((K8/F8-1)*J8,0)</f>
        <v>-6.1066143014512284E-3</v>
      </c>
      <c r="M8" s="33">
        <f t="shared" ref="M8:M17" si="3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3.7315086524822689</v>
      </c>
      <c r="H9" s="28">
        <v>3</v>
      </c>
      <c r="I9" s="29">
        <f t="shared" ref="I9:I17" si="4">H9*F9*100</f>
        <v>10575</v>
      </c>
      <c r="J9" s="30">
        <f t="shared" si="1"/>
        <v>0.12662244360362088</v>
      </c>
      <c r="K9" s="31">
        <v>42.95</v>
      </c>
      <c r="L9" s="36">
        <f t="shared" si="2"/>
        <v>2.7659370659514359E-2</v>
      </c>
      <c r="M9" s="33">
        <f t="shared" si="3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>
        <f t="shared" si="0"/>
        <v>13.299866531850352</v>
      </c>
      <c r="H10" s="28">
        <v>10</v>
      </c>
      <c r="I10" s="29">
        <f t="shared" si="4"/>
        <v>9890</v>
      </c>
      <c r="J10" s="30">
        <f t="shared" si="1"/>
        <v>0.11842042243402462</v>
      </c>
      <c r="K10" s="31">
        <v>10.19</v>
      </c>
      <c r="L10" s="36">
        <f t="shared" si="2"/>
        <v>3.5921260596771618E-3</v>
      </c>
      <c r="M10" s="33">
        <f t="shared" si="3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>
        <f t="shared" si="0"/>
        <v>3.0258955601564295</v>
      </c>
      <c r="H11" s="28">
        <v>2</v>
      </c>
      <c r="I11" s="29">
        <f t="shared" si="4"/>
        <v>8694</v>
      </c>
      <c r="J11" s="30">
        <f t="shared" si="1"/>
        <v>0.10409981320944489</v>
      </c>
      <c r="K11" s="31">
        <v>48.33</v>
      </c>
      <c r="L11" s="36">
        <f t="shared" si="2"/>
        <v>1.1638488433354086E-2</v>
      </c>
      <c r="M11" s="33">
        <f t="shared" si="3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>
        <f t="shared" si="0"/>
        <v>4.5357131034482752</v>
      </c>
      <c r="H12" s="28">
        <v>3</v>
      </c>
      <c r="I12" s="29">
        <f t="shared" si="4"/>
        <v>8700</v>
      </c>
      <c r="J12" s="30">
        <f t="shared" si="1"/>
        <v>0.10417165573063844</v>
      </c>
      <c r="K12" s="31">
        <v>34.659999999999997</v>
      </c>
      <c r="L12" s="36">
        <f t="shared" si="2"/>
        <v>2.0331433497772861E-2</v>
      </c>
      <c r="M12" s="33">
        <f t="shared" si="3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>
        <f t="shared" si="0"/>
        <v>6.9595597883597877</v>
      </c>
      <c r="H13" s="28">
        <v>5</v>
      </c>
      <c r="I13" s="29">
        <f t="shared" si="4"/>
        <v>9450</v>
      </c>
      <c r="J13" s="30">
        <f t="shared" si="1"/>
        <v>0.11315197087983141</v>
      </c>
      <c r="K13" s="31">
        <v>19.850000000000001</v>
      </c>
      <c r="L13" s="36">
        <f t="shared" si="2"/>
        <v>5.6875329278222352E-3</v>
      </c>
      <c r="M13" s="33">
        <f t="shared" si="3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>
        <f t="shared" si="0"/>
        <v>12.224505576208177</v>
      </c>
      <c r="H14" s="28">
        <v>7</v>
      </c>
      <c r="I14" s="29">
        <f t="shared" si="4"/>
        <v>7531.9999999999991</v>
      </c>
      <c r="J14" s="30">
        <f t="shared" si="1"/>
        <v>9.0186311604961919E-2</v>
      </c>
      <c r="K14" s="31">
        <v>11.85</v>
      </c>
      <c r="L14" s="36">
        <f t="shared" si="2"/>
        <v>9.13597394511231E-3</v>
      </c>
      <c r="M14" s="33">
        <f t="shared" si="3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>
        <f t="shared" si="0"/>
        <v>10.204474786656322</v>
      </c>
      <c r="H15" s="28">
        <v>5</v>
      </c>
      <c r="I15" s="29">
        <f t="shared" si="4"/>
        <v>6445</v>
      </c>
      <c r="J15" s="30">
        <f t="shared" si="1"/>
        <v>7.7170841515398242E-2</v>
      </c>
      <c r="K15" s="31">
        <v>12.46</v>
      </c>
      <c r="L15" s="36">
        <f t="shared" si="2"/>
        <v>-2.5743570094353147E-3</v>
      </c>
      <c r="M15" s="33">
        <f t="shared" si="3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>
        <f t="shared" si="0"/>
        <v>5.7945233480176208</v>
      </c>
      <c r="H16" s="28">
        <v>3</v>
      </c>
      <c r="I16" s="29">
        <f t="shared" si="4"/>
        <v>6809.9999999999991</v>
      </c>
      <c r="J16" s="30">
        <f t="shared" si="1"/>
        <v>8.1541261554672145E-2</v>
      </c>
      <c r="K16" s="31">
        <v>21.25</v>
      </c>
      <c r="L16" s="36">
        <f t="shared" si="2"/>
        <v>-5.2085827865319166E-3</v>
      </c>
      <c r="M16" s="33">
        <f t="shared" si="3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>
        <f t="shared" si="0"/>
        <v>2.4385554319614386</v>
      </c>
      <c r="H17" s="28">
        <v>1</v>
      </c>
      <c r="I17" s="29">
        <f t="shared" si="4"/>
        <v>5394</v>
      </c>
      <c r="J17" s="30">
        <f t="shared" si="1"/>
        <v>6.4586426552995832E-2</v>
      </c>
      <c r="K17" s="31">
        <v>48.76</v>
      </c>
      <c r="L17" s="36">
        <f t="shared" si="2"/>
        <v>-6.2024043297092789E-3</v>
      </c>
      <c r="M17" s="33">
        <f t="shared" si="3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46" t="s">
        <v>22</v>
      </c>
      <c r="D18" s="46"/>
      <c r="E18" s="46"/>
      <c r="F18" s="4">
        <f>D4</f>
        <v>131535.67999999999</v>
      </c>
      <c r="G18" s="3"/>
      <c r="H18" s="3"/>
      <c r="I18" s="3"/>
      <c r="J18" s="4"/>
      <c r="K18" s="2">
        <f>F4</f>
        <v>136375.67999999999</v>
      </c>
      <c r="L18" s="47">
        <f t="shared" ref="L18:L19" si="5">(K18/F18-1)</f>
        <v>3.6796099735068033E-2</v>
      </c>
      <c r="M18" s="48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46" t="s">
        <v>24</v>
      </c>
      <c r="D19" s="46"/>
      <c r="E19" s="46"/>
      <c r="F19" s="11">
        <v>100967.2</v>
      </c>
      <c r="G19" s="6"/>
      <c r="H19" s="6"/>
      <c r="I19" s="6"/>
      <c r="J19" s="7"/>
      <c r="K19" s="5">
        <v>102673.28</v>
      </c>
      <c r="L19" s="47">
        <f t="shared" si="5"/>
        <v>1.6897368650413247E-2</v>
      </c>
      <c r="M19" s="48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1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998"/>
  <sheetViews>
    <sheetView showGridLines="0" workbookViewId="0">
      <selection activeCell="H18" sqref="H18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49" t="s">
        <v>0</v>
      </c>
      <c r="E2" s="50"/>
      <c r="F2" s="51"/>
      <c r="G2" s="13"/>
      <c r="H2" s="13"/>
      <c r="I2" s="42">
        <f>SUM(L8:L17)</f>
        <v>4.1519937752179853E-2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f>Novembro!F4</f>
        <v>136375.67999999999</v>
      </c>
      <c r="E4" s="19">
        <f>IF(SUM(I8:I17)&lt;=D4,SUM(I8:I17),"VALOR ACIMA DO DISPONÍVEL")</f>
        <v>124663</v>
      </c>
      <c r="F4" s="20">
        <f>(E4*I2)+E4+(D4-E4)</f>
        <v>141551.67999999999</v>
      </c>
      <c r="G4" s="13"/>
      <c r="H4" s="13"/>
      <c r="I4" s="37">
        <f>F4/100000-1</f>
        <v>0.41551680000000002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2" t="s">
        <v>25</v>
      </c>
      <c r="D6" s="53"/>
      <c r="E6" s="53"/>
      <c r="F6" s="53"/>
      <c r="G6" s="53"/>
      <c r="H6" s="53"/>
      <c r="I6" s="53"/>
      <c r="J6" s="53"/>
      <c r="K6" s="53"/>
      <c r="L6" s="53"/>
      <c r="M6" s="5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5" t="s">
        <v>4</v>
      </c>
      <c r="D7" s="5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57" t="s">
        <v>12</v>
      </c>
      <c r="M7" s="5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8.161321364452423</v>
      </c>
      <c r="H8" s="28">
        <v>6</v>
      </c>
      <c r="I8" s="29">
        <f>H8*F8*100</f>
        <v>10026</v>
      </c>
      <c r="J8" s="30">
        <f t="shared" ref="J8:J17" si="1">I8/$E$4</f>
        <v>8.0424825329087221E-2</v>
      </c>
      <c r="K8" s="31">
        <v>15.86</v>
      </c>
      <c r="L8" s="32">
        <f t="shared" ref="L8:L17" si="2">IFERROR((K8/F8-1)*J8,0)</f>
        <v>-4.0910294153036651E-3</v>
      </c>
      <c r="M8" s="33">
        <f t="shared" ref="M8:M17" si="3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3.8688136170212761</v>
      </c>
      <c r="H9" s="28">
        <v>3</v>
      </c>
      <c r="I9" s="29">
        <f t="shared" ref="I9:I17" si="4">H9*F9*100</f>
        <v>10575</v>
      </c>
      <c r="J9" s="30">
        <f t="shared" si="1"/>
        <v>8.4828698170267045E-2</v>
      </c>
      <c r="K9" s="31">
        <v>42.95</v>
      </c>
      <c r="L9" s="36">
        <f t="shared" si="2"/>
        <v>1.8529956763434229E-2</v>
      </c>
      <c r="M9" s="33">
        <f t="shared" si="3"/>
        <v>0.21843971631205686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>
        <f t="shared" si="0"/>
        <v>13.789249747219412</v>
      </c>
      <c r="H10" s="28">
        <v>13</v>
      </c>
      <c r="I10" s="29">
        <f t="shared" si="4"/>
        <v>12857</v>
      </c>
      <c r="J10" s="30">
        <f t="shared" si="1"/>
        <v>0.10313404939717478</v>
      </c>
      <c r="K10" s="31">
        <v>10.19</v>
      </c>
      <c r="L10" s="36">
        <f t="shared" si="2"/>
        <v>3.1284342587615992E-3</v>
      </c>
      <c r="M10" s="33">
        <f t="shared" si="3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>
        <f t="shared" si="0"/>
        <v>3.1372367149758453</v>
      </c>
      <c r="H11" s="28">
        <v>3</v>
      </c>
      <c r="I11" s="29">
        <f t="shared" si="4"/>
        <v>13041</v>
      </c>
      <c r="J11" s="30">
        <f t="shared" si="1"/>
        <v>0.10461002863720591</v>
      </c>
      <c r="K11" s="31">
        <v>48.33</v>
      </c>
      <c r="L11" s="36">
        <f t="shared" si="2"/>
        <v>1.1695531151985752E-2</v>
      </c>
      <c r="M11" s="33">
        <f t="shared" si="3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>
        <f t="shared" si="0"/>
        <v>4.702609655172413</v>
      </c>
      <c r="H12" s="28">
        <v>4</v>
      </c>
      <c r="I12" s="29">
        <f t="shared" si="4"/>
        <v>11600</v>
      </c>
      <c r="J12" s="30">
        <f t="shared" si="1"/>
        <v>9.3050865132396937E-2</v>
      </c>
      <c r="K12" s="31">
        <v>34.659999999999997</v>
      </c>
      <c r="L12" s="36">
        <f t="shared" si="2"/>
        <v>1.8160961953426417E-2</v>
      </c>
      <c r="M12" s="33">
        <f t="shared" si="3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>
        <f t="shared" si="0"/>
        <v>7.2156444444444441</v>
      </c>
      <c r="H13" s="28">
        <v>7</v>
      </c>
      <c r="I13" s="29">
        <f t="shared" si="4"/>
        <v>13229.999999999998</v>
      </c>
      <c r="J13" s="30">
        <f t="shared" si="1"/>
        <v>0.1061261160087596</v>
      </c>
      <c r="K13" s="31">
        <v>19.850000000000001</v>
      </c>
      <c r="L13" s="36">
        <f t="shared" si="2"/>
        <v>5.3343814925038095E-3</v>
      </c>
      <c r="M13" s="33">
        <f t="shared" si="3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>
        <f t="shared" si="0"/>
        <v>12.674319702602229</v>
      </c>
      <c r="H14" s="28">
        <v>12</v>
      </c>
      <c r="I14" s="29">
        <f t="shared" si="4"/>
        <v>12912</v>
      </c>
      <c r="J14" s="30">
        <f t="shared" si="1"/>
        <v>0.10357523884392322</v>
      </c>
      <c r="K14" s="31">
        <v>11.85</v>
      </c>
      <c r="L14" s="36">
        <f t="shared" si="2"/>
        <v>1.0492287206308204E-2</v>
      </c>
      <c r="M14" s="33">
        <f t="shared" si="3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>
        <f t="shared" si="0"/>
        <v>10.579959658650115</v>
      </c>
      <c r="H15" s="28">
        <v>10</v>
      </c>
      <c r="I15" s="29">
        <f t="shared" si="4"/>
        <v>12890</v>
      </c>
      <c r="J15" s="30">
        <f t="shared" si="1"/>
        <v>0.10339876306522384</v>
      </c>
      <c r="K15" s="31">
        <v>12.46</v>
      </c>
      <c r="L15" s="36">
        <f t="shared" si="2"/>
        <v>-3.4492993109422965E-3</v>
      </c>
      <c r="M15" s="33">
        <f t="shared" si="3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>
        <f t="shared" si="0"/>
        <v>6.0077392070484574</v>
      </c>
      <c r="H16" s="28">
        <v>5</v>
      </c>
      <c r="I16" s="29">
        <f t="shared" si="4"/>
        <v>11350</v>
      </c>
      <c r="J16" s="30">
        <f t="shared" si="1"/>
        <v>9.1045458556267694E-2</v>
      </c>
      <c r="K16" s="31">
        <v>21.25</v>
      </c>
      <c r="L16" s="36">
        <f t="shared" si="2"/>
        <v>-5.8156790707748034E-3</v>
      </c>
      <c r="M16" s="33">
        <f t="shared" si="3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>
        <f t="shared" si="0"/>
        <v>2.5282847608453838</v>
      </c>
      <c r="H17" s="28">
        <v>3</v>
      </c>
      <c r="I17" s="29">
        <f t="shared" si="4"/>
        <v>16182</v>
      </c>
      <c r="J17" s="30">
        <f t="shared" si="1"/>
        <v>0.12980595685969373</v>
      </c>
      <c r="K17" s="31">
        <v>48.76</v>
      </c>
      <c r="L17" s="36">
        <f t="shared" si="2"/>
        <v>-1.2465607277219386E-2</v>
      </c>
      <c r="M17" s="33">
        <f t="shared" si="3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46" t="s">
        <v>22</v>
      </c>
      <c r="D18" s="46"/>
      <c r="E18" s="46"/>
      <c r="F18" s="4">
        <f>D4</f>
        <v>136375.67999999999</v>
      </c>
      <c r="G18" s="3"/>
      <c r="H18" s="3"/>
      <c r="I18" s="3"/>
      <c r="J18" s="4"/>
      <c r="K18" s="2">
        <f>F4</f>
        <v>141551.67999999999</v>
      </c>
      <c r="L18" s="47">
        <f t="shared" ref="L18:L19" si="5">(K18/F18-1)</f>
        <v>3.7953981237710321E-2</v>
      </c>
      <c r="M18" s="4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46" t="s">
        <v>24</v>
      </c>
      <c r="D19" s="46"/>
      <c r="E19" s="46"/>
      <c r="F19" s="11">
        <v>100967.2</v>
      </c>
      <c r="G19" s="6"/>
      <c r="H19" s="6"/>
      <c r="I19" s="6"/>
      <c r="J19" s="7"/>
      <c r="K19" s="5">
        <v>102673.28</v>
      </c>
      <c r="L19" s="47">
        <f t="shared" si="5"/>
        <v>1.6897368650413247E-2</v>
      </c>
      <c r="M19" s="48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L K + / U E C r + g 2 m A A A A + A A A A B I A H A B D b 2 5 m a W c v U G F j a 2 F n Z S 5 4 b W w g o h g A K K A U A A A A A A A A A A A A A A A A A A A A A A A A A A A A h Y / B C o J A F E V / R W b v v F E J T J 4 j 1 D Y h C q L t M E 0 6 p K P o 2 P h v L f q k f i G h r H Y t 7 + E s z n 3 c 7 p i N d e V d V d f r x q Q k o I x 4 y s j m p E 2 R k s G e / Z h k H L d C X k S h v E k 2 f T L 2 p 5 S U 1 r Y J g H O O u o g 2 X Q E h Y w E c 8 8 1 e l q o W 5 C P r / 7 K v T W + F k Y p w P L x i e E h j R h c x i + i S B Q g z x l y b r x J O x Z Q h / E B c D 5 U d O s V b 6 6 9 2 C P N E e L / g T 1 B L A w Q U A A I A C A A s r 7 9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K + / U C i K R 7 g O A A A A E Q A A A B M A H A B G b 3 J t d W x h c y 9 T Z W N 0 a W 9 u M S 5 t I K I Y A C i g F A A A A A A A A A A A A A A A A A A A A A A A A A A A A C t O T S 7 J z M 9 T C I b Q h t Y A U E s B A i 0 A F A A C A A g A L K + / U E C r + g 2 m A A A A + A A A A B I A A A A A A A A A A A A A A A A A A A A A A E N v b m Z p Z y 9 Q Y W N r Y W d l L n h t b F B L A Q I t A B Q A A g A I A C y v v 1 A P y u m r p A A A A O k A A A A T A A A A A A A A A A A A A A A A A P I A A A B b Q 2 9 u d G V u d F 9 U e X B l c 1 0 u e G 1 s U E s B A i 0 A F A A C A A g A L K + /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o q D K Z n P A t D k + 0 J p l + b a X E A A A A A A g A A A A A A E G Y A A A A B A A A g A A A A T k 6 f S 7 n a 0 J 6 L Z t f J k e A r O g 2 D n h j N k 6 B j 0 H 4 W 8 8 r t 0 U M A A A A A D o A A A A A C A A A g A A A A J n g i W 2 G I v n d 9 r t Q S 2 W u 6 Q L q y K k h g J l a h H l L 1 z 7 w M P X V Q A A A A Y x J g x B z 2 O H v K z 2 3 E H 1 H D C n P E 9 d W 3 I t Y f l w c / 1 8 G D n R P X t 5 w Q S z P F h f y I u R M v B O e G o k E z 5 R S O a U 8 k j g e 6 9 O y Z 9 0 t o m X 7 d x r C c R 6 5 X p / 2 + w G x A A A A A t + V k C K o J i w 6 k X u 9 W e a Y o U k 0 6 T D 1 9 g / v D 3 r 9 z B i v / q I k U v j b Z P I J 5 H l s r 0 0 P O Q z 6 y 6 s m 9 f 9 c Z T 7 u O Z 5 R 8 R T t M h Q = = < / D a t a M a s h u p > 
</file>

<file path=customXml/itemProps1.xml><?xml version="1.0" encoding="utf-8"?>
<ds:datastoreItem xmlns:ds="http://schemas.openxmlformats.org/officeDocument/2006/customXml" ds:itemID="{55EF0DEB-64D3-4694-B7A4-E2516278CC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Aurélio</dc:creator>
  <cp:lastModifiedBy>Aurélio</cp:lastModifiedBy>
  <dcterms:created xsi:type="dcterms:W3CDTF">2020-05-03T00:50:55Z</dcterms:created>
  <dcterms:modified xsi:type="dcterms:W3CDTF">2020-07-06T01:13:10Z</dcterms:modified>
</cp:coreProperties>
</file>