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  <Override PartName="/xl/commentsmeta4" ContentType="application/binary"/>
  <Override PartName="/xl/commentsmeta5" ContentType="application/binary"/>
  <Override PartName="/xl/commentsmeta6" ContentType="application/binary"/>
  <Override PartName="/xl/commentsmeta7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\Pictures\Sara\Sara 2020\LIGA MF\Competição de Carteiras\"/>
    </mc:Choice>
  </mc:AlternateContent>
  <bookViews>
    <workbookView xWindow="0" yWindow="0" windowWidth="20490" windowHeight="7650" activeTab="2"/>
  </bookViews>
  <sheets>
    <sheet name="Maio" sheetId="1" r:id="rId1"/>
    <sheet name="Junho" sheetId="2" r:id="rId2"/>
    <sheet name="Julho" sheetId="3" r:id="rId3"/>
    <sheet name="Agosto" sheetId="4" r:id="rId4"/>
    <sheet name="Setembro" sheetId="5" r:id="rId5"/>
    <sheet name="Outubro" sheetId="6" r:id="rId6"/>
    <sheet name="Novembro" sheetId="7" r:id="rId7"/>
    <sheet name="Dezembro" sheetId="8" r:id="rId8"/>
  </sheets>
  <calcPr calcId="162913"/>
  <extLst>
    <ext uri="GoogleSheetsCustomDataVersion1">
      <go:sheetsCustomData xmlns:go="http://customooxmlschemas.google.com/" r:id="rId12" roundtripDataSignature="AMtx7mi0kao+rbAMoVSgHxisviTOAMwq0g=="/>
    </ext>
  </extLst>
</workbook>
</file>

<file path=xl/calcChain.xml><?xml version="1.0" encoding="utf-8"?>
<calcChain xmlns="http://schemas.openxmlformats.org/spreadsheetml/2006/main">
  <c r="L19" i="8" l="1"/>
  <c r="I17" i="8"/>
  <c r="I16" i="8"/>
  <c r="I15" i="8"/>
  <c r="I14" i="8"/>
  <c r="I13" i="8"/>
  <c r="I12" i="8"/>
  <c r="I11" i="8"/>
  <c r="I10" i="8"/>
  <c r="I9" i="8"/>
  <c r="I8" i="8"/>
  <c r="L19" i="7"/>
  <c r="I17" i="7"/>
  <c r="I16" i="7"/>
  <c r="I15" i="7"/>
  <c r="I14" i="7"/>
  <c r="I13" i="7"/>
  <c r="I12" i="7"/>
  <c r="I11" i="7"/>
  <c r="I10" i="7"/>
  <c r="I9" i="7"/>
  <c r="I8" i="7"/>
  <c r="L19" i="6"/>
  <c r="I17" i="6"/>
  <c r="I16" i="6"/>
  <c r="I15" i="6"/>
  <c r="I14" i="6"/>
  <c r="I13" i="6"/>
  <c r="I12" i="6"/>
  <c r="I11" i="6"/>
  <c r="I10" i="6"/>
  <c r="I9" i="6"/>
  <c r="I8" i="6"/>
  <c r="L19" i="5"/>
  <c r="I17" i="5"/>
  <c r="I16" i="5"/>
  <c r="I15" i="5"/>
  <c r="I14" i="5"/>
  <c r="I13" i="5"/>
  <c r="I12" i="5"/>
  <c r="I11" i="5"/>
  <c r="I10" i="5"/>
  <c r="I9" i="5"/>
  <c r="I8" i="5"/>
  <c r="L19" i="4"/>
  <c r="I17" i="4"/>
  <c r="I16" i="4"/>
  <c r="I15" i="4"/>
  <c r="I14" i="4"/>
  <c r="I13" i="4"/>
  <c r="I12" i="4"/>
  <c r="I11" i="4"/>
  <c r="I10" i="4"/>
  <c r="I9" i="4"/>
  <c r="I8" i="4"/>
  <c r="L19" i="3"/>
  <c r="L19" i="2"/>
  <c r="K15" i="2"/>
  <c r="I15" i="2"/>
  <c r="K14" i="2"/>
  <c r="I14" i="2"/>
  <c r="K13" i="2"/>
  <c r="I13" i="2"/>
  <c r="K12" i="2"/>
  <c r="I12" i="2"/>
  <c r="K11" i="2"/>
  <c r="I11" i="2"/>
  <c r="K10" i="2"/>
  <c r="I10" i="2"/>
  <c r="I9" i="2"/>
  <c r="I8" i="2"/>
  <c r="L19" i="1"/>
  <c r="M17" i="1"/>
  <c r="M16" i="1"/>
  <c r="M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K15" i="3"/>
  <c r="K11" i="3"/>
  <c r="K14" i="3"/>
  <c r="K10" i="3"/>
  <c r="K13" i="3"/>
  <c r="K9" i="3"/>
  <c r="K16" i="3"/>
  <c r="K12" i="3"/>
  <c r="K8" i="3"/>
  <c r="J12" i="1" l="1"/>
  <c r="L12" i="1" s="1"/>
  <c r="M12" i="1" s="1"/>
  <c r="E4" i="1"/>
  <c r="J11" i="1" s="1"/>
  <c r="L11" i="1" s="1"/>
  <c r="M11" i="1" s="1"/>
  <c r="J8" i="1"/>
  <c r="L8" i="1" s="1"/>
  <c r="M8" i="1" l="1"/>
  <c r="J13" i="1"/>
  <c r="L13" i="1" s="1"/>
  <c r="M13" i="1" s="1"/>
  <c r="J9" i="1"/>
  <c r="L9" i="1" s="1"/>
  <c r="M9" i="1" s="1"/>
  <c r="J10" i="1"/>
  <c r="L10" i="1" s="1"/>
  <c r="M10" i="1" s="1"/>
  <c r="J14" i="1"/>
  <c r="L14" i="1" s="1"/>
  <c r="M14" i="1" s="1"/>
  <c r="I2" i="1" l="1"/>
  <c r="F4" i="1" s="1"/>
  <c r="I4" i="1" l="1"/>
  <c r="D4" i="2"/>
  <c r="K18" i="1"/>
  <c r="L18" i="1" s="1"/>
  <c r="G15" i="2" l="1"/>
  <c r="G10" i="2"/>
  <c r="G9" i="2"/>
  <c r="E4" i="2"/>
  <c r="G12" i="2"/>
  <c r="G8" i="2"/>
  <c r="G14" i="2"/>
  <c r="G11" i="2"/>
  <c r="F18" i="2"/>
  <c r="G13" i="2"/>
  <c r="J11" i="2" l="1"/>
  <c r="L11" i="2" s="1"/>
  <c r="M11" i="2" s="1"/>
  <c r="J13" i="2"/>
  <c r="L13" i="2" s="1"/>
  <c r="M13" i="2" s="1"/>
  <c r="J15" i="2"/>
  <c r="L15" i="2" s="1"/>
  <c r="M15" i="2" s="1"/>
  <c r="J12" i="2"/>
  <c r="L12" i="2" s="1"/>
  <c r="M12" i="2" s="1"/>
  <c r="J8" i="2"/>
  <c r="L8" i="2" s="1"/>
  <c r="J14" i="2"/>
  <c r="L14" i="2" s="1"/>
  <c r="M14" i="2" s="1"/>
  <c r="J9" i="2"/>
  <c r="L9" i="2" s="1"/>
  <c r="M9" i="2" s="1"/>
  <c r="J10" i="2"/>
  <c r="L10" i="2" s="1"/>
  <c r="M10" i="2" s="1"/>
  <c r="M8" i="2" l="1"/>
  <c r="I2" i="2"/>
  <c r="F4" i="2" s="1"/>
  <c r="D4" i="3" l="1"/>
  <c r="K18" i="2"/>
  <c r="L18" i="2" s="1"/>
  <c r="I4" i="2"/>
  <c r="G16" i="3" l="1"/>
  <c r="H16" i="3" s="1"/>
  <c r="I16" i="3" s="1"/>
  <c r="G14" i="3"/>
  <c r="H14" i="3" s="1"/>
  <c r="I14" i="3" s="1"/>
  <c r="G11" i="3"/>
  <c r="H11" i="3" s="1"/>
  <c r="I11" i="3" s="1"/>
  <c r="G9" i="3"/>
  <c r="H9" i="3" s="1"/>
  <c r="I9" i="3" s="1"/>
  <c r="G15" i="3"/>
  <c r="H15" i="3" s="1"/>
  <c r="I15" i="3" s="1"/>
  <c r="G13" i="3"/>
  <c r="H13" i="3" s="1"/>
  <c r="I13" i="3" s="1"/>
  <c r="G12" i="3"/>
  <c r="H12" i="3" s="1"/>
  <c r="I12" i="3" s="1"/>
  <c r="G10" i="3"/>
  <c r="H10" i="3" s="1"/>
  <c r="I10" i="3" s="1"/>
  <c r="F18" i="3"/>
  <c r="G8" i="3"/>
  <c r="H8" i="3" s="1"/>
  <c r="I8" i="3" s="1"/>
  <c r="E4" i="3" l="1"/>
  <c r="J13" i="3" l="1"/>
  <c r="L13" i="3" s="1"/>
  <c r="M13" i="3" s="1"/>
  <c r="J14" i="3"/>
  <c r="L14" i="3" s="1"/>
  <c r="M14" i="3" s="1"/>
  <c r="J12" i="3"/>
  <c r="L12" i="3" s="1"/>
  <c r="M12" i="3" s="1"/>
  <c r="J11" i="3"/>
  <c r="L11" i="3" s="1"/>
  <c r="M11" i="3" s="1"/>
  <c r="J16" i="3"/>
  <c r="L16" i="3" s="1"/>
  <c r="M16" i="3" s="1"/>
  <c r="J15" i="3"/>
  <c r="L15" i="3" s="1"/>
  <c r="M15" i="3" s="1"/>
  <c r="J9" i="3"/>
  <c r="L9" i="3" s="1"/>
  <c r="M9" i="3" s="1"/>
  <c r="J10" i="3"/>
  <c r="L10" i="3" s="1"/>
  <c r="M10" i="3" s="1"/>
  <c r="J8" i="3"/>
  <c r="L8" i="3" s="1"/>
  <c r="M8" i="3" l="1"/>
  <c r="L2" i="3"/>
  <c r="F4" i="3" s="1"/>
  <c r="D4" i="4" l="1"/>
  <c r="K18" i="3"/>
  <c r="L18" i="3" s="1"/>
  <c r="L4" i="3"/>
  <c r="G16" i="4" l="1"/>
  <c r="G12" i="4"/>
  <c r="G8" i="4"/>
  <c r="E4" i="4"/>
  <c r="G17" i="4"/>
  <c r="G15" i="4"/>
  <c r="G13" i="4"/>
  <c r="G11" i="4"/>
  <c r="G9" i="4"/>
  <c r="F18" i="4"/>
  <c r="G14" i="4"/>
  <c r="G10" i="4"/>
  <c r="J17" i="4" l="1"/>
  <c r="L17" i="4" s="1"/>
  <c r="M17" i="4" s="1"/>
  <c r="J16" i="4"/>
  <c r="L16" i="4" s="1"/>
  <c r="M16" i="4" s="1"/>
  <c r="J15" i="4"/>
  <c r="L15" i="4" s="1"/>
  <c r="M15" i="4" s="1"/>
  <c r="J13" i="4"/>
  <c r="L13" i="4" s="1"/>
  <c r="M13" i="4" s="1"/>
  <c r="J12" i="4"/>
  <c r="L12" i="4" s="1"/>
  <c r="M12" i="4" s="1"/>
  <c r="J11" i="4"/>
  <c r="L11" i="4" s="1"/>
  <c r="M11" i="4" s="1"/>
  <c r="J9" i="4"/>
  <c r="L9" i="4" s="1"/>
  <c r="M9" i="4" s="1"/>
  <c r="J8" i="4"/>
  <c r="L8" i="4" s="1"/>
  <c r="J14" i="4"/>
  <c r="L14" i="4" s="1"/>
  <c r="M14" i="4" s="1"/>
  <c r="J10" i="4"/>
  <c r="L10" i="4" s="1"/>
  <c r="M10" i="4" s="1"/>
  <c r="M8" i="4" l="1"/>
  <c r="I2" i="4"/>
  <c r="F4" i="4" s="1"/>
  <c r="K18" i="4" l="1"/>
  <c r="L18" i="4" s="1"/>
  <c r="D4" i="5"/>
  <c r="I4" i="4"/>
  <c r="G17" i="5" l="1"/>
  <c r="G13" i="5"/>
  <c r="G9" i="5"/>
  <c r="E4" i="5"/>
  <c r="F18" i="5"/>
  <c r="G16" i="5"/>
  <c r="G15" i="5"/>
  <c r="G14" i="5"/>
  <c r="G12" i="5"/>
  <c r="G11" i="5"/>
  <c r="G10" i="5"/>
  <c r="G8" i="5"/>
  <c r="J16" i="5" l="1"/>
  <c r="L16" i="5" s="1"/>
  <c r="M16" i="5" s="1"/>
  <c r="J12" i="5"/>
  <c r="L12" i="5" s="1"/>
  <c r="M12" i="5" s="1"/>
  <c r="J8" i="5"/>
  <c r="L8" i="5" s="1"/>
  <c r="J9" i="5"/>
  <c r="L9" i="5" s="1"/>
  <c r="M9" i="5" s="1"/>
  <c r="J17" i="5"/>
  <c r="L17" i="5" s="1"/>
  <c r="M17" i="5" s="1"/>
  <c r="J14" i="5"/>
  <c r="L14" i="5" s="1"/>
  <c r="M14" i="5" s="1"/>
  <c r="J11" i="5"/>
  <c r="L11" i="5" s="1"/>
  <c r="M11" i="5" s="1"/>
  <c r="J15" i="5"/>
  <c r="L15" i="5" s="1"/>
  <c r="M15" i="5" s="1"/>
  <c r="J13" i="5"/>
  <c r="L13" i="5" s="1"/>
  <c r="M13" i="5" s="1"/>
  <c r="J10" i="5"/>
  <c r="L10" i="5" s="1"/>
  <c r="M10" i="5" s="1"/>
  <c r="M8" i="5" l="1"/>
  <c r="I2" i="5"/>
  <c r="F4" i="5" s="1"/>
  <c r="I4" i="5" l="1"/>
  <c r="K18" i="5"/>
  <c r="L18" i="5" s="1"/>
  <c r="D4" i="6"/>
  <c r="F18" i="6" l="1"/>
  <c r="G14" i="6"/>
  <c r="G10" i="6"/>
  <c r="G17" i="6"/>
  <c r="G16" i="6"/>
  <c r="G15" i="6"/>
  <c r="G13" i="6"/>
  <c r="G12" i="6"/>
  <c r="G11" i="6"/>
  <c r="G9" i="6"/>
  <c r="G8" i="6"/>
  <c r="E4" i="6"/>
  <c r="J17" i="6" l="1"/>
  <c r="L17" i="6" s="1"/>
  <c r="M17" i="6" s="1"/>
  <c r="J13" i="6"/>
  <c r="L13" i="6" s="1"/>
  <c r="M13" i="6" s="1"/>
  <c r="J9" i="6"/>
  <c r="L9" i="6" s="1"/>
  <c r="M9" i="6" s="1"/>
  <c r="J8" i="6"/>
  <c r="L8" i="6" s="1"/>
  <c r="J14" i="6"/>
  <c r="L14" i="6" s="1"/>
  <c r="M14" i="6" s="1"/>
  <c r="J15" i="6"/>
  <c r="L15" i="6" s="1"/>
  <c r="M15" i="6" s="1"/>
  <c r="J16" i="6"/>
  <c r="L16" i="6" s="1"/>
  <c r="M16" i="6" s="1"/>
  <c r="J10" i="6"/>
  <c r="L10" i="6" s="1"/>
  <c r="M10" i="6" s="1"/>
  <c r="J11" i="6"/>
  <c r="L11" i="6" s="1"/>
  <c r="M11" i="6" s="1"/>
  <c r="J12" i="6"/>
  <c r="L12" i="6" s="1"/>
  <c r="M12" i="6" s="1"/>
  <c r="I2" i="6" l="1"/>
  <c r="F4" i="6" s="1"/>
  <c r="M8" i="6"/>
  <c r="D4" i="7" l="1"/>
  <c r="K18" i="6"/>
  <c r="L18" i="6" s="1"/>
  <c r="I4" i="6"/>
  <c r="G16" i="7" l="1"/>
  <c r="G12" i="7"/>
  <c r="G15" i="7"/>
  <c r="G11" i="7"/>
  <c r="F18" i="7"/>
  <c r="G14" i="7"/>
  <c r="G13" i="7"/>
  <c r="G10" i="7"/>
  <c r="G9" i="7"/>
  <c r="G8" i="7"/>
  <c r="G17" i="7"/>
  <c r="E4" i="7"/>
  <c r="J14" i="7" l="1"/>
  <c r="L14" i="7" s="1"/>
  <c r="M14" i="7" s="1"/>
  <c r="J15" i="7"/>
  <c r="L15" i="7" s="1"/>
  <c r="M15" i="7" s="1"/>
  <c r="J11" i="7"/>
  <c r="L11" i="7" s="1"/>
  <c r="M11" i="7" s="1"/>
  <c r="J8" i="7"/>
  <c r="L8" i="7" s="1"/>
  <c r="J10" i="7"/>
  <c r="L10" i="7" s="1"/>
  <c r="M10" i="7" s="1"/>
  <c r="J9" i="7"/>
  <c r="L9" i="7" s="1"/>
  <c r="M9" i="7" s="1"/>
  <c r="J12" i="7"/>
  <c r="L12" i="7" s="1"/>
  <c r="M12" i="7" s="1"/>
  <c r="J16" i="7"/>
  <c r="L16" i="7" s="1"/>
  <c r="M16" i="7" s="1"/>
  <c r="J13" i="7"/>
  <c r="L13" i="7" s="1"/>
  <c r="M13" i="7" s="1"/>
  <c r="J17" i="7"/>
  <c r="L17" i="7" s="1"/>
  <c r="M17" i="7" s="1"/>
  <c r="I2" i="7" l="1"/>
  <c r="F4" i="7" s="1"/>
  <c r="M8" i="7"/>
  <c r="D4" i="8" l="1"/>
  <c r="K18" i="7"/>
  <c r="L18" i="7" s="1"/>
  <c r="I4" i="7"/>
  <c r="G17" i="8" l="1"/>
  <c r="G13" i="8"/>
  <c r="G9" i="8"/>
  <c r="E4" i="8"/>
  <c r="G16" i="8"/>
  <c r="G12" i="8"/>
  <c r="G8" i="8"/>
  <c r="G15" i="8"/>
  <c r="G11" i="8"/>
  <c r="F18" i="8"/>
  <c r="G14" i="8"/>
  <c r="G10" i="8"/>
  <c r="J15" i="8" l="1"/>
  <c r="L15" i="8" s="1"/>
  <c r="M15" i="8" s="1"/>
  <c r="J11" i="8"/>
  <c r="L11" i="8" s="1"/>
  <c r="M11" i="8" s="1"/>
  <c r="J9" i="8"/>
  <c r="L9" i="8" s="1"/>
  <c r="M9" i="8" s="1"/>
  <c r="J17" i="8"/>
  <c r="L17" i="8" s="1"/>
  <c r="M17" i="8" s="1"/>
  <c r="J16" i="8"/>
  <c r="L16" i="8" s="1"/>
  <c r="M16" i="8" s="1"/>
  <c r="J12" i="8"/>
  <c r="L12" i="8" s="1"/>
  <c r="M12" i="8" s="1"/>
  <c r="J8" i="8"/>
  <c r="L8" i="8" s="1"/>
  <c r="J13" i="8"/>
  <c r="L13" i="8" s="1"/>
  <c r="M13" i="8" s="1"/>
  <c r="J10" i="8"/>
  <c r="L10" i="8" s="1"/>
  <c r="M10" i="8" s="1"/>
  <c r="J14" i="8"/>
  <c r="L14" i="8" s="1"/>
  <c r="M14" i="8" s="1"/>
  <c r="M8" i="8" l="1"/>
  <c r="I2" i="8"/>
  <c r="F4" i="8" s="1"/>
  <c r="I4" i="8" l="1"/>
  <c r="K18" i="8"/>
  <c r="L18" i="8" s="1"/>
</calcChain>
</file>

<file path=xl/comments1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======
ID#AAAAJsDrAGY
tc={B55C2367-528D-4841-BB23-C4066130E4D0}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======
ID#AAAAJsDrAIQ
tc={16BBAD93-6F81-4B63-B7F8-B3EDE63739A7}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======
ID#AAAAJsDrAH8
tc={587B0042-734E-4D5A-89CA-26F70A0C34ED}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======
ID#AAAAJsDrAGc
tc={509F176C-E747-444B-B622-6D5BC47982A7}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======
ID#AAAAJsDrAFE
tc={71A6F7B1-09F9-4675-BF05-E30B4492E21B}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======
ID#AAAAJsDrAFY
tc={181D55B0-6909-4319-AA6A-982016F7CD70}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======
ID#AAAAJsDrAHs
tc={C9AA2DF0-78A2-4909-8ABE-26446F791401}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======
ID#AAAAJsDrAFU
tc={88DD79DF-B6BB-43F6-A8FA-CFB206597B3F}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======
ID#AAAAJsDrAEg
tc={749CF765-772F-4A49-86DF-6CD58BEC07AE}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======
ID#AAAAJsDrAHA
tc={749CF765-772F-4A49-86DF-6CD58BEC07AE}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2EBnPFOqPmX4CxJKVP3i8MlmpA=="/>
    </ext>
  </extLst>
</comments>
</file>

<file path=xl/comments2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======
ID#AAAAJsDrAHE
tc={688FEA80-25FE-4B75-801E-3CA19B3D65FC}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======
ID#AAAAJsDrAFQ
tc={CEEFC563-CA86-4D43-8A28-44C59565EF4E}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======
ID#AAAAJsDrAF0
tc={67270B89-2037-4C96-98AE-5AC1319F80E0}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======
ID#AAAAJsDrAD8
tc={A67FB370-0C52-49A8-A768-D7E315EF6814}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======
ID#AAAAJsDrAIE
tc={3539FD91-F263-4EEF-A963-3C45A456AB66}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======
ID#AAAAJsDrAGA
tc={911F194A-5361-48A6-BB68-1ADA0719DA33}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======
ID#AAAAJsDrAHU
tc={8A368ABE-FCEC-42C2-ABA5-0C33242F0033}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======
ID#AAAAJsDrAGg
tc={40CE3917-303A-4788-A324-9259519F025E}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======
ID#AAAAJsDrAFA
tc={61D265A0-D3CE-448D-8970-3F6F8B2C2890}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======
ID#AAAAJsDrAGo
tc={9B3A2961-CCBE-4C8B-9D39-B4D400A339C0}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ipf14sZ99p9lCc/dhnYVlqRMCw=="/>
    </ext>
  </extLst>
</comments>
</file>

<file path=xl/comments3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======
ID#AAAAJsDrAFc
tc={D3C70F70-EF06-4993-8D58-DA19E78162EF}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======
ID#AAAAJsDrAFk
tc={482EA452-15E1-4C06-9E5B-1E2B1E779CD8}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======
ID#AAAAJsDrAD0
tc={9A534764-84B7-4D11-ACAE-E5B0C927D501}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======
ID#AAAAJsDrAHk
tc={1042266D-BD10-4E7A-A27E-E54248919544}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======
ID#AAAAJsDrAFM
tc={6AB3508A-F023-47E0-8758-9E254731109F}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======
ID#AAAAJsDrAEU
tc={E467A9D0-3AC5-48AA-AB4B-0596D221D80B}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======
ID#AAAAJsDrAEo
tc={F12B247E-BCA5-477C-B996-9CCAB97EBC73}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======
ID#AAAAJsDrAE4
tc={8BD41DE3-2870-4F87-8E2D-1ADC8683C45E}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======
ID#AAAAJsDrAF4
tc={2B760078-2817-46A2-84E7-B32BDF66B513}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======
ID#AAAAJsDrAGE
tc={A19E2F08-15C5-4CCF-9AE6-B026D0393041}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f2D5GL1Yo9GKWJgwEi1gHv/5zQ=="/>
    </ext>
  </extLst>
</comments>
</file>

<file path=xl/comments4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======
ID#AAAAJsDrAIA
tc={607E85AC-9A32-429A-8573-60CAA2E2CBE1}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======
ID#AAAAJsDrAF8
tc={B581FA51-5EBA-4EF3-8253-BC5F13F97ACB}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======
ID#AAAAJsDrADs
tc={1D50B807-28CB-43F3-B1A8-D846F0D413B9}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======
ID#AAAAJsDrAHo
tc={97E5CDF9-55D6-498D-81F0-2259C41ABB07}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======
ID#AAAAJsDrAGw
tc={654B4EFE-0B9A-43F7-914D-757CF1F3E8C9}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======
ID#AAAAJsDrAFw
tc={AD8998AF-BD4D-4740-8218-D5E48EA496FB}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======
ID#AAAAJsDrAIc
tc={A206ADB7-07A0-447C-B4E8-C4759AA390F9}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======
ID#AAAAJsDrAFI
tc={745D8065-1CCB-4A4A-8DA3-9C0464129F3C}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======
ID#AAAAJsDrAFg
tc={0D9DA082-B953-4C29-8054-D9D1AB2A5627}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======
ID#AAAAJsDrAHc
tc={7A93F0BE-01CD-45D5-AD9B-AFF63BCD89AF}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zcXY4yCuxmfC6hojo6D8OxDLyBA=="/>
    </ext>
  </extLst>
</comments>
</file>

<file path=xl/comments5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======
ID#AAAAJsDrADk
tc={1E98A9A8-8A31-4E85-A1E4-8D2B0D046D33}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======
ID#AAAAJsDrAHM
tc={635F5587-80CB-4175-82EB-8696C6EB688A}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======
ID#AAAAJsDrAGQ
tc={2F5A09F0-B440-4069-A8B9-8C72BF0DD6C4}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======
ID#AAAAJsDrAHY
tc={38FC7AD3-3124-4A5E-BDE8-58C6037BC265}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======
ID#AAAAJsDrAEE
tc={731A9A4C-0552-4189-9240-15D17773F725}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======
ID#AAAAJsDrAIU
tc={A5087398-BF86-4E43-8F71-48466C1D45B9}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======
ID#AAAAJsDrAGU
tc={D90697C3-E758-437E-B73C-4FF449A2E749}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======
ID#AAAAJsDrAGM
tc={7BFADBC6-9362-469E-8D5C-202A68C2FE77}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======
ID#AAAAJsDrAEQ
tc={8DE47843-3F50-4C53-84E8-E181295C736A}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======
ID#AAAAJsDrAFs
tc={D4C375FA-6293-45BD-833F-7360BA536125}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eSsAT17rr8J9BsZ6RRT5rLhjJPA=="/>
    </ext>
  </extLst>
</comments>
</file>

<file path=xl/comments6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======
ID#AAAAJsDrAGk
tc={67964B61-810C-4DF8-91B9-EDB3014B5FE5}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======
ID#AAAAJsDrAHQ
tc={C0C54AC5-B3BD-4CAE-A8E0-0DAA5C3199C0}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======
ID#AAAAJsDrAEI
tc={1BBFF5F6-B6EA-4BE6-A0FB-3C74693184DC}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======
ID#AAAAJsDrAGs
tc={AA5F370C-5DB6-4664-BFF2-2631DD80AF21}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======
ID#AAAAJsDrAD4
tc={421E120E-2047-4EB4-9508-9F38F8186301}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======
ID#AAAAJsDrAFo
tc={4AAA708A-8571-4DFC-A79E-3756C2F92E2B}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======
ID#AAAAJsDrAEY
tc={BC8B0F31-23E3-4FDA-A976-62F7687EBFAE}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======
ID#AAAAJsDrAH4
tc={16BEA4CA-31A5-4087-8E14-71966A7E5387}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======
ID#AAAAJsDrAEs
tc={C14A0E4E-BBB4-4492-9C97-EE12FDD28DA8}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======
ID#AAAAJsDrAGI
tc={FEF8E825-B3A9-4C57-9CA5-C61A739C92A8}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yjJxj82mCNTuiNmCs95L3MsnS5Q=="/>
    </ext>
  </extLst>
</comments>
</file>

<file path=xl/comments7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======
ID#AAAAJsDrAEc
tc={A0C285BA-F422-4DD9-9B84-EB210939840E}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======
ID#AAAAJsDrAII
tc={40E5B91B-B676-455F-9368-D0A1AC144889}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======
ID#AAAAJsDrAEM
tc={B2A3DBD5-0D5C-42F5-9263-DB1694B43BC1}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======
ID#AAAAJsDrAIM
tc={4166CF13-92FA-4D1D-B5BD-0739D160D423}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======
ID#AAAAJsDrAEw
tc={7893E8D5-DE99-4C03-AE57-0DD7A8B8D782}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======
ID#AAAAJsDrAE8
tc={66B7981D-AD7C-43E2-BC9C-A617DEC2C203}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======
ID#AAAAJsDrAHg
tc={00A22400-096C-466C-A7E7-B4FBAD053C23}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======
ID#AAAAJsDrAH0
tc={A422C7BC-6ED1-4B5C-813A-9C0FDF863B37}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======
ID#AAAAJsDrAHw
tc={4052D1C2-B057-4DFE-AC2F-480A005CDCAB}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======
ID#AAAAJsDrAG4
tc={F8C20322-B2AB-4522-BF40-B2ACA39B5C31}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nJGOLk0s7KO+P4ZV39bg0WiIR1g=="/>
    </ext>
  </extLst>
</comments>
</file>

<file path=xl/comments8.xml><?xml version="1.0" encoding="utf-8"?>
<comments xmlns="http://schemas.openxmlformats.org/spreadsheetml/2006/main">
  <authors>
    <author/>
  </authors>
  <commentList>
    <comment ref="C7" authorId="0" shapeId="0">
      <text>
        <r>
          <rPr>
            <sz val="11"/>
            <color rgb="FF000000"/>
            <rFont val="Calibri"/>
          </rPr>
          <t>======
ID#AAAAJsDrAG8
tc={E83EB81F-37DE-4374-934A-DB95FAA4247E}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 shapeId="0">
      <text>
        <r>
          <rPr>
            <sz val="11"/>
            <color rgb="FF000000"/>
            <rFont val="Calibri"/>
          </rPr>
          <t>======
ID#AAAAJsDrAE0
tc={16EC303E-53C4-4F53-99A3-0F155DE169CF}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 shapeId="0">
      <text>
        <r>
          <rPr>
            <sz val="11"/>
            <color rgb="FF000000"/>
            <rFont val="Calibri"/>
          </rPr>
          <t>======
ID#AAAAJsDrAIY
tc={A782504A-B6F7-498C-B6FA-F9529EE00516}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G7" authorId="0" shapeId="0">
      <text>
        <r>
          <rPr>
            <sz val="11"/>
            <color rgb="FF000000"/>
            <rFont val="Calibri"/>
          </rPr>
          <t>======
ID#AAAAJsDrAIg
tc={B7F0E5A7-B09A-480D-8E54-2447CB993BB1}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 shapeId="0">
      <text>
        <r>
          <rPr>
            <sz val="11"/>
            <color rgb="FF000000"/>
            <rFont val="Calibri"/>
          </rPr>
          <t>======
ID#AAAAJsDrAEk
tc={5EA5737E-F53A-4530-BB43-1AAB510DEECE}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 shapeId="0">
      <text>
        <r>
          <rPr>
            <sz val="11"/>
            <color rgb="FF000000"/>
            <rFont val="Calibri"/>
          </rPr>
          <t>======
ID#AAAAJsDrADw
tc={1D77E804-465B-4171-9176-39CB82D428CB}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 shapeId="0">
      <text>
        <r>
          <rPr>
            <sz val="11"/>
            <color rgb="FF000000"/>
            <rFont val="Calibri"/>
          </rPr>
          <t>======
ID#AAAAJsDrAEA
tc={DEC0A3F1-5812-4030-ABD7-59988F89926F}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L7" authorId="0" shapeId="0">
      <text>
        <r>
          <rPr>
            <sz val="11"/>
            <color rgb="FF000000"/>
            <rFont val="Calibri"/>
          </rPr>
          <t>======
ID#AAAAJsDrAG0
tc={D6DAED45-4578-4201-93C8-19F06DA3B647}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  <comment ref="F19" authorId="0" shapeId="0">
      <text>
        <r>
          <rPr>
            <sz val="11"/>
            <color rgb="FF000000"/>
            <rFont val="Calibri"/>
          </rPr>
          <t>======
ID#AAAAJsDrAHI
tc={ED257713-68C3-4210-BCF1-B68356BB7592}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K19" authorId="0" shapeId="0">
      <text>
        <r>
          <rPr>
            <sz val="11"/>
            <color rgb="FF000000"/>
            <rFont val="Calibri"/>
          </rPr>
          <t>======
ID#AAAAJsDrADo
tc={BB1F67A7-0656-4DEE-A61F-B9F0AD903AB7}    (2020-05-07 14:23:49)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WDymLkzOWbkfvVN2IHaTVF5r+iA=="/>
    </ext>
  </extLst>
</comments>
</file>

<file path=xl/sharedStrings.xml><?xml version="1.0" encoding="utf-8"?>
<sst xmlns="http://schemas.openxmlformats.org/spreadsheetml/2006/main" count="241" uniqueCount="46">
  <si>
    <t>CAPITAL</t>
  </si>
  <si>
    <t>-&gt;</t>
  </si>
  <si>
    <t>Rentabilidade Mensal dos Ativos (sem caixa)</t>
  </si>
  <si>
    <t>INICIAL</t>
  </si>
  <si>
    <t>INVESTIDO</t>
  </si>
  <si>
    <t>ATUAL</t>
  </si>
  <si>
    <t>Rentabilidade Acumulada</t>
  </si>
  <si>
    <t>Maio de 2020</t>
  </si>
  <si>
    <t>Ativos</t>
  </si>
  <si>
    <t>Composição</t>
  </si>
  <si>
    <t>Preço Compra</t>
  </si>
  <si>
    <t>Qnt 1</t>
  </si>
  <si>
    <t>Qnt 2</t>
  </si>
  <si>
    <t>Montante</t>
  </si>
  <si>
    <t>Comp2</t>
  </si>
  <si>
    <t>Preço Atual</t>
  </si>
  <si>
    <t>Retorno</t>
  </si>
  <si>
    <t>TAEE11</t>
  </si>
  <si>
    <t>BPAC11</t>
  </si>
  <si>
    <t>MDIA3</t>
  </si>
  <si>
    <t>B3SA3</t>
  </si>
  <si>
    <t>LREN3</t>
  </si>
  <si>
    <t>GGBR4</t>
  </si>
  <si>
    <t>SAPR11</t>
  </si>
  <si>
    <t>CARTEIRA</t>
  </si>
  <si>
    <t xml:space="preserve">      -&gt; Rentabilidade mensal da carteira</t>
  </si>
  <si>
    <t>IBOVESPA</t>
  </si>
  <si>
    <t>Junho de 2020</t>
  </si>
  <si>
    <t>VVAR3</t>
  </si>
  <si>
    <t xml:space="preserve"> BBAS3</t>
  </si>
  <si>
    <t>CSAN3</t>
  </si>
  <si>
    <t>Julho de 2020</t>
  </si>
  <si>
    <t>EGIE3</t>
  </si>
  <si>
    <t>LWSA3</t>
  </si>
  <si>
    <t>JHSF3</t>
  </si>
  <si>
    <t>CYRE3</t>
  </si>
  <si>
    <t>BBAS3</t>
  </si>
  <si>
    <t>COGN3</t>
  </si>
  <si>
    <t>CSNA3</t>
  </si>
  <si>
    <t>ELET3</t>
  </si>
  <si>
    <t>TAEE3</t>
  </si>
  <si>
    <t>yduq3</t>
  </si>
  <si>
    <t>ENBR3</t>
  </si>
  <si>
    <t>ECOR3</t>
  </si>
  <si>
    <t>ITSA4</t>
  </si>
  <si>
    <t>SANB4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</si>
</sst>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R$&quot;\ * #,##0.00_-;\-&quot;R$&quot;\ * #,##0.00_-;_-&quot;R$&quot;\ * &quot;-&quot;??_-;_-@"/>
    <numFmt numFmtId="165" formatCode="_-* #,##0_-;\-* #,##0_-;_-* &quot;-&quot;??_-;_-@"/>
    <numFmt numFmtId="166" formatCode="_-* #,##0.00_-;\-* #,##0.00_-;_-* &quot;-&quot;??_-;_-@"/>
    <numFmt numFmtId="167" formatCode="0.0%"/>
  </numFmts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b/>
      <sz val="15"/>
      <color rgb="FF000000"/>
      <name val="Calibri"/>
      <family val="2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E7E6E6"/>
        <bgColor rgb="FFE7E6E6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0" fillId="2" borderId="1" xfId="0" quotePrefix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0" fillId="2" borderId="5" xfId="0" applyNumberFormat="1" applyFont="1" applyFill="1" applyBorder="1" applyAlignment="1">
      <alignment horizontal="center" vertical="center"/>
    </xf>
    <xf numFmtId="164" fontId="0" fillId="2" borderId="6" xfId="0" applyNumberFormat="1" applyFont="1" applyFill="1" applyBorder="1" applyAlignment="1">
      <alignment horizontal="center" vertical="center" wrapText="1"/>
    </xf>
    <xf numFmtId="164" fontId="0" fillId="2" borderId="7" xfId="0" applyNumberFormat="1" applyFont="1" applyFill="1" applyBorder="1" applyAlignment="1">
      <alignment horizontal="center" vertical="center"/>
    </xf>
    <xf numFmtId="10" fontId="4" fillId="3" borderId="8" xfId="0" applyNumberFormat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165" fontId="0" fillId="2" borderId="10" xfId="0" applyNumberFormat="1" applyFont="1" applyFill="1" applyBorder="1" applyAlignment="1">
      <alignment horizontal="center" vertical="center"/>
    </xf>
    <xf numFmtId="166" fontId="0" fillId="2" borderId="10" xfId="0" applyNumberFormat="1" applyFont="1" applyFill="1" applyBorder="1" applyAlignment="1">
      <alignment horizontal="center" vertical="center"/>
    </xf>
    <xf numFmtId="167" fontId="0" fillId="2" borderId="1" xfId="0" applyNumberFormat="1" applyFon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166" fontId="0" fillId="2" borderId="11" xfId="0" applyNumberFormat="1" applyFont="1" applyFill="1" applyBorder="1" applyAlignment="1">
      <alignment horizontal="center" vertical="center"/>
    </xf>
    <xf numFmtId="166" fontId="0" fillId="2" borderId="12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9" fontId="0" fillId="2" borderId="12" xfId="0" applyNumberFormat="1" applyFont="1" applyFill="1" applyBorder="1" applyAlignment="1">
      <alignment horizontal="center" vertical="center"/>
    </xf>
    <xf numFmtId="164" fontId="0" fillId="2" borderId="10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0" fillId="2" borderId="13" xfId="0" applyNumberFormat="1" applyFont="1" applyFill="1" applyBorder="1" applyAlignment="1">
      <alignment horizontal="center" vertical="center"/>
    </xf>
    <xf numFmtId="165" fontId="0" fillId="2" borderId="13" xfId="0" applyNumberFormat="1" applyFont="1" applyFill="1" applyBorder="1" applyAlignment="1">
      <alignment horizontal="center" vertical="center"/>
    </xf>
    <xf numFmtId="166" fontId="0" fillId="2" borderId="13" xfId="0" applyNumberFormat="1" applyFont="1" applyFill="1" applyBorder="1" applyAlignment="1">
      <alignment horizontal="center" vertical="center"/>
    </xf>
    <xf numFmtId="164" fontId="1" fillId="4" borderId="14" xfId="0" applyNumberFormat="1" applyFont="1" applyFill="1" applyBorder="1" applyAlignment="1">
      <alignment vertical="center"/>
    </xf>
    <xf numFmtId="164" fontId="1" fillId="4" borderId="15" xfId="0" applyNumberFormat="1" applyFont="1" applyFill="1" applyBorder="1" applyAlignment="1">
      <alignment vertical="center"/>
    </xf>
    <xf numFmtId="164" fontId="1" fillId="4" borderId="16" xfId="0" applyNumberFormat="1" applyFont="1" applyFill="1" applyBorder="1" applyAlignment="1">
      <alignment vertical="center"/>
    </xf>
    <xf numFmtId="0" fontId="0" fillId="2" borderId="1" xfId="0" quotePrefix="1" applyFont="1" applyFill="1" applyBorder="1"/>
    <xf numFmtId="166" fontId="1" fillId="4" borderId="14" xfId="0" applyNumberFormat="1" applyFont="1" applyFill="1" applyBorder="1" applyAlignment="1">
      <alignment vertical="center"/>
    </xf>
    <xf numFmtId="0" fontId="1" fillId="4" borderId="15" xfId="0" applyFont="1" applyFill="1" applyBorder="1" applyAlignment="1">
      <alignment vertical="center"/>
    </xf>
    <xf numFmtId="0" fontId="1" fillId="4" borderId="14" xfId="0" applyFont="1" applyFill="1" applyBorder="1" applyAlignment="1">
      <alignment vertical="center"/>
    </xf>
    <xf numFmtId="9" fontId="0" fillId="2" borderId="1" xfId="0" applyNumberFormat="1" applyFont="1" applyFill="1" applyBorder="1"/>
    <xf numFmtId="0" fontId="0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167" fontId="0" fillId="2" borderId="18" xfId="0" applyNumberFormat="1" applyFont="1" applyFill="1" applyBorder="1" applyAlignment="1">
      <alignment horizontal="center" vertical="center"/>
    </xf>
    <xf numFmtId="164" fontId="0" fillId="2" borderId="19" xfId="0" applyNumberFormat="1" applyFont="1" applyFill="1" applyBorder="1" applyAlignment="1">
      <alignment horizontal="center" vertical="center"/>
    </xf>
    <xf numFmtId="166" fontId="0" fillId="2" borderId="20" xfId="0" applyNumberFormat="1" applyFont="1" applyFill="1" applyBorder="1" applyAlignment="1">
      <alignment horizontal="center" vertical="center"/>
    </xf>
    <xf numFmtId="164" fontId="0" fillId="2" borderId="10" xfId="0" applyNumberFormat="1" applyFont="1" applyFill="1" applyBorder="1" applyAlignment="1">
      <alignment horizontal="center" vertical="center"/>
    </xf>
    <xf numFmtId="164" fontId="0" fillId="2" borderId="21" xfId="0" applyNumberFormat="1" applyFont="1" applyFill="1" applyBorder="1" applyAlignment="1">
      <alignment horizontal="center" vertical="center"/>
    </xf>
    <xf numFmtId="166" fontId="0" fillId="2" borderId="13" xfId="0" applyNumberFormat="1" applyFont="1" applyFill="1" applyBorder="1" applyAlignment="1">
      <alignment horizontal="center" vertical="center"/>
    </xf>
    <xf numFmtId="9" fontId="0" fillId="2" borderId="18" xfId="0" applyNumberFormat="1" applyFont="1" applyFill="1" applyBorder="1" applyAlignment="1">
      <alignment horizontal="center" vertical="center"/>
    </xf>
    <xf numFmtId="164" fontId="0" fillId="2" borderId="22" xfId="0" applyNumberFormat="1" applyFont="1" applyFill="1" applyBorder="1" applyAlignment="1">
      <alignment horizontal="center" vertical="center"/>
    </xf>
    <xf numFmtId="164" fontId="1" fillId="4" borderId="23" xfId="0" applyNumberFormat="1" applyFont="1" applyFill="1" applyBorder="1" applyAlignment="1">
      <alignment vertical="center"/>
    </xf>
    <xf numFmtId="166" fontId="1" fillId="4" borderId="16" xfId="0" applyNumberFormat="1" applyFont="1" applyFill="1" applyBorder="1" applyAlignment="1">
      <alignment vertical="center"/>
    </xf>
    <xf numFmtId="10" fontId="0" fillId="2" borderId="1" xfId="0" applyNumberFormat="1" applyFont="1" applyFill="1" applyBorder="1" applyAlignment="1"/>
    <xf numFmtId="166" fontId="0" fillId="2" borderId="10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21" xfId="0" applyNumberFormat="1" applyFont="1" applyBorder="1" applyAlignment="1">
      <alignment horizontal="center"/>
    </xf>
    <xf numFmtId="166" fontId="1" fillId="4" borderId="16" xfId="0" applyNumberFormat="1" applyFont="1" applyFill="1" applyBorder="1" applyAlignment="1">
      <alignment vertical="center"/>
    </xf>
    <xf numFmtId="166" fontId="1" fillId="4" borderId="14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5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66" fontId="0" fillId="0" borderId="13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76200</xdr:rowOff>
    </xdr:from>
    <xdr:ext cx="1457325" cy="1295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8.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2"/>
      <c r="D2" s="58" t="s">
        <v>0</v>
      </c>
      <c r="E2" s="59"/>
      <c r="F2" s="60"/>
      <c r="G2" s="2"/>
      <c r="H2" s="2"/>
      <c r="I2" s="3">
        <f>SUM(L8:L17)</f>
        <v>0.1055433352417111</v>
      </c>
      <c r="J2" s="4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25">
      <c r="A4" s="1"/>
      <c r="B4" s="1"/>
      <c r="C4" s="2"/>
      <c r="D4" s="9">
        <v>100000</v>
      </c>
      <c r="E4" s="10">
        <f>IF(SUM(I8:I17)&lt;=D4,SUM(I8:I17),"VALOR ACIMA DO DISPONÍVEL")</f>
        <v>99561</v>
      </c>
      <c r="F4" s="11">
        <f>(E4*I2)+E4+(D4-E4)</f>
        <v>110508</v>
      </c>
      <c r="G4" s="2"/>
      <c r="H4" s="2"/>
      <c r="I4" s="12">
        <f>F4/D4-1</f>
        <v>0.10508000000000006</v>
      </c>
      <c r="J4" s="4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1" t="s">
        <v>7</v>
      </c>
      <c r="D6" s="59"/>
      <c r="E6" s="59"/>
      <c r="F6" s="59"/>
      <c r="G6" s="59"/>
      <c r="H6" s="59"/>
      <c r="I6" s="59"/>
      <c r="J6" s="59"/>
      <c r="K6" s="59"/>
      <c r="L6" s="59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8" t="s">
        <v>8</v>
      </c>
      <c r="D7" s="60"/>
      <c r="E7" s="13" t="s">
        <v>9</v>
      </c>
      <c r="F7" s="6" t="s">
        <v>10</v>
      </c>
      <c r="G7" s="6" t="s">
        <v>11</v>
      </c>
      <c r="H7" s="14" t="s">
        <v>12</v>
      </c>
      <c r="I7" s="7" t="s">
        <v>13</v>
      </c>
      <c r="J7" s="14" t="s">
        <v>14</v>
      </c>
      <c r="K7" s="6" t="s">
        <v>15</v>
      </c>
      <c r="L7" s="58" t="s">
        <v>16</v>
      </c>
      <c r="M7" s="6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5"/>
      <c r="C8" s="16">
        <v>1</v>
      </c>
      <c r="D8" s="17" t="s">
        <v>17</v>
      </c>
      <c r="E8" s="18">
        <v>0.17499999999999999</v>
      </c>
      <c r="F8" s="19">
        <v>27.5</v>
      </c>
      <c r="G8" s="20">
        <f t="shared" ref="G8:G14" si="0">((E8*$D$4)/100)/F8</f>
        <v>6.3636363636363633</v>
      </c>
      <c r="H8" s="21">
        <v>6</v>
      </c>
      <c r="I8" s="22">
        <f t="shared" ref="I8:I14" si="1">H8*F8*100</f>
        <v>16500</v>
      </c>
      <c r="J8" s="23">
        <f t="shared" ref="J8:J14" si="2">I8/$E$4</f>
        <v>0.16572754391779915</v>
      </c>
      <c r="K8" s="24">
        <v>28.54</v>
      </c>
      <c r="L8" s="25">
        <f t="shared" ref="L8:L14" si="3">IFERROR((K8/F8-1)*J8,0)</f>
        <v>6.2675143881640296E-3</v>
      </c>
      <c r="M8" s="26">
        <f t="shared" ref="M8:M17" si="4">IFERROR(L8/J8,0)</f>
        <v>3.7818181818181751E-2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5"/>
      <c r="C9" s="27">
        <v>2</v>
      </c>
      <c r="D9" s="28" t="s">
        <v>18</v>
      </c>
      <c r="E9" s="18">
        <v>0.17499999999999999</v>
      </c>
      <c r="F9" s="19">
        <v>42.3</v>
      </c>
      <c r="G9" s="20">
        <f t="shared" si="0"/>
        <v>4.1371158392434992</v>
      </c>
      <c r="H9" s="21">
        <v>4</v>
      </c>
      <c r="I9" s="22">
        <f t="shared" si="1"/>
        <v>16920</v>
      </c>
      <c r="J9" s="23">
        <f t="shared" si="2"/>
        <v>0.16994606321752492</v>
      </c>
      <c r="K9" s="24">
        <v>48.84</v>
      </c>
      <c r="L9" s="25">
        <f t="shared" si="3"/>
        <v>2.6275348781149264E-2</v>
      </c>
      <c r="M9" s="26">
        <f t="shared" si="4"/>
        <v>0.1546099290780143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5"/>
      <c r="C10" s="27">
        <v>3</v>
      </c>
      <c r="D10" s="28" t="s">
        <v>19</v>
      </c>
      <c r="E10" s="18">
        <v>0.15</v>
      </c>
      <c r="F10" s="19">
        <v>32</v>
      </c>
      <c r="G10" s="20">
        <f t="shared" si="0"/>
        <v>4.6875</v>
      </c>
      <c r="H10" s="21">
        <v>5</v>
      </c>
      <c r="I10" s="22">
        <f t="shared" si="1"/>
        <v>16000</v>
      </c>
      <c r="J10" s="23">
        <f t="shared" si="2"/>
        <v>0.16070549713241128</v>
      </c>
      <c r="K10" s="24">
        <v>36.130000000000003</v>
      </c>
      <c r="L10" s="25">
        <f t="shared" si="3"/>
        <v>2.0741053223651842E-2</v>
      </c>
      <c r="M10" s="26">
        <f t="shared" si="4"/>
        <v>0.12906250000000008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5"/>
      <c r="C11" s="27">
        <v>4</v>
      </c>
      <c r="D11" s="28" t="s">
        <v>20</v>
      </c>
      <c r="E11" s="18">
        <v>0.125</v>
      </c>
      <c r="F11" s="19">
        <v>38.42</v>
      </c>
      <c r="G11" s="20">
        <f t="shared" si="0"/>
        <v>3.25351379489849</v>
      </c>
      <c r="H11" s="21">
        <v>3.5</v>
      </c>
      <c r="I11" s="22">
        <f t="shared" si="1"/>
        <v>13447</v>
      </c>
      <c r="J11" s="23">
        <f t="shared" si="2"/>
        <v>0.1350629262462209</v>
      </c>
      <c r="K11" s="24">
        <v>45.55</v>
      </c>
      <c r="L11" s="25">
        <f t="shared" si="3"/>
        <v>2.5065035505870751E-2</v>
      </c>
      <c r="M11" s="26">
        <f t="shared" si="4"/>
        <v>0.18558042686100973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5"/>
      <c r="C12" s="27">
        <v>5</v>
      </c>
      <c r="D12" s="28" t="s">
        <v>21</v>
      </c>
      <c r="E12" s="18">
        <v>0.125</v>
      </c>
      <c r="F12" s="19">
        <v>38.39</v>
      </c>
      <c r="G12" s="20">
        <f t="shared" si="0"/>
        <v>3.2560562646522531</v>
      </c>
      <c r="H12" s="21">
        <v>3</v>
      </c>
      <c r="I12" s="22">
        <f t="shared" si="1"/>
        <v>11517</v>
      </c>
      <c r="J12" s="23">
        <f t="shared" si="2"/>
        <v>0.1156778256546238</v>
      </c>
      <c r="K12" s="24">
        <v>38.549999999999997</v>
      </c>
      <c r="L12" s="25">
        <f t="shared" si="3"/>
        <v>4.8211649139723057E-4</v>
      </c>
      <c r="M12" s="26">
        <f t="shared" si="4"/>
        <v>4.1677520187548556E-3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5"/>
      <c r="C13" s="27">
        <v>6</v>
      </c>
      <c r="D13" s="28" t="s">
        <v>22</v>
      </c>
      <c r="E13" s="18">
        <v>0.125</v>
      </c>
      <c r="F13" s="19">
        <v>11.74</v>
      </c>
      <c r="G13" s="20">
        <f t="shared" si="0"/>
        <v>10.647359454855195</v>
      </c>
      <c r="H13" s="21">
        <v>10.5</v>
      </c>
      <c r="I13" s="22">
        <f t="shared" si="1"/>
        <v>12327</v>
      </c>
      <c r="J13" s="23">
        <f t="shared" si="2"/>
        <v>0.12381354144695211</v>
      </c>
      <c r="K13" s="24">
        <v>13.43</v>
      </c>
      <c r="L13" s="25">
        <f t="shared" si="3"/>
        <v>1.7823244041341495E-2</v>
      </c>
      <c r="M13" s="26">
        <f t="shared" si="4"/>
        <v>0.14395229982964231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27">
        <v>7</v>
      </c>
      <c r="D14" s="28" t="s">
        <v>23</v>
      </c>
      <c r="E14" s="18">
        <v>0.125</v>
      </c>
      <c r="F14" s="19">
        <v>25.7</v>
      </c>
      <c r="G14" s="20">
        <f t="shared" si="0"/>
        <v>4.8638132295719849</v>
      </c>
      <c r="H14" s="21">
        <v>5</v>
      </c>
      <c r="I14" s="22">
        <f t="shared" si="1"/>
        <v>12850</v>
      </c>
      <c r="J14" s="23">
        <f t="shared" si="2"/>
        <v>0.12906660238446782</v>
      </c>
      <c r="K14" s="24">
        <v>27.47</v>
      </c>
      <c r="L14" s="25">
        <f t="shared" si="3"/>
        <v>8.889022810136496E-3</v>
      </c>
      <c r="M14" s="26">
        <f t="shared" si="4"/>
        <v>6.8871595330739277E-2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27">
        <v>8</v>
      </c>
      <c r="D15" s="28"/>
      <c r="E15" s="18"/>
      <c r="F15" s="19"/>
      <c r="G15" s="20"/>
      <c r="H15" s="21"/>
      <c r="I15" s="22"/>
      <c r="J15" s="23"/>
      <c r="K15" s="23"/>
      <c r="L15" s="25"/>
      <c r="M15" s="26">
        <f t="shared" si="4"/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27">
        <v>9</v>
      </c>
      <c r="D16" s="28"/>
      <c r="E16" s="18"/>
      <c r="F16" s="19"/>
      <c r="G16" s="20"/>
      <c r="H16" s="21"/>
      <c r="I16" s="22"/>
      <c r="J16" s="23"/>
      <c r="K16" s="23"/>
      <c r="L16" s="25"/>
      <c r="M16" s="26">
        <f t="shared" si="4"/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27">
        <v>10</v>
      </c>
      <c r="D17" s="28"/>
      <c r="E17" s="18"/>
      <c r="F17" s="19"/>
      <c r="G17" s="20"/>
      <c r="H17" s="21"/>
      <c r="I17" s="22"/>
      <c r="J17" s="23"/>
      <c r="K17" s="23"/>
      <c r="L17" s="25"/>
      <c r="M17" s="26">
        <f t="shared" si="4"/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24</v>
      </c>
      <c r="D18" s="59"/>
      <c r="E18" s="60"/>
      <c r="F18" s="29">
        <v>100000</v>
      </c>
      <c r="G18" s="30"/>
      <c r="H18" s="30"/>
      <c r="I18" s="30"/>
      <c r="J18" s="29"/>
      <c r="K18" s="31">
        <f>F4</f>
        <v>110508</v>
      </c>
      <c r="L18" s="63">
        <f t="shared" ref="L18:L19" si="5">(K18/F18-1)</f>
        <v>0.10508000000000006</v>
      </c>
      <c r="M18" s="60"/>
      <c r="N18" s="3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26</v>
      </c>
      <c r="D19" s="59"/>
      <c r="E19" s="60"/>
      <c r="F19" s="33">
        <v>80506</v>
      </c>
      <c r="G19" s="34"/>
      <c r="H19" s="34"/>
      <c r="I19" s="34"/>
      <c r="J19" s="35"/>
      <c r="K19" s="33">
        <v>87403</v>
      </c>
      <c r="L19" s="63">
        <f t="shared" si="5"/>
        <v>8.5670633244727012E-2</v>
      </c>
      <c r="M19" s="6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2"/>
      <c r="D20" s="1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C220" s="37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7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10.7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2"/>
      <c r="D2" s="58" t="s">
        <v>0</v>
      </c>
      <c r="E2" s="59"/>
      <c r="F2" s="60"/>
      <c r="G2" s="2"/>
      <c r="H2" s="2"/>
      <c r="I2" s="3">
        <f>SUM(L8:L17)</f>
        <v>0.16708217955676577</v>
      </c>
      <c r="J2" s="4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25">
      <c r="A4" s="1"/>
      <c r="B4" s="1"/>
      <c r="C4" s="2"/>
      <c r="D4" s="9">
        <f>Maio!F4</f>
        <v>110508</v>
      </c>
      <c r="E4" s="10">
        <f>IF(SUM(I8:I17)&lt;=D4,SUM(I8:I17),"VALOR ACIMA DO DISPONÍVEL")</f>
        <v>108701</v>
      </c>
      <c r="F4" s="11">
        <f>(E4*I2)+E4+(D4-E4)</f>
        <v>128670</v>
      </c>
      <c r="G4" s="2"/>
      <c r="H4" s="2"/>
      <c r="I4" s="12">
        <f>F4/100000-1</f>
        <v>0.28669999999999995</v>
      </c>
      <c r="J4" s="4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1" t="s">
        <v>27</v>
      </c>
      <c r="D6" s="59"/>
      <c r="E6" s="59"/>
      <c r="F6" s="59"/>
      <c r="G6" s="59"/>
      <c r="H6" s="59"/>
      <c r="I6" s="59"/>
      <c r="J6" s="59"/>
      <c r="K6" s="59"/>
      <c r="L6" s="59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8" t="s">
        <v>8</v>
      </c>
      <c r="D7" s="60"/>
      <c r="E7" s="13" t="s">
        <v>9</v>
      </c>
      <c r="F7" s="38" t="s">
        <v>10</v>
      </c>
      <c r="G7" s="6" t="s">
        <v>11</v>
      </c>
      <c r="H7" s="14" t="s">
        <v>12</v>
      </c>
      <c r="I7" s="7" t="s">
        <v>13</v>
      </c>
      <c r="J7" s="14" t="s">
        <v>14</v>
      </c>
      <c r="K7" s="6" t="s">
        <v>15</v>
      </c>
      <c r="L7" s="58" t="s">
        <v>16</v>
      </c>
      <c r="M7" s="6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6">
        <v>1</v>
      </c>
      <c r="D8" s="17" t="s">
        <v>17</v>
      </c>
      <c r="E8" s="39">
        <v>0.125</v>
      </c>
      <c r="F8" s="40">
        <v>28.75</v>
      </c>
      <c r="G8" s="41">
        <f t="shared" ref="G8:G15" si="0">((E8*$D$4)/100)/F8</f>
        <v>4.8046956521739128</v>
      </c>
      <c r="H8" s="21">
        <v>5</v>
      </c>
      <c r="I8" s="22">
        <f t="shared" ref="I8:I15" si="1">H8*F8*100</f>
        <v>14375</v>
      </c>
      <c r="J8" s="23">
        <f t="shared" ref="J8:J15" si="2">I8/$E$4</f>
        <v>0.13224349362011389</v>
      </c>
      <c r="K8" s="42">
        <v>28.47</v>
      </c>
      <c r="L8" s="25">
        <f t="shared" ref="L8:L15" si="3">IFERROR((K8/F8-1)*J8,0)</f>
        <v>-1.2879366335176424E-3</v>
      </c>
      <c r="M8" s="26">
        <f t="shared" ref="M8:M15" si="4">IFERROR(L8/J8,0)</f>
        <v>-9.7391304347826946E-3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27">
        <v>2</v>
      </c>
      <c r="D9" s="28" t="s">
        <v>18</v>
      </c>
      <c r="E9" s="39">
        <v>0.125</v>
      </c>
      <c r="F9" s="43">
        <v>48.84</v>
      </c>
      <c r="G9" s="41">
        <f t="shared" si="0"/>
        <v>2.828316953316953</v>
      </c>
      <c r="H9" s="21">
        <v>3</v>
      </c>
      <c r="I9" s="22">
        <f t="shared" si="1"/>
        <v>14652.000000000002</v>
      </c>
      <c r="J9" s="23">
        <f t="shared" si="2"/>
        <v>0.13479176824500236</v>
      </c>
      <c r="K9" s="42">
        <v>77.2</v>
      </c>
      <c r="L9" s="25">
        <f t="shared" si="3"/>
        <v>7.8269749128342878E-2</v>
      </c>
      <c r="M9" s="26">
        <f t="shared" si="4"/>
        <v>0.58067158067158053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27">
        <v>3</v>
      </c>
      <c r="D10" s="28" t="s">
        <v>19</v>
      </c>
      <c r="E10" s="39">
        <v>0.125</v>
      </c>
      <c r="F10" s="43">
        <v>36.130000000000003</v>
      </c>
      <c r="G10" s="41">
        <f t="shared" si="0"/>
        <v>3.8232770550788815</v>
      </c>
      <c r="H10" s="21">
        <v>3</v>
      </c>
      <c r="I10" s="22">
        <f t="shared" si="1"/>
        <v>10839.000000000002</v>
      </c>
      <c r="J10" s="23">
        <f t="shared" si="2"/>
        <v>9.9713894076411458E-2</v>
      </c>
      <c r="K10" s="24">
        <f>40.61</f>
        <v>40.61</v>
      </c>
      <c r="L10" s="25">
        <f t="shared" si="3"/>
        <v>1.2364191681769256E-2</v>
      </c>
      <c r="M10" s="26">
        <f t="shared" si="4"/>
        <v>0.12399667866039299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27">
        <v>4</v>
      </c>
      <c r="D11" s="28" t="s">
        <v>20</v>
      </c>
      <c r="E11" s="39">
        <v>0.15</v>
      </c>
      <c r="F11" s="43">
        <v>45.55</v>
      </c>
      <c r="G11" s="41">
        <f t="shared" si="0"/>
        <v>3.6391218441273327</v>
      </c>
      <c r="H11" s="21">
        <v>3</v>
      </c>
      <c r="I11" s="22">
        <f t="shared" si="1"/>
        <v>13664.999999999998</v>
      </c>
      <c r="J11" s="23">
        <f t="shared" si="2"/>
        <v>0.12571181497870304</v>
      </c>
      <c r="K11" s="24">
        <f>55.09</f>
        <v>55.09</v>
      </c>
      <c r="L11" s="25">
        <f t="shared" si="3"/>
        <v>2.6329104608053315E-2</v>
      </c>
      <c r="M11" s="26">
        <f t="shared" si="4"/>
        <v>0.20944017563117479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27">
        <v>5</v>
      </c>
      <c r="D12" s="28" t="s">
        <v>21</v>
      </c>
      <c r="E12" s="39">
        <v>0.15</v>
      </c>
      <c r="F12" s="43">
        <v>38.549999999999997</v>
      </c>
      <c r="G12" s="41">
        <f t="shared" si="0"/>
        <v>4.2999221789883268</v>
      </c>
      <c r="H12" s="21">
        <v>4</v>
      </c>
      <c r="I12" s="22">
        <f t="shared" si="1"/>
        <v>15419.999999999998</v>
      </c>
      <c r="J12" s="23">
        <f t="shared" si="2"/>
        <v>0.14185702063458477</v>
      </c>
      <c r="K12" s="24">
        <f>41.8</f>
        <v>41.8</v>
      </c>
      <c r="L12" s="25">
        <f t="shared" si="3"/>
        <v>1.1959411596949418E-2</v>
      </c>
      <c r="M12" s="26">
        <f t="shared" si="4"/>
        <v>8.4306095979247653E-2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27">
        <v>6</v>
      </c>
      <c r="D13" s="28" t="s">
        <v>28</v>
      </c>
      <c r="E13" s="39">
        <v>0.1</v>
      </c>
      <c r="F13" s="43">
        <v>12.4</v>
      </c>
      <c r="G13" s="41">
        <f t="shared" si="0"/>
        <v>8.9119354838709679</v>
      </c>
      <c r="H13" s="21">
        <v>9</v>
      </c>
      <c r="I13" s="22">
        <f t="shared" si="1"/>
        <v>11160</v>
      </c>
      <c r="J13" s="23">
        <f t="shared" si="2"/>
        <v>0.10266694878611972</v>
      </c>
      <c r="K13" s="24">
        <f>15.31</f>
        <v>15.31</v>
      </c>
      <c r="L13" s="25">
        <f t="shared" si="3"/>
        <v>2.4093614594161962E-2</v>
      </c>
      <c r="M13" s="26">
        <f t="shared" si="4"/>
        <v>0.23467741935483866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27">
        <v>7</v>
      </c>
      <c r="D14" s="28" t="s">
        <v>29</v>
      </c>
      <c r="E14" s="39">
        <v>0.125</v>
      </c>
      <c r="F14" s="43">
        <v>30.84</v>
      </c>
      <c r="G14" s="41">
        <f t="shared" si="0"/>
        <v>4.4790856031128401</v>
      </c>
      <c r="H14" s="21">
        <v>5</v>
      </c>
      <c r="I14" s="22">
        <f t="shared" si="1"/>
        <v>15419.999999999998</v>
      </c>
      <c r="J14" s="23">
        <f t="shared" si="2"/>
        <v>0.14185702063458477</v>
      </c>
      <c r="K14" s="24">
        <f>32.15</f>
        <v>32.15</v>
      </c>
      <c r="L14" s="25">
        <f t="shared" si="3"/>
        <v>6.025703535386037E-3</v>
      </c>
      <c r="M14" s="26">
        <f t="shared" si="4"/>
        <v>4.2477302204928513E-2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27">
        <v>8</v>
      </c>
      <c r="D15" s="28" t="s">
        <v>30</v>
      </c>
      <c r="E15" s="39">
        <v>0.1</v>
      </c>
      <c r="F15" s="43">
        <v>65.849999999999994</v>
      </c>
      <c r="G15" s="41">
        <f t="shared" si="0"/>
        <v>1.6781776765375858</v>
      </c>
      <c r="H15" s="21">
        <v>2</v>
      </c>
      <c r="I15" s="22">
        <f t="shared" si="1"/>
        <v>13169.999999999998</v>
      </c>
      <c r="J15" s="23">
        <f t="shared" si="2"/>
        <v>0.12115803902447998</v>
      </c>
      <c r="K15" s="24">
        <f>70.92</f>
        <v>70.92</v>
      </c>
      <c r="L15" s="25">
        <f t="shared" si="3"/>
        <v>9.3283410456205633E-3</v>
      </c>
      <c r="M15" s="26">
        <f t="shared" si="4"/>
        <v>7.6993166287016024E-2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27">
        <v>9</v>
      </c>
      <c r="D16" s="44"/>
      <c r="E16" s="45"/>
      <c r="F16" s="43"/>
      <c r="G16" s="41"/>
      <c r="H16" s="21"/>
      <c r="I16" s="22"/>
      <c r="J16" s="23"/>
      <c r="K16" s="42"/>
      <c r="L16" s="25"/>
      <c r="M16" s="2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27">
        <v>10</v>
      </c>
      <c r="D17" s="44"/>
      <c r="E17" s="45"/>
      <c r="F17" s="46"/>
      <c r="G17" s="41"/>
      <c r="H17" s="21"/>
      <c r="I17" s="22"/>
      <c r="J17" s="23"/>
      <c r="K17" s="42"/>
      <c r="L17" s="25"/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24</v>
      </c>
      <c r="D18" s="59"/>
      <c r="E18" s="60"/>
      <c r="F18" s="47">
        <f>D4</f>
        <v>110508</v>
      </c>
      <c r="G18" s="30"/>
      <c r="H18" s="30"/>
      <c r="I18" s="30"/>
      <c r="J18" s="29"/>
      <c r="K18" s="31">
        <f>F4</f>
        <v>128670</v>
      </c>
      <c r="L18" s="63">
        <f t="shared" ref="L18:L19" si="5">(K18/F18-1)</f>
        <v>0.16435009230100994</v>
      </c>
      <c r="M18" s="60"/>
      <c r="N18" s="3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26</v>
      </c>
      <c r="D19" s="59"/>
      <c r="E19" s="60"/>
      <c r="F19" s="33">
        <v>87403</v>
      </c>
      <c r="G19" s="34"/>
      <c r="H19" s="34"/>
      <c r="I19" s="34"/>
      <c r="J19" s="35"/>
      <c r="K19" s="48">
        <v>95056</v>
      </c>
      <c r="L19" s="63">
        <f t="shared" si="5"/>
        <v>8.7559923572417375E-2</v>
      </c>
      <c r="M19" s="6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2"/>
      <c r="D20" s="1"/>
      <c r="E20" s="36"/>
      <c r="F20" s="1"/>
      <c r="G20" s="1"/>
      <c r="H20" s="1"/>
      <c r="I20" s="1"/>
      <c r="J20" s="1"/>
      <c r="K20" s="1"/>
      <c r="L20" s="1"/>
      <c r="M20" s="49">
        <v>0.1608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C220" s="37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6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tabSelected="1" workbookViewId="0">
      <selection activeCell="E11" sqref="E11"/>
    </sheetView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customWidth="1"/>
    <col min="4" max="4" width="15" customWidth="1"/>
    <col min="5" max="5" width="17.875" customWidth="1"/>
    <col min="6" max="6" width="14" customWidth="1"/>
    <col min="7" max="7" width="7.75" hidden="1" customWidth="1"/>
    <col min="8" max="8" width="7" hidden="1" customWidth="1"/>
    <col min="9" max="9" width="15" hidden="1" customWidth="1"/>
    <col min="10" max="10" width="7.125" hidden="1" customWidth="1"/>
    <col min="11" max="11" width="15" customWidth="1"/>
    <col min="12" max="12" width="10.125" customWidth="1"/>
    <col min="13" max="13" width="9" customWidth="1"/>
    <col min="14" max="25" width="8.75" customWidth="1"/>
  </cols>
  <sheetData>
    <row r="1" spans="1:25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2"/>
      <c r="D2" s="58" t="s">
        <v>0</v>
      </c>
      <c r="E2" s="59"/>
      <c r="F2" s="60"/>
      <c r="G2" s="2"/>
      <c r="H2" s="2"/>
      <c r="L2" s="3">
        <f ca="1">SUM(L8:L17)</f>
        <v>0.11865905974751512</v>
      </c>
      <c r="M2" s="4" t="s">
        <v>1</v>
      </c>
      <c r="N2" s="5" t="s">
        <v>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L3" s="1"/>
      <c r="M3" s="2"/>
      <c r="N3" s="5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25">
      <c r="A4" s="1"/>
      <c r="B4" s="1"/>
      <c r="C4" s="2"/>
      <c r="D4" s="9">
        <f>Junho!F4</f>
        <v>128670</v>
      </c>
      <c r="E4" s="10">
        <f>IF(SUM(I8:I16)&lt;=D4,SUM(I8:I16),"VALOR ACIMA DO DISPONÍVEL")</f>
        <v>128669.99999999999</v>
      </c>
      <c r="F4" s="11">
        <f ca="1">(E4*L2)+E4+(D4-E4)</f>
        <v>143937.86121771275</v>
      </c>
      <c r="G4" s="2"/>
      <c r="H4" s="2"/>
      <c r="L4" s="12">
        <f ca="1">F4/100000-1</f>
        <v>0.43937861217712748</v>
      </c>
      <c r="M4" s="4" t="s">
        <v>1</v>
      </c>
      <c r="N4" s="5" t="s"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1" t="s">
        <v>31</v>
      </c>
      <c r="D6" s="59"/>
      <c r="E6" s="59"/>
      <c r="F6" s="59"/>
      <c r="G6" s="59"/>
      <c r="H6" s="59"/>
      <c r="I6" s="59"/>
      <c r="J6" s="59"/>
      <c r="K6" s="59"/>
      <c r="L6" s="59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8" t="s">
        <v>8</v>
      </c>
      <c r="D7" s="60"/>
      <c r="E7" s="13" t="s">
        <v>9</v>
      </c>
      <c r="F7" s="6" t="s">
        <v>10</v>
      </c>
      <c r="G7" s="6" t="s">
        <v>11</v>
      </c>
      <c r="H7" s="14" t="s">
        <v>12</v>
      </c>
      <c r="I7" s="7" t="s">
        <v>13</v>
      </c>
      <c r="J7" s="14" t="s">
        <v>14</v>
      </c>
      <c r="K7" s="6" t="s">
        <v>15</v>
      </c>
      <c r="L7" s="58" t="s">
        <v>16</v>
      </c>
      <c r="M7" s="6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6">
        <v>1</v>
      </c>
      <c r="D8" s="50" t="s">
        <v>32</v>
      </c>
      <c r="E8" s="51">
        <v>0.1</v>
      </c>
      <c r="F8" s="52">
        <v>42.09</v>
      </c>
      <c r="G8" s="20">
        <f t="shared" ref="G8" si="0">IFERROR(((E8*$D$4)/100)/F8,0)</f>
        <v>3.0570206699928719</v>
      </c>
      <c r="H8" s="21">
        <f t="shared" ref="H8" si="1">G8</f>
        <v>3.0570206699928719</v>
      </c>
      <c r="I8" s="22">
        <f t="shared" ref="I8" si="2">H8*F8*100</f>
        <v>12866.999999999998</v>
      </c>
      <c r="J8" s="23">
        <f t="shared" ref="J8" si="3">I8/$E$4</f>
        <v>9.9999999999999992E-2</v>
      </c>
      <c r="K8" s="24">
        <f ca="1">IFERROR(__xludf.DUMMYFUNCTION("GOOGLEFINANCE(D8)"),45.05)</f>
        <v>45.05</v>
      </c>
      <c r="L8" s="25">
        <f t="shared" ref="L8" ca="1" si="4">IFERROR((K8/F8-1)*J8,0)</f>
        <v>7.0325492991209155E-3</v>
      </c>
      <c r="M8" s="26">
        <f t="shared" ref="M8" ca="1" si="5">IFERROR(L8/J8,0)</f>
        <v>7.032549299120916E-2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27">
        <v>2</v>
      </c>
      <c r="D9" s="64" t="s">
        <v>21</v>
      </c>
      <c r="E9" s="53">
        <v>0.05</v>
      </c>
      <c r="F9" s="52">
        <v>41.8</v>
      </c>
      <c r="G9" s="20">
        <f t="shared" ref="G9:G16" si="6">IFERROR(((E9*$D$4)/100)/F9,0)</f>
        <v>1.5391148325358852</v>
      </c>
      <c r="H9" s="21">
        <f t="shared" ref="H9:H16" si="7">G9</f>
        <v>1.5391148325358852</v>
      </c>
      <c r="I9" s="22">
        <f t="shared" ref="I9:I16" si="8">H9*F9*100</f>
        <v>6433.4999999999991</v>
      </c>
      <c r="J9" s="23">
        <f t="shared" ref="J9:J16" si="9">I9/$E$4</f>
        <v>4.9999999999999996E-2</v>
      </c>
      <c r="K9" s="42">
        <f ca="1">IFERROR(__xludf.DUMMYFUNCTION("GOOGLEFINANCE(D11)"),41)</f>
        <v>41</v>
      </c>
      <c r="L9" s="25">
        <f t="shared" ref="L9:L16" ca="1" si="10">IFERROR((K9/F9-1)*J9,0)</f>
        <v>-9.5693779904305605E-4</v>
      </c>
      <c r="M9" s="26">
        <f t="shared" ref="M9:M16" ca="1" si="11">IFERROR(L9/J9,0)</f>
        <v>-1.9138755980861122E-2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27">
        <v>3</v>
      </c>
      <c r="D10" s="64" t="s">
        <v>28</v>
      </c>
      <c r="E10" s="53">
        <v>0.05</v>
      </c>
      <c r="F10" s="52">
        <v>15.31</v>
      </c>
      <c r="G10" s="20">
        <f t="shared" si="6"/>
        <v>4.202155453951665</v>
      </c>
      <c r="H10" s="21">
        <f t="shared" si="7"/>
        <v>4.202155453951665</v>
      </c>
      <c r="I10" s="22">
        <f t="shared" si="8"/>
        <v>6433.4999999999991</v>
      </c>
      <c r="J10" s="23">
        <f t="shared" si="9"/>
        <v>4.9999999999999996E-2</v>
      </c>
      <c r="K10" s="42">
        <f ca="1">IFERROR(__xludf.DUMMYFUNCTION("GOOGLEFINANCE(D12)"),15.55)</f>
        <v>15.55</v>
      </c>
      <c r="L10" s="25">
        <f t="shared" ca="1" si="10"/>
        <v>7.8380143696930025E-4</v>
      </c>
      <c r="M10" s="26">
        <f t="shared" ca="1" si="11"/>
        <v>1.5676028739386005E-2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27">
        <v>4</v>
      </c>
      <c r="D11" s="64" t="s">
        <v>30</v>
      </c>
      <c r="E11" s="53">
        <v>0.2</v>
      </c>
      <c r="F11" s="52">
        <v>70</v>
      </c>
      <c r="G11" s="20">
        <f t="shared" si="6"/>
        <v>3.6762857142857137</v>
      </c>
      <c r="H11" s="21">
        <f t="shared" si="7"/>
        <v>3.6762857142857137</v>
      </c>
      <c r="I11" s="22">
        <f t="shared" si="8"/>
        <v>25733.999999999996</v>
      </c>
      <c r="J11" s="23">
        <f t="shared" si="9"/>
        <v>0.19999999999999998</v>
      </c>
      <c r="K11" s="42">
        <f ca="1">IFERROR(__xludf.DUMMYFUNCTION("GOOGLEFINANCE(D13)"),75.62)</f>
        <v>75.62</v>
      </c>
      <c r="L11" s="25">
        <f t="shared" ca="1" si="10"/>
        <v>1.6057142857142857E-2</v>
      </c>
      <c r="M11" s="26">
        <f t="shared" ca="1" si="11"/>
        <v>8.0285714285714294E-2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27">
        <v>5</v>
      </c>
      <c r="D12" s="64" t="s">
        <v>33</v>
      </c>
      <c r="E12" s="53">
        <v>0.15</v>
      </c>
      <c r="F12" s="52">
        <v>43.2</v>
      </c>
      <c r="G12" s="20">
        <f t="shared" si="6"/>
        <v>4.4677083333333325</v>
      </c>
      <c r="H12" s="21">
        <f t="shared" si="7"/>
        <v>4.4677083333333325</v>
      </c>
      <c r="I12" s="22">
        <f t="shared" si="8"/>
        <v>19300.499999999996</v>
      </c>
      <c r="J12" s="23">
        <f t="shared" si="9"/>
        <v>0.15</v>
      </c>
      <c r="K12" s="42">
        <f ca="1">IFERROR(__xludf.DUMMYFUNCTION("GOOGLEFINANCE(D14)"),48.26)</f>
        <v>48.26</v>
      </c>
      <c r="L12" s="25">
        <f t="shared" ca="1" si="10"/>
        <v>1.7569444444444436E-2</v>
      </c>
      <c r="M12" s="26">
        <f t="shared" ca="1" si="11"/>
        <v>0.11712962962962958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27">
        <v>6</v>
      </c>
      <c r="D13" s="64" t="s">
        <v>34</v>
      </c>
      <c r="E13" s="53">
        <v>0.2</v>
      </c>
      <c r="F13" s="52">
        <v>7.1</v>
      </c>
      <c r="G13" s="20">
        <f t="shared" si="6"/>
        <v>36.245070422535207</v>
      </c>
      <c r="H13" s="21">
        <f t="shared" si="7"/>
        <v>36.245070422535207</v>
      </c>
      <c r="I13" s="22">
        <f t="shared" si="8"/>
        <v>25733.999999999996</v>
      </c>
      <c r="J13" s="23">
        <f t="shared" si="9"/>
        <v>0.19999999999999998</v>
      </c>
      <c r="K13" s="42">
        <f ca="1">IFERROR(__xludf.DUMMYFUNCTION("GOOGLEFINANCE(D15)"),9.1)</f>
        <v>9.1</v>
      </c>
      <c r="L13" s="25">
        <f t="shared" ca="1" si="10"/>
        <v>5.6338028169014093E-2</v>
      </c>
      <c r="M13" s="26">
        <f t="shared" ca="1" si="11"/>
        <v>0.28169014084507049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27">
        <v>7</v>
      </c>
      <c r="D14" s="44" t="s">
        <v>35</v>
      </c>
      <c r="E14" s="53">
        <v>0.1</v>
      </c>
      <c r="F14" s="52">
        <v>22.85</v>
      </c>
      <c r="G14" s="20">
        <f t="shared" si="6"/>
        <v>5.6310722100656445</v>
      </c>
      <c r="H14" s="21">
        <f t="shared" si="7"/>
        <v>5.6310722100656445</v>
      </c>
      <c r="I14" s="22">
        <f t="shared" si="8"/>
        <v>12866.999999999998</v>
      </c>
      <c r="J14" s="23">
        <f t="shared" si="9"/>
        <v>9.9999999999999992E-2</v>
      </c>
      <c r="K14" s="42">
        <f ca="1">IFERROR(__xludf.DUMMYFUNCTION("GOOGLEFINANCE(D16)"),25.32)</f>
        <v>25.32</v>
      </c>
      <c r="L14" s="25">
        <f t="shared" ca="1" si="10"/>
        <v>1.0809628008752735E-2</v>
      </c>
      <c r="M14" s="26">
        <f t="shared" ca="1" si="11"/>
        <v>0.10809628008752735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27">
        <v>8</v>
      </c>
      <c r="D15" s="54" t="s">
        <v>36</v>
      </c>
      <c r="E15" s="55">
        <v>0.05</v>
      </c>
      <c r="F15" s="52">
        <v>32.15</v>
      </c>
      <c r="G15" s="20">
        <f t="shared" si="6"/>
        <v>2.0010886469673403</v>
      </c>
      <c r="H15" s="21">
        <f t="shared" si="7"/>
        <v>2.0010886469673403</v>
      </c>
      <c r="I15" s="22">
        <f t="shared" si="8"/>
        <v>6433.4999999999991</v>
      </c>
      <c r="J15" s="23">
        <f t="shared" si="9"/>
        <v>4.9999999999999996E-2</v>
      </c>
      <c r="K15" s="42">
        <f ca="1">IFERROR(__xludf.DUMMYFUNCTION("GOOGLEFINANCE(D17)"),33.5)</f>
        <v>33.5</v>
      </c>
      <c r="L15" s="25">
        <f t="shared" ca="1" si="10"/>
        <v>2.0995334370140003E-3</v>
      </c>
      <c r="M15" s="26">
        <f t="shared" ca="1" si="11"/>
        <v>4.1990668740280013E-2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27">
        <v>9</v>
      </c>
      <c r="D16" s="65" t="s">
        <v>37</v>
      </c>
      <c r="E16" s="55">
        <v>0.1</v>
      </c>
      <c r="F16" s="52">
        <v>6.61</v>
      </c>
      <c r="G16" s="20">
        <f t="shared" si="6"/>
        <v>19.465960665658091</v>
      </c>
      <c r="H16" s="21">
        <f t="shared" si="7"/>
        <v>19.465960665658091</v>
      </c>
      <c r="I16" s="22">
        <f t="shared" si="8"/>
        <v>12866.999999999998</v>
      </c>
      <c r="J16" s="23">
        <f t="shared" si="9"/>
        <v>9.9999999999999992E-2</v>
      </c>
      <c r="K16" s="42">
        <f ca="1">IFERROR(__xludf.DUMMYFUNCTION("GOOGLEFINANCE(D18)"),7.2)</f>
        <v>7.2</v>
      </c>
      <c r="L16" s="25">
        <f t="shared" ca="1" si="10"/>
        <v>8.9258698940998457E-3</v>
      </c>
      <c r="M16" s="26">
        <f t="shared" ca="1" si="11"/>
        <v>8.9258698940998471E-2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27">
        <v>10</v>
      </c>
      <c r="D17" s="54"/>
      <c r="E17" s="55"/>
      <c r="F17" s="52"/>
      <c r="G17" s="20"/>
      <c r="H17" s="21"/>
      <c r="I17" s="22"/>
      <c r="J17" s="23"/>
      <c r="K17" s="24"/>
      <c r="L17" s="25"/>
      <c r="M17" s="2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24</v>
      </c>
      <c r="D18" s="59"/>
      <c r="E18" s="60"/>
      <c r="F18" s="29">
        <f>D4</f>
        <v>128670</v>
      </c>
      <c r="G18" s="30"/>
      <c r="H18" s="30"/>
      <c r="I18" s="30"/>
      <c r="J18" s="29"/>
      <c r="K18" s="31">
        <f ca="1">F4</f>
        <v>143937.86121771275</v>
      </c>
      <c r="L18" s="63">
        <f t="shared" ref="L18:L19" ca="1" si="12">(K18/F18-1)</f>
        <v>0.11865905974751501</v>
      </c>
      <c r="M18" s="60"/>
      <c r="N18" s="3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26</v>
      </c>
      <c r="D19" s="59"/>
      <c r="E19" s="60"/>
      <c r="F19" s="48">
        <v>95056</v>
      </c>
      <c r="G19" s="34"/>
      <c r="H19" s="34"/>
      <c r="I19" s="34"/>
      <c r="J19" s="35"/>
      <c r="K19" s="56">
        <v>102673.28</v>
      </c>
      <c r="L19" s="63">
        <f t="shared" si="12"/>
        <v>8.01346574650732E-2</v>
      </c>
      <c r="M19" s="6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2"/>
      <c r="D20" s="1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C220" s="37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E4">
    <cfRule type="cellIs" dxfId="5" priority="2" operator="equal">
      <formula>"VALOR ACIMA DO DISPONÍVEL"</formula>
    </cfRule>
  </conditionalFormatting>
  <conditionalFormatting sqref="M8:M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2"/>
      <c r="D2" s="58" t="s">
        <v>0</v>
      </c>
      <c r="E2" s="59"/>
      <c r="F2" s="60"/>
      <c r="G2" s="2"/>
      <c r="H2" s="2"/>
      <c r="I2" s="3">
        <f ca="1">SUM(L8:L17)</f>
        <v>5.7952967096125282E-2</v>
      </c>
      <c r="J2" s="4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25">
      <c r="A4" s="1"/>
      <c r="B4" s="1"/>
      <c r="C4" s="2"/>
      <c r="D4" s="9">
        <f ca="1">Julho!F4</f>
        <v>143937.86121771275</v>
      </c>
      <c r="E4" s="10">
        <f ca="1">IF(SUM(I8:I17)&lt;=D4,SUM(I8:I17),"VALOR ACIMA DO DISPONÍVEL")</f>
        <v>83516</v>
      </c>
      <c r="F4" s="11">
        <f ca="1">(E4*I2)+E4+(D4-E4)</f>
        <v>148777.86121771275</v>
      </c>
      <c r="G4" s="2"/>
      <c r="H4" s="2"/>
      <c r="I4" s="12">
        <f ca="1">F4/100000-1</f>
        <v>0.48777861217712748</v>
      </c>
      <c r="J4" s="4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1" t="s">
        <v>7</v>
      </c>
      <c r="D6" s="59"/>
      <c r="E6" s="59"/>
      <c r="F6" s="59"/>
      <c r="G6" s="59"/>
      <c r="H6" s="59"/>
      <c r="I6" s="59"/>
      <c r="J6" s="59"/>
      <c r="K6" s="59"/>
      <c r="L6" s="59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8" t="s">
        <v>8</v>
      </c>
      <c r="D7" s="60"/>
      <c r="E7" s="13" t="s">
        <v>9</v>
      </c>
      <c r="F7" s="6" t="s">
        <v>10</v>
      </c>
      <c r="G7" s="6" t="s">
        <v>11</v>
      </c>
      <c r="H7" s="14" t="s">
        <v>12</v>
      </c>
      <c r="I7" s="7" t="s">
        <v>13</v>
      </c>
      <c r="J7" s="14" t="s">
        <v>14</v>
      </c>
      <c r="K7" s="6" t="s">
        <v>15</v>
      </c>
      <c r="L7" s="58" t="s">
        <v>16</v>
      </c>
      <c r="M7" s="6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6">
        <v>1</v>
      </c>
      <c r="D8" s="17" t="s">
        <v>38</v>
      </c>
      <c r="E8" s="51">
        <v>0.1</v>
      </c>
      <c r="F8" s="19">
        <v>16.71</v>
      </c>
      <c r="G8" s="20">
        <f t="shared" ref="G8:G17" ca="1" si="0">((E8*$D$4)/100)/F8</f>
        <v>8.6138755965118339</v>
      </c>
      <c r="H8" s="21">
        <v>6</v>
      </c>
      <c r="I8" s="22">
        <f t="shared" ref="I8:I17" si="1">H8*F8*100</f>
        <v>10026</v>
      </c>
      <c r="J8" s="23">
        <f t="shared" ref="J8:J17" ca="1" si="2">I8/$E$4</f>
        <v>0.12004885291441161</v>
      </c>
      <c r="K8" s="24">
        <v>15.86</v>
      </c>
      <c r="L8" s="25">
        <f t="shared" ref="L8:L17" ca="1" si="3">IFERROR((K8/F8-1)*J8,0)</f>
        <v>-6.1066143014512284E-3</v>
      </c>
      <c r="M8" s="26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27">
        <v>2</v>
      </c>
      <c r="D9" s="28" t="s">
        <v>39</v>
      </c>
      <c r="E9" s="51">
        <v>0.1</v>
      </c>
      <c r="F9" s="19">
        <v>35.25</v>
      </c>
      <c r="G9" s="20">
        <f t="shared" ca="1" si="0"/>
        <v>4.0833435806443337</v>
      </c>
      <c r="H9" s="21">
        <v>3</v>
      </c>
      <c r="I9" s="22">
        <f t="shared" si="1"/>
        <v>10575</v>
      </c>
      <c r="J9" s="23">
        <f t="shared" ca="1" si="2"/>
        <v>0.12662244360362088</v>
      </c>
      <c r="K9" s="24">
        <v>42.95</v>
      </c>
      <c r="L9" s="25">
        <f t="shared" ca="1" si="3"/>
        <v>2.7659370659514359E-2</v>
      </c>
      <c r="M9" s="26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27">
        <v>3</v>
      </c>
      <c r="D10" s="28" t="s">
        <v>40</v>
      </c>
      <c r="E10" s="51">
        <v>0.09</v>
      </c>
      <c r="F10" s="19">
        <v>9.89</v>
      </c>
      <c r="G10" s="20">
        <f t="shared" ca="1" si="0"/>
        <v>13.098490909599741</v>
      </c>
      <c r="H10" s="21">
        <v>10</v>
      </c>
      <c r="I10" s="22">
        <f t="shared" si="1"/>
        <v>9890</v>
      </c>
      <c r="J10" s="23">
        <f t="shared" ca="1" si="2"/>
        <v>0.11842042243402462</v>
      </c>
      <c r="K10" s="24">
        <v>10.19</v>
      </c>
      <c r="L10" s="25">
        <f t="shared" ca="1" si="3"/>
        <v>3.5921260596771618E-3</v>
      </c>
      <c r="M10" s="26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27">
        <v>4</v>
      </c>
      <c r="D11" s="28" t="s">
        <v>32</v>
      </c>
      <c r="E11" s="51">
        <v>0.09</v>
      </c>
      <c r="F11" s="19">
        <v>43.47</v>
      </c>
      <c r="G11" s="20">
        <f t="shared" ca="1" si="0"/>
        <v>2.9800799423957085</v>
      </c>
      <c r="H11" s="21">
        <v>2</v>
      </c>
      <c r="I11" s="22">
        <f t="shared" si="1"/>
        <v>8694</v>
      </c>
      <c r="J11" s="23">
        <f t="shared" ca="1" si="2"/>
        <v>0.10409981320944489</v>
      </c>
      <c r="K11" s="24">
        <v>48.33</v>
      </c>
      <c r="L11" s="25">
        <f t="shared" ca="1" si="3"/>
        <v>1.1638488433354086E-2</v>
      </c>
      <c r="M11" s="26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27">
        <v>5</v>
      </c>
      <c r="D12" s="28" t="s">
        <v>41</v>
      </c>
      <c r="E12" s="51">
        <v>0.08</v>
      </c>
      <c r="F12" s="19">
        <v>29</v>
      </c>
      <c r="G12" s="20">
        <f t="shared" ca="1" si="0"/>
        <v>3.9706996197989723</v>
      </c>
      <c r="H12" s="21">
        <v>3</v>
      </c>
      <c r="I12" s="22">
        <f t="shared" si="1"/>
        <v>8700</v>
      </c>
      <c r="J12" s="23">
        <f t="shared" ca="1" si="2"/>
        <v>0.10417165573063844</v>
      </c>
      <c r="K12" s="24">
        <v>34.659999999999997</v>
      </c>
      <c r="L12" s="25">
        <f t="shared" ca="1" si="3"/>
        <v>2.0331433497772861E-2</v>
      </c>
      <c r="M12" s="26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27">
        <v>6</v>
      </c>
      <c r="D13" s="28" t="s">
        <v>42</v>
      </c>
      <c r="E13" s="51">
        <v>0.09</v>
      </c>
      <c r="F13" s="19">
        <v>18.899999999999999</v>
      </c>
      <c r="G13" s="20">
        <f t="shared" ca="1" si="0"/>
        <v>6.8541838675101303</v>
      </c>
      <c r="H13" s="21">
        <v>5</v>
      </c>
      <c r="I13" s="22">
        <f t="shared" si="1"/>
        <v>9450</v>
      </c>
      <c r="J13" s="23">
        <f t="shared" ca="1" si="2"/>
        <v>0.11315197087983141</v>
      </c>
      <c r="K13" s="24">
        <v>19.850000000000001</v>
      </c>
      <c r="L13" s="25">
        <f t="shared" ca="1" si="3"/>
        <v>5.6875329278222352E-3</v>
      </c>
      <c r="M13" s="26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27">
        <v>7</v>
      </c>
      <c r="D14" s="28" t="s">
        <v>43</v>
      </c>
      <c r="E14" s="51">
        <v>7.0000000000000007E-2</v>
      </c>
      <c r="F14" s="19">
        <v>10.76</v>
      </c>
      <c r="G14" s="20">
        <f t="shared" ca="1" si="0"/>
        <v>9.3639872539404223</v>
      </c>
      <c r="H14" s="21">
        <v>7</v>
      </c>
      <c r="I14" s="22">
        <f t="shared" si="1"/>
        <v>7531.9999999999991</v>
      </c>
      <c r="J14" s="23">
        <f t="shared" ca="1" si="2"/>
        <v>9.0186311604961919E-2</v>
      </c>
      <c r="K14" s="24">
        <v>11.85</v>
      </c>
      <c r="L14" s="25">
        <f t="shared" ca="1" si="3"/>
        <v>9.13597394511231E-3</v>
      </c>
      <c r="M14" s="26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27">
        <v>8</v>
      </c>
      <c r="D15" s="28" t="s">
        <v>44</v>
      </c>
      <c r="E15" s="51">
        <v>7.0000000000000007E-2</v>
      </c>
      <c r="F15" s="19">
        <v>12.89</v>
      </c>
      <c r="G15" s="20">
        <f t="shared" ca="1" si="0"/>
        <v>7.8166410281147352</v>
      </c>
      <c r="H15" s="21">
        <v>5</v>
      </c>
      <c r="I15" s="22">
        <f t="shared" si="1"/>
        <v>6445</v>
      </c>
      <c r="J15" s="23">
        <f t="shared" ca="1" si="2"/>
        <v>7.7170841515398242E-2</v>
      </c>
      <c r="K15" s="24">
        <v>12.46</v>
      </c>
      <c r="L15" s="25">
        <f t="shared" ca="1" si="3"/>
        <v>-2.5743570094353147E-3</v>
      </c>
      <c r="M15" s="26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27">
        <v>9</v>
      </c>
      <c r="D16" s="28" t="s">
        <v>45</v>
      </c>
      <c r="E16" s="51">
        <v>7.0000000000000007E-2</v>
      </c>
      <c r="F16" s="19">
        <v>22.7</v>
      </c>
      <c r="G16" s="20">
        <f t="shared" ca="1" si="0"/>
        <v>4.4386124604581028</v>
      </c>
      <c r="H16" s="21">
        <v>3</v>
      </c>
      <c r="I16" s="22">
        <f t="shared" si="1"/>
        <v>6809.9999999999991</v>
      </c>
      <c r="J16" s="23">
        <f t="shared" ca="1" si="2"/>
        <v>8.1541261554672145E-2</v>
      </c>
      <c r="K16" s="24">
        <v>21.25</v>
      </c>
      <c r="L16" s="25">
        <f t="shared" ca="1" si="3"/>
        <v>-5.2085827865319166E-3</v>
      </c>
      <c r="M16" s="26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27">
        <v>10</v>
      </c>
      <c r="D17" s="28" t="s">
        <v>36</v>
      </c>
      <c r="E17" s="51">
        <v>0.08</v>
      </c>
      <c r="F17" s="19">
        <v>53.94</v>
      </c>
      <c r="G17" s="20">
        <f t="shared" ca="1" si="0"/>
        <v>2.1347847418274046</v>
      </c>
      <c r="H17" s="21">
        <v>1</v>
      </c>
      <c r="I17" s="22">
        <f t="shared" si="1"/>
        <v>5394</v>
      </c>
      <c r="J17" s="23">
        <f t="shared" ca="1" si="2"/>
        <v>6.4586426552995832E-2</v>
      </c>
      <c r="K17" s="24">
        <v>48.76</v>
      </c>
      <c r="L17" s="25">
        <f t="shared" ca="1" si="3"/>
        <v>-6.2024043297092789E-3</v>
      </c>
      <c r="M17" s="26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24</v>
      </c>
      <c r="D18" s="59"/>
      <c r="E18" s="60"/>
      <c r="F18" s="29">
        <f ca="1">D4</f>
        <v>143937.86121771275</v>
      </c>
      <c r="G18" s="30"/>
      <c r="H18" s="30"/>
      <c r="I18" s="30"/>
      <c r="J18" s="29"/>
      <c r="K18" s="31">
        <f ca="1">F4</f>
        <v>148777.86121771275</v>
      </c>
      <c r="L18" s="63">
        <f t="shared" ref="L18:L19" ca="1" si="5">(K18/F18-1)</f>
        <v>3.3625621216361479E-2</v>
      </c>
      <c r="M18" s="60"/>
      <c r="N18" s="3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26</v>
      </c>
      <c r="D19" s="59"/>
      <c r="E19" s="60"/>
      <c r="F19" s="57">
        <v>100967.2</v>
      </c>
      <c r="G19" s="34"/>
      <c r="H19" s="34"/>
      <c r="I19" s="34"/>
      <c r="J19" s="35"/>
      <c r="K19" s="56">
        <v>102673.28</v>
      </c>
      <c r="L19" s="63">
        <f t="shared" si="5"/>
        <v>1.6897368650413247E-2</v>
      </c>
      <c r="M19" s="6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2"/>
      <c r="D20" s="1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C220" s="37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4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2"/>
      <c r="D2" s="58" t="s">
        <v>0</v>
      </c>
      <c r="E2" s="59"/>
      <c r="F2" s="60"/>
      <c r="G2" s="2"/>
      <c r="H2" s="2"/>
      <c r="I2" s="3">
        <f ca="1">SUM(L8:L17)</f>
        <v>5.7952967096125282E-2</v>
      </c>
      <c r="J2" s="4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25">
      <c r="A4" s="1"/>
      <c r="B4" s="1"/>
      <c r="C4" s="2"/>
      <c r="D4" s="9">
        <f ca="1">Agosto!F4</f>
        <v>148777.86121771275</v>
      </c>
      <c r="E4" s="10">
        <f ca="1">IF(SUM(I8:I17)&lt;=D4,SUM(I8:I17),"VALOR ACIMA DO DISPONÍVEL")</f>
        <v>83516</v>
      </c>
      <c r="F4" s="11">
        <f ca="1">(E4*I2)+E4+(D4-E4)</f>
        <v>153617.86121771275</v>
      </c>
      <c r="G4" s="2"/>
      <c r="H4" s="2"/>
      <c r="I4" s="12">
        <f ca="1">F4/100000-1</f>
        <v>0.53617861217712748</v>
      </c>
      <c r="J4" s="4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1" t="s">
        <v>7</v>
      </c>
      <c r="D6" s="59"/>
      <c r="E6" s="59"/>
      <c r="F6" s="59"/>
      <c r="G6" s="59"/>
      <c r="H6" s="59"/>
      <c r="I6" s="59"/>
      <c r="J6" s="59"/>
      <c r="K6" s="59"/>
      <c r="L6" s="59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8" t="s">
        <v>8</v>
      </c>
      <c r="D7" s="60"/>
      <c r="E7" s="13" t="s">
        <v>9</v>
      </c>
      <c r="F7" s="6" t="s">
        <v>10</v>
      </c>
      <c r="G7" s="6" t="s">
        <v>11</v>
      </c>
      <c r="H7" s="14" t="s">
        <v>12</v>
      </c>
      <c r="I7" s="7" t="s">
        <v>13</v>
      </c>
      <c r="J7" s="14" t="s">
        <v>14</v>
      </c>
      <c r="K7" s="6" t="s">
        <v>15</v>
      </c>
      <c r="L7" s="58" t="s">
        <v>16</v>
      </c>
      <c r="M7" s="6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6">
        <v>1</v>
      </c>
      <c r="D8" s="17" t="s">
        <v>38</v>
      </c>
      <c r="E8" s="51">
        <v>0.1</v>
      </c>
      <c r="F8" s="19">
        <v>16.71</v>
      </c>
      <c r="G8" s="20">
        <f t="shared" ref="G8:G17" ca="1" si="0">((E8*$D$4)/100)/F8</f>
        <v>8.903522514525001</v>
      </c>
      <c r="H8" s="21">
        <v>6</v>
      </c>
      <c r="I8" s="22">
        <f t="shared" ref="I8:I17" si="1">H8*F8*100</f>
        <v>10026</v>
      </c>
      <c r="J8" s="23">
        <f t="shared" ref="J8:J17" ca="1" si="2">I8/$E$4</f>
        <v>0.12004885291441161</v>
      </c>
      <c r="K8" s="24">
        <v>15.86</v>
      </c>
      <c r="L8" s="25">
        <f t="shared" ref="L8:L17" ca="1" si="3">IFERROR((K8/F8-1)*J8,0)</f>
        <v>-6.1066143014512284E-3</v>
      </c>
      <c r="M8" s="26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27">
        <v>2</v>
      </c>
      <c r="D9" s="28" t="s">
        <v>39</v>
      </c>
      <c r="E9" s="51">
        <v>0.1</v>
      </c>
      <c r="F9" s="19">
        <v>35.25</v>
      </c>
      <c r="G9" s="20">
        <f t="shared" ca="1" si="0"/>
        <v>4.2206485451833409</v>
      </c>
      <c r="H9" s="21">
        <v>3</v>
      </c>
      <c r="I9" s="22">
        <f t="shared" si="1"/>
        <v>10575</v>
      </c>
      <c r="J9" s="23">
        <f t="shared" ca="1" si="2"/>
        <v>0.12662244360362088</v>
      </c>
      <c r="K9" s="24">
        <v>42.95</v>
      </c>
      <c r="L9" s="25">
        <f t="shared" ca="1" si="3"/>
        <v>2.7659370659514359E-2</v>
      </c>
      <c r="M9" s="26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27">
        <v>3</v>
      </c>
      <c r="D10" s="28" t="s">
        <v>40</v>
      </c>
      <c r="E10" s="51">
        <v>0.09</v>
      </c>
      <c r="F10" s="19">
        <v>9.89</v>
      </c>
      <c r="G10" s="20">
        <f t="shared" ca="1" si="0"/>
        <v>13.538935803431897</v>
      </c>
      <c r="H10" s="21">
        <v>10</v>
      </c>
      <c r="I10" s="22">
        <f t="shared" si="1"/>
        <v>9890</v>
      </c>
      <c r="J10" s="23">
        <f t="shared" ca="1" si="2"/>
        <v>0.11842042243402462</v>
      </c>
      <c r="K10" s="24">
        <v>10.19</v>
      </c>
      <c r="L10" s="25">
        <f t="shared" ca="1" si="3"/>
        <v>3.5921260596771618E-3</v>
      </c>
      <c r="M10" s="26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27">
        <v>4</v>
      </c>
      <c r="D11" s="28" t="s">
        <v>32</v>
      </c>
      <c r="E11" s="51">
        <v>0.09</v>
      </c>
      <c r="F11" s="19">
        <v>43.47</v>
      </c>
      <c r="G11" s="20">
        <f t="shared" ca="1" si="0"/>
        <v>3.0802869817331833</v>
      </c>
      <c r="H11" s="21">
        <v>2</v>
      </c>
      <c r="I11" s="22">
        <f t="shared" si="1"/>
        <v>8694</v>
      </c>
      <c r="J11" s="23">
        <f t="shared" ca="1" si="2"/>
        <v>0.10409981320944489</v>
      </c>
      <c r="K11" s="24">
        <v>48.33</v>
      </c>
      <c r="L11" s="25">
        <f t="shared" ca="1" si="3"/>
        <v>1.1638488433354086E-2</v>
      </c>
      <c r="M11" s="26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27">
        <v>5</v>
      </c>
      <c r="D12" s="28" t="s">
        <v>41</v>
      </c>
      <c r="E12" s="51">
        <v>0.08</v>
      </c>
      <c r="F12" s="19">
        <v>29</v>
      </c>
      <c r="G12" s="20">
        <f t="shared" ca="1" si="0"/>
        <v>4.1042168611782834</v>
      </c>
      <c r="H12" s="21">
        <v>3</v>
      </c>
      <c r="I12" s="22">
        <f t="shared" si="1"/>
        <v>8700</v>
      </c>
      <c r="J12" s="23">
        <f t="shared" ca="1" si="2"/>
        <v>0.10417165573063844</v>
      </c>
      <c r="K12" s="24">
        <v>34.659999999999997</v>
      </c>
      <c r="L12" s="25">
        <f t="shared" ca="1" si="3"/>
        <v>2.0331433497772861E-2</v>
      </c>
      <c r="M12" s="26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27">
        <v>6</v>
      </c>
      <c r="D13" s="28" t="s">
        <v>42</v>
      </c>
      <c r="E13" s="51">
        <v>0.09</v>
      </c>
      <c r="F13" s="19">
        <v>18.899999999999999</v>
      </c>
      <c r="G13" s="20">
        <f t="shared" ca="1" si="0"/>
        <v>7.0846600579863219</v>
      </c>
      <c r="H13" s="21">
        <v>5</v>
      </c>
      <c r="I13" s="22">
        <f t="shared" si="1"/>
        <v>9450</v>
      </c>
      <c r="J13" s="23">
        <f t="shared" ca="1" si="2"/>
        <v>0.11315197087983141</v>
      </c>
      <c r="K13" s="24">
        <v>19.850000000000001</v>
      </c>
      <c r="L13" s="25">
        <f t="shared" ca="1" si="3"/>
        <v>5.6875329278222352E-3</v>
      </c>
      <c r="M13" s="26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27">
        <v>7</v>
      </c>
      <c r="D14" s="28" t="s">
        <v>43</v>
      </c>
      <c r="E14" s="51">
        <v>7.0000000000000007E-2</v>
      </c>
      <c r="F14" s="19">
        <v>10.76</v>
      </c>
      <c r="G14" s="20">
        <f t="shared" ca="1" si="0"/>
        <v>9.6788571424162573</v>
      </c>
      <c r="H14" s="21">
        <v>7</v>
      </c>
      <c r="I14" s="22">
        <f t="shared" si="1"/>
        <v>7531.9999999999991</v>
      </c>
      <c r="J14" s="23">
        <f t="shared" ca="1" si="2"/>
        <v>9.0186311604961919E-2</v>
      </c>
      <c r="K14" s="24">
        <v>11.85</v>
      </c>
      <c r="L14" s="25">
        <f t="shared" ca="1" si="3"/>
        <v>9.13597394511231E-3</v>
      </c>
      <c r="M14" s="26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27">
        <v>8</v>
      </c>
      <c r="D15" s="28" t="s">
        <v>44</v>
      </c>
      <c r="E15" s="51">
        <v>7.0000000000000007E-2</v>
      </c>
      <c r="F15" s="19">
        <v>12.89</v>
      </c>
      <c r="G15" s="20">
        <f t="shared" ca="1" si="0"/>
        <v>8.0794804385103891</v>
      </c>
      <c r="H15" s="21">
        <v>5</v>
      </c>
      <c r="I15" s="22">
        <f t="shared" si="1"/>
        <v>6445</v>
      </c>
      <c r="J15" s="23">
        <f t="shared" ca="1" si="2"/>
        <v>7.7170841515398242E-2</v>
      </c>
      <c r="K15" s="24">
        <v>12.46</v>
      </c>
      <c r="L15" s="25">
        <f t="shared" ca="1" si="3"/>
        <v>-2.5743570094353147E-3</v>
      </c>
      <c r="M15" s="26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27">
        <v>9</v>
      </c>
      <c r="D16" s="28" t="s">
        <v>45</v>
      </c>
      <c r="E16" s="51">
        <v>7.0000000000000007E-2</v>
      </c>
      <c r="F16" s="19">
        <v>22.7</v>
      </c>
      <c r="G16" s="20">
        <f t="shared" ca="1" si="0"/>
        <v>4.587863561779689</v>
      </c>
      <c r="H16" s="21">
        <v>3</v>
      </c>
      <c r="I16" s="22">
        <f t="shared" si="1"/>
        <v>6809.9999999999991</v>
      </c>
      <c r="J16" s="23">
        <f t="shared" ca="1" si="2"/>
        <v>8.1541261554672145E-2</v>
      </c>
      <c r="K16" s="24">
        <v>21.25</v>
      </c>
      <c r="L16" s="25">
        <f t="shared" ca="1" si="3"/>
        <v>-5.2085827865319166E-3</v>
      </c>
      <c r="M16" s="26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27">
        <v>10</v>
      </c>
      <c r="D17" s="28" t="s">
        <v>36</v>
      </c>
      <c r="E17" s="51">
        <v>0.08</v>
      </c>
      <c r="F17" s="19">
        <v>53.94</v>
      </c>
      <c r="G17" s="20">
        <f t="shared" ca="1" si="0"/>
        <v>2.2065682049345607</v>
      </c>
      <c r="H17" s="21">
        <v>1</v>
      </c>
      <c r="I17" s="22">
        <f t="shared" si="1"/>
        <v>5394</v>
      </c>
      <c r="J17" s="23">
        <f t="shared" ca="1" si="2"/>
        <v>6.4586426552995832E-2</v>
      </c>
      <c r="K17" s="24">
        <v>48.76</v>
      </c>
      <c r="L17" s="25">
        <f t="shared" ca="1" si="3"/>
        <v>-6.2024043297092789E-3</v>
      </c>
      <c r="M17" s="26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24</v>
      </c>
      <c r="D18" s="59"/>
      <c r="E18" s="60"/>
      <c r="F18" s="29">
        <f ca="1">D4</f>
        <v>148777.86121771275</v>
      </c>
      <c r="G18" s="30"/>
      <c r="H18" s="30"/>
      <c r="I18" s="30"/>
      <c r="J18" s="29"/>
      <c r="K18" s="31">
        <f ca="1">F4</f>
        <v>153617.86121771275</v>
      </c>
      <c r="L18" s="63">
        <f t="shared" ref="L18:L19" ca="1" si="5">(K18/F18-1)</f>
        <v>3.2531721859594631E-2</v>
      </c>
      <c r="M18" s="60"/>
      <c r="N18" s="3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26</v>
      </c>
      <c r="D19" s="59"/>
      <c r="E19" s="60"/>
      <c r="F19" s="57">
        <v>100967.2</v>
      </c>
      <c r="G19" s="34"/>
      <c r="H19" s="34"/>
      <c r="I19" s="34"/>
      <c r="J19" s="35"/>
      <c r="K19" s="56">
        <v>102673.28</v>
      </c>
      <c r="L19" s="63">
        <f t="shared" si="5"/>
        <v>1.6897368650413247E-2</v>
      </c>
      <c r="M19" s="6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2"/>
      <c r="D20" s="1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C220" s="37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3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2"/>
      <c r="D2" s="58" t="s">
        <v>0</v>
      </c>
      <c r="E2" s="59"/>
      <c r="F2" s="60"/>
      <c r="G2" s="2"/>
      <c r="H2" s="2"/>
      <c r="I2" s="3">
        <f ca="1">SUM(L8:L17)</f>
        <v>5.7952967096125282E-2</v>
      </c>
      <c r="J2" s="4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25">
      <c r="A4" s="1"/>
      <c r="B4" s="1"/>
      <c r="C4" s="2"/>
      <c r="D4" s="9">
        <f ca="1">Setembro!F4</f>
        <v>153617.86121771275</v>
      </c>
      <c r="E4" s="10">
        <f ca="1">IF(SUM(I8:I17)&lt;=D4,SUM(I8:I17),"VALOR ACIMA DO DISPONÍVEL")</f>
        <v>83516</v>
      </c>
      <c r="F4" s="11">
        <f ca="1">(E4*I2)+E4+(D4-E4)</f>
        <v>158457.86121771275</v>
      </c>
      <c r="G4" s="2"/>
      <c r="H4" s="2"/>
      <c r="I4" s="12">
        <f ca="1">F4/100000-1</f>
        <v>0.58457861217712748</v>
      </c>
      <c r="J4" s="4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1" t="s">
        <v>7</v>
      </c>
      <c r="D6" s="59"/>
      <c r="E6" s="59"/>
      <c r="F6" s="59"/>
      <c r="G6" s="59"/>
      <c r="H6" s="59"/>
      <c r="I6" s="59"/>
      <c r="J6" s="59"/>
      <c r="K6" s="59"/>
      <c r="L6" s="59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8" t="s">
        <v>8</v>
      </c>
      <c r="D7" s="60"/>
      <c r="E7" s="13" t="s">
        <v>9</v>
      </c>
      <c r="F7" s="6" t="s">
        <v>10</v>
      </c>
      <c r="G7" s="6" t="s">
        <v>11</v>
      </c>
      <c r="H7" s="14" t="s">
        <v>12</v>
      </c>
      <c r="I7" s="7" t="s">
        <v>13</v>
      </c>
      <c r="J7" s="14" t="s">
        <v>14</v>
      </c>
      <c r="K7" s="6" t="s">
        <v>15</v>
      </c>
      <c r="L7" s="58" t="s">
        <v>16</v>
      </c>
      <c r="M7" s="6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6">
        <v>1</v>
      </c>
      <c r="D8" s="17" t="s">
        <v>38</v>
      </c>
      <c r="E8" s="51">
        <v>0.1</v>
      </c>
      <c r="F8" s="19">
        <v>16.71</v>
      </c>
      <c r="G8" s="20">
        <f t="shared" ref="G8:G17" ca="1" si="0">((E8*$D$4)/100)/F8</f>
        <v>9.1931694325381663</v>
      </c>
      <c r="H8" s="21">
        <v>6</v>
      </c>
      <c r="I8" s="22">
        <f t="shared" ref="I8:I17" si="1">H8*F8*100</f>
        <v>10026</v>
      </c>
      <c r="J8" s="23">
        <f t="shared" ref="J8:J17" ca="1" si="2">I8/$E$4</f>
        <v>0.12004885291441161</v>
      </c>
      <c r="K8" s="24">
        <v>15.86</v>
      </c>
      <c r="L8" s="25">
        <f t="shared" ref="L8:L17" ca="1" si="3">IFERROR((K8/F8-1)*J8,0)</f>
        <v>-6.1066143014512284E-3</v>
      </c>
      <c r="M8" s="26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27">
        <v>2</v>
      </c>
      <c r="D9" s="28" t="s">
        <v>39</v>
      </c>
      <c r="E9" s="51">
        <v>0.1</v>
      </c>
      <c r="F9" s="19">
        <v>35.25</v>
      </c>
      <c r="G9" s="20">
        <f t="shared" ca="1" si="0"/>
        <v>4.3579535097223481</v>
      </c>
      <c r="H9" s="21">
        <v>3</v>
      </c>
      <c r="I9" s="22">
        <f t="shared" si="1"/>
        <v>10575</v>
      </c>
      <c r="J9" s="23">
        <f t="shared" ca="1" si="2"/>
        <v>0.12662244360362088</v>
      </c>
      <c r="K9" s="24">
        <v>42.95</v>
      </c>
      <c r="L9" s="25">
        <f t="shared" ca="1" si="3"/>
        <v>2.7659370659514359E-2</v>
      </c>
      <c r="M9" s="26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27">
        <v>3</v>
      </c>
      <c r="D10" s="28" t="s">
        <v>40</v>
      </c>
      <c r="E10" s="51">
        <v>0.09</v>
      </c>
      <c r="F10" s="19">
        <v>9.89</v>
      </c>
      <c r="G10" s="20">
        <f t="shared" ca="1" si="0"/>
        <v>13.97938069726405</v>
      </c>
      <c r="H10" s="21">
        <v>10</v>
      </c>
      <c r="I10" s="22">
        <f t="shared" si="1"/>
        <v>9890</v>
      </c>
      <c r="J10" s="23">
        <f t="shared" ca="1" si="2"/>
        <v>0.11842042243402462</v>
      </c>
      <c r="K10" s="24">
        <v>10.19</v>
      </c>
      <c r="L10" s="25">
        <f t="shared" ca="1" si="3"/>
        <v>3.5921260596771618E-3</v>
      </c>
      <c r="M10" s="26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27">
        <v>4</v>
      </c>
      <c r="D11" s="28" t="s">
        <v>32</v>
      </c>
      <c r="E11" s="51">
        <v>0.09</v>
      </c>
      <c r="F11" s="19">
        <v>43.47</v>
      </c>
      <c r="G11" s="20">
        <f t="shared" ca="1" si="0"/>
        <v>3.1804940210706572</v>
      </c>
      <c r="H11" s="21">
        <v>2</v>
      </c>
      <c r="I11" s="22">
        <f t="shared" si="1"/>
        <v>8694</v>
      </c>
      <c r="J11" s="23">
        <f t="shared" ca="1" si="2"/>
        <v>0.10409981320944489</v>
      </c>
      <c r="K11" s="24">
        <v>48.33</v>
      </c>
      <c r="L11" s="25">
        <f t="shared" ca="1" si="3"/>
        <v>1.1638488433354086E-2</v>
      </c>
      <c r="M11" s="26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27">
        <v>5</v>
      </c>
      <c r="D12" s="28" t="s">
        <v>41</v>
      </c>
      <c r="E12" s="51">
        <v>0.08</v>
      </c>
      <c r="F12" s="19">
        <v>29</v>
      </c>
      <c r="G12" s="20">
        <f t="shared" ca="1" si="0"/>
        <v>4.2377341025575932</v>
      </c>
      <c r="H12" s="21">
        <v>3</v>
      </c>
      <c r="I12" s="22">
        <f t="shared" si="1"/>
        <v>8700</v>
      </c>
      <c r="J12" s="23">
        <f t="shared" ca="1" si="2"/>
        <v>0.10417165573063844</v>
      </c>
      <c r="K12" s="24">
        <v>34.659999999999997</v>
      </c>
      <c r="L12" s="25">
        <f t="shared" ca="1" si="3"/>
        <v>2.0331433497772861E-2</v>
      </c>
      <c r="M12" s="26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27">
        <v>6</v>
      </c>
      <c r="D13" s="28" t="s">
        <v>42</v>
      </c>
      <c r="E13" s="51">
        <v>0.09</v>
      </c>
      <c r="F13" s="19">
        <v>18.899999999999999</v>
      </c>
      <c r="G13" s="20">
        <f t="shared" ca="1" si="0"/>
        <v>7.3151362484625118</v>
      </c>
      <c r="H13" s="21">
        <v>5</v>
      </c>
      <c r="I13" s="22">
        <f t="shared" si="1"/>
        <v>9450</v>
      </c>
      <c r="J13" s="23">
        <f t="shared" ca="1" si="2"/>
        <v>0.11315197087983141</v>
      </c>
      <c r="K13" s="24">
        <v>19.850000000000001</v>
      </c>
      <c r="L13" s="25">
        <f t="shared" ca="1" si="3"/>
        <v>5.6875329278222352E-3</v>
      </c>
      <c r="M13" s="26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27">
        <v>7</v>
      </c>
      <c r="D14" s="28" t="s">
        <v>43</v>
      </c>
      <c r="E14" s="51">
        <v>7.0000000000000007E-2</v>
      </c>
      <c r="F14" s="19">
        <v>10.76</v>
      </c>
      <c r="G14" s="20">
        <f t="shared" ca="1" si="0"/>
        <v>9.993727030892094</v>
      </c>
      <c r="H14" s="21">
        <v>7</v>
      </c>
      <c r="I14" s="22">
        <f t="shared" si="1"/>
        <v>7531.9999999999991</v>
      </c>
      <c r="J14" s="23">
        <f t="shared" ca="1" si="2"/>
        <v>9.0186311604961919E-2</v>
      </c>
      <c r="K14" s="24">
        <v>11.85</v>
      </c>
      <c r="L14" s="25">
        <f t="shared" ca="1" si="3"/>
        <v>9.13597394511231E-3</v>
      </c>
      <c r="M14" s="26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27">
        <v>8</v>
      </c>
      <c r="D15" s="28" t="s">
        <v>44</v>
      </c>
      <c r="E15" s="51">
        <v>7.0000000000000007E-2</v>
      </c>
      <c r="F15" s="19">
        <v>12.89</v>
      </c>
      <c r="G15" s="20">
        <f t="shared" ca="1" si="0"/>
        <v>8.3423198489060457</v>
      </c>
      <c r="H15" s="21">
        <v>5</v>
      </c>
      <c r="I15" s="22">
        <f t="shared" si="1"/>
        <v>6445</v>
      </c>
      <c r="J15" s="23">
        <f t="shared" ca="1" si="2"/>
        <v>7.7170841515398242E-2</v>
      </c>
      <c r="K15" s="24">
        <v>12.46</v>
      </c>
      <c r="L15" s="25">
        <f t="shared" ca="1" si="3"/>
        <v>-2.5743570094353147E-3</v>
      </c>
      <c r="M15" s="26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27">
        <v>9</v>
      </c>
      <c r="D16" s="28" t="s">
        <v>45</v>
      </c>
      <c r="E16" s="51">
        <v>7.0000000000000007E-2</v>
      </c>
      <c r="F16" s="19">
        <v>22.7</v>
      </c>
      <c r="G16" s="20">
        <f t="shared" ca="1" si="0"/>
        <v>4.7371146631012744</v>
      </c>
      <c r="H16" s="21">
        <v>3</v>
      </c>
      <c r="I16" s="22">
        <f t="shared" si="1"/>
        <v>6809.9999999999991</v>
      </c>
      <c r="J16" s="23">
        <f t="shared" ca="1" si="2"/>
        <v>8.1541261554672145E-2</v>
      </c>
      <c r="K16" s="24">
        <v>21.25</v>
      </c>
      <c r="L16" s="25">
        <f t="shared" ca="1" si="3"/>
        <v>-5.2085827865319166E-3</v>
      </c>
      <c r="M16" s="26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27">
        <v>10</v>
      </c>
      <c r="D17" s="28" t="s">
        <v>36</v>
      </c>
      <c r="E17" s="51">
        <v>0.08</v>
      </c>
      <c r="F17" s="19">
        <v>53.94</v>
      </c>
      <c r="G17" s="20">
        <f t="shared" ca="1" si="0"/>
        <v>2.2783516680417168</v>
      </c>
      <c r="H17" s="21">
        <v>1</v>
      </c>
      <c r="I17" s="22">
        <f t="shared" si="1"/>
        <v>5394</v>
      </c>
      <c r="J17" s="23">
        <f t="shared" ca="1" si="2"/>
        <v>6.4586426552995832E-2</v>
      </c>
      <c r="K17" s="24">
        <v>48.76</v>
      </c>
      <c r="L17" s="25">
        <f t="shared" ca="1" si="3"/>
        <v>-6.2024043297092789E-3</v>
      </c>
      <c r="M17" s="26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24</v>
      </c>
      <c r="D18" s="59"/>
      <c r="E18" s="60"/>
      <c r="F18" s="29">
        <f ca="1">D4</f>
        <v>153617.86121771275</v>
      </c>
      <c r="G18" s="30"/>
      <c r="H18" s="30"/>
      <c r="I18" s="30"/>
      <c r="J18" s="29"/>
      <c r="K18" s="31">
        <f ca="1">F4</f>
        <v>158457.86121771275</v>
      </c>
      <c r="L18" s="63">
        <f t="shared" ref="L18:L19" ca="1" si="5">(K18/F18-1)</f>
        <v>3.1506752936369731E-2</v>
      </c>
      <c r="M18" s="60"/>
      <c r="N18" s="3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26</v>
      </c>
      <c r="D19" s="59"/>
      <c r="E19" s="60"/>
      <c r="F19" s="57">
        <v>100967.2</v>
      </c>
      <c r="G19" s="34"/>
      <c r="H19" s="34"/>
      <c r="I19" s="34"/>
      <c r="J19" s="35"/>
      <c r="K19" s="56">
        <v>102673.28</v>
      </c>
      <c r="L19" s="63">
        <f t="shared" si="5"/>
        <v>1.6897368650413247E-2</v>
      </c>
      <c r="M19" s="6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2"/>
      <c r="D20" s="1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C220" s="37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2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2"/>
      <c r="D2" s="58" t="s">
        <v>0</v>
      </c>
      <c r="E2" s="59"/>
      <c r="F2" s="60"/>
      <c r="G2" s="2"/>
      <c r="H2" s="2"/>
      <c r="I2" s="3">
        <f ca="1">SUM(L8:L17)</f>
        <v>5.7952967096125282E-2</v>
      </c>
      <c r="J2" s="4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25">
      <c r="A4" s="1"/>
      <c r="B4" s="1"/>
      <c r="C4" s="2"/>
      <c r="D4" s="9">
        <f ca="1">Outubro!F4</f>
        <v>158457.86121771275</v>
      </c>
      <c r="E4" s="10">
        <f ca="1">IF(SUM(I8:I17)&lt;=D4,SUM(I8:I17),"VALOR ACIMA DO DISPONÍVEL")</f>
        <v>83516</v>
      </c>
      <c r="F4" s="11">
        <f ca="1">(E4*I2)+E4+(D4-E4)</f>
        <v>163297.86121771275</v>
      </c>
      <c r="G4" s="2"/>
      <c r="H4" s="2"/>
      <c r="I4" s="12">
        <f ca="1">F4/100000-1</f>
        <v>0.63297861217712748</v>
      </c>
      <c r="J4" s="4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1" t="s">
        <v>7</v>
      </c>
      <c r="D6" s="59"/>
      <c r="E6" s="59"/>
      <c r="F6" s="59"/>
      <c r="G6" s="59"/>
      <c r="H6" s="59"/>
      <c r="I6" s="59"/>
      <c r="J6" s="59"/>
      <c r="K6" s="59"/>
      <c r="L6" s="59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8" t="s">
        <v>8</v>
      </c>
      <c r="D7" s="60"/>
      <c r="E7" s="13" t="s">
        <v>9</v>
      </c>
      <c r="F7" s="6" t="s">
        <v>10</v>
      </c>
      <c r="G7" s="6" t="s">
        <v>11</v>
      </c>
      <c r="H7" s="14" t="s">
        <v>12</v>
      </c>
      <c r="I7" s="7" t="s">
        <v>13</v>
      </c>
      <c r="J7" s="14" t="s">
        <v>14</v>
      </c>
      <c r="K7" s="6" t="s">
        <v>15</v>
      </c>
      <c r="L7" s="58" t="s">
        <v>16</v>
      </c>
      <c r="M7" s="6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6">
        <v>1</v>
      </c>
      <c r="D8" s="17" t="s">
        <v>38</v>
      </c>
      <c r="E8" s="51">
        <v>0.1</v>
      </c>
      <c r="F8" s="19">
        <v>16.71</v>
      </c>
      <c r="G8" s="20">
        <f t="shared" ref="G8:G17" ca="1" si="0">((E8*$D$4)/100)/F8</f>
        <v>9.4828163505513334</v>
      </c>
      <c r="H8" s="21">
        <v>6</v>
      </c>
      <c r="I8" s="22">
        <f t="shared" ref="I8:I17" si="1">H8*F8*100</f>
        <v>10026</v>
      </c>
      <c r="J8" s="23">
        <f t="shared" ref="J8:J17" ca="1" si="2">I8/$E$4</f>
        <v>0.12004885291441161</v>
      </c>
      <c r="K8" s="24">
        <v>15.86</v>
      </c>
      <c r="L8" s="25">
        <f t="shared" ref="L8:L17" ca="1" si="3">IFERROR((K8/F8-1)*J8,0)</f>
        <v>-6.1066143014512284E-3</v>
      </c>
      <c r="M8" s="26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27">
        <v>2</v>
      </c>
      <c r="D9" s="28" t="s">
        <v>39</v>
      </c>
      <c r="E9" s="51">
        <v>0.1</v>
      </c>
      <c r="F9" s="19">
        <v>35.25</v>
      </c>
      <c r="G9" s="20">
        <f t="shared" ca="1" si="0"/>
        <v>4.4952584742613553</v>
      </c>
      <c r="H9" s="21">
        <v>3</v>
      </c>
      <c r="I9" s="22">
        <f t="shared" si="1"/>
        <v>10575</v>
      </c>
      <c r="J9" s="23">
        <f t="shared" ca="1" si="2"/>
        <v>0.12662244360362088</v>
      </c>
      <c r="K9" s="24">
        <v>42.95</v>
      </c>
      <c r="L9" s="25">
        <f t="shared" ca="1" si="3"/>
        <v>2.7659370659514359E-2</v>
      </c>
      <c r="M9" s="26">
        <f t="shared" ca="1" si="4"/>
        <v>0.21843971631205683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27">
        <v>3</v>
      </c>
      <c r="D10" s="28" t="s">
        <v>40</v>
      </c>
      <c r="E10" s="51">
        <v>0.1</v>
      </c>
      <c r="F10" s="19">
        <v>9.89</v>
      </c>
      <c r="G10" s="20">
        <f t="shared" ca="1" si="0"/>
        <v>16.022028434551341</v>
      </c>
      <c r="H10" s="21">
        <v>10</v>
      </c>
      <c r="I10" s="22">
        <f t="shared" si="1"/>
        <v>9890</v>
      </c>
      <c r="J10" s="23">
        <f t="shared" ca="1" si="2"/>
        <v>0.11842042243402462</v>
      </c>
      <c r="K10" s="24">
        <v>10.19</v>
      </c>
      <c r="L10" s="25">
        <f t="shared" ca="1" si="3"/>
        <v>3.5921260596771618E-3</v>
      </c>
      <c r="M10" s="26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27">
        <v>4</v>
      </c>
      <c r="D11" s="28" t="s">
        <v>32</v>
      </c>
      <c r="E11" s="51">
        <v>0.1</v>
      </c>
      <c r="F11" s="19">
        <v>43.47</v>
      </c>
      <c r="G11" s="20">
        <f t="shared" ca="1" si="0"/>
        <v>3.6452234004534803</v>
      </c>
      <c r="H11" s="21">
        <v>2</v>
      </c>
      <c r="I11" s="22">
        <f t="shared" si="1"/>
        <v>8694</v>
      </c>
      <c r="J11" s="23">
        <f t="shared" ca="1" si="2"/>
        <v>0.10409981320944489</v>
      </c>
      <c r="K11" s="24">
        <v>48.33</v>
      </c>
      <c r="L11" s="25">
        <f t="shared" ca="1" si="3"/>
        <v>1.1638488433354086E-2</v>
      </c>
      <c r="M11" s="26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27">
        <v>5</v>
      </c>
      <c r="D12" s="28" t="s">
        <v>41</v>
      </c>
      <c r="E12" s="51">
        <v>0.1</v>
      </c>
      <c r="F12" s="19">
        <v>29</v>
      </c>
      <c r="G12" s="20">
        <f t="shared" ca="1" si="0"/>
        <v>5.46406417992113</v>
      </c>
      <c r="H12" s="21">
        <v>3</v>
      </c>
      <c r="I12" s="22">
        <f t="shared" si="1"/>
        <v>8700</v>
      </c>
      <c r="J12" s="23">
        <f t="shared" ca="1" si="2"/>
        <v>0.10417165573063844</v>
      </c>
      <c r="K12" s="24">
        <v>34.659999999999997</v>
      </c>
      <c r="L12" s="25">
        <f t="shared" ca="1" si="3"/>
        <v>2.0331433497772861E-2</v>
      </c>
      <c r="M12" s="26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27">
        <v>6</v>
      </c>
      <c r="D13" s="28" t="s">
        <v>42</v>
      </c>
      <c r="E13" s="51">
        <v>0.1</v>
      </c>
      <c r="F13" s="19">
        <v>18.899999999999999</v>
      </c>
      <c r="G13" s="20">
        <f t="shared" ca="1" si="0"/>
        <v>8.3840138210430037</v>
      </c>
      <c r="H13" s="21">
        <v>5</v>
      </c>
      <c r="I13" s="22">
        <f t="shared" si="1"/>
        <v>9450</v>
      </c>
      <c r="J13" s="23">
        <f t="shared" ca="1" si="2"/>
        <v>0.11315197087983141</v>
      </c>
      <c r="K13" s="24">
        <v>19.850000000000001</v>
      </c>
      <c r="L13" s="25">
        <f t="shared" ca="1" si="3"/>
        <v>5.6875329278222352E-3</v>
      </c>
      <c r="M13" s="26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27">
        <v>7</v>
      </c>
      <c r="D14" s="28" t="s">
        <v>43</v>
      </c>
      <c r="E14" s="51">
        <v>0.1</v>
      </c>
      <c r="F14" s="19">
        <v>10.76</v>
      </c>
      <c r="G14" s="20">
        <f t="shared" ca="1" si="0"/>
        <v>14.726567027668473</v>
      </c>
      <c r="H14" s="21">
        <v>7</v>
      </c>
      <c r="I14" s="22">
        <f t="shared" si="1"/>
        <v>7531.9999999999991</v>
      </c>
      <c r="J14" s="23">
        <f t="shared" ca="1" si="2"/>
        <v>9.0186311604961919E-2</v>
      </c>
      <c r="K14" s="24">
        <v>11.85</v>
      </c>
      <c r="L14" s="25">
        <f t="shared" ca="1" si="3"/>
        <v>9.13597394511231E-3</v>
      </c>
      <c r="M14" s="26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27">
        <v>8</v>
      </c>
      <c r="D15" s="28" t="s">
        <v>44</v>
      </c>
      <c r="E15" s="51">
        <v>0.1</v>
      </c>
      <c r="F15" s="19">
        <v>12.89</v>
      </c>
      <c r="G15" s="20">
        <f t="shared" ca="1" si="0"/>
        <v>12.293084656145288</v>
      </c>
      <c r="H15" s="21">
        <v>5</v>
      </c>
      <c r="I15" s="22">
        <f t="shared" si="1"/>
        <v>6445</v>
      </c>
      <c r="J15" s="23">
        <f t="shared" ca="1" si="2"/>
        <v>7.7170841515398242E-2</v>
      </c>
      <c r="K15" s="24">
        <v>12.46</v>
      </c>
      <c r="L15" s="25">
        <f t="shared" ca="1" si="3"/>
        <v>-2.5743570094353147E-3</v>
      </c>
      <c r="M15" s="26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27">
        <v>9</v>
      </c>
      <c r="D16" s="28" t="s">
        <v>45</v>
      </c>
      <c r="E16" s="51">
        <v>0.1</v>
      </c>
      <c r="F16" s="19">
        <v>22.7</v>
      </c>
      <c r="G16" s="20">
        <f t="shared" ca="1" si="0"/>
        <v>6.9805225206040875</v>
      </c>
      <c r="H16" s="21">
        <v>3</v>
      </c>
      <c r="I16" s="22">
        <f t="shared" si="1"/>
        <v>6809.9999999999991</v>
      </c>
      <c r="J16" s="23">
        <f t="shared" ca="1" si="2"/>
        <v>8.1541261554672145E-2</v>
      </c>
      <c r="K16" s="24">
        <v>21.25</v>
      </c>
      <c r="L16" s="25">
        <f t="shared" ca="1" si="3"/>
        <v>-5.2085827865319166E-3</v>
      </c>
      <c r="M16" s="26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27">
        <v>10</v>
      </c>
      <c r="D17" s="28" t="s">
        <v>36</v>
      </c>
      <c r="E17" s="51">
        <v>0.1</v>
      </c>
      <c r="F17" s="19">
        <v>53.94</v>
      </c>
      <c r="G17" s="20">
        <f t="shared" ca="1" si="0"/>
        <v>2.9376689139360916</v>
      </c>
      <c r="H17" s="21">
        <v>1</v>
      </c>
      <c r="I17" s="22">
        <f t="shared" si="1"/>
        <v>5394</v>
      </c>
      <c r="J17" s="23">
        <f t="shared" ca="1" si="2"/>
        <v>6.4586426552995832E-2</v>
      </c>
      <c r="K17" s="24">
        <v>48.76</v>
      </c>
      <c r="L17" s="25">
        <f t="shared" ca="1" si="3"/>
        <v>-6.2024043297092789E-3</v>
      </c>
      <c r="M17" s="26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24</v>
      </c>
      <c r="D18" s="59"/>
      <c r="E18" s="60"/>
      <c r="F18" s="29">
        <f ca="1">D4</f>
        <v>158457.86121771275</v>
      </c>
      <c r="G18" s="30"/>
      <c r="H18" s="30"/>
      <c r="I18" s="30"/>
      <c r="J18" s="29"/>
      <c r="K18" s="31">
        <f ca="1">F4</f>
        <v>163297.86121771275</v>
      </c>
      <c r="L18" s="63">
        <f t="shared" ref="L18:L19" ca="1" si="5">(K18/F18-1)</f>
        <v>3.0544398130870176E-2</v>
      </c>
      <c r="M18" s="60"/>
      <c r="N18" s="32" t="s"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26</v>
      </c>
      <c r="D19" s="59"/>
      <c r="E19" s="60"/>
      <c r="F19" s="57">
        <v>100967.2</v>
      </c>
      <c r="G19" s="34"/>
      <c r="H19" s="34"/>
      <c r="I19" s="34"/>
      <c r="J19" s="35"/>
      <c r="K19" s="56">
        <v>102673.28</v>
      </c>
      <c r="L19" s="63">
        <f t="shared" si="5"/>
        <v>1.6897368650413247E-2</v>
      </c>
      <c r="M19" s="6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2"/>
      <c r="D20" s="1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C220" s="37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1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000"/>
  <sheetViews>
    <sheetView showGridLines="0" workbookViewId="0"/>
  </sheetViews>
  <sheetFormatPr defaultColWidth="14.375" defaultRowHeight="15" customHeight="1" x14ac:dyDescent="0.25"/>
  <cols>
    <col min="1" max="1" width="9.125" customWidth="1"/>
    <col min="2" max="2" width="18.75" customWidth="1"/>
    <col min="3" max="3" width="4.375" customWidth="1"/>
    <col min="4" max="4" width="15" customWidth="1"/>
    <col min="5" max="5" width="17.875" customWidth="1"/>
    <col min="6" max="6" width="15" customWidth="1"/>
    <col min="7" max="7" width="7.75" customWidth="1"/>
    <col min="8" max="8" width="7" customWidth="1"/>
    <col min="9" max="9" width="15" customWidth="1"/>
    <col min="10" max="10" width="7.125" customWidth="1"/>
    <col min="11" max="11" width="15" customWidth="1"/>
    <col min="12" max="12" width="8.875" customWidth="1"/>
    <col min="13" max="13" width="9" customWidth="1"/>
    <col min="14" max="25" width="8.75" customWidth="1"/>
  </cols>
  <sheetData>
    <row r="1" spans="1:25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"/>
      <c r="B2" s="1"/>
      <c r="C2" s="2"/>
      <c r="D2" s="58" t="s">
        <v>0</v>
      </c>
      <c r="E2" s="59"/>
      <c r="F2" s="60"/>
      <c r="G2" s="2"/>
      <c r="H2" s="2"/>
      <c r="I2" s="3">
        <f ca="1">SUM(L8:L17)</f>
        <v>4.1519937752179853E-2</v>
      </c>
      <c r="J2" s="4" t="s">
        <v>1</v>
      </c>
      <c r="K2" s="5" t="s">
        <v>2</v>
      </c>
      <c r="L2" s="2"/>
      <c r="M2" s="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1"/>
      <c r="B3" s="1"/>
      <c r="C3" s="2"/>
      <c r="D3" s="6" t="s">
        <v>3</v>
      </c>
      <c r="E3" s="7" t="s">
        <v>4</v>
      </c>
      <c r="F3" s="8" t="s">
        <v>5</v>
      </c>
      <c r="G3" s="2"/>
      <c r="H3" s="2"/>
      <c r="I3" s="1"/>
      <c r="J3" s="2"/>
      <c r="K3" s="5"/>
      <c r="L3" s="2"/>
      <c r="M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" customHeight="1" x14ac:dyDescent="0.25">
      <c r="A4" s="1"/>
      <c r="B4" s="1"/>
      <c r="C4" s="2"/>
      <c r="D4" s="9">
        <f ca="1">Novembro!F4</f>
        <v>163297.86121771275</v>
      </c>
      <c r="E4" s="10">
        <f ca="1">IF(SUM(I8:I17)&lt;=D4,SUM(I8:I17),"VALOR ACIMA DO DISPONÍVEL")</f>
        <v>124663</v>
      </c>
      <c r="F4" s="11">
        <f ca="1">(E4*I2)+E4+(D4-E4)</f>
        <v>168473.86121771275</v>
      </c>
      <c r="G4" s="2"/>
      <c r="H4" s="2"/>
      <c r="I4" s="12">
        <f ca="1">F4/100000-1</f>
        <v>0.6847386121771275</v>
      </c>
      <c r="J4" s="4" t="s">
        <v>1</v>
      </c>
      <c r="K4" s="5" t="s">
        <v>6</v>
      </c>
      <c r="L4" s="2"/>
      <c r="M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5">
      <c r="A5" s="1"/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x14ac:dyDescent="0.25">
      <c r="A6" s="1"/>
      <c r="B6" s="1"/>
      <c r="C6" s="61" t="s">
        <v>7</v>
      </c>
      <c r="D6" s="59"/>
      <c r="E6" s="59"/>
      <c r="F6" s="59"/>
      <c r="G6" s="59"/>
      <c r="H6" s="59"/>
      <c r="I6" s="59"/>
      <c r="J6" s="59"/>
      <c r="K6" s="59"/>
      <c r="L6" s="59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A7" s="1"/>
      <c r="B7" s="1"/>
      <c r="C7" s="58" t="s">
        <v>8</v>
      </c>
      <c r="D7" s="60"/>
      <c r="E7" s="13" t="s">
        <v>9</v>
      </c>
      <c r="F7" s="6" t="s">
        <v>10</v>
      </c>
      <c r="G7" s="6" t="s">
        <v>11</v>
      </c>
      <c r="H7" s="14" t="s">
        <v>12</v>
      </c>
      <c r="I7" s="7" t="s">
        <v>13</v>
      </c>
      <c r="J7" s="14" t="s">
        <v>14</v>
      </c>
      <c r="K7" s="6" t="s">
        <v>15</v>
      </c>
      <c r="L7" s="58" t="s">
        <v>16</v>
      </c>
      <c r="M7" s="6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1"/>
      <c r="B8" s="1"/>
      <c r="C8" s="16">
        <v>1</v>
      </c>
      <c r="D8" s="17" t="s">
        <v>38</v>
      </c>
      <c r="E8" s="51">
        <v>0.1</v>
      </c>
      <c r="F8" s="19">
        <v>16.71</v>
      </c>
      <c r="G8" s="20">
        <f t="shared" ref="G8:G17" ca="1" si="0">((E8*$D$4)/100)/F8</f>
        <v>9.772463268564497</v>
      </c>
      <c r="H8" s="21">
        <v>6</v>
      </c>
      <c r="I8" s="22">
        <f t="shared" ref="I8:I17" si="1">H8*F8*100</f>
        <v>10026</v>
      </c>
      <c r="J8" s="23">
        <f t="shared" ref="J8:J17" ca="1" si="2">I8/$E$4</f>
        <v>8.0424825329087221E-2</v>
      </c>
      <c r="K8" s="24">
        <v>15.86</v>
      </c>
      <c r="L8" s="25">
        <f t="shared" ref="L8:L17" ca="1" si="3">IFERROR((K8/F8-1)*J8,0)</f>
        <v>-4.0910294153036651E-3</v>
      </c>
      <c r="M8" s="26">
        <f t="shared" ref="M8:M17" ca="1" si="4">IFERROR(L8/J8,0)</f>
        <v>-5.0867743865948611E-2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1"/>
      <c r="B9" s="1"/>
      <c r="C9" s="27">
        <v>2</v>
      </c>
      <c r="D9" s="28" t="s">
        <v>39</v>
      </c>
      <c r="E9" s="51">
        <v>0.1</v>
      </c>
      <c r="F9" s="19">
        <v>35.25</v>
      </c>
      <c r="G9" s="20">
        <f t="shared" ca="1" si="0"/>
        <v>4.6325634388003616</v>
      </c>
      <c r="H9" s="21">
        <v>3</v>
      </c>
      <c r="I9" s="22">
        <f t="shared" si="1"/>
        <v>10575</v>
      </c>
      <c r="J9" s="23">
        <f t="shared" ca="1" si="2"/>
        <v>8.4828698170267045E-2</v>
      </c>
      <c r="K9" s="24">
        <v>42.95</v>
      </c>
      <c r="L9" s="25">
        <f t="shared" ca="1" si="3"/>
        <v>1.8529956763434229E-2</v>
      </c>
      <c r="M9" s="26">
        <f t="shared" ca="1" si="4"/>
        <v>0.21843971631205686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27">
        <v>3</v>
      </c>
      <c r="D10" s="28" t="s">
        <v>40</v>
      </c>
      <c r="E10" s="51">
        <v>0.1</v>
      </c>
      <c r="F10" s="19">
        <v>9.89</v>
      </c>
      <c r="G10" s="20">
        <f t="shared" ca="1" si="0"/>
        <v>16.511411649920397</v>
      </c>
      <c r="H10" s="21">
        <v>13</v>
      </c>
      <c r="I10" s="22">
        <f t="shared" si="1"/>
        <v>12857</v>
      </c>
      <c r="J10" s="23">
        <f t="shared" ca="1" si="2"/>
        <v>0.10313404939717478</v>
      </c>
      <c r="K10" s="24">
        <v>10.19</v>
      </c>
      <c r="L10" s="25">
        <f t="shared" ca="1" si="3"/>
        <v>3.1284342587615992E-3</v>
      </c>
      <c r="M10" s="26">
        <f t="shared" ca="1" si="4"/>
        <v>3.0333670374115052E-2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1"/>
      <c r="B11" s="1"/>
      <c r="C11" s="27">
        <v>4</v>
      </c>
      <c r="D11" s="28" t="s">
        <v>32</v>
      </c>
      <c r="E11" s="51">
        <v>0.1</v>
      </c>
      <c r="F11" s="19">
        <v>43.47</v>
      </c>
      <c r="G11" s="20">
        <f t="shared" ca="1" si="0"/>
        <v>3.7565645552728952</v>
      </c>
      <c r="H11" s="21">
        <v>3</v>
      </c>
      <c r="I11" s="22">
        <f t="shared" si="1"/>
        <v>13041</v>
      </c>
      <c r="J11" s="23">
        <f t="shared" ca="1" si="2"/>
        <v>0.10461002863720591</v>
      </c>
      <c r="K11" s="24">
        <v>48.33</v>
      </c>
      <c r="L11" s="25">
        <f t="shared" ca="1" si="3"/>
        <v>1.1695531151985752E-2</v>
      </c>
      <c r="M11" s="26">
        <f t="shared" ca="1" si="4"/>
        <v>0.11180124223602483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1"/>
      <c r="B12" s="1"/>
      <c r="C12" s="27">
        <v>5</v>
      </c>
      <c r="D12" s="28" t="s">
        <v>41</v>
      </c>
      <c r="E12" s="51">
        <v>0.1</v>
      </c>
      <c r="F12" s="19">
        <v>29</v>
      </c>
      <c r="G12" s="20">
        <f t="shared" ca="1" si="0"/>
        <v>5.630960731645267</v>
      </c>
      <c r="H12" s="21">
        <v>4</v>
      </c>
      <c r="I12" s="22">
        <f t="shared" si="1"/>
        <v>11600</v>
      </c>
      <c r="J12" s="23">
        <f t="shared" ca="1" si="2"/>
        <v>9.3050865132396937E-2</v>
      </c>
      <c r="K12" s="24">
        <v>34.659999999999997</v>
      </c>
      <c r="L12" s="25">
        <f t="shared" ca="1" si="3"/>
        <v>1.8160961953426417E-2</v>
      </c>
      <c r="M12" s="26">
        <f t="shared" ca="1" si="4"/>
        <v>0.19517241379310324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A13" s="1"/>
      <c r="B13" s="1"/>
      <c r="C13" s="27">
        <v>6</v>
      </c>
      <c r="D13" s="28" t="s">
        <v>42</v>
      </c>
      <c r="E13" s="51">
        <v>0.1</v>
      </c>
      <c r="F13" s="19">
        <v>18.899999999999999</v>
      </c>
      <c r="G13" s="20">
        <f t="shared" ca="1" si="0"/>
        <v>8.6400984771276601</v>
      </c>
      <c r="H13" s="21">
        <v>7</v>
      </c>
      <c r="I13" s="22">
        <f t="shared" si="1"/>
        <v>13229.999999999998</v>
      </c>
      <c r="J13" s="23">
        <f t="shared" ca="1" si="2"/>
        <v>0.1061261160087596</v>
      </c>
      <c r="K13" s="24">
        <v>19.850000000000001</v>
      </c>
      <c r="L13" s="25">
        <f t="shared" ca="1" si="3"/>
        <v>5.3343814925038095E-3</v>
      </c>
      <c r="M13" s="26">
        <f t="shared" ca="1" si="4"/>
        <v>5.0264550264550456E-2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1"/>
      <c r="B14" s="1"/>
      <c r="C14" s="27">
        <v>7</v>
      </c>
      <c r="D14" s="28" t="s">
        <v>43</v>
      </c>
      <c r="E14" s="51">
        <v>0.1</v>
      </c>
      <c r="F14" s="19">
        <v>10.76</v>
      </c>
      <c r="G14" s="20">
        <f t="shared" ca="1" si="0"/>
        <v>15.176381154062524</v>
      </c>
      <c r="H14" s="21">
        <v>12</v>
      </c>
      <c r="I14" s="22">
        <f t="shared" si="1"/>
        <v>12912</v>
      </c>
      <c r="J14" s="23">
        <f t="shared" ca="1" si="2"/>
        <v>0.10357523884392322</v>
      </c>
      <c r="K14" s="24">
        <v>11.85</v>
      </c>
      <c r="L14" s="25">
        <f t="shared" ca="1" si="3"/>
        <v>1.0492287206308204E-2</v>
      </c>
      <c r="M14" s="26">
        <f t="shared" ca="1" si="4"/>
        <v>0.10130111524163565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"/>
      <c r="B15" s="1"/>
      <c r="C15" s="27">
        <v>8</v>
      </c>
      <c r="D15" s="28" t="s">
        <v>44</v>
      </c>
      <c r="E15" s="51">
        <v>0.1</v>
      </c>
      <c r="F15" s="19">
        <v>12.89</v>
      </c>
      <c r="G15" s="20">
        <f t="shared" ca="1" si="0"/>
        <v>12.668569528139081</v>
      </c>
      <c r="H15" s="21">
        <v>10</v>
      </c>
      <c r="I15" s="22">
        <f t="shared" si="1"/>
        <v>12890</v>
      </c>
      <c r="J15" s="23">
        <f t="shared" ca="1" si="2"/>
        <v>0.10339876306522384</v>
      </c>
      <c r="K15" s="24">
        <v>12.46</v>
      </c>
      <c r="L15" s="25">
        <f t="shared" ca="1" si="3"/>
        <v>-3.4492993109422965E-3</v>
      </c>
      <c r="M15" s="26">
        <f t="shared" ca="1" si="4"/>
        <v>-3.3359193173002288E-2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27">
        <v>9</v>
      </c>
      <c r="D16" s="28" t="s">
        <v>45</v>
      </c>
      <c r="E16" s="51">
        <v>0.1</v>
      </c>
      <c r="F16" s="19">
        <v>22.7</v>
      </c>
      <c r="G16" s="20">
        <f t="shared" ca="1" si="0"/>
        <v>7.1937383796349232</v>
      </c>
      <c r="H16" s="21">
        <v>5</v>
      </c>
      <c r="I16" s="22">
        <f t="shared" si="1"/>
        <v>11350</v>
      </c>
      <c r="J16" s="23">
        <f t="shared" ca="1" si="2"/>
        <v>9.1045458556267694E-2</v>
      </c>
      <c r="K16" s="24">
        <v>21.25</v>
      </c>
      <c r="L16" s="25">
        <f t="shared" ca="1" si="3"/>
        <v>-5.8156790707748034E-3</v>
      </c>
      <c r="M16" s="26">
        <f t="shared" ca="1" si="4"/>
        <v>-6.3876651982378796E-2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"/>
      <c r="B17" s="1"/>
      <c r="C17" s="27">
        <v>10</v>
      </c>
      <c r="D17" s="28" t="s">
        <v>36</v>
      </c>
      <c r="E17" s="51">
        <v>0.1</v>
      </c>
      <c r="F17" s="19">
        <v>53.94</v>
      </c>
      <c r="G17" s="20">
        <f t="shared" ca="1" si="0"/>
        <v>3.0273982428200363</v>
      </c>
      <c r="H17" s="21">
        <v>3</v>
      </c>
      <c r="I17" s="22">
        <f t="shared" si="1"/>
        <v>16182</v>
      </c>
      <c r="J17" s="23">
        <f t="shared" ca="1" si="2"/>
        <v>0.12980595685969373</v>
      </c>
      <c r="K17" s="24">
        <v>48.76</v>
      </c>
      <c r="L17" s="25">
        <f t="shared" ca="1" si="3"/>
        <v>-1.2465607277219386E-2</v>
      </c>
      <c r="M17" s="26">
        <f t="shared" ca="1" si="4"/>
        <v>-9.6032628846866919E-2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"/>
      <c r="B18" s="1"/>
      <c r="C18" s="62" t="s">
        <v>24</v>
      </c>
      <c r="D18" s="59"/>
      <c r="E18" s="60"/>
      <c r="F18" s="29">
        <f ca="1">D4</f>
        <v>163297.86121771275</v>
      </c>
      <c r="G18" s="30"/>
      <c r="H18" s="30"/>
      <c r="I18" s="30"/>
      <c r="J18" s="29"/>
      <c r="K18" s="31">
        <f ca="1">F4</f>
        <v>168473.86121771275</v>
      </c>
      <c r="L18" s="63">
        <f t="shared" ref="L18:L19" ca="1" si="5">(K18/F18-1)</f>
        <v>3.1696679683386852E-2</v>
      </c>
      <c r="M18" s="60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5">
      <c r="A19" s="1"/>
      <c r="B19" s="1"/>
      <c r="C19" s="62" t="s">
        <v>26</v>
      </c>
      <c r="D19" s="59"/>
      <c r="E19" s="60"/>
      <c r="F19" s="57">
        <v>100967.2</v>
      </c>
      <c r="G19" s="34"/>
      <c r="H19" s="34"/>
      <c r="I19" s="34"/>
      <c r="J19" s="35"/>
      <c r="K19" s="56">
        <v>102673.28</v>
      </c>
      <c r="L19" s="63">
        <f t="shared" si="5"/>
        <v>1.6897368650413247E-2</v>
      </c>
      <c r="M19" s="60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5">
      <c r="A20" s="1"/>
      <c r="B20" s="1"/>
      <c r="C20" s="2"/>
      <c r="D20" s="1"/>
      <c r="E20" s="3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5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5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5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5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5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5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5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5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5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5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5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5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5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5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5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5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5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5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5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5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5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5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5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5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5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5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5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5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5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5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5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5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5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5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5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5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5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5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5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5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5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5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5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5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5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5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5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5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5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5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5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5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5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5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5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5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5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5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5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5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5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5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5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5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5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5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5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5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5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5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5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5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5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5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5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5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5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5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5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5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5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5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5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5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5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5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5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5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5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5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5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5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5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5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5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5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5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5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5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5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5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5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5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5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5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5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5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5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5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5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5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5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5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5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5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5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5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5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5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5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5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5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5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5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5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5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5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5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5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5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5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5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5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5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5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5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5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5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5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5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5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5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5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5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5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5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5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5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5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5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5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5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5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5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5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5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5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5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5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5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5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5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5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5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5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5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5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5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5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5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5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5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5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5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5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5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5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5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5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5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5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5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5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5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5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5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5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5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5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5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5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5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5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5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5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5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5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 x14ac:dyDescent="0.25">
      <c r="C220" s="37"/>
    </row>
    <row r="221" spans="1:25" ht="15.75" customHeight="1" x14ac:dyDescent="0.25"/>
    <row r="222" spans="1:25" ht="15.75" customHeight="1" x14ac:dyDescent="0.25"/>
    <row r="223" spans="1:25" ht="15.75" customHeight="1" x14ac:dyDescent="0.25"/>
    <row r="224" spans="1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C19:E19"/>
    <mergeCell ref="L19:M19"/>
    <mergeCell ref="D2:F2"/>
    <mergeCell ref="C6:M6"/>
    <mergeCell ref="C7:D7"/>
    <mergeCell ref="L7:M7"/>
    <mergeCell ref="C18:E18"/>
    <mergeCell ref="L18:M18"/>
  </mergeCells>
  <conditionalFormatting sqref="M8:M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ellIs" dxfId="0" priority="2" operator="equal">
      <formula>"VALOR ACIMA DO DISPONÍVEL"</formula>
    </cfRule>
  </conditionalFormatting>
  <pageMargins left="0.511811024" right="0.511811024" top="0.78740157499999996" bottom="0.78740157499999996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Usuário do Windows</cp:lastModifiedBy>
  <dcterms:created xsi:type="dcterms:W3CDTF">2020-05-02T21:23:00Z</dcterms:created>
  <dcterms:modified xsi:type="dcterms:W3CDTF">2020-07-06T00:40:17Z</dcterms:modified>
</cp:coreProperties>
</file>