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codeName="ThisWorkbook"/>
  <mc:AlternateContent xmlns:mc="http://schemas.openxmlformats.org/markup-compatibility/2006">
    <mc:Choice Requires="x15">
      <x15ac:absPath xmlns:x15ac="http://schemas.microsoft.com/office/spreadsheetml/2010/11/ac" url="C:\Users\PC\Documents\"/>
    </mc:Choice>
  </mc:AlternateContent>
  <xr:revisionPtr revIDLastSave="0" documentId="8_{77802386-BCE8-4741-8EFD-57BF2D15A39A}" xr6:coauthVersionLast="47" xr6:coauthVersionMax="47" xr10:uidLastSave="{00000000-0000-0000-0000-000000000000}"/>
  <bookViews>
    <workbookView xWindow="-110" yWindow="-110" windowWidth="19420" windowHeight="10300" xr2:uid="{00000000-000D-0000-FFFF-FFFF00000000}"/>
  </bookViews>
  <sheets>
    <sheet name="Work Description" sheetId="4" r:id="rId1"/>
    <sheet name="Ordeal Superstore Sales Record" sheetId="2" r:id="rId2"/>
    <sheet name="Dashboard sales order" sheetId="3" r:id="rId3"/>
  </sheets>
  <definedNames>
    <definedName name="_xlnm._FilterDatabase" localSheetId="1" hidden="1">'Ordeal Superstore Sales Record'!$A$1:$M$62</definedName>
    <definedName name="BUS_115_CID" hidden="1">"SPRING_2024_B1"</definedName>
    <definedName name="Category">'Ordeal Superstore Sales Record'!$H$2:$H$62</definedName>
    <definedName name="City">'Ordeal Superstore Sales Record'!$E$2:$E$62</definedName>
    <definedName name="Customer_Name_2">'Ordeal Superstore Sales Record'!$D$2:$D$62</definedName>
    <definedName name="Discount_percent">'Ordeal Superstore Sales Record'!$K$2:$K$62</definedName>
    <definedName name="FA22_BUS_115_CID" hidden="1">"FALL_2022"</definedName>
    <definedName name="FA23_BUS_115_CID" hidden="1">"FALL_2023"</definedName>
    <definedName name="Order_Date">'Ordeal Superstore Sales Record'!$A$2:$A$62</definedName>
    <definedName name="Order_Number">'Ordeal Superstore Sales Record'!$M$2:$M$62</definedName>
    <definedName name="Quantity_sold">'Ordeal Superstore Sales Record'!$J$2:$J$62</definedName>
    <definedName name="Region">'Ordeal Superstore Sales Record'!$G$2:$G$62</definedName>
    <definedName name="Retail_price_per_unit">'Ordeal Superstore Sales Record'!$I$2:$I$62</definedName>
    <definedName name="Ship_Date">'Ordeal Superstore Sales Record'!$B$2:$B$62</definedName>
    <definedName name="Ship_Mode">'Ordeal Superstore Sales Record'!$C$2:$C$62</definedName>
    <definedName name="SP22_BUS_115_CID" hidden="1">"SPRING_2022"</definedName>
    <definedName name="SP23_BUS_115_CID" hidden="1">"SPRING_2023"</definedName>
    <definedName name="SP24_BUS_115_CID" hidden="1">"SPRING_2024_B1"</definedName>
    <definedName name="State">'Ordeal Superstore Sales Record'!$F$2:$F$62</definedName>
    <definedName name="Total_Sales">'Ordeal Superstore Sales Record'!$L$2:$L$62</definedName>
    <definedName name="WI23_BUS_115_CID" hidden="1">"WINTER_2023"</definedName>
    <definedName name="WI24_BUS_115_CID" hidden="1">"WINTER_2024"</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3" i="2" l="1"/>
  <c r="O4" i="2"/>
  <c r="O5" i="2"/>
  <c r="O6" i="2"/>
  <c r="O7" i="2"/>
  <c r="O8" i="2"/>
  <c r="O9" i="2"/>
  <c r="O10" i="2"/>
  <c r="O11" i="2"/>
  <c r="O12" i="2"/>
  <c r="O13" i="2"/>
  <c r="O14" i="2"/>
  <c r="O15" i="2"/>
  <c r="O16" i="2"/>
  <c r="O17" i="2"/>
  <c r="O18" i="2"/>
  <c r="O19" i="2"/>
  <c r="O20" i="2"/>
  <c r="O21" i="2"/>
  <c r="O22" i="2"/>
  <c r="O23" i="2"/>
  <c r="O24" i="2"/>
  <c r="O25" i="2"/>
  <c r="O26" i="2"/>
  <c r="O27" i="2"/>
  <c r="O28" i="2"/>
  <c r="O29" i="2"/>
  <c r="O30" i="2"/>
  <c r="O31" i="2"/>
  <c r="O32" i="2"/>
  <c r="O33" i="2"/>
  <c r="O34" i="2"/>
  <c r="O35" i="2"/>
  <c r="O36" i="2"/>
  <c r="O37" i="2"/>
  <c r="O38" i="2"/>
  <c r="O39" i="2"/>
  <c r="O40" i="2"/>
  <c r="O41" i="2"/>
  <c r="O42" i="2"/>
  <c r="O43" i="2"/>
  <c r="O44" i="2"/>
  <c r="O45" i="2"/>
  <c r="O46" i="2"/>
  <c r="O47" i="2"/>
  <c r="O48" i="2"/>
  <c r="O49" i="2"/>
  <c r="O50" i="2"/>
  <c r="O51" i="2"/>
  <c r="O52" i="2"/>
  <c r="O53" i="2"/>
  <c r="O54" i="2"/>
  <c r="O55" i="2"/>
  <c r="O56" i="2"/>
  <c r="O57" i="2"/>
  <c r="O58" i="2"/>
  <c r="O59" i="2"/>
  <c r="O60" i="2"/>
  <c r="O61" i="2"/>
  <c r="O62" i="2"/>
  <c r="O2" i="2"/>
  <c r="N10" i="2"/>
  <c r="N56" i="2"/>
  <c r="N5" i="2"/>
  <c r="N2" i="2"/>
  <c r="N46" i="2"/>
  <c r="N33" i="2"/>
  <c r="N37" i="2"/>
  <c r="N13" i="2"/>
  <c r="N36" i="2"/>
  <c r="N3" i="2"/>
  <c r="N39" i="2"/>
  <c r="N35" i="2"/>
  <c r="N6" i="2"/>
  <c r="N16" i="2"/>
  <c r="N48" i="2"/>
  <c r="N20" i="2"/>
  <c r="N40" i="2"/>
  <c r="N47" i="2"/>
  <c r="N21" i="2"/>
  <c r="N41" i="2"/>
  <c r="N27" i="2"/>
  <c r="N49" i="2"/>
  <c r="N17" i="2"/>
  <c r="N28" i="2"/>
  <c r="N57" i="2"/>
  <c r="N61" i="2"/>
  <c r="N14" i="2"/>
  <c r="N58" i="2"/>
  <c r="N15" i="2"/>
  <c r="N24" i="2"/>
  <c r="N7" i="2"/>
  <c r="N50" i="2"/>
  <c r="N55" i="2"/>
  <c r="N42" i="2"/>
  <c r="N59" i="2"/>
  <c r="N26" i="2"/>
  <c r="N18" i="2"/>
  <c r="N19" i="2"/>
  <c r="N53" i="2"/>
  <c r="N22" i="2"/>
  <c r="N52" i="2"/>
  <c r="N23" i="2"/>
  <c r="N43" i="2"/>
  <c r="N11" i="2"/>
  <c r="N12" i="2"/>
  <c r="N29" i="2"/>
  <c r="N9" i="2"/>
  <c r="N51" i="2"/>
  <c r="N38" i="2"/>
  <c r="N34" i="2"/>
  <c r="N30" i="2"/>
  <c r="N54" i="2"/>
  <c r="N60" i="2"/>
  <c r="N44" i="2"/>
  <c r="N8" i="2"/>
  <c r="N4" i="2"/>
  <c r="N31" i="2"/>
  <c r="N32" i="2"/>
  <c r="N45" i="2"/>
  <c r="N25" i="2"/>
  <c r="E62" i="2"/>
  <c r="N62" i="2" s="1"/>
  <c r="L24" i="2"/>
  <c r="L12" i="2"/>
  <c r="L56" i="2"/>
  <c r="L25" i="2"/>
  <c r="L8" i="2"/>
  <c r="L26" i="2"/>
  <c r="L59" i="2"/>
  <c r="L45" i="2"/>
  <c r="L39" i="2"/>
  <c r="L13" i="2"/>
  <c r="L11" i="2"/>
  <c r="L55" i="2"/>
  <c r="L49" i="2"/>
  <c r="L34" i="2"/>
  <c r="L28" i="2"/>
  <c r="L53" i="2"/>
  <c r="L52" i="2"/>
  <c r="L3" i="2"/>
  <c r="L21" i="2"/>
  <c r="L42" i="2"/>
  <c r="L4" i="2"/>
  <c r="L43" i="2"/>
  <c r="L5" i="2"/>
  <c r="L41" i="2"/>
  <c r="L35" i="2"/>
  <c r="L50" i="2"/>
  <c r="L16" i="2"/>
  <c r="L22" i="2"/>
  <c r="L57" i="2"/>
  <c r="L36" i="2"/>
  <c r="L23" i="2"/>
  <c r="L31" i="2"/>
  <c r="L15" i="2"/>
  <c r="L38" i="2"/>
  <c r="L40" i="2"/>
  <c r="L30" i="2"/>
  <c r="L46" i="2"/>
  <c r="L18" i="2"/>
  <c r="L17" i="2"/>
  <c r="L44" i="2"/>
  <c r="L9" i="2"/>
  <c r="L54" i="2"/>
  <c r="L6" i="2"/>
  <c r="L47" i="2"/>
  <c r="L33" i="2"/>
  <c r="L2" i="2"/>
  <c r="L7" i="2"/>
  <c r="L37" i="2"/>
  <c r="L10" i="2"/>
  <c r="L19" i="2"/>
  <c r="L51" i="2"/>
  <c r="L32" i="2"/>
  <c r="L20" i="2"/>
  <c r="L29" i="2"/>
  <c r="L27" i="2"/>
  <c r="L61" i="2"/>
  <c r="L14" i="2"/>
  <c r="L58" i="2"/>
  <c r="L48" i="2"/>
  <c r="L60" i="2"/>
  <c r="L62" i="2"/>
  <c r="B60" i="2"/>
  <c r="B48" i="2"/>
  <c r="B58" i="2"/>
  <c r="B14" i="2"/>
  <c r="B61" i="2"/>
  <c r="B27" i="2"/>
  <c r="B29" i="2"/>
  <c r="B20" i="2"/>
  <c r="B32" i="2"/>
  <c r="B51" i="2"/>
  <c r="B19" i="2"/>
  <c r="B10" i="2"/>
  <c r="B37" i="2"/>
  <c r="B7" i="2"/>
  <c r="B2" i="2"/>
  <c r="B33" i="2"/>
  <c r="B47" i="2"/>
  <c r="B6" i="2"/>
  <c r="B54" i="2"/>
  <c r="B9" i="2"/>
  <c r="B44" i="2"/>
  <c r="B17" i="2"/>
  <c r="B18" i="2"/>
  <c r="B46" i="2"/>
  <c r="B30" i="2"/>
  <c r="B40" i="2"/>
  <c r="B38" i="2"/>
  <c r="B15" i="2"/>
  <c r="B31" i="2"/>
  <c r="B23" i="2"/>
  <c r="B36" i="2"/>
  <c r="B57" i="2"/>
  <c r="B22" i="2"/>
  <c r="B16" i="2"/>
  <c r="B50" i="2"/>
  <c r="B35" i="2"/>
  <c r="B41" i="2"/>
  <c r="B5" i="2"/>
  <c r="B43" i="2"/>
  <c r="B4" i="2"/>
  <c r="B42" i="2"/>
  <c r="B21" i="2"/>
  <c r="B3" i="2"/>
  <c r="B52" i="2"/>
  <c r="B53" i="2"/>
  <c r="B28" i="2"/>
  <c r="B34" i="2"/>
  <c r="B49" i="2"/>
  <c r="B55" i="2"/>
  <c r="B11" i="2"/>
  <c r="B13" i="2"/>
  <c r="B39" i="2"/>
  <c r="B45" i="2"/>
  <c r="B59" i="2"/>
  <c r="B26" i="2"/>
  <c r="B8" i="2"/>
  <c r="B25" i="2"/>
  <c r="B56" i="2"/>
  <c r="B12" i="2"/>
  <c r="B24" i="2"/>
  <c r="B62" i="2"/>
  <c r="A60" i="2"/>
  <c r="A48" i="2"/>
  <c r="A58" i="2"/>
  <c r="A14" i="2"/>
  <c r="A61" i="2"/>
  <c r="A27" i="2"/>
  <c r="A29" i="2"/>
  <c r="A20" i="2"/>
  <c r="A32" i="2"/>
  <c r="A51" i="2"/>
  <c r="A19" i="2"/>
  <c r="A10" i="2"/>
  <c r="A37" i="2"/>
  <c r="A7" i="2"/>
  <c r="A2" i="2"/>
  <c r="A33" i="2"/>
  <c r="A47" i="2"/>
  <c r="A6" i="2"/>
  <c r="A54" i="2"/>
  <c r="A9" i="2"/>
  <c r="A44" i="2"/>
  <c r="A17" i="2"/>
  <c r="A18" i="2"/>
  <c r="A46" i="2"/>
  <c r="A30" i="2"/>
  <c r="A40" i="2"/>
  <c r="A38" i="2"/>
  <c r="A15" i="2"/>
  <c r="A31" i="2"/>
  <c r="A23" i="2"/>
  <c r="A36" i="2"/>
  <c r="A57" i="2"/>
  <c r="A22" i="2"/>
  <c r="A16" i="2"/>
  <c r="A50" i="2"/>
  <c r="A35" i="2"/>
  <c r="A41" i="2"/>
  <c r="A5" i="2"/>
  <c r="A43" i="2"/>
  <c r="A4" i="2"/>
  <c r="A42" i="2"/>
  <c r="A21" i="2"/>
  <c r="A3" i="2"/>
  <c r="A52" i="2"/>
  <c r="A53" i="2"/>
  <c r="A28" i="2"/>
  <c r="A34" i="2"/>
  <c r="A49" i="2"/>
  <c r="A55" i="2"/>
  <c r="A11" i="2"/>
  <c r="A13" i="2"/>
  <c r="B5" i="3" s="1"/>
  <c r="A39" i="2"/>
  <c r="A45" i="2"/>
  <c r="A59" i="2"/>
  <c r="A26" i="2"/>
  <c r="A8" i="2"/>
  <c r="A25" i="2"/>
  <c r="A56" i="2"/>
  <c r="A12" i="2"/>
  <c r="A24" i="2"/>
  <c r="A62" i="2"/>
  <c r="M5" i="3" l="1"/>
  <c r="K5" i="3"/>
  <c r="L5" i="3"/>
  <c r="I5" i="3"/>
  <c r="J5" i="3"/>
  <c r="G5" i="3"/>
  <c r="H5" i="3"/>
  <c r="F5" i="3"/>
  <c r="E5" i="3"/>
  <c r="D5" i="3"/>
  <c r="C5" i="3"/>
  <c r="N4" i="3" s="1"/>
</calcChain>
</file>

<file path=xl/sharedStrings.xml><?xml version="1.0" encoding="utf-8"?>
<sst xmlns="http://schemas.openxmlformats.org/spreadsheetml/2006/main" count="455" uniqueCount="210">
  <si>
    <t>Order Date</t>
  </si>
  <si>
    <t>Ship Date</t>
  </si>
  <si>
    <t>Ship Mode</t>
  </si>
  <si>
    <t>Customer Name</t>
  </si>
  <si>
    <t>City</t>
  </si>
  <si>
    <t>State</t>
  </si>
  <si>
    <t>Region</t>
  </si>
  <si>
    <t>Category</t>
  </si>
  <si>
    <t>Retail price per unit</t>
  </si>
  <si>
    <t>Quantity sold</t>
  </si>
  <si>
    <t>Discount percent</t>
  </si>
  <si>
    <t>Total Sales</t>
  </si>
  <si>
    <t>Order Number</t>
  </si>
  <si>
    <t>UPS</t>
  </si>
  <si>
    <t>Adela Neeley</t>
  </si>
  <si>
    <t>Houston</t>
  </si>
  <si>
    <t>Texas</t>
  </si>
  <si>
    <t>Central</t>
  </si>
  <si>
    <t>Furniture</t>
  </si>
  <si>
    <t>496-1850</t>
  </si>
  <si>
    <t>USPS</t>
  </si>
  <si>
    <t>Alycia Whitenack</t>
  </si>
  <si>
    <t>Grand Prairie</t>
  </si>
  <si>
    <t>Office Supplies</t>
  </si>
  <si>
    <t>496-1994</t>
  </si>
  <si>
    <t xml:space="preserve">Anitra Ketelsen </t>
  </si>
  <si>
    <t>Concord</t>
  </si>
  <si>
    <t>North Carolina</t>
  </si>
  <si>
    <t>South</t>
  </si>
  <si>
    <t>496-1872</t>
  </si>
  <si>
    <t>Annamae Cervantes</t>
  </si>
  <si>
    <t>San Antonio</t>
  </si>
  <si>
    <t>Technology</t>
  </si>
  <si>
    <t>598-2470</t>
  </si>
  <si>
    <t xml:space="preserve">Arielle Zartman </t>
  </si>
  <si>
    <t>Hamilton</t>
  </si>
  <si>
    <t>Ohio</t>
  </si>
  <si>
    <t>East</t>
  </si>
  <si>
    <t>496-1222</t>
  </si>
  <si>
    <t>FedEx</t>
  </si>
  <si>
    <t xml:space="preserve">Arletha Spindler </t>
  </si>
  <si>
    <t>Chicago</t>
  </si>
  <si>
    <t>Illinois</t>
  </si>
  <si>
    <t>598-2976</t>
  </si>
  <si>
    <t xml:space="preserve">Arnulfo Hutton </t>
  </si>
  <si>
    <t>Henderson</t>
  </si>
  <si>
    <t>Kentucky</t>
  </si>
  <si>
    <t>598-2747</t>
  </si>
  <si>
    <t>Ashley Smith 4</t>
  </si>
  <si>
    <t>Urbandale</t>
  </si>
  <si>
    <t>Iowa</t>
  </si>
  <si>
    <t>598-2426</t>
  </si>
  <si>
    <t>Babara Metheny</t>
  </si>
  <si>
    <t>New York City</t>
  </si>
  <si>
    <t>New York</t>
  </si>
  <si>
    <t>598-2796</t>
  </si>
  <si>
    <t xml:space="preserve">Boris Poirrier </t>
  </si>
  <si>
    <t>New Albany</t>
  </si>
  <si>
    <t>Indiana</t>
  </si>
  <si>
    <t>496-2551</t>
  </si>
  <si>
    <t>496-1722</t>
  </si>
  <si>
    <t>Cathy Gibby</t>
  </si>
  <si>
    <t>Decatur</t>
  </si>
  <si>
    <t>598-2192</t>
  </si>
  <si>
    <t xml:space="preserve">Celine Kahre </t>
  </si>
  <si>
    <t>Columbus</t>
  </si>
  <si>
    <t>496-1617</t>
  </si>
  <si>
    <t xml:space="preserve">Charmaine Zhang </t>
  </si>
  <si>
    <t>Saint Paul</t>
  </si>
  <si>
    <t>Minnesota</t>
  </si>
  <si>
    <t>598-2483</t>
  </si>
  <si>
    <t xml:space="preserve">Claude Darbonne </t>
  </si>
  <si>
    <t>Philadelphia</t>
  </si>
  <si>
    <t>Pennsylvania</t>
  </si>
  <si>
    <t>496-1770</t>
  </si>
  <si>
    <t>Clay Facemire</t>
  </si>
  <si>
    <t>Melbourne</t>
  </si>
  <si>
    <t>Florida</t>
  </si>
  <si>
    <t>496-1873</t>
  </si>
  <si>
    <t xml:space="preserve">Cuc Gillenwater </t>
  </si>
  <si>
    <t>496-1886</t>
  </si>
  <si>
    <t>Dara Culton</t>
  </si>
  <si>
    <t>Rochester</t>
  </si>
  <si>
    <t>598-2413</t>
  </si>
  <si>
    <t>Dong Malcomb</t>
  </si>
  <si>
    <t>Richardson</t>
  </si>
  <si>
    <t xml:space="preserve">Donovan Kelling </t>
  </si>
  <si>
    <t>Bristol</t>
  </si>
  <si>
    <t>Tennessee</t>
  </si>
  <si>
    <t>496-2099</t>
  </si>
  <si>
    <t xml:space="preserve">Edgardo Danner </t>
  </si>
  <si>
    <t>Fort Worth</t>
  </si>
  <si>
    <t>496-1150</t>
  </si>
  <si>
    <t>Elvina Kristensen</t>
  </si>
  <si>
    <t>496-1769</t>
  </si>
  <si>
    <t xml:space="preserve">Esperanza Comacho </t>
  </si>
  <si>
    <t>Charlotte</t>
  </si>
  <si>
    <t>598-2985</t>
  </si>
  <si>
    <t xml:space="preserve">Estella Magrath </t>
  </si>
  <si>
    <t>598-2333</t>
  </si>
  <si>
    <t>Fawn Bulloch</t>
  </si>
  <si>
    <t>598-2222</t>
  </si>
  <si>
    <t>Gabrielle Roach</t>
  </si>
  <si>
    <t>496-1378</t>
  </si>
  <si>
    <t>Gretta Nixon</t>
  </si>
  <si>
    <t>Memphis</t>
  </si>
  <si>
    <t>496-1243</t>
  </si>
  <si>
    <t>Halley Solari</t>
  </si>
  <si>
    <t>598-2243</t>
  </si>
  <si>
    <t>Henrietta Markowitz</t>
  </si>
  <si>
    <t>Durham</t>
  </si>
  <si>
    <t>598-5003</t>
  </si>
  <si>
    <t>Izola Mink</t>
  </si>
  <si>
    <t>Franklin</t>
  </si>
  <si>
    <t>Wisconsin</t>
  </si>
  <si>
    <t>496-1323</t>
  </si>
  <si>
    <t>Jacqualine Haskins</t>
  </si>
  <si>
    <t>Springfield</t>
  </si>
  <si>
    <t>Virginia</t>
  </si>
  <si>
    <t>598-5573</t>
  </si>
  <si>
    <t>Jaimee Janecek</t>
  </si>
  <si>
    <t>Minneapolis</t>
  </si>
  <si>
    <t>496-1430</t>
  </si>
  <si>
    <t>Jay Huffstetler</t>
  </si>
  <si>
    <t>Fremont</t>
  </si>
  <si>
    <t>Nebraska</t>
  </si>
  <si>
    <t>598-2410</t>
  </si>
  <si>
    <t xml:space="preserve">Jeanna Landrum </t>
  </si>
  <si>
    <t>496-2051</t>
  </si>
  <si>
    <t>Katie Giguere</t>
  </si>
  <si>
    <t>Dover</t>
  </si>
  <si>
    <t>Delaware</t>
  </si>
  <si>
    <t>496-1119</t>
  </si>
  <si>
    <t>Naperville</t>
  </si>
  <si>
    <t>598-2418</t>
  </si>
  <si>
    <t xml:space="preserve">Kristeen Silsby </t>
  </si>
  <si>
    <t>496-2770</t>
  </si>
  <si>
    <t>Larissa Herlihy</t>
  </si>
  <si>
    <t>598-2530</t>
  </si>
  <si>
    <t>Lavelle Hooton</t>
  </si>
  <si>
    <t>Newark</t>
  </si>
  <si>
    <t>496-1665</t>
  </si>
  <si>
    <t xml:space="preserve">Lenny Dierking </t>
  </si>
  <si>
    <t>Edmond</t>
  </si>
  <si>
    <t>Oklahoma</t>
  </si>
  <si>
    <t>598-2840</t>
  </si>
  <si>
    <t xml:space="preserve">Leonor Burton </t>
  </si>
  <si>
    <t>Eagan</t>
  </si>
  <si>
    <t>598-2622</t>
  </si>
  <si>
    <t xml:space="preserve">Leticia Odonnell </t>
  </si>
  <si>
    <t>496-1242</t>
  </si>
  <si>
    <t xml:space="preserve">Lloyd Plumley </t>
  </si>
  <si>
    <t>Columbia</t>
  </si>
  <si>
    <t>South Carolina</t>
  </si>
  <si>
    <t xml:space="preserve">Louvenia Tabon </t>
  </si>
  <si>
    <t>Maragret Lytle</t>
  </si>
  <si>
    <t>496-0001</t>
  </si>
  <si>
    <t>Marybeth Selvage</t>
  </si>
  <si>
    <t>Orland Park</t>
  </si>
  <si>
    <t>496-0002</t>
  </si>
  <si>
    <t xml:space="preserve">Mattie Nave </t>
  </si>
  <si>
    <t>Madison</t>
  </si>
  <si>
    <t>496-0003</t>
  </si>
  <si>
    <t xml:space="preserve">Monique Ulman </t>
  </si>
  <si>
    <t>Bloomington</t>
  </si>
  <si>
    <t>496-0004</t>
  </si>
  <si>
    <t>Moses Raynes</t>
  </si>
  <si>
    <t>496-0005</t>
  </si>
  <si>
    <t>Nickole Burell</t>
  </si>
  <si>
    <t>Monroe</t>
  </si>
  <si>
    <t>Louisiana</t>
  </si>
  <si>
    <t>496-0006</t>
  </si>
  <si>
    <t xml:space="preserve">Penni Haar </t>
  </si>
  <si>
    <t>496-0010</t>
  </si>
  <si>
    <t>Raymon Cassel</t>
  </si>
  <si>
    <t>Fairfield</t>
  </si>
  <si>
    <t>Connecticut</t>
  </si>
  <si>
    <t>496-0012</t>
  </si>
  <si>
    <t>Reyna Manthe</t>
  </si>
  <si>
    <t>496-0013</t>
  </si>
  <si>
    <t xml:space="preserve">Ricardo Tillison </t>
  </si>
  <si>
    <t>Independence</t>
  </si>
  <si>
    <t>Missouri</t>
  </si>
  <si>
    <t>496-0014</t>
  </si>
  <si>
    <t xml:space="preserve">Ricky Lisowski </t>
  </si>
  <si>
    <t>Fort Lauderdale</t>
  </si>
  <si>
    <t>496-0015</t>
  </si>
  <si>
    <t>Rosanne Gulotta</t>
  </si>
  <si>
    <t>496-0016</t>
  </si>
  <si>
    <t>Samatha Armentrout</t>
  </si>
  <si>
    <t>496-0018</t>
  </si>
  <si>
    <t>Serena Yelton</t>
  </si>
  <si>
    <t>Wilmington</t>
  </si>
  <si>
    <t>496-0019</t>
  </si>
  <si>
    <t>Alabama</t>
  </si>
  <si>
    <t>496-0020</t>
  </si>
  <si>
    <t xml:space="preserve">Theresa Nixon </t>
  </si>
  <si>
    <t>Troy</t>
  </si>
  <si>
    <t>496-0022</t>
  </si>
  <si>
    <t>Titus Oshea</t>
  </si>
  <si>
    <t>496-0024</t>
  </si>
  <si>
    <t xml:space="preserve">Verline Goin </t>
  </si>
  <si>
    <t>Westfield</t>
  </si>
  <si>
    <t>New Jersey</t>
  </si>
  <si>
    <t>496-0026</t>
  </si>
  <si>
    <t>Sparkle Justine</t>
  </si>
  <si>
    <t>Gift Jonathan</t>
  </si>
  <si>
    <t>New City</t>
  </si>
  <si>
    <t>New Order Number</t>
  </si>
  <si>
    <t xml:space="preserve"> Customer 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</si>
</sst>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8" formatCode="&quot;$&quot;#,##0.00_);[Red]\(&quot;$&quot;#,##0.00\)"/>
  </numFmts>
  <fonts count="2" x14ac:knownFonts="1">
    <font>
      <sz val="11"/>
      <color theme="1"/>
      <name val="Arial"/>
      <family val="2"/>
      <scheme val="minor"/>
    </font>
    <font>
      <b/>
      <sz val="11"/>
      <color theme="0"/>
      <name val="Arial"/>
      <family val="2"/>
      <scheme val="minor"/>
    </font>
  </fonts>
  <fills count="3">
    <fill>
      <patternFill patternType="none"/>
    </fill>
    <fill>
      <patternFill patternType="gray125"/>
    </fill>
    <fill>
      <patternFill patternType="solid">
        <fgColor theme="4"/>
        <bgColor theme="4"/>
      </patternFill>
    </fill>
  </fills>
  <borders count="3">
    <border>
      <left/>
      <right/>
      <top/>
      <bottom/>
      <diagonal/>
    </border>
    <border>
      <left/>
      <right/>
      <top style="thin">
        <color theme="4" tint="0.39997558519241921"/>
      </top>
      <bottom/>
      <diagonal/>
    </border>
    <border>
      <left/>
      <right style="thin">
        <color theme="4" tint="0.39997558519241921"/>
      </right>
      <top style="thin">
        <color theme="4" tint="0.39997558519241921"/>
      </top>
      <bottom/>
      <diagonal/>
    </border>
  </borders>
  <cellStyleXfs count="1">
    <xf numFmtId="0" fontId="0" fillId="0" borderId="0"/>
  </cellStyleXfs>
  <cellXfs count="14">
    <xf numFmtId="0" fontId="0" fillId="0" borderId="0" xfId="0"/>
    <xf numFmtId="0" fontId="0" fillId="0" borderId="0" xfId="0" applyAlignment="1">
      <alignment vertical="center"/>
    </xf>
    <xf numFmtId="0" fontId="0" fillId="0" borderId="0" xfId="0" applyAlignment="1">
      <alignment horizontal="left" vertical="center"/>
    </xf>
    <xf numFmtId="9" fontId="0" fillId="0" borderId="0" xfId="0" applyNumberFormat="1" applyAlignment="1">
      <alignment vertical="center"/>
    </xf>
    <xf numFmtId="8" fontId="0" fillId="0" borderId="0" xfId="0" applyNumberFormat="1" applyAlignment="1">
      <alignment vertical="center"/>
    </xf>
    <xf numFmtId="14" fontId="0" fillId="0" borderId="0" xfId="0" applyNumberFormat="1" applyAlignment="1">
      <alignment horizontal="left" vertical="center"/>
    </xf>
    <xf numFmtId="14" fontId="1" fillId="2" borderId="1" xfId="0" applyNumberFormat="1" applyFont="1" applyFill="1" applyBorder="1" applyAlignment="1">
      <alignment horizontal="left" vertical="center"/>
    </xf>
    <xf numFmtId="0" fontId="1" fillId="2" borderId="1" xfId="0" applyFont="1" applyFill="1" applyBorder="1" applyAlignment="1">
      <alignment horizontal="left" vertical="center"/>
    </xf>
    <xf numFmtId="8" fontId="1" fillId="2" borderId="1" xfId="0" applyNumberFormat="1" applyFont="1" applyFill="1" applyBorder="1" applyAlignment="1">
      <alignment vertical="center"/>
    </xf>
    <xf numFmtId="0" fontId="1" fillId="2" borderId="1" xfId="0" applyFont="1" applyFill="1" applyBorder="1" applyAlignment="1">
      <alignment vertical="center"/>
    </xf>
    <xf numFmtId="9" fontId="1" fillId="2" borderId="1" xfId="0" applyNumberFormat="1" applyFont="1" applyFill="1" applyBorder="1" applyAlignment="1">
      <alignment vertical="center"/>
    </xf>
    <xf numFmtId="0" fontId="1" fillId="2" borderId="2" xfId="0" applyFont="1" applyFill="1" applyBorder="1" applyAlignment="1">
      <alignment vertical="center"/>
    </xf>
    <xf numFmtId="14" fontId="0" fillId="0" borderId="0" xfId="0" applyNumberFormat="1"/>
    <xf numFmtId="0" fontId="1" fillId="2" borderId="0" xfId="0" applyFont="1" applyFill="1" applyAlignment="1">
      <alignment vertical="center"/>
    </xf>
  </cellXfs>
  <cellStyles count="1">
    <cellStyle name="Normal" xfId="0" builtinId="0"/>
  </cellStyles>
  <dxfs count="8">
    <dxf>
      <fill>
        <patternFill>
          <bgColor theme="4"/>
        </patternFill>
      </fill>
    </dxf>
    <dxf>
      <font>
        <color theme="7" tint="-0.499984740745262"/>
      </font>
    </dxf>
    <dxf>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1</xdr:col>
      <xdr:colOff>647700</xdr:colOff>
      <xdr:row>5</xdr:row>
      <xdr:rowOff>38100</xdr:rowOff>
    </xdr:from>
    <xdr:to>
      <xdr:col>15</xdr:col>
      <xdr:colOff>508000</xdr:colOff>
      <xdr:row>99</xdr:row>
      <xdr:rowOff>107950</xdr:rowOff>
    </xdr:to>
    <xdr:sp macro="" textlink="">
      <xdr:nvSpPr>
        <xdr:cNvPr id="2" name="TextBox 1">
          <a:extLst>
            <a:ext uri="{FF2B5EF4-FFF2-40B4-BE49-F238E27FC236}">
              <a16:creationId xmlns:a16="http://schemas.microsoft.com/office/drawing/2014/main" id="{88C638EF-9E06-1622-249C-8190306A6C2E}"/>
            </a:ext>
          </a:extLst>
        </xdr:cNvPr>
        <xdr:cNvSpPr txBox="1"/>
      </xdr:nvSpPr>
      <xdr:spPr>
        <a:xfrm>
          <a:off x="1308100" y="927100"/>
          <a:ext cx="9105900" cy="167830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a:solidFill>
                <a:schemeClr val="dk1"/>
              </a:solidFill>
              <a:latin typeface="+mn-lt"/>
              <a:ea typeface="+mn-ea"/>
              <a:cs typeface="+mn-cs"/>
            </a:rPr>
            <a:t>I</a:t>
          </a:r>
          <a:r>
            <a:rPr lang="en-US" sz="1800" baseline="0">
              <a:solidFill>
                <a:schemeClr val="dk1"/>
              </a:solidFill>
              <a:latin typeface="+mn-lt"/>
              <a:ea typeface="+mn-ea"/>
              <a:cs typeface="+mn-cs"/>
            </a:rPr>
            <a:t> was hired by Ordeal Super Store as an office manager for a loacal business, I noticed the company collects order from excel, I also realised this information can be helpful in informing business decisions, after i cleaned, manipulated and visualised the dataset.</a:t>
          </a:r>
        </a:p>
        <a:p>
          <a:endParaRPr lang="en-US" sz="1800">
            <a:solidFill>
              <a:schemeClr val="dk1"/>
            </a:solidFill>
            <a:latin typeface="+mn-lt"/>
            <a:ea typeface="+mn-ea"/>
            <a:cs typeface="+mn-cs"/>
          </a:endParaRPr>
        </a:p>
        <a:p>
          <a:r>
            <a:rPr lang="en-US" sz="1800" b="1">
              <a:solidFill>
                <a:schemeClr val="dk1"/>
              </a:solidFill>
              <a:latin typeface="+mn-lt"/>
              <a:ea typeface="+mn-ea"/>
              <a:cs typeface="+mn-cs"/>
            </a:rPr>
            <a:t>Requirements:</a:t>
          </a:r>
        </a:p>
        <a:p>
          <a:endParaRPr lang="en-US" sz="1800" b="1">
            <a:solidFill>
              <a:schemeClr val="dk1"/>
            </a:solidFill>
            <a:latin typeface="+mn-lt"/>
            <a:ea typeface="+mn-ea"/>
            <a:cs typeface="+mn-cs"/>
          </a:endParaRPr>
        </a:p>
        <a:p>
          <a:r>
            <a:rPr lang="en-US" sz="1800" b="1">
              <a:solidFill>
                <a:schemeClr val="dk1"/>
              </a:solidFill>
              <a:latin typeface="+mn-lt"/>
              <a:ea typeface="+mn-ea"/>
              <a:cs typeface="+mn-cs"/>
            </a:rPr>
            <a:t>Orders Sheet</a:t>
          </a:r>
        </a:p>
        <a:p>
          <a:endParaRPr lang="en-US" sz="1800" b="1">
            <a:solidFill>
              <a:schemeClr val="dk1"/>
            </a:solidFill>
            <a:latin typeface="+mn-lt"/>
            <a:ea typeface="+mn-ea"/>
            <a:cs typeface="+mn-cs"/>
          </a:endParaRPr>
        </a:p>
        <a:p>
          <a:r>
            <a:rPr lang="en-US" sz="1800" b="1">
              <a:solidFill>
                <a:schemeClr val="dk1"/>
              </a:solidFill>
              <a:latin typeface="+mn-lt"/>
              <a:ea typeface="+mn-ea"/>
              <a:cs typeface="+mn-cs"/>
            </a:rPr>
            <a:t>Order Date</a:t>
          </a:r>
          <a:r>
            <a:rPr lang="en-US" sz="1800" b="0">
              <a:solidFill>
                <a:schemeClr val="dk1"/>
              </a:solidFill>
              <a:latin typeface="+mn-lt"/>
              <a:ea typeface="+mn-ea"/>
              <a:cs typeface="+mn-cs"/>
            </a:rPr>
            <a:t> – This column shows the date when the order was created;I</a:t>
          </a:r>
          <a:r>
            <a:rPr lang="en-US" sz="1800" b="0" baseline="0">
              <a:solidFill>
                <a:schemeClr val="dk1"/>
              </a:solidFill>
              <a:latin typeface="+mn-lt"/>
              <a:ea typeface="+mn-ea"/>
              <a:cs typeface="+mn-cs"/>
            </a:rPr>
            <a:t> </a:t>
          </a:r>
          <a:r>
            <a:rPr lang="en-US" sz="1800" b="0">
              <a:solidFill>
                <a:schemeClr val="dk1"/>
              </a:solidFill>
              <a:latin typeface="+mn-lt"/>
              <a:ea typeface="+mn-ea"/>
              <a:cs typeface="+mn-cs"/>
            </a:rPr>
            <a:t> applied number formatting to show a short date (e.g. M/D/YY).</a:t>
          </a:r>
        </a:p>
        <a:p>
          <a:endParaRPr lang="en-US" sz="1800" b="0">
            <a:solidFill>
              <a:schemeClr val="dk1"/>
            </a:solidFill>
            <a:latin typeface="+mn-lt"/>
            <a:ea typeface="+mn-ea"/>
            <a:cs typeface="+mn-cs"/>
          </a:endParaRPr>
        </a:p>
        <a:p>
          <a:r>
            <a:rPr lang="en-US" sz="1800" b="1">
              <a:solidFill>
                <a:schemeClr val="dk1"/>
              </a:solidFill>
              <a:latin typeface="+mn-lt"/>
              <a:ea typeface="+mn-ea"/>
              <a:cs typeface="+mn-cs"/>
            </a:rPr>
            <a:t>Ship Date</a:t>
          </a:r>
          <a:r>
            <a:rPr lang="en-US" sz="1800" b="0">
              <a:solidFill>
                <a:schemeClr val="dk1"/>
              </a:solidFill>
              <a:latin typeface="+mn-lt"/>
              <a:ea typeface="+mn-ea"/>
              <a:cs typeface="+mn-cs"/>
            </a:rPr>
            <a:t> – This column shows the date when the order was shipped to the customer:</a:t>
          </a:r>
          <a:r>
            <a:rPr lang="en-US" sz="1800" b="0" baseline="0">
              <a:solidFill>
                <a:schemeClr val="dk1"/>
              </a:solidFill>
              <a:latin typeface="+mn-lt"/>
              <a:ea typeface="+mn-ea"/>
              <a:cs typeface="+mn-cs"/>
            </a:rPr>
            <a:t> I</a:t>
          </a:r>
          <a:r>
            <a:rPr lang="en-US" sz="1800" b="0">
              <a:solidFill>
                <a:schemeClr val="dk1"/>
              </a:solidFill>
              <a:latin typeface="+mn-lt"/>
              <a:ea typeface="+mn-ea"/>
              <a:cs typeface="+mn-cs"/>
            </a:rPr>
            <a:t> applied</a:t>
          </a:r>
          <a:r>
            <a:rPr lang="en-US" sz="1800" b="0" baseline="0">
              <a:solidFill>
                <a:schemeClr val="dk1"/>
              </a:solidFill>
              <a:latin typeface="+mn-lt"/>
              <a:ea typeface="+mn-ea"/>
              <a:cs typeface="+mn-cs"/>
            </a:rPr>
            <a:t> </a:t>
          </a:r>
          <a:r>
            <a:rPr lang="en-US" sz="1800" b="0">
              <a:solidFill>
                <a:schemeClr val="dk1"/>
              </a:solidFill>
              <a:latin typeface="+mn-lt"/>
              <a:ea typeface="+mn-ea"/>
              <a:cs typeface="+mn-cs"/>
            </a:rPr>
            <a:t>number formatting to show a short date (e.g. M/D/YY).</a:t>
          </a:r>
        </a:p>
        <a:p>
          <a:endParaRPr lang="en-US" sz="1800" b="0">
            <a:solidFill>
              <a:schemeClr val="dk1"/>
            </a:solidFill>
            <a:latin typeface="+mn-lt"/>
            <a:ea typeface="+mn-ea"/>
            <a:cs typeface="+mn-cs"/>
          </a:endParaRPr>
        </a:p>
        <a:p>
          <a:r>
            <a:rPr lang="en-US" sz="1800" b="1">
              <a:solidFill>
                <a:schemeClr val="dk1"/>
              </a:solidFill>
              <a:latin typeface="+mn-lt"/>
              <a:ea typeface="+mn-ea"/>
              <a:cs typeface="+mn-cs"/>
            </a:rPr>
            <a:t>Ship Mode</a:t>
          </a:r>
          <a:r>
            <a:rPr lang="en-US" sz="1800" b="0">
              <a:solidFill>
                <a:schemeClr val="dk1"/>
              </a:solidFill>
              <a:latin typeface="+mn-lt"/>
              <a:ea typeface="+mn-ea"/>
              <a:cs typeface="+mn-cs"/>
            </a:rPr>
            <a:t> – This column shows which carrier the order was shipped with (FedEx, UPS, or USPS).</a:t>
          </a:r>
        </a:p>
        <a:p>
          <a:endParaRPr lang="en-US" sz="1800" b="0">
            <a:solidFill>
              <a:schemeClr val="dk1"/>
            </a:solidFill>
            <a:latin typeface="+mn-lt"/>
            <a:ea typeface="+mn-ea"/>
            <a:cs typeface="+mn-cs"/>
          </a:endParaRPr>
        </a:p>
        <a:p>
          <a:r>
            <a:rPr lang="en-US" sz="1800" b="1">
              <a:solidFill>
                <a:schemeClr val="dk1"/>
              </a:solidFill>
              <a:latin typeface="+mn-lt"/>
              <a:ea typeface="+mn-ea"/>
              <a:cs typeface="+mn-cs"/>
            </a:rPr>
            <a:t>Customer Name</a:t>
          </a:r>
          <a:r>
            <a:rPr lang="en-US" sz="1800" b="0">
              <a:solidFill>
                <a:schemeClr val="dk1"/>
              </a:solidFill>
              <a:latin typeface="+mn-lt"/>
              <a:ea typeface="+mn-ea"/>
              <a:cs typeface="+mn-cs"/>
            </a:rPr>
            <a:t> – I</a:t>
          </a:r>
          <a:r>
            <a:rPr lang="en-US" sz="1800" b="0" baseline="0">
              <a:solidFill>
                <a:schemeClr val="dk1"/>
              </a:solidFill>
              <a:latin typeface="+mn-lt"/>
              <a:ea typeface="+mn-ea"/>
              <a:cs typeface="+mn-cs"/>
            </a:rPr>
            <a:t> r</a:t>
          </a:r>
          <a:r>
            <a:rPr lang="en-US" sz="1800" b="0">
              <a:solidFill>
                <a:schemeClr val="dk1"/>
              </a:solidFill>
              <a:latin typeface="+mn-lt"/>
              <a:ea typeface="+mn-ea"/>
              <a:cs typeface="+mn-cs"/>
            </a:rPr>
            <a:t>eplaced the customer named "Kaylene Kwak" with your name.</a:t>
          </a:r>
        </a:p>
        <a:p>
          <a:endParaRPr lang="en-US" sz="1800" b="0">
            <a:solidFill>
              <a:schemeClr val="dk1"/>
            </a:solidFill>
            <a:latin typeface="+mn-lt"/>
            <a:ea typeface="+mn-ea"/>
            <a:cs typeface="+mn-cs"/>
          </a:endParaRPr>
        </a:p>
        <a:p>
          <a:r>
            <a:rPr lang="en-US" sz="1800" b="1">
              <a:solidFill>
                <a:schemeClr val="dk1"/>
              </a:solidFill>
              <a:latin typeface="+mn-lt"/>
              <a:ea typeface="+mn-ea"/>
              <a:cs typeface="+mn-cs"/>
            </a:rPr>
            <a:t>New City</a:t>
          </a:r>
          <a:r>
            <a:rPr lang="en-US" sz="1800" b="0">
              <a:solidFill>
                <a:schemeClr val="dk1"/>
              </a:solidFill>
              <a:latin typeface="+mn-lt"/>
              <a:ea typeface="+mn-ea"/>
              <a:cs typeface="+mn-cs"/>
            </a:rPr>
            <a:t> – I</a:t>
          </a:r>
          <a:r>
            <a:rPr lang="en-US" sz="1800" b="0" baseline="0">
              <a:solidFill>
                <a:schemeClr val="dk1"/>
              </a:solidFill>
              <a:latin typeface="+mn-lt"/>
              <a:ea typeface="+mn-ea"/>
              <a:cs typeface="+mn-cs"/>
            </a:rPr>
            <a:t> c</a:t>
          </a:r>
          <a:r>
            <a:rPr lang="en-US" sz="1800" b="0">
              <a:solidFill>
                <a:schemeClr val="dk1"/>
              </a:solidFill>
              <a:latin typeface="+mn-lt"/>
              <a:ea typeface="+mn-ea"/>
              <a:cs typeface="+mn-cs"/>
            </a:rPr>
            <a:t>reated a column at the end called "New City" and use a formula that references the data in the "City" column. My formula replaced all instances of "San Antonio" with the city where you currently reside. As it is copied down (using the Auto Fill feature) I transfered over all other cities as currently named.</a:t>
          </a:r>
        </a:p>
        <a:p>
          <a:endParaRPr lang="en-US" sz="1800" b="0">
            <a:solidFill>
              <a:schemeClr val="dk1"/>
            </a:solidFill>
            <a:latin typeface="+mn-lt"/>
            <a:ea typeface="+mn-ea"/>
            <a:cs typeface="+mn-cs"/>
          </a:endParaRPr>
        </a:p>
        <a:p>
          <a:r>
            <a:rPr lang="en-US" sz="1800" b="1">
              <a:solidFill>
                <a:schemeClr val="dk1"/>
              </a:solidFill>
              <a:latin typeface="+mn-lt"/>
              <a:ea typeface="+mn-ea"/>
              <a:cs typeface="+mn-cs"/>
            </a:rPr>
            <a:t>City, State, and Region</a:t>
          </a:r>
          <a:r>
            <a:rPr lang="en-US" sz="1800" b="0">
              <a:solidFill>
                <a:schemeClr val="dk1"/>
              </a:solidFill>
              <a:latin typeface="+mn-lt"/>
              <a:ea typeface="+mn-ea"/>
              <a:cs typeface="+mn-cs"/>
            </a:rPr>
            <a:t> – Sorted the spreadsheet by region (ascending), then by state (ascending), and then by new city (ascending).</a:t>
          </a:r>
        </a:p>
        <a:p>
          <a:endParaRPr lang="en-US" sz="1800" b="0">
            <a:solidFill>
              <a:schemeClr val="dk1"/>
            </a:solidFill>
            <a:latin typeface="+mn-lt"/>
            <a:ea typeface="+mn-ea"/>
            <a:cs typeface="+mn-cs"/>
          </a:endParaRPr>
        </a:p>
        <a:p>
          <a:r>
            <a:rPr lang="en-US" sz="1800" b="1">
              <a:solidFill>
                <a:schemeClr val="dk1"/>
              </a:solidFill>
              <a:latin typeface="+mn-lt"/>
              <a:ea typeface="+mn-ea"/>
              <a:cs typeface="+mn-cs"/>
            </a:rPr>
            <a:t>Category</a:t>
          </a:r>
          <a:r>
            <a:rPr lang="en-US" sz="1800" b="0">
              <a:solidFill>
                <a:schemeClr val="dk1"/>
              </a:solidFill>
              <a:latin typeface="+mn-lt"/>
              <a:ea typeface="+mn-ea"/>
              <a:cs typeface="+mn-cs"/>
            </a:rPr>
            <a:t> – I</a:t>
          </a:r>
          <a:r>
            <a:rPr lang="en-US" sz="1800" b="0" baseline="0">
              <a:solidFill>
                <a:schemeClr val="dk1"/>
              </a:solidFill>
              <a:latin typeface="+mn-lt"/>
              <a:ea typeface="+mn-ea"/>
              <a:cs typeface="+mn-cs"/>
            </a:rPr>
            <a:t> u</a:t>
          </a:r>
          <a:r>
            <a:rPr lang="en-US" sz="1800" b="0">
              <a:solidFill>
                <a:schemeClr val="dk1"/>
              </a:solidFill>
              <a:latin typeface="+mn-lt"/>
              <a:ea typeface="+mn-ea"/>
              <a:cs typeface="+mn-cs"/>
            </a:rPr>
            <a:t>sed conditional formatting to highlight the entire row with a color of my choice if the category is "Technology". Was careful where the $ goes in the conditional formatting custom formula.</a:t>
          </a:r>
        </a:p>
        <a:p>
          <a:endParaRPr lang="en-US" sz="1800" b="0">
            <a:solidFill>
              <a:schemeClr val="dk1"/>
            </a:solidFill>
            <a:latin typeface="+mn-lt"/>
            <a:ea typeface="+mn-ea"/>
            <a:cs typeface="+mn-cs"/>
          </a:endParaRPr>
        </a:p>
        <a:p>
          <a:r>
            <a:rPr lang="en-US" sz="1800" b="1">
              <a:solidFill>
                <a:schemeClr val="dk1"/>
              </a:solidFill>
              <a:latin typeface="+mn-lt"/>
              <a:ea typeface="+mn-ea"/>
              <a:cs typeface="+mn-cs"/>
            </a:rPr>
            <a:t>Retail price per unit</a:t>
          </a:r>
          <a:r>
            <a:rPr lang="en-US" sz="1800" b="0">
              <a:solidFill>
                <a:schemeClr val="dk1"/>
              </a:solidFill>
              <a:latin typeface="+mn-lt"/>
              <a:ea typeface="+mn-ea"/>
              <a:cs typeface="+mn-cs"/>
            </a:rPr>
            <a:t> – This column shows the retail price of each unit.</a:t>
          </a:r>
        </a:p>
        <a:p>
          <a:endParaRPr lang="en-US" sz="1800" b="0">
            <a:solidFill>
              <a:schemeClr val="dk1"/>
            </a:solidFill>
            <a:latin typeface="+mn-lt"/>
            <a:ea typeface="+mn-ea"/>
            <a:cs typeface="+mn-cs"/>
          </a:endParaRPr>
        </a:p>
        <a:p>
          <a:r>
            <a:rPr lang="en-US" sz="1800" b="1">
              <a:solidFill>
                <a:schemeClr val="dk1"/>
              </a:solidFill>
              <a:latin typeface="+mn-lt"/>
              <a:ea typeface="+mn-ea"/>
              <a:cs typeface="+mn-cs"/>
            </a:rPr>
            <a:t>Quantity sold</a:t>
          </a:r>
          <a:r>
            <a:rPr lang="en-US" sz="1800" b="0">
              <a:solidFill>
                <a:schemeClr val="dk1"/>
              </a:solidFill>
              <a:latin typeface="+mn-lt"/>
              <a:ea typeface="+mn-ea"/>
              <a:cs typeface="+mn-cs"/>
            </a:rPr>
            <a:t> – Added a green checkmark (conditional formatting icon set) for every customer that ordered five or more items.</a:t>
          </a:r>
        </a:p>
        <a:p>
          <a:endParaRPr lang="en-US" sz="1800" b="0">
            <a:solidFill>
              <a:schemeClr val="dk1"/>
            </a:solidFill>
            <a:latin typeface="+mn-lt"/>
            <a:ea typeface="+mn-ea"/>
            <a:cs typeface="+mn-cs"/>
          </a:endParaRPr>
        </a:p>
        <a:p>
          <a:r>
            <a:rPr lang="en-US" sz="1800" b="1">
              <a:solidFill>
                <a:schemeClr val="dk1"/>
              </a:solidFill>
              <a:latin typeface="+mn-lt"/>
              <a:ea typeface="+mn-ea"/>
              <a:cs typeface="+mn-cs"/>
            </a:rPr>
            <a:t>Discount percent</a:t>
          </a:r>
          <a:r>
            <a:rPr lang="en-US" sz="1800" b="0">
              <a:solidFill>
                <a:schemeClr val="dk1"/>
              </a:solidFill>
              <a:latin typeface="+mn-lt"/>
              <a:ea typeface="+mn-ea"/>
              <a:cs typeface="+mn-cs"/>
            </a:rPr>
            <a:t> – It is the percentage by which the retail price is discounted. For example, if the retail price is $10 and there is a 40% discounted amount the customer would only pay $6.</a:t>
          </a:r>
        </a:p>
        <a:p>
          <a:endParaRPr lang="en-US" sz="1800" b="0">
            <a:solidFill>
              <a:schemeClr val="dk1"/>
            </a:solidFill>
            <a:latin typeface="+mn-lt"/>
            <a:ea typeface="+mn-ea"/>
            <a:cs typeface="+mn-cs"/>
          </a:endParaRPr>
        </a:p>
        <a:p>
          <a:r>
            <a:rPr lang="en-US" sz="1800" b="1">
              <a:solidFill>
                <a:schemeClr val="dk1"/>
              </a:solidFill>
              <a:latin typeface="+mn-lt"/>
              <a:ea typeface="+mn-ea"/>
              <a:cs typeface="+mn-cs"/>
            </a:rPr>
            <a:t>Total Sales</a:t>
          </a:r>
          <a:r>
            <a:rPr lang="en-US" sz="1800" b="0">
              <a:solidFill>
                <a:schemeClr val="dk1"/>
              </a:solidFill>
              <a:latin typeface="+mn-lt"/>
              <a:ea typeface="+mn-ea"/>
              <a:cs typeface="+mn-cs"/>
            </a:rPr>
            <a:t> – I</a:t>
          </a:r>
          <a:r>
            <a:rPr lang="en-US" sz="1800" b="0" baseline="0">
              <a:solidFill>
                <a:schemeClr val="dk1"/>
              </a:solidFill>
              <a:latin typeface="+mn-lt"/>
              <a:ea typeface="+mn-ea"/>
              <a:cs typeface="+mn-cs"/>
            </a:rPr>
            <a:t> u</a:t>
          </a:r>
          <a:r>
            <a:rPr lang="en-US" sz="1800" b="0">
              <a:solidFill>
                <a:schemeClr val="dk1"/>
              </a:solidFill>
              <a:latin typeface="+mn-lt"/>
              <a:ea typeface="+mn-ea"/>
              <a:cs typeface="+mn-cs"/>
            </a:rPr>
            <a:t>sed conditional formatting to highlight in gold the top 10% of cells in the total sales column. highlighting the top 10% of customers to be the top 10% of total sales. Additionally, their comments about the protection are not quite accurate so I applied     the</a:t>
          </a:r>
          <a:r>
            <a:rPr lang="en-US" sz="1800" b="0" baseline="0">
              <a:solidFill>
                <a:schemeClr val="dk1"/>
              </a:solidFill>
              <a:latin typeface="+mn-lt"/>
              <a:ea typeface="+mn-ea"/>
              <a:cs typeface="+mn-cs"/>
            </a:rPr>
            <a:t> format below:</a:t>
          </a:r>
          <a:endParaRPr lang="en-US" sz="1800" b="0">
            <a:solidFill>
              <a:schemeClr val="dk1"/>
            </a:solidFill>
            <a:latin typeface="+mn-lt"/>
            <a:ea typeface="+mn-ea"/>
            <a:cs typeface="+mn-cs"/>
          </a:endParaRPr>
        </a:p>
        <a:p>
          <a:endParaRPr lang="en-US" sz="1800" b="0">
            <a:solidFill>
              <a:schemeClr val="dk1"/>
            </a:solidFill>
            <a:latin typeface="+mn-lt"/>
            <a:ea typeface="+mn-ea"/>
            <a:cs typeface="+mn-cs"/>
          </a:endParaRPr>
        </a:p>
        <a:p>
          <a:r>
            <a:rPr lang="en-US" sz="1800" b="1">
              <a:solidFill>
                <a:schemeClr val="dk1"/>
              </a:solidFill>
              <a:latin typeface="+mn-lt"/>
              <a:ea typeface="+mn-ea"/>
              <a:cs typeface="+mn-cs"/>
            </a:rPr>
            <a:t>Order Number</a:t>
          </a:r>
          <a:r>
            <a:rPr lang="en-US" sz="1800" b="0">
              <a:solidFill>
                <a:schemeClr val="dk1"/>
              </a:solidFill>
              <a:latin typeface="+mn-lt"/>
              <a:ea typeface="+mn-ea"/>
              <a:cs typeface="+mn-cs"/>
            </a:rPr>
            <a:t> – Created an additional column at the end called "New Order Number" that uses a formula to add a region code at the front of each order number. The region codes are: East = 101. South = 201. Central = 301. For example, the order number, "496-1850" from Central would look like "301-496-1850". The region codes might change so I set them up as input cells that can be altered in the future. Considered using named ranges.</a:t>
          </a:r>
        </a:p>
        <a:p>
          <a:endParaRPr lang="en-US" sz="1800" b="0">
            <a:solidFill>
              <a:schemeClr val="dk1"/>
            </a:solidFill>
            <a:latin typeface="+mn-lt"/>
            <a:ea typeface="+mn-ea"/>
            <a:cs typeface="+mn-cs"/>
          </a:endParaRPr>
        </a:p>
        <a:p>
          <a:r>
            <a:rPr lang="en-US" sz="1800" b="1">
              <a:solidFill>
                <a:schemeClr val="dk1"/>
              </a:solidFill>
              <a:latin typeface="+mn-lt"/>
              <a:ea typeface="+mn-ea"/>
              <a:cs typeface="+mn-cs"/>
            </a:rPr>
            <a:t>Dashboard</a:t>
          </a:r>
        </a:p>
        <a:p>
          <a:r>
            <a:rPr lang="en-US" sz="1800" b="0">
              <a:solidFill>
                <a:schemeClr val="dk1"/>
              </a:solidFill>
              <a:latin typeface="+mn-lt"/>
              <a:ea typeface="+mn-ea"/>
              <a:cs typeface="+mn-cs"/>
            </a:rPr>
            <a:t>Created a dashboard sheet that allows me to look up a customer name (on a drop down list) and see their order information (Output cells are: Order Date, Ship Date, Ship Mode, New City, State, Region, Category, Quantity, Discount, Total Sales, and New Order Number).</a:t>
          </a:r>
        </a:p>
        <a:p>
          <a:endParaRPr lang="en-US" sz="1800" b="0">
            <a:solidFill>
              <a:schemeClr val="dk1"/>
            </a:solidFill>
            <a:latin typeface="+mn-lt"/>
            <a:ea typeface="+mn-ea"/>
            <a:cs typeface="+mn-cs"/>
          </a:endParaRPr>
        </a:p>
        <a:p>
          <a:r>
            <a:rPr lang="en-US" sz="1800" b="0">
              <a:solidFill>
                <a:schemeClr val="dk1"/>
              </a:solidFill>
              <a:latin typeface="+mn-lt"/>
              <a:ea typeface="+mn-ea"/>
              <a:cs typeface="+mn-cs"/>
            </a:rPr>
            <a:t>Lastly</a:t>
          </a:r>
          <a:r>
            <a:rPr lang="en-US" sz="1800" b="0" baseline="0">
              <a:solidFill>
                <a:schemeClr val="dk1"/>
              </a:solidFill>
              <a:latin typeface="+mn-lt"/>
              <a:ea typeface="+mn-ea"/>
              <a:cs typeface="+mn-cs"/>
            </a:rPr>
            <a:t> I p</a:t>
          </a:r>
          <a:r>
            <a:rPr lang="en-US" sz="1800" b="0">
              <a:solidFill>
                <a:schemeClr val="dk1"/>
              </a:solidFill>
              <a:latin typeface="+mn-lt"/>
              <a:ea typeface="+mn-ea"/>
              <a:cs typeface="+mn-cs"/>
            </a:rPr>
            <a:t>rotecedt the dashboard sheet so that the </a:t>
          </a:r>
          <a:r>
            <a:rPr lang="en-US" sz="1800" b="0" u="sng">
              <a:solidFill>
                <a:schemeClr val="dk1"/>
              </a:solidFill>
              <a:latin typeface="+mn-lt"/>
              <a:ea typeface="+mn-ea"/>
              <a:cs typeface="+mn-cs"/>
            </a:rPr>
            <a:t>customer name is the only cell that users may select and edit. Hint: Made sure to test that the protection prevents other edits </a:t>
          </a:r>
          <a:r>
            <a:rPr lang="en-US" sz="1800" b="0" i="1" u="sng">
              <a:solidFill>
                <a:schemeClr val="dk1"/>
              </a:solidFill>
              <a:latin typeface="+mn-lt"/>
              <a:ea typeface="+mn-ea"/>
              <a:cs typeface="+mn-cs"/>
            </a:rPr>
            <a:t>and</a:t>
          </a:r>
          <a:r>
            <a:rPr lang="en-US" sz="1800" b="0" i="0" u="sng">
              <a:solidFill>
                <a:schemeClr val="dk1"/>
              </a:solidFill>
              <a:latin typeface="+mn-lt"/>
              <a:ea typeface="+mn-ea"/>
              <a:cs typeface="+mn-cs"/>
            </a:rPr>
            <a:t> that a new name can be selected before turning it in.</a:t>
          </a:r>
        </a:p>
        <a:p>
          <a:endParaRPr lang="en" sz="1100" b="0" i="0" u="sng">
            <a:solidFill>
              <a:schemeClr val="dk1"/>
            </a:solidFill>
            <a:latin typeface="+mn-lt"/>
            <a:ea typeface="+mn-ea"/>
            <a:cs typeface="+mn-cs"/>
          </a:endParaRPr>
        </a:p>
        <a:p>
          <a:endParaRPr lang="en-US" sz="1100"/>
        </a:p>
      </xdr:txBody>
    </xdr:sp>
    <xdr:clientData/>
  </xdr:twoCellAnchor>
  <xdr:twoCellAnchor>
    <xdr:from>
      <xdr:col>5</xdr:col>
      <xdr:colOff>69850</xdr:colOff>
      <xdr:row>1</xdr:row>
      <xdr:rowOff>171450</xdr:rowOff>
    </xdr:from>
    <xdr:to>
      <xdr:col>10</xdr:col>
      <xdr:colOff>615950</xdr:colOff>
      <xdr:row>4</xdr:row>
      <xdr:rowOff>88900</xdr:rowOff>
    </xdr:to>
    <xdr:sp macro="" textlink="">
      <xdr:nvSpPr>
        <xdr:cNvPr id="3" name="TextBox 2">
          <a:extLst>
            <a:ext uri="{FF2B5EF4-FFF2-40B4-BE49-F238E27FC236}">
              <a16:creationId xmlns:a16="http://schemas.microsoft.com/office/drawing/2014/main" id="{24961BDB-9156-1FA5-B876-90A7499AE781}"/>
            </a:ext>
          </a:extLst>
        </xdr:cNvPr>
        <xdr:cNvSpPr txBox="1"/>
      </xdr:nvSpPr>
      <xdr:spPr>
        <a:xfrm>
          <a:off x="3371850" y="349250"/>
          <a:ext cx="3848100" cy="4508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800">
              <a:solidFill>
                <a:schemeClr val="tx2"/>
              </a:solidFill>
            </a:rPr>
            <a:t>MY WORK DESCRIPTION</a:t>
          </a:r>
        </a:p>
      </xdr:txBody>
    </xdr:sp>
    <xdr:clientData/>
  </xdr:twoCellAnchor>
</xdr:wsDr>
</file>

<file path=xl/theme/theme1.xml><?xml version="1.0" encoding="utf-8"?>
<a:theme xmlns:a="http://schemas.openxmlformats.org/drawingml/2006/main" name="Office Theme">
  <a:themeElements>
    <a:clrScheme name="BYUI Colors">
      <a:dk1>
        <a:sysClr val="windowText" lastClr="000000"/>
      </a:dk1>
      <a:lt1>
        <a:sysClr val="window" lastClr="FFFFFF"/>
      </a:lt1>
      <a:dk2>
        <a:srgbClr val="006EB6"/>
      </a:dk2>
      <a:lt2>
        <a:srgbClr val="8DD3EE"/>
      </a:lt2>
      <a:accent1>
        <a:srgbClr val="80C140"/>
      </a:accent1>
      <a:accent2>
        <a:srgbClr val="A5216F"/>
      </a:accent2>
      <a:accent3>
        <a:srgbClr val="E42226"/>
      </a:accent3>
      <a:accent4>
        <a:srgbClr val="F7941D"/>
      </a:accent4>
      <a:accent5>
        <a:srgbClr val="FFE066"/>
      </a:accent5>
      <a:accent6>
        <a:srgbClr val="ADADAD"/>
      </a:accent6>
      <a:hlink>
        <a:srgbClr val="006EB6"/>
      </a:hlink>
      <a:folHlink>
        <a:srgbClr val="006EB6"/>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F7335B-859F-4C4C-B847-EB5ECE8DB0AC}">
  <dimension ref="A1"/>
  <sheetViews>
    <sheetView showGridLines="0" tabSelected="1" topLeftCell="A49" workbookViewId="0">
      <selection activeCell="A11" sqref="A11"/>
    </sheetView>
  </sheetViews>
  <sheetFormatPr defaultRowHeight="14" x14ac:dyDescent="0.3"/>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O62"/>
  <sheetViews>
    <sheetView topLeftCell="B1" workbookViewId="0">
      <selection activeCell="J2" sqref="J2"/>
    </sheetView>
  </sheetViews>
  <sheetFormatPr defaultColWidth="10.75" defaultRowHeight="19.899999999999999" customHeight="1" x14ac:dyDescent="0.3"/>
  <cols>
    <col min="1" max="1" width="11.83203125" style="5" customWidth="1"/>
    <col min="2" max="2" width="10.83203125" style="5" customWidth="1"/>
    <col min="3" max="3" width="11.5" style="2" customWidth="1"/>
    <col min="4" max="4" width="16.33203125" style="2" customWidth="1"/>
    <col min="5" max="8" width="10.75" style="2"/>
    <col min="9" max="9" width="18.9140625" style="4" customWidth="1"/>
    <col min="10" max="10" width="13.75" style="1" customWidth="1"/>
    <col min="11" max="11" width="17.08203125" style="3" customWidth="1"/>
    <col min="12" max="12" width="13" style="1" customWidth="1"/>
    <col min="13" max="15" width="14.6640625" style="1" customWidth="1"/>
    <col min="16" max="16384" width="10.75" style="1"/>
  </cols>
  <sheetData>
    <row r="1" spans="1:15" ht="19.899999999999999" customHeight="1" x14ac:dyDescent="0.3">
      <c r="A1" s="12" t="s">
        <v>0</v>
      </c>
      <c r="B1" s="6" t="s">
        <v>1</v>
      </c>
      <c r="C1" s="7" t="s">
        <v>2</v>
      </c>
      <c r="D1" s="7" t="s">
        <v>3</v>
      </c>
      <c r="E1" s="7" t="s">
        <v>4</v>
      </c>
      <c r="F1" s="7" t="s">
        <v>5</v>
      </c>
      <c r="G1" s="7" t="s">
        <v>6</v>
      </c>
      <c r="H1" s="7" t="s">
        <v>7</v>
      </c>
      <c r="I1" s="8" t="s">
        <v>8</v>
      </c>
      <c r="J1" s="9" t="s">
        <v>9</v>
      </c>
      <c r="K1" s="10" t="s">
        <v>10</v>
      </c>
      <c r="L1" s="9" t="s">
        <v>11</v>
      </c>
      <c r="M1" s="11" t="s">
        <v>12</v>
      </c>
      <c r="N1" s="13" t="s">
        <v>207</v>
      </c>
      <c r="O1" s="13" t="s">
        <v>208</v>
      </c>
    </row>
    <row r="2" spans="1:15" ht="19.899999999999999" customHeight="1" x14ac:dyDescent="0.3">
      <c r="A2" s="12">
        <f ca="1">DATE(YEAR(TODAY())-4,9,19)</f>
        <v>44458</v>
      </c>
      <c r="B2" s="12">
        <f ca="1">DATE(YEAR(TODAY())-4,9,24)</f>
        <v>44463</v>
      </c>
      <c r="C2" t="s">
        <v>20</v>
      </c>
      <c r="D2" t="s">
        <v>163</v>
      </c>
      <c r="E2" t="s">
        <v>164</v>
      </c>
      <c r="F2" t="s">
        <v>42</v>
      </c>
      <c r="G2" t="s">
        <v>17</v>
      </c>
      <c r="H2" t="s">
        <v>18</v>
      </c>
      <c r="I2">
        <v>617.70000000000005</v>
      </c>
      <c r="J2">
        <v>6</v>
      </c>
      <c r="K2">
        <v>0.5</v>
      </c>
      <c r="L2">
        <f t="shared" ref="L2:L33" si="0">I2*J2*(1-K2)</f>
        <v>1853.1000000000001</v>
      </c>
      <c r="M2" t="s">
        <v>165</v>
      </c>
      <c r="N2" t="str">
        <f t="shared" ref="N2:N33" si="1">IF(E2="San Antonio","Lagos",E2)</f>
        <v>Bloomington</v>
      </c>
      <c r="O2" t="str">
        <f>IF(G2="Central",301&amp;"-"&amp;M2,IF(G2="South",201&amp;"-"&amp;M2,101&amp;"-"&amp;M2))</f>
        <v>301-496-0004</v>
      </c>
    </row>
    <row r="3" spans="1:15" ht="19.899999999999999" customHeight="1" x14ac:dyDescent="0.3">
      <c r="A3" s="12">
        <f ca="1">DATE(YEAR(TODAY())-3,4,3)</f>
        <v>44654</v>
      </c>
      <c r="B3" s="12">
        <f ca="1">DATE(YEAR(TODAY())-3,4,8)</f>
        <v>44659</v>
      </c>
      <c r="C3" t="s">
        <v>20</v>
      </c>
      <c r="D3" t="s">
        <v>86</v>
      </c>
      <c r="E3" t="s">
        <v>87</v>
      </c>
      <c r="F3" t="s">
        <v>88</v>
      </c>
      <c r="G3" t="s">
        <v>28</v>
      </c>
      <c r="H3" t="s">
        <v>23</v>
      </c>
      <c r="I3">
        <v>289</v>
      </c>
      <c r="J3">
        <v>1</v>
      </c>
      <c r="K3">
        <v>0.7</v>
      </c>
      <c r="L3">
        <f t="shared" si="0"/>
        <v>86.700000000000017</v>
      </c>
      <c r="M3" t="s">
        <v>89</v>
      </c>
      <c r="N3" t="str">
        <f t="shared" si="1"/>
        <v>Bristol</v>
      </c>
      <c r="O3" t="str">
        <f t="shared" ref="O3:O62" si="2">IF(G3="Central",301&amp;"-"&amp;M3,IF(G3="South",201&amp;"-"&amp;M3,101&amp;"-"&amp;M3))</f>
        <v>201-496-2099</v>
      </c>
    </row>
    <row r="4" spans="1:15" ht="19.899999999999999" customHeight="1" x14ac:dyDescent="0.3">
      <c r="A4" s="12">
        <f ca="1">DATE(YEAR(TODAY())-1,11,22)</f>
        <v>45618</v>
      </c>
      <c r="B4" s="12">
        <f ca="1">DATE(YEAR(TODAY())-1,11,27)</f>
        <v>45623</v>
      </c>
      <c r="C4" t="s">
        <v>20</v>
      </c>
      <c r="D4" t="s">
        <v>95</v>
      </c>
      <c r="E4" t="s">
        <v>96</v>
      </c>
      <c r="F4" t="s">
        <v>27</v>
      </c>
      <c r="G4" t="s">
        <v>28</v>
      </c>
      <c r="H4" t="s">
        <v>32</v>
      </c>
      <c r="I4">
        <v>74.11</v>
      </c>
      <c r="J4">
        <v>8</v>
      </c>
      <c r="K4">
        <v>0.2</v>
      </c>
      <c r="L4">
        <f t="shared" si="0"/>
        <v>474.30400000000003</v>
      </c>
      <c r="M4" t="s">
        <v>97</v>
      </c>
      <c r="N4" t="str">
        <f t="shared" si="1"/>
        <v>Charlotte</v>
      </c>
      <c r="O4" t="str">
        <f t="shared" si="2"/>
        <v>201-598-2985</v>
      </c>
    </row>
    <row r="5" spans="1:15" ht="19.899999999999999" customHeight="1" x14ac:dyDescent="0.3">
      <c r="A5" s="12">
        <f ca="1">DATE(YEAR(TODAY())-4,9,13)</f>
        <v>44452</v>
      </c>
      <c r="B5" s="12">
        <f ca="1">DATE(YEAR(TODAY())-4,9,18)</f>
        <v>44457</v>
      </c>
      <c r="C5" t="s">
        <v>20</v>
      </c>
      <c r="D5" t="s">
        <v>100</v>
      </c>
      <c r="E5" t="s">
        <v>41</v>
      </c>
      <c r="F5" t="s">
        <v>42</v>
      </c>
      <c r="G5" t="s">
        <v>17</v>
      </c>
      <c r="H5" t="s">
        <v>23</v>
      </c>
      <c r="I5">
        <v>52.45</v>
      </c>
      <c r="J5">
        <v>2</v>
      </c>
      <c r="K5">
        <v>0.8</v>
      </c>
      <c r="L5">
        <f t="shared" si="0"/>
        <v>20.979999999999997</v>
      </c>
      <c r="M5" t="s">
        <v>101</v>
      </c>
      <c r="N5" t="str">
        <f t="shared" si="1"/>
        <v>Chicago</v>
      </c>
      <c r="O5" t="str">
        <f t="shared" si="2"/>
        <v>301-598-2222</v>
      </c>
    </row>
    <row r="6" spans="1:15" ht="19.899999999999999" customHeight="1" x14ac:dyDescent="0.3">
      <c r="A6" s="12">
        <f ca="1">DATE(YEAR(TODAY())-3,4,28)</f>
        <v>44679</v>
      </c>
      <c r="B6" s="12">
        <f ca="1">DATE(YEAR(TODAY())-3,5,3)</f>
        <v>44684</v>
      </c>
      <c r="C6" t="s">
        <v>20</v>
      </c>
      <c r="D6" t="s">
        <v>155</v>
      </c>
      <c r="E6" t="s">
        <v>41</v>
      </c>
      <c r="F6" t="s">
        <v>42</v>
      </c>
      <c r="G6" t="s">
        <v>17</v>
      </c>
      <c r="H6" t="s">
        <v>18</v>
      </c>
      <c r="I6">
        <v>213.12</v>
      </c>
      <c r="J6">
        <v>5</v>
      </c>
      <c r="K6">
        <v>0.3</v>
      </c>
      <c r="L6">
        <f t="shared" si="0"/>
        <v>745.91999999999985</v>
      </c>
      <c r="M6" t="s">
        <v>156</v>
      </c>
      <c r="N6" t="str">
        <f t="shared" si="1"/>
        <v>Chicago</v>
      </c>
      <c r="O6" t="str">
        <f t="shared" si="2"/>
        <v>301-496-0001</v>
      </c>
    </row>
    <row r="7" spans="1:15" ht="19.899999999999999" customHeight="1" x14ac:dyDescent="0.3">
      <c r="A7" s="12">
        <f ca="1">DATE(YEAR(TODAY())-2,8,28)</f>
        <v>45166</v>
      </c>
      <c r="B7" s="12">
        <f ca="1">DATE(YEAR(TODAY())-2,9,1)</f>
        <v>45170</v>
      </c>
      <c r="C7" t="s">
        <v>20</v>
      </c>
      <c r="D7" t="s">
        <v>166</v>
      </c>
      <c r="E7" t="s">
        <v>41</v>
      </c>
      <c r="F7" t="s">
        <v>42</v>
      </c>
      <c r="G7" t="s">
        <v>17</v>
      </c>
      <c r="H7" t="s">
        <v>32</v>
      </c>
      <c r="I7">
        <v>95.98</v>
      </c>
      <c r="J7">
        <v>3</v>
      </c>
      <c r="K7">
        <v>0.2</v>
      </c>
      <c r="L7">
        <f t="shared" si="0"/>
        <v>230.352</v>
      </c>
      <c r="M7" t="s">
        <v>167</v>
      </c>
      <c r="N7" t="str">
        <f t="shared" si="1"/>
        <v>Chicago</v>
      </c>
      <c r="O7" t="str">
        <f t="shared" si="2"/>
        <v>301-496-0005</v>
      </c>
    </row>
    <row r="8" spans="1:15" ht="19.899999999999999" customHeight="1" x14ac:dyDescent="0.3">
      <c r="A8" s="12">
        <f ca="1">DATE(YEAR(TODAY())-1,11,12)</f>
        <v>45608</v>
      </c>
      <c r="B8" s="12">
        <f ca="1">DATE(YEAR(TODAY())-1,11,15)</f>
        <v>45611</v>
      </c>
      <c r="C8" t="s">
        <v>39</v>
      </c>
      <c r="D8" t="s">
        <v>40</v>
      </c>
      <c r="E8" t="s">
        <v>41</v>
      </c>
      <c r="F8" t="s">
        <v>42</v>
      </c>
      <c r="G8" t="s">
        <v>17</v>
      </c>
      <c r="H8" t="s">
        <v>23</v>
      </c>
      <c r="I8">
        <v>230.38</v>
      </c>
      <c r="J8">
        <v>3</v>
      </c>
      <c r="K8">
        <v>0.2</v>
      </c>
      <c r="L8">
        <f t="shared" si="0"/>
        <v>552.91200000000003</v>
      </c>
      <c r="M8" t="s">
        <v>43</v>
      </c>
      <c r="N8" t="str">
        <f t="shared" si="1"/>
        <v>Chicago</v>
      </c>
      <c r="O8" t="str">
        <f t="shared" si="2"/>
        <v>301-598-2976</v>
      </c>
    </row>
    <row r="9" spans="1:15" ht="19.899999999999999" customHeight="1" x14ac:dyDescent="0.3">
      <c r="A9" s="12">
        <f ca="1">DATE(YEAR(TODAY())-1,5,27)</f>
        <v>45439</v>
      </c>
      <c r="B9" s="12">
        <f ca="1">DATE(YEAR(TODAY())-1,5,29)</f>
        <v>45441</v>
      </c>
      <c r="C9" t="s">
        <v>13</v>
      </c>
      <c r="D9" t="s">
        <v>151</v>
      </c>
      <c r="E9" t="s">
        <v>152</v>
      </c>
      <c r="F9" t="s">
        <v>153</v>
      </c>
      <c r="G9" t="s">
        <v>28</v>
      </c>
      <c r="H9" t="s">
        <v>18</v>
      </c>
      <c r="I9">
        <v>301.95999999999998</v>
      </c>
      <c r="J9">
        <v>2</v>
      </c>
      <c r="K9">
        <v>0</v>
      </c>
      <c r="L9">
        <f t="shared" si="0"/>
        <v>603.91999999999996</v>
      </c>
      <c r="M9" t="s">
        <v>60</v>
      </c>
      <c r="N9" t="str">
        <f t="shared" si="1"/>
        <v>Columbia</v>
      </c>
      <c r="O9" t="str">
        <f t="shared" si="2"/>
        <v>201-496-1722</v>
      </c>
    </row>
    <row r="10" spans="1:15" ht="19.899999999999999" customHeight="1" x14ac:dyDescent="0.3">
      <c r="A10" s="12">
        <f ca="1">DATE(YEAR(TODAY())-4,8,24)</f>
        <v>44432</v>
      </c>
      <c r="B10" s="12">
        <f ca="1">DATE(YEAR(TODAY())-4,8,26)</f>
        <v>44434</v>
      </c>
      <c r="C10" t="s">
        <v>13</v>
      </c>
      <c r="D10" t="s">
        <v>172</v>
      </c>
      <c r="E10" t="s">
        <v>65</v>
      </c>
      <c r="F10" t="s">
        <v>36</v>
      </c>
      <c r="G10" t="s">
        <v>37</v>
      </c>
      <c r="H10" t="s">
        <v>23</v>
      </c>
      <c r="I10">
        <v>130.46</v>
      </c>
      <c r="J10">
        <v>6</v>
      </c>
      <c r="K10">
        <v>0.2</v>
      </c>
      <c r="L10">
        <f t="shared" si="0"/>
        <v>626.20800000000008</v>
      </c>
      <c r="M10" t="s">
        <v>173</v>
      </c>
      <c r="N10" t="str">
        <f t="shared" si="1"/>
        <v>Columbus</v>
      </c>
      <c r="O10" t="str">
        <f t="shared" si="2"/>
        <v>101-496-0010</v>
      </c>
    </row>
    <row r="11" spans="1:15" ht="19.899999999999999" customHeight="1" x14ac:dyDescent="0.3">
      <c r="A11" s="12">
        <f ca="1">DATE(YEAR(TODAY())-1,2,1)</f>
        <v>45323</v>
      </c>
      <c r="B11" s="12">
        <f ca="1">DATE(YEAR(TODAY())-1,2,4)</f>
        <v>45326</v>
      </c>
      <c r="C11" t="s">
        <v>39</v>
      </c>
      <c r="D11" t="s">
        <v>64</v>
      </c>
      <c r="E11" t="s">
        <v>65</v>
      </c>
      <c r="F11" t="s">
        <v>36</v>
      </c>
      <c r="G11" t="s">
        <v>37</v>
      </c>
      <c r="H11" t="s">
        <v>23</v>
      </c>
      <c r="I11">
        <v>78.3</v>
      </c>
      <c r="J11">
        <v>2</v>
      </c>
      <c r="K11">
        <v>0.2</v>
      </c>
      <c r="L11">
        <f t="shared" si="0"/>
        <v>125.28</v>
      </c>
      <c r="M11" t="s">
        <v>66</v>
      </c>
      <c r="N11" t="str">
        <f t="shared" si="1"/>
        <v>Columbus</v>
      </c>
      <c r="O11" t="str">
        <f t="shared" si="2"/>
        <v>101-496-1617</v>
      </c>
    </row>
    <row r="12" spans="1:15" ht="19.899999999999999" customHeight="1" x14ac:dyDescent="0.3">
      <c r="A12" s="12">
        <f ca="1">DATE(YEAR(TODAY())-1,4,14)</f>
        <v>45396</v>
      </c>
      <c r="B12" s="12">
        <f ca="1">DATE(YEAR(TODAY())-1,4,19)</f>
        <v>45401</v>
      </c>
      <c r="C12" t="s">
        <v>20</v>
      </c>
      <c r="D12" t="s">
        <v>25</v>
      </c>
      <c r="E12" t="s">
        <v>26</v>
      </c>
      <c r="F12" t="s">
        <v>27</v>
      </c>
      <c r="G12" t="s">
        <v>28</v>
      </c>
      <c r="H12" t="s">
        <v>23</v>
      </c>
      <c r="I12">
        <v>15.55</v>
      </c>
      <c r="J12">
        <v>3</v>
      </c>
      <c r="K12">
        <v>0.2</v>
      </c>
      <c r="L12">
        <f t="shared" si="0"/>
        <v>37.320000000000007</v>
      </c>
      <c r="M12" t="s">
        <v>29</v>
      </c>
      <c r="N12" t="str">
        <f t="shared" si="1"/>
        <v>Concord</v>
      </c>
      <c r="O12" t="str">
        <f t="shared" si="2"/>
        <v>201-496-1872</v>
      </c>
    </row>
    <row r="13" spans="1:15" ht="19.899999999999999" customHeight="1" x14ac:dyDescent="0.3">
      <c r="A13" s="12">
        <f ca="1">DATE(YEAR(TODAY())-4,12,4)</f>
        <v>44534</v>
      </c>
      <c r="B13" s="12">
        <f ca="1">DATE(YEAR(TODAY())-4,12,8)</f>
        <v>44538</v>
      </c>
      <c r="C13" t="s">
        <v>13</v>
      </c>
      <c r="D13" t="s">
        <v>61</v>
      </c>
      <c r="E13" t="s">
        <v>62</v>
      </c>
      <c r="F13" t="s">
        <v>42</v>
      </c>
      <c r="G13" t="s">
        <v>17</v>
      </c>
      <c r="H13" t="s">
        <v>32</v>
      </c>
      <c r="I13">
        <v>408.74</v>
      </c>
      <c r="J13">
        <v>7</v>
      </c>
      <c r="K13">
        <v>0.2</v>
      </c>
      <c r="L13">
        <f t="shared" si="0"/>
        <v>2288.9440000000004</v>
      </c>
      <c r="M13" t="s">
        <v>63</v>
      </c>
      <c r="N13" t="str">
        <f t="shared" si="1"/>
        <v>Decatur</v>
      </c>
      <c r="O13" t="str">
        <f t="shared" si="2"/>
        <v>301-598-2192</v>
      </c>
    </row>
    <row r="14" spans="1:15" ht="19.899999999999999" customHeight="1" x14ac:dyDescent="0.3">
      <c r="A14" s="12">
        <f ca="1">DATE(YEAR(TODAY())-2,6,11)</f>
        <v>45088</v>
      </c>
      <c r="B14" s="12">
        <f ca="1">DATE(YEAR(TODAY())-2,6,14)</f>
        <v>45091</v>
      </c>
      <c r="C14" t="s">
        <v>39</v>
      </c>
      <c r="D14" t="s">
        <v>205</v>
      </c>
      <c r="E14" t="s">
        <v>62</v>
      </c>
      <c r="F14" t="s">
        <v>194</v>
      </c>
      <c r="G14" t="s">
        <v>28</v>
      </c>
      <c r="H14" t="s">
        <v>23</v>
      </c>
      <c r="I14">
        <v>208.16</v>
      </c>
      <c r="J14">
        <v>1</v>
      </c>
      <c r="K14">
        <v>0</v>
      </c>
      <c r="L14">
        <f t="shared" si="0"/>
        <v>208.16</v>
      </c>
      <c r="M14" t="s">
        <v>195</v>
      </c>
      <c r="N14" t="str">
        <f t="shared" si="1"/>
        <v>Decatur</v>
      </c>
      <c r="O14" t="str">
        <f t="shared" si="2"/>
        <v>201-496-0020</v>
      </c>
    </row>
    <row r="15" spans="1:15" ht="19.899999999999999" customHeight="1" x14ac:dyDescent="0.3">
      <c r="A15" s="12">
        <f ca="1">DATE(YEAR(TODAY())-2,6,19)</f>
        <v>45096</v>
      </c>
      <c r="B15" s="12">
        <f ca="1">DATE(YEAR(TODAY())-2,6,24)</f>
        <v>45101</v>
      </c>
      <c r="C15" t="s">
        <v>20</v>
      </c>
      <c r="D15" t="s">
        <v>129</v>
      </c>
      <c r="E15" t="s">
        <v>130</v>
      </c>
      <c r="F15" t="s">
        <v>131</v>
      </c>
      <c r="G15" t="s">
        <v>37</v>
      </c>
      <c r="H15" t="s">
        <v>32</v>
      </c>
      <c r="I15">
        <v>45</v>
      </c>
      <c r="J15">
        <v>3</v>
      </c>
      <c r="K15">
        <v>0</v>
      </c>
      <c r="L15">
        <f t="shared" si="0"/>
        <v>135</v>
      </c>
      <c r="M15" t="s">
        <v>132</v>
      </c>
      <c r="N15" t="str">
        <f t="shared" si="1"/>
        <v>Dover</v>
      </c>
      <c r="O15" t="str">
        <f t="shared" si="2"/>
        <v>101-496-1119</v>
      </c>
    </row>
    <row r="16" spans="1:15" ht="19.899999999999999" customHeight="1" x14ac:dyDescent="0.3">
      <c r="A16" s="12">
        <f ca="1">DATE(YEAR(TODAY())-3,9,1)</f>
        <v>44805</v>
      </c>
      <c r="B16" s="12">
        <f ca="1">DATE(YEAR(TODAY())-3,9,6)</f>
        <v>44810</v>
      </c>
      <c r="C16" t="s">
        <v>20</v>
      </c>
      <c r="D16" t="s">
        <v>109</v>
      </c>
      <c r="E16" t="s">
        <v>110</v>
      </c>
      <c r="F16" t="s">
        <v>27</v>
      </c>
      <c r="G16" t="s">
        <v>28</v>
      </c>
      <c r="H16" t="s">
        <v>23</v>
      </c>
      <c r="I16">
        <v>200.98</v>
      </c>
      <c r="J16">
        <v>7</v>
      </c>
      <c r="K16">
        <v>0.2</v>
      </c>
      <c r="L16">
        <f t="shared" si="0"/>
        <v>1125.4880000000001</v>
      </c>
      <c r="M16" t="s">
        <v>111</v>
      </c>
      <c r="N16" t="str">
        <f t="shared" si="1"/>
        <v>Durham</v>
      </c>
      <c r="O16" t="str">
        <f t="shared" si="2"/>
        <v>201-598-5003</v>
      </c>
    </row>
    <row r="17" spans="1:15" ht="19.899999999999999" customHeight="1" x14ac:dyDescent="0.3">
      <c r="A17" s="12">
        <f ca="1">DATE(YEAR(TODAY())-2,3,10)</f>
        <v>44995</v>
      </c>
      <c r="B17" s="12">
        <f ca="1">DATE(YEAR(TODAY())-2,3,12)</f>
        <v>44997</v>
      </c>
      <c r="C17" t="s">
        <v>39</v>
      </c>
      <c r="D17" t="s">
        <v>146</v>
      </c>
      <c r="E17" t="s">
        <v>147</v>
      </c>
      <c r="F17" t="s">
        <v>69</v>
      </c>
      <c r="G17" t="s">
        <v>17</v>
      </c>
      <c r="H17" t="s">
        <v>32</v>
      </c>
      <c r="I17">
        <v>45.98</v>
      </c>
      <c r="J17">
        <v>2</v>
      </c>
      <c r="K17">
        <v>0</v>
      </c>
      <c r="L17">
        <f t="shared" si="0"/>
        <v>91.96</v>
      </c>
      <c r="M17" t="s">
        <v>148</v>
      </c>
      <c r="N17" t="str">
        <f t="shared" si="1"/>
        <v>Eagan</v>
      </c>
      <c r="O17" t="str">
        <f t="shared" si="2"/>
        <v>301-598-2622</v>
      </c>
    </row>
    <row r="18" spans="1:15" ht="19.899999999999999" customHeight="1" x14ac:dyDescent="0.3">
      <c r="A18" s="12">
        <f ca="1">DATE(YEAR(TODAY())-2,11,19)</f>
        <v>45249</v>
      </c>
      <c r="B18" s="12">
        <f ca="1">DATE(YEAR(TODAY())-2,11,23)</f>
        <v>45253</v>
      </c>
      <c r="C18" t="s">
        <v>20</v>
      </c>
      <c r="D18" t="s">
        <v>142</v>
      </c>
      <c r="E18" t="s">
        <v>143</v>
      </c>
      <c r="F18" t="s">
        <v>144</v>
      </c>
      <c r="G18" t="s">
        <v>17</v>
      </c>
      <c r="H18" t="s">
        <v>32</v>
      </c>
      <c r="I18">
        <v>944.93</v>
      </c>
      <c r="J18">
        <v>7</v>
      </c>
      <c r="K18">
        <v>0</v>
      </c>
      <c r="L18">
        <f t="shared" si="0"/>
        <v>6614.5099999999993</v>
      </c>
      <c r="M18" t="s">
        <v>145</v>
      </c>
      <c r="N18" t="str">
        <f t="shared" si="1"/>
        <v>Edmond</v>
      </c>
      <c r="O18" t="str">
        <f t="shared" si="2"/>
        <v>301-598-2840</v>
      </c>
    </row>
    <row r="19" spans="1:15" ht="19.899999999999999" customHeight="1" x14ac:dyDescent="0.3">
      <c r="A19" s="12">
        <f ca="1">DATE(YEAR(TODAY())-2,11,27)</f>
        <v>45257</v>
      </c>
      <c r="B19" s="12">
        <f ca="1">DATE(YEAR(TODAY())-2,12,1)</f>
        <v>45261</v>
      </c>
      <c r="C19" t="s">
        <v>20</v>
      </c>
      <c r="D19" t="s">
        <v>174</v>
      </c>
      <c r="E19" t="s">
        <v>175</v>
      </c>
      <c r="F19" t="s">
        <v>176</v>
      </c>
      <c r="G19" t="s">
        <v>37</v>
      </c>
      <c r="H19" t="s">
        <v>23</v>
      </c>
      <c r="I19">
        <v>7.16</v>
      </c>
      <c r="J19">
        <v>2</v>
      </c>
      <c r="K19">
        <v>0</v>
      </c>
      <c r="L19">
        <f t="shared" si="0"/>
        <v>14.32</v>
      </c>
      <c r="M19" t="s">
        <v>177</v>
      </c>
      <c r="N19" t="str">
        <f t="shared" si="1"/>
        <v>Fairfield</v>
      </c>
      <c r="O19" t="str">
        <f t="shared" si="2"/>
        <v>101-496-0012</v>
      </c>
    </row>
    <row r="20" spans="1:15" ht="19.899999999999999" customHeight="1" x14ac:dyDescent="0.3">
      <c r="A20" s="12">
        <f ca="1">DATE(YEAR(TODAY())-3,10,9)</f>
        <v>44843</v>
      </c>
      <c r="B20" s="12">
        <f ca="1">DATE(YEAR(TODAY())-3,10,16)</f>
        <v>44850</v>
      </c>
      <c r="C20" t="s">
        <v>20</v>
      </c>
      <c r="D20" t="s">
        <v>184</v>
      </c>
      <c r="E20" t="s">
        <v>185</v>
      </c>
      <c r="F20" t="s">
        <v>77</v>
      </c>
      <c r="G20" t="s">
        <v>28</v>
      </c>
      <c r="H20" t="s">
        <v>18</v>
      </c>
      <c r="I20">
        <v>957.58</v>
      </c>
      <c r="J20">
        <v>5</v>
      </c>
      <c r="K20">
        <v>0.45</v>
      </c>
      <c r="L20">
        <f t="shared" si="0"/>
        <v>2633.3450000000007</v>
      </c>
      <c r="M20" t="s">
        <v>186</v>
      </c>
      <c r="N20" t="str">
        <f t="shared" si="1"/>
        <v>Fort Lauderdale</v>
      </c>
      <c r="O20" t="str">
        <f t="shared" si="2"/>
        <v>201-496-0015</v>
      </c>
    </row>
    <row r="21" spans="1:15" ht="19.899999999999999" customHeight="1" x14ac:dyDescent="0.3">
      <c r="A21" s="12">
        <f ca="1">DATE(YEAR(TODAY())-3,11,20)</f>
        <v>44885</v>
      </c>
      <c r="B21" s="12">
        <f ca="1">DATE(YEAR(TODAY())-3,11,24)</f>
        <v>44889</v>
      </c>
      <c r="C21" t="s">
        <v>20</v>
      </c>
      <c r="D21" t="s">
        <v>90</v>
      </c>
      <c r="E21" t="s">
        <v>91</v>
      </c>
      <c r="F21" t="s">
        <v>16</v>
      </c>
      <c r="G21" t="s">
        <v>17</v>
      </c>
      <c r="H21" t="s">
        <v>23</v>
      </c>
      <c r="I21">
        <v>68.81</v>
      </c>
      <c r="J21">
        <v>5</v>
      </c>
      <c r="K21">
        <v>0.8</v>
      </c>
      <c r="L21">
        <f t="shared" si="0"/>
        <v>68.809999999999988</v>
      </c>
      <c r="M21" t="s">
        <v>92</v>
      </c>
      <c r="N21" t="str">
        <f t="shared" si="1"/>
        <v>Fort Worth</v>
      </c>
      <c r="O21" t="str">
        <f t="shared" si="2"/>
        <v>301-496-1150</v>
      </c>
    </row>
    <row r="22" spans="1:15" ht="19.899999999999999" customHeight="1" x14ac:dyDescent="0.3">
      <c r="A22" s="12">
        <f ca="1">DATE(YEAR(TODAY())-2,12,4)</f>
        <v>45264</v>
      </c>
      <c r="B22" s="12">
        <f ca="1">DATE(YEAR(TODAY())-2,12,8)</f>
        <v>45268</v>
      </c>
      <c r="C22" t="s">
        <v>20</v>
      </c>
      <c r="D22" t="s">
        <v>112</v>
      </c>
      <c r="E22" t="s">
        <v>113</v>
      </c>
      <c r="F22" t="s">
        <v>114</v>
      </c>
      <c r="G22" t="s">
        <v>17</v>
      </c>
      <c r="H22" t="s">
        <v>18</v>
      </c>
      <c r="I22">
        <v>113</v>
      </c>
      <c r="J22">
        <v>8</v>
      </c>
      <c r="K22">
        <v>0</v>
      </c>
      <c r="L22">
        <f t="shared" si="0"/>
        <v>904</v>
      </c>
      <c r="M22" t="s">
        <v>115</v>
      </c>
      <c r="N22" t="str">
        <f t="shared" si="1"/>
        <v>Franklin</v>
      </c>
      <c r="O22" t="str">
        <f t="shared" si="2"/>
        <v>301-496-1323</v>
      </c>
    </row>
    <row r="23" spans="1:15" ht="19.899999999999999" customHeight="1" x14ac:dyDescent="0.3">
      <c r="A23" s="12">
        <f ca="1">DATE(YEAR(TODAY())-2,12,8)</f>
        <v>45268</v>
      </c>
      <c r="B23" s="12">
        <f ca="1">DATE(YEAR(TODAY())-2,12,12)</f>
        <v>45272</v>
      </c>
      <c r="C23" t="s">
        <v>20</v>
      </c>
      <c r="D23" t="s">
        <v>123</v>
      </c>
      <c r="E23" t="s">
        <v>124</v>
      </c>
      <c r="F23" t="s">
        <v>125</v>
      </c>
      <c r="G23" t="s">
        <v>17</v>
      </c>
      <c r="H23" t="s">
        <v>23</v>
      </c>
      <c r="I23">
        <v>60.34</v>
      </c>
      <c r="J23">
        <v>7</v>
      </c>
      <c r="K23">
        <v>0</v>
      </c>
      <c r="L23">
        <f t="shared" si="0"/>
        <v>422.38</v>
      </c>
      <c r="M23" t="s">
        <v>126</v>
      </c>
      <c r="N23" t="str">
        <f t="shared" si="1"/>
        <v>Fremont</v>
      </c>
      <c r="O23" t="str">
        <f t="shared" si="2"/>
        <v>301-598-2410</v>
      </c>
    </row>
    <row r="24" spans="1:15" ht="19.899999999999999" customHeight="1" x14ac:dyDescent="0.3">
      <c r="A24" s="12">
        <f ca="1">DATE(YEAR(TODAY())-2,7,15)</f>
        <v>45122</v>
      </c>
      <c r="B24" s="12">
        <f ca="1">DATE(YEAR(TODAY())-2,7,21)</f>
        <v>45128</v>
      </c>
      <c r="C24" t="s">
        <v>20</v>
      </c>
      <c r="D24" t="s">
        <v>21</v>
      </c>
      <c r="E24" t="s">
        <v>22</v>
      </c>
      <c r="F24" t="s">
        <v>16</v>
      </c>
      <c r="G24" t="s">
        <v>17</v>
      </c>
      <c r="H24" t="s">
        <v>23</v>
      </c>
      <c r="I24">
        <v>37.22</v>
      </c>
      <c r="J24">
        <v>3</v>
      </c>
      <c r="K24">
        <v>0.2</v>
      </c>
      <c r="L24">
        <f t="shared" si="0"/>
        <v>89.328000000000003</v>
      </c>
      <c r="M24" t="s">
        <v>24</v>
      </c>
      <c r="N24" t="str">
        <f t="shared" si="1"/>
        <v>Grand Prairie</v>
      </c>
      <c r="O24" t="str">
        <f t="shared" si="2"/>
        <v>301-496-1994</v>
      </c>
    </row>
    <row r="25" spans="1:15" ht="19.899999999999999" customHeight="1" x14ac:dyDescent="0.3">
      <c r="A25" s="12">
        <f ca="1">DATE(YEAR(TODAY())-4,3,20)</f>
        <v>44275</v>
      </c>
      <c r="B25" s="12">
        <f ca="1">DATE(YEAR(TODAY())-4,3,24)</f>
        <v>44279</v>
      </c>
      <c r="C25" t="s">
        <v>20</v>
      </c>
      <c r="D25" t="s">
        <v>34</v>
      </c>
      <c r="E25" t="s">
        <v>35</v>
      </c>
      <c r="F25" t="s">
        <v>36</v>
      </c>
      <c r="G25" t="s">
        <v>37</v>
      </c>
      <c r="H25" t="s">
        <v>23</v>
      </c>
      <c r="I25">
        <v>7.41</v>
      </c>
      <c r="J25">
        <v>2</v>
      </c>
      <c r="K25">
        <v>0.2</v>
      </c>
      <c r="L25">
        <f t="shared" si="0"/>
        <v>11.856000000000002</v>
      </c>
      <c r="M25" t="s">
        <v>38</v>
      </c>
      <c r="N25" t="str">
        <f t="shared" si="1"/>
        <v>Hamilton</v>
      </c>
      <c r="O25" t="str">
        <f t="shared" si="2"/>
        <v>101-496-1222</v>
      </c>
    </row>
    <row r="26" spans="1:15" ht="19.899999999999999" customHeight="1" x14ac:dyDescent="0.3">
      <c r="A26" s="12">
        <f ca="1">DATE(YEAR(TODAY())-2,11,7)</f>
        <v>45237</v>
      </c>
      <c r="B26" s="12">
        <f ca="1">DATE(YEAR(TODAY())-2,11,10)</f>
        <v>45240</v>
      </c>
      <c r="C26" t="s">
        <v>13</v>
      </c>
      <c r="D26" t="s">
        <v>44</v>
      </c>
      <c r="E26" t="s">
        <v>45</v>
      </c>
      <c r="F26" t="s">
        <v>46</v>
      </c>
      <c r="G26" t="s">
        <v>28</v>
      </c>
      <c r="H26" t="s">
        <v>18</v>
      </c>
      <c r="I26">
        <v>731.94</v>
      </c>
      <c r="J26">
        <v>3</v>
      </c>
      <c r="K26">
        <v>0</v>
      </c>
      <c r="L26">
        <f t="shared" si="0"/>
        <v>2195.8200000000002</v>
      </c>
      <c r="M26" t="s">
        <v>47</v>
      </c>
      <c r="N26" t="str">
        <f t="shared" si="1"/>
        <v>Henderson</v>
      </c>
      <c r="O26" t="str">
        <f t="shared" si="2"/>
        <v>201-598-2747</v>
      </c>
    </row>
    <row r="27" spans="1:15" ht="19.899999999999999" customHeight="1" x14ac:dyDescent="0.3">
      <c r="A27" s="12">
        <f ca="1">DATE(YEAR(TODAY())-3,12,25)</f>
        <v>44920</v>
      </c>
      <c r="B27" s="12">
        <f ca="1">DATE(YEAR(TODAY())-3,12,29)</f>
        <v>44924</v>
      </c>
      <c r="C27" t="s">
        <v>20</v>
      </c>
      <c r="D27" t="s">
        <v>189</v>
      </c>
      <c r="E27" t="s">
        <v>15</v>
      </c>
      <c r="F27" t="s">
        <v>16</v>
      </c>
      <c r="G27" t="s">
        <v>17</v>
      </c>
      <c r="H27" t="s">
        <v>18</v>
      </c>
      <c r="I27">
        <v>532.4</v>
      </c>
      <c r="J27">
        <v>3</v>
      </c>
      <c r="K27">
        <v>0.32</v>
      </c>
      <c r="L27">
        <f t="shared" si="0"/>
        <v>1086.0959999999998</v>
      </c>
      <c r="M27" t="s">
        <v>190</v>
      </c>
      <c r="N27" t="str">
        <f t="shared" si="1"/>
        <v>Houston</v>
      </c>
      <c r="O27" t="str">
        <f t="shared" si="2"/>
        <v>301-496-0018</v>
      </c>
    </row>
    <row r="28" spans="1:15" ht="19.899999999999999" customHeight="1" x14ac:dyDescent="0.3">
      <c r="A28" s="12">
        <f ca="1">DATE(YEAR(TODAY())-2,4,4)</f>
        <v>45020</v>
      </c>
      <c r="B28" s="12">
        <f ca="1">DATE(YEAR(TODAY())-2,4,9)</f>
        <v>45025</v>
      </c>
      <c r="C28" t="s">
        <v>13</v>
      </c>
      <c r="D28" t="s">
        <v>79</v>
      </c>
      <c r="E28" t="s">
        <v>15</v>
      </c>
      <c r="F28" t="s">
        <v>16</v>
      </c>
      <c r="G28" t="s">
        <v>17</v>
      </c>
      <c r="H28" t="s">
        <v>23</v>
      </c>
      <c r="I28">
        <v>158.37</v>
      </c>
      <c r="J28">
        <v>7</v>
      </c>
      <c r="K28">
        <v>0.2</v>
      </c>
      <c r="L28">
        <f t="shared" si="0"/>
        <v>886.87200000000018</v>
      </c>
      <c r="M28" t="s">
        <v>80</v>
      </c>
      <c r="N28" t="str">
        <f t="shared" si="1"/>
        <v>Houston</v>
      </c>
      <c r="O28" t="str">
        <f t="shared" si="2"/>
        <v>301-496-1886</v>
      </c>
    </row>
    <row r="29" spans="1:15" ht="19.899999999999999" customHeight="1" x14ac:dyDescent="0.3">
      <c r="A29" s="12">
        <f ca="1">DATE(YEAR(TODAY())-1,4,20)</f>
        <v>45402</v>
      </c>
      <c r="B29" s="12">
        <f ca="1">DATE(YEAR(TODAY())-1,4,24)</f>
        <v>45406</v>
      </c>
      <c r="C29" t="s">
        <v>13</v>
      </c>
      <c r="D29" t="s">
        <v>187</v>
      </c>
      <c r="E29" t="s">
        <v>15</v>
      </c>
      <c r="F29" t="s">
        <v>16</v>
      </c>
      <c r="G29" t="s">
        <v>17</v>
      </c>
      <c r="H29" t="s">
        <v>23</v>
      </c>
      <c r="I29">
        <v>97.26</v>
      </c>
      <c r="J29">
        <v>4</v>
      </c>
      <c r="K29">
        <v>0.8</v>
      </c>
      <c r="L29">
        <f t="shared" si="0"/>
        <v>77.807999999999993</v>
      </c>
      <c r="M29" t="s">
        <v>188</v>
      </c>
      <c r="N29" t="str">
        <f t="shared" si="1"/>
        <v>Houston</v>
      </c>
      <c r="O29" t="str">
        <f t="shared" si="2"/>
        <v>301-496-0016</v>
      </c>
    </row>
    <row r="30" spans="1:15" ht="19.899999999999999" customHeight="1" x14ac:dyDescent="0.3">
      <c r="A30" s="12">
        <f ca="1">DATE(YEAR(TODAY())-1,10,18)</f>
        <v>45583</v>
      </c>
      <c r="B30" s="12">
        <f ca="1">DATE(YEAR(TODAY())-1,10,22)</f>
        <v>45587</v>
      </c>
      <c r="C30" t="s">
        <v>13</v>
      </c>
      <c r="D30" t="s">
        <v>137</v>
      </c>
      <c r="E30" t="s">
        <v>15</v>
      </c>
      <c r="F30" t="s">
        <v>16</v>
      </c>
      <c r="G30" t="s">
        <v>17</v>
      </c>
      <c r="H30" t="s">
        <v>23</v>
      </c>
      <c r="I30">
        <v>29.47</v>
      </c>
      <c r="J30">
        <v>3</v>
      </c>
      <c r="K30">
        <v>0.2</v>
      </c>
      <c r="L30">
        <f t="shared" si="0"/>
        <v>70.727999999999994</v>
      </c>
      <c r="M30" t="s">
        <v>138</v>
      </c>
      <c r="N30" t="str">
        <f t="shared" si="1"/>
        <v>Houston</v>
      </c>
      <c r="O30" t="str">
        <f t="shared" si="2"/>
        <v>301-598-2530</v>
      </c>
    </row>
    <row r="31" spans="1:15" ht="19.899999999999999" customHeight="1" x14ac:dyDescent="0.3">
      <c r="A31" s="12">
        <f ca="1">DATE(YEAR(TODAY())-1,12,8)</f>
        <v>45634</v>
      </c>
      <c r="B31" s="12">
        <f ca="1">DATE(YEAR(TODAY())-1,12,10)</f>
        <v>45636</v>
      </c>
      <c r="C31" t="s">
        <v>39</v>
      </c>
      <c r="D31" t="s">
        <v>127</v>
      </c>
      <c r="E31" t="s">
        <v>15</v>
      </c>
      <c r="F31" t="s">
        <v>16</v>
      </c>
      <c r="G31" t="s">
        <v>17</v>
      </c>
      <c r="H31" t="s">
        <v>23</v>
      </c>
      <c r="I31">
        <v>27.24</v>
      </c>
      <c r="J31">
        <v>3</v>
      </c>
      <c r="K31">
        <v>0.2</v>
      </c>
      <c r="L31">
        <f t="shared" si="0"/>
        <v>65.376000000000005</v>
      </c>
      <c r="M31" t="s">
        <v>128</v>
      </c>
      <c r="N31" t="str">
        <f t="shared" si="1"/>
        <v>Houston</v>
      </c>
      <c r="O31" t="str">
        <f t="shared" si="2"/>
        <v>301-496-2051</v>
      </c>
    </row>
    <row r="32" spans="1:15" ht="19.899999999999999" customHeight="1" x14ac:dyDescent="0.3">
      <c r="A32" s="12">
        <f ca="1">DATE(YEAR(TODAY())-1,12,21)</f>
        <v>45647</v>
      </c>
      <c r="B32" s="12">
        <f ca="1">DATE(YEAR(TODAY())-1,12,26)</f>
        <v>45652</v>
      </c>
      <c r="C32" t="s">
        <v>20</v>
      </c>
      <c r="D32" t="s">
        <v>180</v>
      </c>
      <c r="E32" t="s">
        <v>181</v>
      </c>
      <c r="F32" t="s">
        <v>182</v>
      </c>
      <c r="G32" t="s">
        <v>17</v>
      </c>
      <c r="H32" t="s">
        <v>23</v>
      </c>
      <c r="I32">
        <v>839.43</v>
      </c>
      <c r="J32">
        <v>3</v>
      </c>
      <c r="K32">
        <v>0</v>
      </c>
      <c r="L32">
        <f t="shared" si="0"/>
        <v>2518.29</v>
      </c>
      <c r="M32" t="s">
        <v>183</v>
      </c>
      <c r="N32" t="str">
        <f t="shared" si="1"/>
        <v>Independence</v>
      </c>
      <c r="O32" t="str">
        <f t="shared" si="2"/>
        <v>301-496-0014</v>
      </c>
    </row>
    <row r="33" spans="1:15" ht="19.899999999999999" customHeight="1" x14ac:dyDescent="0.3">
      <c r="A33" s="12">
        <f ca="1">DATE(YEAR(TODAY())-4,11,10)</f>
        <v>44510</v>
      </c>
      <c r="B33" s="12">
        <f ca="1">DATE(YEAR(TODAY())-4,11,17)</f>
        <v>44517</v>
      </c>
      <c r="C33" t="s">
        <v>20</v>
      </c>
      <c r="D33" t="s">
        <v>160</v>
      </c>
      <c r="E33" t="s">
        <v>161</v>
      </c>
      <c r="F33" t="s">
        <v>114</v>
      </c>
      <c r="G33" t="s">
        <v>17</v>
      </c>
      <c r="H33" t="s">
        <v>23</v>
      </c>
      <c r="I33">
        <v>665.88</v>
      </c>
      <c r="J33">
        <v>6</v>
      </c>
      <c r="K33">
        <v>0</v>
      </c>
      <c r="L33">
        <f t="shared" si="0"/>
        <v>3995.2799999999997</v>
      </c>
      <c r="M33" t="s">
        <v>162</v>
      </c>
      <c r="N33" t="str">
        <f t="shared" si="1"/>
        <v>Madison</v>
      </c>
      <c r="O33" t="str">
        <f t="shared" si="2"/>
        <v>301-496-0003</v>
      </c>
    </row>
    <row r="34" spans="1:15" ht="19.899999999999999" customHeight="1" x14ac:dyDescent="0.3">
      <c r="A34" s="12">
        <f ca="1">DATE(YEAR(TODAY())-1,9,18)</f>
        <v>45553</v>
      </c>
      <c r="B34" s="12">
        <f ca="1">DATE(YEAR(TODAY())-1,9,22)</f>
        <v>45557</v>
      </c>
      <c r="C34" t="s">
        <v>20</v>
      </c>
      <c r="D34" t="s">
        <v>75</v>
      </c>
      <c r="E34" t="s">
        <v>76</v>
      </c>
      <c r="F34" t="s">
        <v>77</v>
      </c>
      <c r="G34" t="s">
        <v>28</v>
      </c>
      <c r="H34" t="s">
        <v>23</v>
      </c>
      <c r="I34">
        <v>95.62</v>
      </c>
      <c r="J34">
        <v>2</v>
      </c>
      <c r="K34">
        <v>0.2</v>
      </c>
      <c r="L34">
        <f t="shared" ref="L34:L62" si="3">I34*J34*(1-K34)</f>
        <v>152.99200000000002</v>
      </c>
      <c r="M34" t="s">
        <v>78</v>
      </c>
      <c r="N34" t="str">
        <f t="shared" ref="N34:N62" si="4">IF(E34="San Antonio","Lagos",E34)</f>
        <v>Melbourne</v>
      </c>
      <c r="O34" t="str">
        <f t="shared" si="2"/>
        <v>201-496-1873</v>
      </c>
    </row>
    <row r="35" spans="1:15" ht="19.899999999999999" customHeight="1" x14ac:dyDescent="0.3">
      <c r="A35" s="12">
        <f ca="1">DATE(YEAR(TODAY())-3,4,24)</f>
        <v>44675</v>
      </c>
      <c r="B35" s="12">
        <f ca="1">DATE(YEAR(TODAY())-3,4,30)</f>
        <v>44681</v>
      </c>
      <c r="C35" t="s">
        <v>20</v>
      </c>
      <c r="D35" t="s">
        <v>104</v>
      </c>
      <c r="E35" t="s">
        <v>105</v>
      </c>
      <c r="F35" t="s">
        <v>88</v>
      </c>
      <c r="G35" t="s">
        <v>28</v>
      </c>
      <c r="H35" t="s">
        <v>18</v>
      </c>
      <c r="I35">
        <v>831.94</v>
      </c>
      <c r="J35">
        <v>8</v>
      </c>
      <c r="K35">
        <v>0.2</v>
      </c>
      <c r="L35">
        <f t="shared" si="3"/>
        <v>5324.4160000000011</v>
      </c>
      <c r="M35" t="s">
        <v>106</v>
      </c>
      <c r="N35" t="str">
        <f t="shared" si="4"/>
        <v>Memphis</v>
      </c>
      <c r="O35" t="str">
        <f t="shared" si="2"/>
        <v>201-496-1243</v>
      </c>
    </row>
    <row r="36" spans="1:15" ht="19.899999999999999" customHeight="1" x14ac:dyDescent="0.3">
      <c r="A36" s="12">
        <f ca="1">DATE(YEAR(TODAY())-3,1,30)</f>
        <v>44591</v>
      </c>
      <c r="B36" s="12">
        <f ca="1">DATE(YEAR(TODAY())-3,2,4)</f>
        <v>44596</v>
      </c>
      <c r="C36" t="s">
        <v>13</v>
      </c>
      <c r="D36" t="s">
        <v>120</v>
      </c>
      <c r="E36" t="s">
        <v>121</v>
      </c>
      <c r="F36" t="s">
        <v>69</v>
      </c>
      <c r="G36" t="s">
        <v>17</v>
      </c>
      <c r="H36" t="s">
        <v>18</v>
      </c>
      <c r="I36">
        <v>53.34</v>
      </c>
      <c r="J36">
        <v>3</v>
      </c>
      <c r="K36">
        <v>0</v>
      </c>
      <c r="L36">
        <f t="shared" si="3"/>
        <v>160.02000000000001</v>
      </c>
      <c r="M36" t="s">
        <v>122</v>
      </c>
      <c r="N36" t="str">
        <f t="shared" si="4"/>
        <v>Minneapolis</v>
      </c>
      <c r="O36" t="str">
        <f t="shared" si="2"/>
        <v>301-496-1430</v>
      </c>
    </row>
    <row r="37" spans="1:15" ht="19.899999999999999" customHeight="1" x14ac:dyDescent="0.3">
      <c r="A37" s="12">
        <f ca="1">DATE(YEAR(TODAY())-4,11,18)</f>
        <v>44518</v>
      </c>
      <c r="B37" s="12">
        <f ca="1">DATE(YEAR(TODAY())-4,11,23)</f>
        <v>44523</v>
      </c>
      <c r="C37" t="s">
        <v>13</v>
      </c>
      <c r="D37" t="s">
        <v>168</v>
      </c>
      <c r="E37" t="s">
        <v>169</v>
      </c>
      <c r="F37" t="s">
        <v>170</v>
      </c>
      <c r="G37" t="s">
        <v>28</v>
      </c>
      <c r="H37" t="s">
        <v>32</v>
      </c>
      <c r="I37">
        <v>503.96</v>
      </c>
      <c r="J37">
        <v>4</v>
      </c>
      <c r="K37">
        <v>0</v>
      </c>
      <c r="L37">
        <f t="shared" si="3"/>
        <v>2015.84</v>
      </c>
      <c r="M37" t="s">
        <v>171</v>
      </c>
      <c r="N37" t="str">
        <f t="shared" si="4"/>
        <v>Monroe</v>
      </c>
      <c r="O37" t="str">
        <f t="shared" si="2"/>
        <v>201-496-0006</v>
      </c>
    </row>
    <row r="38" spans="1:15" ht="19.899999999999999" customHeight="1" x14ac:dyDescent="0.3">
      <c r="A38" s="12">
        <f ca="1">DATE(YEAR(TODAY())-1,9,9)</f>
        <v>45544</v>
      </c>
      <c r="B38" s="12">
        <f ca="1">DATE(YEAR(TODAY())-1,9,14)</f>
        <v>45549</v>
      </c>
      <c r="C38" t="s">
        <v>20</v>
      </c>
      <c r="D38" t="s">
        <v>206</v>
      </c>
      <c r="E38" t="s">
        <v>133</v>
      </c>
      <c r="F38" t="s">
        <v>42</v>
      </c>
      <c r="G38" t="s">
        <v>17</v>
      </c>
      <c r="H38" t="s">
        <v>32</v>
      </c>
      <c r="I38">
        <v>147.16999999999999</v>
      </c>
      <c r="J38">
        <v>4</v>
      </c>
      <c r="K38">
        <v>0.2</v>
      </c>
      <c r="L38">
        <f t="shared" si="3"/>
        <v>470.94399999999996</v>
      </c>
      <c r="M38" t="s">
        <v>134</v>
      </c>
      <c r="N38" t="str">
        <f t="shared" si="4"/>
        <v>Naperville</v>
      </c>
      <c r="O38" t="str">
        <f t="shared" si="2"/>
        <v>301-598-2418</v>
      </c>
    </row>
    <row r="39" spans="1:15" ht="19.899999999999999" customHeight="1" x14ac:dyDescent="0.3">
      <c r="A39" s="12">
        <f ca="1">DATE(YEAR(TODAY())-3,4,16)</f>
        <v>44667</v>
      </c>
      <c r="B39" s="12">
        <f ca="1">DATE(YEAR(TODAY())-3,4,20)</f>
        <v>44671</v>
      </c>
      <c r="C39" t="s">
        <v>20</v>
      </c>
      <c r="D39" t="s">
        <v>56</v>
      </c>
      <c r="E39" t="s">
        <v>57</v>
      </c>
      <c r="F39" t="s">
        <v>58</v>
      </c>
      <c r="G39" t="s">
        <v>17</v>
      </c>
      <c r="H39" t="s">
        <v>18</v>
      </c>
      <c r="I39">
        <v>89.99</v>
      </c>
      <c r="J39">
        <v>1</v>
      </c>
      <c r="K39">
        <v>0</v>
      </c>
      <c r="L39">
        <f t="shared" si="3"/>
        <v>89.99</v>
      </c>
      <c r="M39" t="s">
        <v>59</v>
      </c>
      <c r="N39" t="str">
        <f t="shared" si="4"/>
        <v>New Albany</v>
      </c>
      <c r="O39" t="str">
        <f t="shared" si="2"/>
        <v>301-496-2551</v>
      </c>
    </row>
    <row r="40" spans="1:15" ht="19.899999999999999" customHeight="1" x14ac:dyDescent="0.3">
      <c r="A40" s="12">
        <f ca="1">DATE(YEAR(TODAY())-3,10,10)</f>
        <v>44844</v>
      </c>
      <c r="B40" s="12">
        <f ca="1">DATE(YEAR(TODAY())-3,10,12)</f>
        <v>44846</v>
      </c>
      <c r="C40" t="s">
        <v>39</v>
      </c>
      <c r="D40" t="s">
        <v>135</v>
      </c>
      <c r="E40" t="s">
        <v>53</v>
      </c>
      <c r="F40" t="s">
        <v>54</v>
      </c>
      <c r="G40" t="s">
        <v>37</v>
      </c>
      <c r="H40" t="s">
        <v>18</v>
      </c>
      <c r="I40">
        <v>899.14</v>
      </c>
      <c r="J40">
        <v>4</v>
      </c>
      <c r="K40">
        <v>0.2</v>
      </c>
      <c r="L40">
        <f t="shared" si="3"/>
        <v>2877.248</v>
      </c>
      <c r="M40" t="s">
        <v>136</v>
      </c>
      <c r="N40" t="str">
        <f t="shared" si="4"/>
        <v>New York City</v>
      </c>
      <c r="O40" t="str">
        <f t="shared" si="2"/>
        <v>101-496-2770</v>
      </c>
    </row>
    <row r="41" spans="1:15" ht="19.899999999999999" customHeight="1" x14ac:dyDescent="0.3">
      <c r="A41" s="12">
        <f ca="1">DATE(YEAR(TODAY())-3,12,13)</f>
        <v>44908</v>
      </c>
      <c r="B41" s="12">
        <f ca="1">DATE(YEAR(TODAY())-3,12,17)</f>
        <v>44912</v>
      </c>
      <c r="C41" t="s">
        <v>20</v>
      </c>
      <c r="D41" t="s">
        <v>102</v>
      </c>
      <c r="E41" t="s">
        <v>53</v>
      </c>
      <c r="F41" t="s">
        <v>54</v>
      </c>
      <c r="G41" t="s">
        <v>37</v>
      </c>
      <c r="H41" t="s">
        <v>23</v>
      </c>
      <c r="I41">
        <v>3.28</v>
      </c>
      <c r="J41">
        <v>1</v>
      </c>
      <c r="K41">
        <v>0</v>
      </c>
      <c r="L41">
        <f t="shared" si="3"/>
        <v>3.28</v>
      </c>
      <c r="M41" t="s">
        <v>103</v>
      </c>
      <c r="N41" t="str">
        <f t="shared" si="4"/>
        <v>New York City</v>
      </c>
      <c r="O41" t="str">
        <f t="shared" si="2"/>
        <v>101-496-1378</v>
      </c>
    </row>
    <row r="42" spans="1:15" ht="19.899999999999999" customHeight="1" x14ac:dyDescent="0.3">
      <c r="A42" s="12">
        <f ca="1">DATE(YEAR(TODAY())-2,9,17)</f>
        <v>45186</v>
      </c>
      <c r="B42" s="12">
        <f ca="1">DATE(YEAR(TODAY())-2,9,22)</f>
        <v>45191</v>
      </c>
      <c r="C42" t="s">
        <v>20</v>
      </c>
      <c r="D42" t="s">
        <v>93</v>
      </c>
      <c r="E42" t="s">
        <v>53</v>
      </c>
      <c r="F42" t="s">
        <v>54</v>
      </c>
      <c r="G42" t="s">
        <v>37</v>
      </c>
      <c r="H42" t="s">
        <v>23</v>
      </c>
      <c r="I42">
        <v>4.62</v>
      </c>
      <c r="J42">
        <v>1</v>
      </c>
      <c r="K42">
        <v>0.2</v>
      </c>
      <c r="L42">
        <f t="shared" si="3"/>
        <v>3.6960000000000002</v>
      </c>
      <c r="M42" t="s">
        <v>94</v>
      </c>
      <c r="N42" t="str">
        <f t="shared" si="4"/>
        <v>New York City</v>
      </c>
      <c r="O42" t="str">
        <f t="shared" si="2"/>
        <v>101-496-1769</v>
      </c>
    </row>
    <row r="43" spans="1:15" ht="19.899999999999999" customHeight="1" x14ac:dyDescent="0.3">
      <c r="A43" s="12">
        <f ca="1">DATE(YEAR(TODAY())-2,12,10)</f>
        <v>45270</v>
      </c>
      <c r="B43" s="12">
        <f ca="1">DATE(YEAR(TODAY())-2,12,16)</f>
        <v>45276</v>
      </c>
      <c r="C43" t="s">
        <v>20</v>
      </c>
      <c r="D43" t="s">
        <v>98</v>
      </c>
      <c r="E43" t="s">
        <v>53</v>
      </c>
      <c r="F43" t="s">
        <v>54</v>
      </c>
      <c r="G43" t="s">
        <v>37</v>
      </c>
      <c r="H43" t="s">
        <v>32</v>
      </c>
      <c r="I43">
        <v>1029.95</v>
      </c>
      <c r="J43">
        <v>5</v>
      </c>
      <c r="K43">
        <v>0</v>
      </c>
      <c r="L43">
        <f t="shared" si="3"/>
        <v>5149.75</v>
      </c>
      <c r="M43" t="s">
        <v>99</v>
      </c>
      <c r="N43" t="str">
        <f t="shared" si="4"/>
        <v>New York City</v>
      </c>
      <c r="O43" t="str">
        <f t="shared" si="2"/>
        <v>101-598-2333</v>
      </c>
    </row>
    <row r="44" spans="1:15" ht="19.899999999999999" customHeight="1" x14ac:dyDescent="0.3">
      <c r="A44" s="12">
        <f ca="1">DATE(YEAR(TODAY())-1,11,8)</f>
        <v>45604</v>
      </c>
      <c r="B44" s="12">
        <f ca="1">DATE(YEAR(TODAY())-1,11,10)</f>
        <v>45606</v>
      </c>
      <c r="C44" t="s">
        <v>13</v>
      </c>
      <c r="D44" t="s">
        <v>149</v>
      </c>
      <c r="E44" t="s">
        <v>53</v>
      </c>
      <c r="F44" t="s">
        <v>54</v>
      </c>
      <c r="G44" t="s">
        <v>37</v>
      </c>
      <c r="H44" t="s">
        <v>18</v>
      </c>
      <c r="I44">
        <v>96.53</v>
      </c>
      <c r="J44">
        <v>7</v>
      </c>
      <c r="K44">
        <v>0</v>
      </c>
      <c r="L44">
        <f t="shared" si="3"/>
        <v>675.71</v>
      </c>
      <c r="M44" t="s">
        <v>150</v>
      </c>
      <c r="N44" t="str">
        <f t="shared" si="4"/>
        <v>New York City</v>
      </c>
      <c r="O44" t="str">
        <f t="shared" si="2"/>
        <v>101-496-1242</v>
      </c>
    </row>
    <row r="45" spans="1:15" ht="19.899999999999999" customHeight="1" x14ac:dyDescent="0.3">
      <c r="A45" s="12">
        <f ca="1">DATE(YEAR(TODAY())-1,12,24)</f>
        <v>45650</v>
      </c>
      <c r="B45" s="12">
        <f ca="1">DATE(YEAR(TODAY())-1,12,29)</f>
        <v>45655</v>
      </c>
      <c r="C45" t="s">
        <v>20</v>
      </c>
      <c r="D45" t="s">
        <v>52</v>
      </c>
      <c r="E45" t="s">
        <v>53</v>
      </c>
      <c r="F45" t="s">
        <v>54</v>
      </c>
      <c r="G45" t="s">
        <v>37</v>
      </c>
      <c r="H45" t="s">
        <v>18</v>
      </c>
      <c r="I45">
        <v>41.96</v>
      </c>
      <c r="J45">
        <v>2</v>
      </c>
      <c r="K45">
        <v>0</v>
      </c>
      <c r="L45">
        <f t="shared" si="3"/>
        <v>83.92</v>
      </c>
      <c r="M45" t="s">
        <v>55</v>
      </c>
      <c r="N45" t="str">
        <f t="shared" si="4"/>
        <v>New York City</v>
      </c>
      <c r="O45" t="str">
        <f t="shared" si="2"/>
        <v>101-598-2796</v>
      </c>
    </row>
    <row r="46" spans="1:15" ht="19.899999999999999" customHeight="1" x14ac:dyDescent="0.3">
      <c r="A46" s="12">
        <f ca="1">DATE(YEAR(TODAY())-4,10,21)</f>
        <v>44490</v>
      </c>
      <c r="B46" s="12">
        <f ca="1">DATE(YEAR(TODAY())-4,10,27)</f>
        <v>44496</v>
      </c>
      <c r="C46" t="s">
        <v>20</v>
      </c>
      <c r="D46" t="s">
        <v>139</v>
      </c>
      <c r="E46" t="s">
        <v>140</v>
      </c>
      <c r="F46" t="s">
        <v>36</v>
      </c>
      <c r="G46" t="s">
        <v>37</v>
      </c>
      <c r="H46" t="s">
        <v>18</v>
      </c>
      <c r="I46">
        <v>93.89</v>
      </c>
      <c r="J46">
        <v>4</v>
      </c>
      <c r="K46">
        <v>0.2</v>
      </c>
      <c r="L46">
        <f t="shared" si="3"/>
        <v>300.44800000000004</v>
      </c>
      <c r="M46" t="s">
        <v>141</v>
      </c>
      <c r="N46" t="str">
        <f t="shared" si="4"/>
        <v>Newark</v>
      </c>
      <c r="O46" t="str">
        <f t="shared" si="2"/>
        <v>101-496-1665</v>
      </c>
    </row>
    <row r="47" spans="1:15" ht="19.899999999999999" customHeight="1" x14ac:dyDescent="0.3">
      <c r="A47" s="12">
        <f ca="1">DATE(YEAR(TODAY())-3,10,13)</f>
        <v>44847</v>
      </c>
      <c r="B47" s="12">
        <f ca="1">DATE(YEAR(TODAY())-3,10,18)</f>
        <v>44852</v>
      </c>
      <c r="C47" t="s">
        <v>20</v>
      </c>
      <c r="D47" t="s">
        <v>157</v>
      </c>
      <c r="E47" t="s">
        <v>158</v>
      </c>
      <c r="F47" t="s">
        <v>42</v>
      </c>
      <c r="G47" t="s">
        <v>17</v>
      </c>
      <c r="H47" t="s">
        <v>32</v>
      </c>
      <c r="I47">
        <v>339.96</v>
      </c>
      <c r="J47">
        <v>5</v>
      </c>
      <c r="K47">
        <v>0.2</v>
      </c>
      <c r="L47">
        <f t="shared" si="3"/>
        <v>1359.8400000000001</v>
      </c>
      <c r="M47" t="s">
        <v>159</v>
      </c>
      <c r="N47" t="str">
        <f t="shared" si="4"/>
        <v>Orland Park</v>
      </c>
      <c r="O47" t="str">
        <f t="shared" si="2"/>
        <v>301-496-0002</v>
      </c>
    </row>
    <row r="48" spans="1:15" ht="19.899999999999999" customHeight="1" x14ac:dyDescent="0.3">
      <c r="A48" s="12">
        <f ca="1">DATE(YEAR(TODAY())-3,9,15)</f>
        <v>44819</v>
      </c>
      <c r="B48" s="12">
        <f ca="1">DATE(YEAR(TODAY())-3,9,19)</f>
        <v>44823</v>
      </c>
      <c r="C48" t="s">
        <v>20</v>
      </c>
      <c r="D48" t="s">
        <v>199</v>
      </c>
      <c r="E48" t="s">
        <v>72</v>
      </c>
      <c r="F48" t="s">
        <v>73</v>
      </c>
      <c r="G48" t="s">
        <v>37</v>
      </c>
      <c r="H48" t="s">
        <v>18</v>
      </c>
      <c r="I48">
        <v>3083.43</v>
      </c>
      <c r="J48">
        <v>7</v>
      </c>
      <c r="K48">
        <v>0.5</v>
      </c>
      <c r="L48">
        <f t="shared" si="3"/>
        <v>10792.004999999999</v>
      </c>
      <c r="M48" t="s">
        <v>200</v>
      </c>
      <c r="N48" t="str">
        <f t="shared" si="4"/>
        <v>Philadelphia</v>
      </c>
      <c r="O48" t="str">
        <f t="shared" si="2"/>
        <v>101-496-0024</v>
      </c>
    </row>
    <row r="49" spans="1:15" ht="19.899999999999999" customHeight="1" x14ac:dyDescent="0.3">
      <c r="A49" s="12">
        <f ca="1">DATE(YEAR(TODAY())-3,12,26)</f>
        <v>44921</v>
      </c>
      <c r="B49" s="12">
        <f ca="1">DATE(YEAR(TODAY())-3,12,29)</f>
        <v>44924</v>
      </c>
      <c r="C49" t="s">
        <v>13</v>
      </c>
      <c r="D49" t="s">
        <v>71</v>
      </c>
      <c r="E49" t="s">
        <v>72</v>
      </c>
      <c r="F49" t="s">
        <v>73</v>
      </c>
      <c r="G49" t="s">
        <v>37</v>
      </c>
      <c r="H49" t="s">
        <v>32</v>
      </c>
      <c r="I49">
        <v>54.38</v>
      </c>
      <c r="J49">
        <v>2</v>
      </c>
      <c r="K49">
        <v>0.2</v>
      </c>
      <c r="L49">
        <f t="shared" si="3"/>
        <v>87.00800000000001</v>
      </c>
      <c r="M49" t="s">
        <v>74</v>
      </c>
      <c r="N49" t="str">
        <f t="shared" si="4"/>
        <v>Philadelphia</v>
      </c>
      <c r="O49" t="str">
        <f t="shared" si="2"/>
        <v>101-496-1770</v>
      </c>
    </row>
    <row r="50" spans="1:15" ht="19.899999999999999" customHeight="1" x14ac:dyDescent="0.3">
      <c r="A50" s="12">
        <f ca="1">DATE(YEAR(TODAY())-2,9,4)</f>
        <v>45173</v>
      </c>
      <c r="B50" s="12">
        <f ca="1">DATE(YEAR(TODAY())-2,9,6)</f>
        <v>45175</v>
      </c>
      <c r="C50" t="s">
        <v>13</v>
      </c>
      <c r="D50" t="s">
        <v>107</v>
      </c>
      <c r="E50" t="s">
        <v>72</v>
      </c>
      <c r="F50" t="s">
        <v>73</v>
      </c>
      <c r="G50" t="s">
        <v>37</v>
      </c>
      <c r="H50" t="s">
        <v>18</v>
      </c>
      <c r="I50">
        <v>82.8</v>
      </c>
      <c r="J50">
        <v>2</v>
      </c>
      <c r="K50">
        <v>0.2</v>
      </c>
      <c r="L50">
        <f t="shared" si="3"/>
        <v>132.47999999999999</v>
      </c>
      <c r="M50" t="s">
        <v>108</v>
      </c>
      <c r="N50" t="str">
        <f t="shared" si="4"/>
        <v>Philadelphia</v>
      </c>
      <c r="O50" t="str">
        <f t="shared" si="2"/>
        <v>101-598-2243</v>
      </c>
    </row>
    <row r="51" spans="1:15" ht="19.899999999999999" customHeight="1" x14ac:dyDescent="0.3">
      <c r="A51" s="12">
        <f ca="1">DATE(YEAR(TODAY())-1,7,15)</f>
        <v>45488</v>
      </c>
      <c r="B51" s="12">
        <f ca="1">DATE(YEAR(TODAY())-1,7,17)</f>
        <v>45490</v>
      </c>
      <c r="C51" t="s">
        <v>13</v>
      </c>
      <c r="D51" t="s">
        <v>178</v>
      </c>
      <c r="E51" t="s">
        <v>72</v>
      </c>
      <c r="F51" t="s">
        <v>73</v>
      </c>
      <c r="G51" t="s">
        <v>37</v>
      </c>
      <c r="H51" t="s">
        <v>18</v>
      </c>
      <c r="I51">
        <v>71.37</v>
      </c>
      <c r="J51">
        <v>2</v>
      </c>
      <c r="K51">
        <v>0.3</v>
      </c>
      <c r="L51">
        <f t="shared" si="3"/>
        <v>99.918000000000006</v>
      </c>
      <c r="M51" t="s">
        <v>179</v>
      </c>
      <c r="N51" t="str">
        <f t="shared" si="4"/>
        <v>Philadelphia</v>
      </c>
      <c r="O51" t="str">
        <f t="shared" si="2"/>
        <v>101-496-0013</v>
      </c>
    </row>
    <row r="52" spans="1:15" ht="19.899999999999999" customHeight="1" x14ac:dyDescent="0.3">
      <c r="A52" s="12">
        <f ca="1">DATE(YEAR(TODAY())-2,12,7)</f>
        <v>45267</v>
      </c>
      <c r="B52" s="12">
        <f ca="1">DATE(YEAR(TODAY())-2,12,9)</f>
        <v>45269</v>
      </c>
      <c r="C52" t="s">
        <v>39</v>
      </c>
      <c r="D52" t="s">
        <v>84</v>
      </c>
      <c r="E52" t="s">
        <v>85</v>
      </c>
      <c r="F52" t="s">
        <v>16</v>
      </c>
      <c r="G52" t="s">
        <v>17</v>
      </c>
      <c r="H52" t="s">
        <v>32</v>
      </c>
      <c r="I52">
        <v>1097.54</v>
      </c>
      <c r="J52">
        <v>7</v>
      </c>
      <c r="K52">
        <v>0.2</v>
      </c>
      <c r="L52">
        <f t="shared" si="3"/>
        <v>6146.2240000000002</v>
      </c>
      <c r="M52" t="s">
        <v>60</v>
      </c>
      <c r="N52" t="str">
        <f t="shared" si="4"/>
        <v>Richardson</v>
      </c>
      <c r="O52" t="str">
        <f t="shared" si="2"/>
        <v>301-496-1722</v>
      </c>
    </row>
    <row r="53" spans="1:15" ht="19.899999999999999" customHeight="1" x14ac:dyDescent="0.3">
      <c r="A53" s="12">
        <f ca="1">DATE(YEAR(TODAY())-2,11,30)</f>
        <v>45260</v>
      </c>
      <c r="B53" s="12">
        <f ca="1">DATE(YEAR(TODAY())-2,12,3)</f>
        <v>45263</v>
      </c>
      <c r="C53" t="s">
        <v>13</v>
      </c>
      <c r="D53" t="s">
        <v>81</v>
      </c>
      <c r="E53" t="s">
        <v>82</v>
      </c>
      <c r="F53" t="s">
        <v>69</v>
      </c>
      <c r="G53" t="s">
        <v>17</v>
      </c>
      <c r="H53" t="s">
        <v>23</v>
      </c>
      <c r="I53">
        <v>23.92</v>
      </c>
      <c r="J53">
        <v>4</v>
      </c>
      <c r="K53">
        <v>0</v>
      </c>
      <c r="L53">
        <f t="shared" si="3"/>
        <v>95.68</v>
      </c>
      <c r="M53" t="s">
        <v>83</v>
      </c>
      <c r="N53" t="str">
        <f t="shared" si="4"/>
        <v>Rochester</v>
      </c>
      <c r="O53" t="str">
        <f t="shared" si="2"/>
        <v>301-598-2413</v>
      </c>
    </row>
    <row r="54" spans="1:15" ht="19.899999999999999" customHeight="1" x14ac:dyDescent="0.3">
      <c r="A54" s="12">
        <f ca="1">DATE(YEAR(TODAY())-1,10,25)</f>
        <v>45590</v>
      </c>
      <c r="B54" s="12">
        <f ca="1">DATE(YEAR(TODAY())-1,11,1)</f>
        <v>45597</v>
      </c>
      <c r="C54" t="s">
        <v>20</v>
      </c>
      <c r="D54" t="s">
        <v>154</v>
      </c>
      <c r="E54" t="s">
        <v>82</v>
      </c>
      <c r="F54" t="s">
        <v>69</v>
      </c>
      <c r="G54" t="s">
        <v>17</v>
      </c>
      <c r="H54" t="s">
        <v>32</v>
      </c>
      <c r="I54">
        <v>19.989999999999998</v>
      </c>
      <c r="J54">
        <v>1</v>
      </c>
      <c r="K54">
        <v>0</v>
      </c>
      <c r="L54">
        <f t="shared" si="3"/>
        <v>19.989999999999998</v>
      </c>
      <c r="M54" t="s">
        <v>78</v>
      </c>
      <c r="N54" t="str">
        <f t="shared" si="4"/>
        <v>Rochester</v>
      </c>
      <c r="O54" t="str">
        <f t="shared" si="2"/>
        <v>301-496-1873</v>
      </c>
    </row>
    <row r="55" spans="1:15" ht="19.899999999999999" customHeight="1" x14ac:dyDescent="0.3">
      <c r="A55" s="12">
        <f ca="1">DATE(YEAR(TODAY())-2,9,5)</f>
        <v>45174</v>
      </c>
      <c r="B55" s="12">
        <f ca="1">DATE(YEAR(TODAY())-2,9,10)</f>
        <v>45179</v>
      </c>
      <c r="C55" t="s">
        <v>20</v>
      </c>
      <c r="D55" t="s">
        <v>67</v>
      </c>
      <c r="E55" t="s">
        <v>68</v>
      </c>
      <c r="F55" t="s">
        <v>69</v>
      </c>
      <c r="G55" t="s">
        <v>17</v>
      </c>
      <c r="H55" t="s">
        <v>23</v>
      </c>
      <c r="I55">
        <v>77.88</v>
      </c>
      <c r="J55">
        <v>6</v>
      </c>
      <c r="K55">
        <v>0</v>
      </c>
      <c r="L55">
        <f t="shared" si="3"/>
        <v>467.28</v>
      </c>
      <c r="M55" t="s">
        <v>70</v>
      </c>
      <c r="N55" t="str">
        <f t="shared" si="4"/>
        <v>Saint Paul</v>
      </c>
      <c r="O55" t="str">
        <f t="shared" si="2"/>
        <v>301-598-2483</v>
      </c>
    </row>
    <row r="56" spans="1:15" ht="19.899999999999999" customHeight="1" x14ac:dyDescent="0.3">
      <c r="A56" s="12">
        <f ca="1">DATE(YEAR(TODAY())-4,9,7)</f>
        <v>44446</v>
      </c>
      <c r="B56" s="12">
        <f ca="1">DATE(YEAR(TODAY())-4,9,11)</f>
        <v>44450</v>
      </c>
      <c r="C56" t="s">
        <v>20</v>
      </c>
      <c r="D56" t="s">
        <v>30</v>
      </c>
      <c r="E56" t="s">
        <v>31</v>
      </c>
      <c r="F56" t="s">
        <v>16</v>
      </c>
      <c r="G56" t="s">
        <v>17</v>
      </c>
      <c r="H56" t="s">
        <v>32</v>
      </c>
      <c r="I56">
        <v>8159.95</v>
      </c>
      <c r="J56">
        <v>8</v>
      </c>
      <c r="K56">
        <v>0.4</v>
      </c>
      <c r="L56">
        <f t="shared" si="3"/>
        <v>39167.759999999995</v>
      </c>
      <c r="M56" t="s">
        <v>33</v>
      </c>
      <c r="N56" t="str">
        <f t="shared" si="4"/>
        <v>Lagos</v>
      </c>
      <c r="O56" t="str">
        <f t="shared" si="2"/>
        <v>301-598-2470</v>
      </c>
    </row>
    <row r="57" spans="1:15" ht="19.899999999999999" customHeight="1" x14ac:dyDescent="0.3">
      <c r="A57" s="12">
        <f ca="1">DATE(YEAR(TODAY())-2,6,3)</f>
        <v>45080</v>
      </c>
      <c r="B57" s="12">
        <f ca="1">DATE(YEAR(TODAY())-2,6,5)</f>
        <v>45082</v>
      </c>
      <c r="C57" t="s">
        <v>39</v>
      </c>
      <c r="D57" t="s">
        <v>116</v>
      </c>
      <c r="E57" t="s">
        <v>117</v>
      </c>
      <c r="F57" t="s">
        <v>118</v>
      </c>
      <c r="G57" t="s">
        <v>28</v>
      </c>
      <c r="H57" t="s">
        <v>23</v>
      </c>
      <c r="I57">
        <v>75.88</v>
      </c>
      <c r="J57">
        <v>2</v>
      </c>
      <c r="K57">
        <v>0</v>
      </c>
      <c r="L57">
        <f t="shared" si="3"/>
        <v>151.76</v>
      </c>
      <c r="M57" t="s">
        <v>119</v>
      </c>
      <c r="N57" t="str">
        <f t="shared" si="4"/>
        <v>Springfield</v>
      </c>
      <c r="O57" t="str">
        <f t="shared" si="2"/>
        <v>201-598-5573</v>
      </c>
    </row>
    <row r="58" spans="1:15" ht="19.899999999999999" customHeight="1" x14ac:dyDescent="0.3">
      <c r="A58" s="12">
        <f ca="1">DATE(YEAR(TODAY())-2,6,16)</f>
        <v>45093</v>
      </c>
      <c r="B58" s="12">
        <f ca="1">DATE(YEAR(TODAY())-2,6,17)</f>
        <v>45094</v>
      </c>
      <c r="C58" t="s">
        <v>39</v>
      </c>
      <c r="D58" t="s">
        <v>196</v>
      </c>
      <c r="E58" t="s">
        <v>197</v>
      </c>
      <c r="F58" t="s">
        <v>54</v>
      </c>
      <c r="G58" t="s">
        <v>37</v>
      </c>
      <c r="H58" t="s">
        <v>18</v>
      </c>
      <c r="I58">
        <v>319.41000000000003</v>
      </c>
      <c r="J58">
        <v>5</v>
      </c>
      <c r="K58">
        <v>0.1</v>
      </c>
      <c r="L58">
        <f t="shared" si="3"/>
        <v>1437.3450000000003</v>
      </c>
      <c r="M58" t="s">
        <v>198</v>
      </c>
      <c r="N58" t="str">
        <f t="shared" si="4"/>
        <v>Troy</v>
      </c>
      <c r="O58" t="str">
        <f t="shared" si="2"/>
        <v>101-496-0022</v>
      </c>
    </row>
    <row r="59" spans="1:15" ht="19.899999999999999" customHeight="1" x14ac:dyDescent="0.3">
      <c r="A59" s="12">
        <f ca="1">DATE(YEAR(TODAY())-2,11,2)</f>
        <v>45232</v>
      </c>
      <c r="B59" s="12">
        <f ca="1">DATE(YEAR(TODAY())-2,11,9)</f>
        <v>45239</v>
      </c>
      <c r="C59" t="s">
        <v>20</v>
      </c>
      <c r="D59" t="s">
        <v>48</v>
      </c>
      <c r="E59" t="s">
        <v>49</v>
      </c>
      <c r="F59" t="s">
        <v>50</v>
      </c>
      <c r="G59" t="s">
        <v>17</v>
      </c>
      <c r="H59" t="s">
        <v>23</v>
      </c>
      <c r="I59">
        <v>27.24</v>
      </c>
      <c r="J59">
        <v>6</v>
      </c>
      <c r="K59">
        <v>0</v>
      </c>
      <c r="L59">
        <f t="shared" si="3"/>
        <v>163.44</v>
      </c>
      <c r="M59" t="s">
        <v>51</v>
      </c>
      <c r="N59" t="str">
        <f t="shared" si="4"/>
        <v>Urbandale</v>
      </c>
      <c r="O59" t="str">
        <f t="shared" si="2"/>
        <v>301-598-2426</v>
      </c>
    </row>
    <row r="60" spans="1:15" ht="19.899999999999999" customHeight="1" x14ac:dyDescent="0.3">
      <c r="A60" s="12">
        <f ca="1">DATE(YEAR(TODAY())-1,11,5)</f>
        <v>45601</v>
      </c>
      <c r="B60" s="12">
        <f ca="1">DATE(YEAR(TODAY())-1,11,12)</f>
        <v>45608</v>
      </c>
      <c r="C60" t="s">
        <v>20</v>
      </c>
      <c r="D60" t="s">
        <v>201</v>
      </c>
      <c r="E60" t="s">
        <v>202</v>
      </c>
      <c r="F60" t="s">
        <v>203</v>
      </c>
      <c r="G60" t="s">
        <v>37</v>
      </c>
      <c r="H60" t="s">
        <v>23</v>
      </c>
      <c r="I60">
        <v>46.26</v>
      </c>
      <c r="J60">
        <v>3</v>
      </c>
      <c r="K60">
        <v>0</v>
      </c>
      <c r="L60">
        <f t="shared" si="3"/>
        <v>138.78</v>
      </c>
      <c r="M60" t="s">
        <v>204</v>
      </c>
      <c r="N60" t="str">
        <f t="shared" si="4"/>
        <v>Westfield</v>
      </c>
      <c r="O60" t="str">
        <f t="shared" si="2"/>
        <v>101-496-0026</v>
      </c>
    </row>
    <row r="61" spans="1:15" ht="19.899999999999999" customHeight="1" x14ac:dyDescent="0.3">
      <c r="A61" s="12">
        <f ca="1">DATE(YEAR(TODAY())-2,6,11)</f>
        <v>45088</v>
      </c>
      <c r="B61" s="12">
        <f ca="1">DATE(YEAR(TODAY())-2,6,14)</f>
        <v>45091</v>
      </c>
      <c r="C61" t="s">
        <v>39</v>
      </c>
      <c r="D61" t="s">
        <v>191</v>
      </c>
      <c r="E61" t="s">
        <v>192</v>
      </c>
      <c r="F61" t="s">
        <v>131</v>
      </c>
      <c r="G61" t="s">
        <v>37</v>
      </c>
      <c r="H61" t="s">
        <v>23</v>
      </c>
      <c r="I61">
        <v>226.56</v>
      </c>
      <c r="J61">
        <v>6</v>
      </c>
      <c r="K61">
        <v>0</v>
      </c>
      <c r="L61">
        <f t="shared" si="3"/>
        <v>1359.3600000000001</v>
      </c>
      <c r="M61" t="s">
        <v>193</v>
      </c>
      <c r="N61" t="str">
        <f t="shared" si="4"/>
        <v>Wilmington</v>
      </c>
      <c r="O61" t="str">
        <f t="shared" si="2"/>
        <v>101-496-0019</v>
      </c>
    </row>
    <row r="62" spans="1:15" ht="19.899999999999999" customHeight="1" x14ac:dyDescent="0.3">
      <c r="A62" s="12">
        <f ca="1">DATE(YEAR(TODAY())-4,12,25)</f>
        <v>44555</v>
      </c>
      <c r="B62" s="12">
        <f ca="1">DATE(YEAR(TODAY())-4,12,27)</f>
        <v>44557</v>
      </c>
      <c r="C62" t="s">
        <v>13</v>
      </c>
      <c r="D62" t="s">
        <v>14</v>
      </c>
      <c r="E62" t="e">
        <f>IF</f>
        <v>#NAME?</v>
      </c>
      <c r="F62" t="s">
        <v>16</v>
      </c>
      <c r="G62" t="s">
        <v>17</v>
      </c>
      <c r="H62" t="s">
        <v>18</v>
      </c>
      <c r="I62">
        <v>600.55999999999995</v>
      </c>
      <c r="J62">
        <v>3</v>
      </c>
      <c r="K62">
        <v>0.3</v>
      </c>
      <c r="L62">
        <f t="shared" si="3"/>
        <v>1261.1759999999997</v>
      </c>
      <c r="M62" t="s">
        <v>19</v>
      </c>
      <c r="N62" t="e">
        <f t="shared" si="4"/>
        <v>#NAME?</v>
      </c>
      <c r="O62" t="str">
        <f t="shared" si="2"/>
        <v>301-496-1850</v>
      </c>
    </row>
  </sheetData>
  <sortState xmlns:xlrd2="http://schemas.microsoft.com/office/spreadsheetml/2017/richdata2" ref="A2:N62">
    <sortCondition ref="E2:E62"/>
  </sortState>
  <conditionalFormatting sqref="H1:H62">
    <cfRule type="cellIs" dxfId="7" priority="7" operator="equal">
      <formula>"Technology"</formula>
    </cfRule>
    <cfRule type="cellIs" dxfId="6" priority="8" operator="equal">
      <formula>"Technology"</formula>
    </cfRule>
  </conditionalFormatting>
  <conditionalFormatting sqref="J1">
    <cfRule type="cellIs" dxfId="5" priority="10" operator="between">
      <formula>5</formula>
      <formula>7</formula>
    </cfRule>
    <cfRule type="cellIs" dxfId="4" priority="11" operator="greaterThan">
      <formula>4.5</formula>
    </cfRule>
    <cfRule type="cellIs" dxfId="3" priority="12" operator="between">
      <formula>5</formula>
      <formula>7</formula>
    </cfRule>
  </conditionalFormatting>
  <conditionalFormatting sqref="L1">
    <cfRule type="cellIs" dxfId="2" priority="9" operator="equal">
      <formula>0.1</formula>
    </cfRule>
  </conditionalFormatting>
  <conditionalFormatting sqref="L2:L62">
    <cfRule type="top10" dxfId="1" priority="1" percent="1" rank="10"/>
  </conditionalFormatting>
  <conditionalFormatting sqref="M1">
    <cfRule type="top10" dxfId="0" priority="14" percent="1" rank="10"/>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6" id="{24026D08-907C-429D-928E-CD0D433F4D07}">
            <x14:iconSet iconSet="3Symbols2" custom="1">
              <x14:cfvo type="percent">
                <xm:f>0</xm:f>
              </x14:cfvo>
              <x14:cfvo type="percent">
                <xm:f>0</xm:f>
              </x14:cfvo>
              <x14:cfvo type="num">
                <xm:f>5</xm:f>
              </x14:cfvo>
              <x14:cfIcon iconSet="NoIcons" iconId="0"/>
              <x14:cfIcon iconSet="NoIcons" iconId="0"/>
              <x14:cfIcon iconSet="3Symbols2" iconId="2"/>
            </x14:iconSet>
          </x14:cfRule>
          <xm:sqref>I1</xm:sqref>
        </x14:conditionalFormatting>
        <x14:conditionalFormatting xmlns:xm="http://schemas.microsoft.com/office/excel/2006/main">
          <x14:cfRule type="iconSet" priority="4" id="{6E9CB15B-49E4-4D53-93B2-EFD23B6AAC7B}">
            <x14:iconSet iconSet="3Symbols2" custom="1">
              <x14:cfvo type="percent">
                <xm:f>0</xm:f>
              </x14:cfvo>
              <x14:cfvo type="num">
                <xm:f>0</xm:f>
              </x14:cfvo>
              <x14:cfvo type="num">
                <xm:f>5</xm:f>
              </x14:cfvo>
              <x14:cfIcon iconSet="NoIcons" iconId="0"/>
              <x14:cfIcon iconSet="NoIcons" iconId="0"/>
              <x14:cfIcon iconSet="3Symbols2" iconId="2"/>
            </x14:iconSet>
          </x14:cfRule>
          <x14:cfRule type="iconSet" priority="5" id="{FB61D050-16DB-49F5-AD1B-014274E82DFD}">
            <x14:iconSet iconSet="3Symbols2" custom="1">
              <x14:cfvo type="percent">
                <xm:f>0</xm:f>
              </x14:cfvo>
              <x14:cfvo type="num">
                <xm:f>0</xm:f>
              </x14:cfvo>
              <x14:cfvo type="num">
                <xm:f>5</xm:f>
              </x14:cfvo>
              <x14:cfIcon iconSet="NoIcons" iconId="0"/>
              <x14:cfIcon iconSet="NoIcons" iconId="0"/>
              <x14:cfIcon iconSet="3Symbols2" iconId="2"/>
            </x14:iconSet>
          </x14:cfRule>
          <xm:sqref>J2:J62</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4C3122-5776-4620-9ECF-91462C98FF47}">
  <dimension ref="A4:N5"/>
  <sheetViews>
    <sheetView topLeftCell="A3" workbookViewId="0">
      <selection activeCell="A5" sqref="A5"/>
    </sheetView>
  </sheetViews>
  <sheetFormatPr defaultRowHeight="14" x14ac:dyDescent="0.3"/>
  <cols>
    <col min="1" max="1" width="15.08203125" customWidth="1"/>
    <col min="2" max="2" width="11.83203125" style="12" customWidth="1"/>
    <col min="3" max="3" width="9.9140625" style="12" customWidth="1"/>
    <col min="4" max="4" width="11.33203125" style="12" customWidth="1"/>
    <col min="5" max="5" width="10.83203125" customWidth="1"/>
    <col min="7" max="7" width="16.1640625" customWidth="1"/>
    <col min="9" max="9" width="18" customWidth="1"/>
    <col min="10" max="10" width="12.1640625" customWidth="1"/>
    <col min="12" max="12" width="10.9140625" customWidth="1"/>
    <col min="13" max="13" width="14" customWidth="1"/>
  </cols>
  <sheetData>
    <row r="4" spans="1:14" x14ac:dyDescent="0.3">
      <c r="A4" t="s">
        <v>209</v>
      </c>
      <c r="B4" s="12" t="s">
        <v>0</v>
      </c>
      <c r="C4" s="12" t="s">
        <v>1</v>
      </c>
      <c r="D4" t="s">
        <v>2</v>
      </c>
      <c r="E4" t="s">
        <v>4</v>
      </c>
      <c r="F4" t="s">
        <v>5</v>
      </c>
      <c r="G4" t="s">
        <v>6</v>
      </c>
      <c r="H4" t="s">
        <v>7</v>
      </c>
      <c r="I4" t="s">
        <v>8</v>
      </c>
      <c r="J4" t="s">
        <v>9</v>
      </c>
      <c r="K4" t="s">
        <v>10</v>
      </c>
      <c r="L4" t="s">
        <v>11</v>
      </c>
      <c r="M4" t="s">
        <v>12</v>
      </c>
      <c r="N4" t="e">
        <f ca="1">LOOKUP(C5,"Ship_ Date",Customer_Name)</f>
        <v>#VALUE!</v>
      </c>
    </row>
    <row r="5" spans="1:14" x14ac:dyDescent="0.3">
      <c r="A5" t="s">
        <v>64</v>
      </c>
      <c r="B5" s="12">
        <f ca="1">LOOKUP(A5,Customer_Name_2,Order_Date)</f>
        <v>44534</v>
      </c>
      <c r="C5" s="12">
        <f ca="1">LOOKUP(B5,Order_Date,Ship_Date)</f>
        <v>44463</v>
      </c>
      <c r="D5" t="str">
        <f ca="1">LOOKUP(B5,Order_Date,Ship_Mode)</f>
        <v>USPS</v>
      </c>
      <c r="E5" t="str">
        <f ca="1">LOOKUP(B5,Order_Date,City)</f>
        <v>Bloomington</v>
      </c>
      <c r="F5" t="str">
        <f ca="1">LOOKUP(B5,Order_Date,State)</f>
        <v>Illinois</v>
      </c>
      <c r="G5" t="str">
        <f ca="1">LOOKUP(B5,Order_Date,Region)</f>
        <v>Central</v>
      </c>
      <c r="H5" t="str">
        <f ca="1">LOOKUP(B5,Order_Date,Category)</f>
        <v>Furniture</v>
      </c>
      <c r="I5">
        <f ca="1">LOOKUP(B5,Order_Date,Retail_price_per_unit)</f>
        <v>617.70000000000005</v>
      </c>
      <c r="J5">
        <f ca="1">LOOKUP(B5,Order_Date,Retail_price_per_unit)</f>
        <v>617.70000000000005</v>
      </c>
      <c r="K5">
        <f ca="1">LOOKUP(B5,Order_Date,Quantity_sold)</f>
        <v>6</v>
      </c>
      <c r="L5">
        <f ca="1">LOOKUP(B5,Order_Date,Total_Sales)</f>
        <v>1853.1000000000001</v>
      </c>
      <c r="M5" t="str">
        <f ca="1">LOOKUP(B5,Order_Date,Order_Number)</f>
        <v>496-0004</v>
      </c>
    </row>
  </sheetData>
  <dataValidations count="1">
    <dataValidation type="list" allowBlank="1" showInputMessage="1" showErrorMessage="1" sqref="A5" xr:uid="{B1CE1151-CDA9-4881-8313-E4E001C50ED8}">
      <formula1>Customer_Name_2</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13</vt:i4>
      </vt:variant>
    </vt:vector>
  </HeadingPairs>
  <TitlesOfParts>
    <vt:vector size="16" baseType="lpstr">
      <vt:lpstr>Work Description</vt:lpstr>
      <vt:lpstr>Ordeal Superstore Sales Record</vt:lpstr>
      <vt:lpstr>Dashboard sales order</vt:lpstr>
      <vt:lpstr>Category</vt:lpstr>
      <vt:lpstr>City</vt:lpstr>
      <vt:lpstr>Customer_Name_2</vt:lpstr>
      <vt:lpstr>Discount_percent</vt:lpstr>
      <vt:lpstr>Order_Date</vt:lpstr>
      <vt:lpstr>Order_Number</vt:lpstr>
      <vt:lpstr>Quantity_sold</vt:lpstr>
      <vt:lpstr>Region</vt:lpstr>
      <vt:lpstr>Retail_price_per_unit</vt:lpstr>
      <vt:lpstr>Ship_Date</vt:lpstr>
      <vt:lpstr>Ship_Mode</vt:lpstr>
      <vt:lpstr>State</vt:lpstr>
      <vt:lpstr>Total_Sales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Kevin Poaletti</dc:creator>
  <cp:lastModifiedBy>Gift Jonathan</cp:lastModifiedBy>
  <dcterms:created xsi:type="dcterms:W3CDTF">2021-09-16T13:34:01Z</dcterms:created>
  <dcterms:modified xsi:type="dcterms:W3CDTF">2025-03-31T13:51:43Z</dcterms:modified>
</cp:coreProperties>
</file>