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comments3.xml" ContentType="application/vnd.openxmlformats-officedocument.spreadsheetml.comments+xml"/>
  <Override PartName="/xl/tables/table24.xml" ContentType="application/vnd.openxmlformats-officedocument.spreadsheetml.table+xml"/>
  <Override PartName="/xl/comments4.xml" ContentType="application/vnd.openxmlformats-officedocument.spreadsheetml.comment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5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0" documentId="8_{C4085D0E-92F5-4014-929C-383C9A6A133C}" xr6:coauthVersionLast="47" xr6:coauthVersionMax="47" xr10:uidLastSave="{00000000-0000-0000-0000-000000000000}"/>
  <bookViews>
    <workbookView xWindow="28680" yWindow="-120" windowWidth="19800" windowHeight="11760" firstSheet="6" activeTab="6" xr2:uid="{8E64423A-0B2B-40C7-97BA-1BE323520DEA}"/>
    <workbookView xWindow="1830" yWindow="-120" windowWidth="27090" windowHeight="16440" firstSheet="5" activeTab="3" xr2:uid="{811B0C65-FFEB-40D7-879A-AF3D9E6511E7}"/>
  </bookViews>
  <sheets>
    <sheet name="UniqueNames" sheetId="9" state="hidden" r:id="rId1"/>
    <sheet name="Add New" sheetId="8" r:id="rId2"/>
    <sheet name="Database" sheetId="10" r:id="rId3"/>
    <sheet name="ImgDatabase" sheetId="13" r:id="rId4"/>
    <sheet name="Inventory" sheetId="12" r:id="rId5"/>
    <sheet name="Summary" sheetId="15" r:id="rId6"/>
    <sheet name="Summary (3)" sheetId="16" r:id="rId7"/>
    <sheet name="World Boss" sheetId="3" r:id="rId8"/>
    <sheet name="Talent Books" sheetId="4" r:id="rId9"/>
    <sheet name="Weekly Boss" sheetId="5" r:id="rId10"/>
    <sheet name="Ascension Materials" sheetId="7" r:id="rId11"/>
  </sheets>
  <definedNames>
    <definedName name="_xlnm._FilterDatabase" localSheetId="1" hidden="1">'Add New'!#REF!</definedName>
    <definedName name="_xlnm._FilterDatabase" localSheetId="5" hidden="1">Summary!$A$1:$AN$101</definedName>
    <definedName name="_xlnm._FilterDatabase" localSheetId="6" hidden="1">'Summary (3)'!$A$1:$AH$101</definedName>
    <definedName name="_xlnm._FilterDatabase" localSheetId="8" hidden="1">'Talent Books'!$H$9:$H$87</definedName>
    <definedName name="_xlnm._FilterDatabase" localSheetId="7" hidden="1">'World Boss'!$A$1:$F$32</definedName>
    <definedName name="_xlnm.Extract" localSheetId="10">'Weekly Boss'!$C$2</definedName>
    <definedName name="_xlnm.Extract" localSheetId="5">'World Boss'!$B$2</definedName>
    <definedName name="_xlnm.Extract" localSheetId="6">'World Boss'!$B$2</definedName>
    <definedName name="_xlnm.Extract" localSheetId="8">'Talent Books'!#REF!</definedName>
    <definedName name="_xlnm.Extract" localSheetId="0">UniqueNames!$B$2</definedName>
    <definedName name="_xlnm.Extract" localSheetId="9">'Weekly Boss'!$C$2</definedName>
    <definedName name="HerosWits" localSheetId="5">CharacterDatabase[HerosWits]</definedName>
    <definedName name="HerosWits" localSheetId="6">CharacterDatabase[HerosWits]</definedName>
    <definedName name="HerosWits">CharacterDatabase[HerosWits]</definedName>
    <definedName name="Levels" localSheetId="5">CharacterDatabase[Levels]</definedName>
    <definedName name="Levels" localSheetId="6">CharacterDatabase[Levels]</definedName>
    <definedName name="Levels">CharacterDatabase[Levels]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3" l="1"/>
  <c r="I4" i="13"/>
  <c r="M3" i="13"/>
  <c r="L3" i="13"/>
  <c r="K3" i="13"/>
  <c r="J3" i="13"/>
  <c r="I3" i="13"/>
  <c r="E33" i="15"/>
  <c r="E39" i="15"/>
  <c r="E43" i="15"/>
  <c r="E70" i="15"/>
  <c r="E71" i="15"/>
  <c r="E72" i="15"/>
  <c r="E73" i="15"/>
  <c r="E74" i="15"/>
  <c r="E75" i="15"/>
  <c r="E76" i="15"/>
  <c r="E83" i="15"/>
  <c r="E89" i="15"/>
  <c r="E90" i="15"/>
  <c r="D33" i="15"/>
  <c r="D39" i="15"/>
  <c r="D43" i="15"/>
  <c r="D70" i="15"/>
  <c r="D71" i="15"/>
  <c r="D72" i="15"/>
  <c r="D73" i="15"/>
  <c r="D74" i="15"/>
  <c r="D75" i="15"/>
  <c r="D76" i="15"/>
  <c r="D83" i="15"/>
  <c r="D89" i="15"/>
  <c r="D90" i="15"/>
  <c r="Q92" i="15"/>
  <c r="BI3" i="16"/>
  <c r="BJ3" i="16"/>
  <c r="BK3" i="16"/>
  <c r="BL3" i="16"/>
  <c r="BM3" i="16"/>
  <c r="BI4" i="16"/>
  <c r="BJ4" i="16"/>
  <c r="BK4" i="16"/>
  <c r="BL4" i="16"/>
  <c r="BM4" i="16"/>
  <c r="BI5" i="16"/>
  <c r="BJ5" i="16"/>
  <c r="BK5" i="16"/>
  <c r="BL5" i="16"/>
  <c r="BM5" i="16"/>
  <c r="BI6" i="16"/>
  <c r="BJ6" i="16"/>
  <c r="BK6" i="16"/>
  <c r="BL6" i="16"/>
  <c r="BM6" i="16"/>
  <c r="BI7" i="16"/>
  <c r="BJ7" i="16"/>
  <c r="BK7" i="16"/>
  <c r="BL7" i="16"/>
  <c r="BM7" i="16"/>
  <c r="BI8" i="16"/>
  <c r="BJ8" i="16"/>
  <c r="BK8" i="16"/>
  <c r="BL8" i="16"/>
  <c r="BM8" i="16"/>
  <c r="BI9" i="16"/>
  <c r="BJ9" i="16"/>
  <c r="BK9" i="16"/>
  <c r="BL9" i="16"/>
  <c r="BM9" i="16"/>
  <c r="BI10" i="16"/>
  <c r="BJ10" i="16"/>
  <c r="BK10" i="16"/>
  <c r="BL10" i="16"/>
  <c r="BM10" i="16"/>
  <c r="BI11" i="16"/>
  <c r="BJ11" i="16"/>
  <c r="BK11" i="16"/>
  <c r="BL11" i="16"/>
  <c r="BM11" i="16"/>
  <c r="BI12" i="16"/>
  <c r="BJ12" i="16"/>
  <c r="BK12" i="16"/>
  <c r="BL12" i="16"/>
  <c r="BM12" i="16"/>
  <c r="BI13" i="16"/>
  <c r="BJ13" i="16"/>
  <c r="BK13" i="16"/>
  <c r="BL13" i="16"/>
  <c r="BM13" i="16"/>
  <c r="BI14" i="16"/>
  <c r="BJ14" i="16"/>
  <c r="BK14" i="16"/>
  <c r="BL14" i="16"/>
  <c r="BM14" i="16"/>
  <c r="BI15" i="16"/>
  <c r="BJ15" i="16"/>
  <c r="BK15" i="16"/>
  <c r="BL15" i="16"/>
  <c r="BM15" i="16"/>
  <c r="BI16" i="16"/>
  <c r="BJ16" i="16"/>
  <c r="BK16" i="16"/>
  <c r="BL16" i="16"/>
  <c r="BM16" i="16"/>
  <c r="BI17" i="16"/>
  <c r="BJ17" i="16"/>
  <c r="BK17" i="16"/>
  <c r="BL17" i="16"/>
  <c r="BM17" i="16"/>
  <c r="BI18" i="16"/>
  <c r="BJ18" i="16"/>
  <c r="BK18" i="16"/>
  <c r="BL18" i="16"/>
  <c r="BM18" i="16"/>
  <c r="BI19" i="16"/>
  <c r="BJ19" i="16"/>
  <c r="BK19" i="16"/>
  <c r="BL19" i="16"/>
  <c r="BM19" i="16"/>
  <c r="BI20" i="16"/>
  <c r="BJ20" i="16"/>
  <c r="BK20" i="16"/>
  <c r="BL20" i="16"/>
  <c r="BM20" i="16"/>
  <c r="BI21" i="16"/>
  <c r="BJ21" i="16"/>
  <c r="BK21" i="16"/>
  <c r="BL21" i="16"/>
  <c r="BM21" i="16"/>
  <c r="BI22" i="16"/>
  <c r="BJ22" i="16"/>
  <c r="BK22" i="16"/>
  <c r="BL22" i="16"/>
  <c r="BM22" i="16"/>
  <c r="BI23" i="16"/>
  <c r="BJ23" i="16"/>
  <c r="BK23" i="16"/>
  <c r="BL23" i="16"/>
  <c r="BM23" i="16"/>
  <c r="BI24" i="16"/>
  <c r="BJ24" i="16"/>
  <c r="BK24" i="16"/>
  <c r="BL24" i="16"/>
  <c r="BM24" i="16"/>
  <c r="BI25" i="16"/>
  <c r="BJ25" i="16"/>
  <c r="BK25" i="16"/>
  <c r="BL25" i="16"/>
  <c r="BM25" i="16"/>
  <c r="BI26" i="16"/>
  <c r="BJ26" i="16"/>
  <c r="BK26" i="16"/>
  <c r="BL26" i="16"/>
  <c r="BM26" i="16"/>
  <c r="BI27" i="16"/>
  <c r="BJ27" i="16"/>
  <c r="BK27" i="16"/>
  <c r="BL27" i="16"/>
  <c r="BM27" i="16"/>
  <c r="BI28" i="16"/>
  <c r="BJ28" i="16"/>
  <c r="BK28" i="16"/>
  <c r="BL28" i="16"/>
  <c r="BM28" i="16"/>
  <c r="BI29" i="16"/>
  <c r="BJ29" i="16"/>
  <c r="BK29" i="16"/>
  <c r="BL29" i="16"/>
  <c r="BM29" i="16"/>
  <c r="BI30" i="16"/>
  <c r="BJ30" i="16"/>
  <c r="BK30" i="16"/>
  <c r="BL30" i="16"/>
  <c r="BM30" i="16"/>
  <c r="BI31" i="16"/>
  <c r="BJ31" i="16"/>
  <c r="BK31" i="16"/>
  <c r="BL31" i="16"/>
  <c r="BM31" i="16"/>
  <c r="BI32" i="16"/>
  <c r="BJ32" i="16"/>
  <c r="BK32" i="16"/>
  <c r="BL32" i="16"/>
  <c r="BM32" i="16"/>
  <c r="BI33" i="16"/>
  <c r="BJ33" i="16"/>
  <c r="BK33" i="16"/>
  <c r="BL33" i="16"/>
  <c r="BM33" i="16"/>
  <c r="BI34" i="16"/>
  <c r="BJ34" i="16"/>
  <c r="BK34" i="16"/>
  <c r="BL34" i="16"/>
  <c r="BM34" i="16"/>
  <c r="BI35" i="16"/>
  <c r="BJ35" i="16"/>
  <c r="BK35" i="16"/>
  <c r="BL35" i="16"/>
  <c r="BM35" i="16"/>
  <c r="BI36" i="16"/>
  <c r="BJ36" i="16"/>
  <c r="BK36" i="16"/>
  <c r="BL36" i="16"/>
  <c r="BM36" i="16"/>
  <c r="BI37" i="16"/>
  <c r="BJ37" i="16"/>
  <c r="BK37" i="16"/>
  <c r="BL37" i="16"/>
  <c r="BM37" i="16"/>
  <c r="BI38" i="16"/>
  <c r="BJ38" i="16"/>
  <c r="BK38" i="16"/>
  <c r="BL38" i="16"/>
  <c r="BM38" i="16"/>
  <c r="BI39" i="16"/>
  <c r="BJ39" i="16"/>
  <c r="BK39" i="16"/>
  <c r="BL39" i="16"/>
  <c r="BM39" i="16"/>
  <c r="BI40" i="16"/>
  <c r="BJ40" i="16"/>
  <c r="BK40" i="16"/>
  <c r="BL40" i="16"/>
  <c r="BM40" i="16"/>
  <c r="BI41" i="16"/>
  <c r="BJ41" i="16"/>
  <c r="BK41" i="16"/>
  <c r="BL41" i="16"/>
  <c r="BM41" i="16"/>
  <c r="BI42" i="16"/>
  <c r="BJ42" i="16"/>
  <c r="BK42" i="16"/>
  <c r="BL42" i="16"/>
  <c r="BM42" i="16"/>
  <c r="BI43" i="16"/>
  <c r="BJ43" i="16"/>
  <c r="BK43" i="16"/>
  <c r="BL43" i="16"/>
  <c r="BM43" i="16"/>
  <c r="BI44" i="16"/>
  <c r="BJ44" i="16"/>
  <c r="BK44" i="16"/>
  <c r="BL44" i="16"/>
  <c r="BM44" i="16"/>
  <c r="BI45" i="16"/>
  <c r="BJ45" i="16"/>
  <c r="BK45" i="16"/>
  <c r="BL45" i="16"/>
  <c r="BM45" i="16"/>
  <c r="BI46" i="16"/>
  <c r="BJ46" i="16"/>
  <c r="BK46" i="16"/>
  <c r="BL46" i="16"/>
  <c r="BM46" i="16"/>
  <c r="BI47" i="16"/>
  <c r="BJ47" i="16"/>
  <c r="BK47" i="16"/>
  <c r="BL47" i="16"/>
  <c r="BM47" i="16"/>
  <c r="BI48" i="16"/>
  <c r="BJ48" i="16"/>
  <c r="BK48" i="16"/>
  <c r="BL48" i="16"/>
  <c r="BM48" i="16"/>
  <c r="BI49" i="16"/>
  <c r="BJ49" i="16"/>
  <c r="BK49" i="16"/>
  <c r="BL49" i="16"/>
  <c r="BM49" i="16"/>
  <c r="BI50" i="16"/>
  <c r="BJ50" i="16"/>
  <c r="BK50" i="16"/>
  <c r="BL50" i="16"/>
  <c r="BM50" i="16"/>
  <c r="BI51" i="16"/>
  <c r="BJ51" i="16"/>
  <c r="BK51" i="16"/>
  <c r="BL51" i="16"/>
  <c r="BM51" i="16"/>
  <c r="BI52" i="16"/>
  <c r="BJ52" i="16"/>
  <c r="BK52" i="16"/>
  <c r="BL52" i="16"/>
  <c r="BM52" i="16"/>
  <c r="BI53" i="16"/>
  <c r="BJ53" i="16"/>
  <c r="BK53" i="16"/>
  <c r="BL53" i="16"/>
  <c r="BM53" i="16"/>
  <c r="BI54" i="16"/>
  <c r="BJ54" i="16"/>
  <c r="BK54" i="16"/>
  <c r="BL54" i="16"/>
  <c r="BM54" i="16"/>
  <c r="BI55" i="16"/>
  <c r="BJ55" i="16"/>
  <c r="BK55" i="16"/>
  <c r="BL55" i="16"/>
  <c r="BM55" i="16"/>
  <c r="BI56" i="16"/>
  <c r="BJ56" i="16"/>
  <c r="BK56" i="16"/>
  <c r="BL56" i="16"/>
  <c r="BM56" i="16"/>
  <c r="BI57" i="16"/>
  <c r="BJ57" i="16"/>
  <c r="BK57" i="16"/>
  <c r="BL57" i="16"/>
  <c r="BM57" i="16"/>
  <c r="BI58" i="16"/>
  <c r="BJ58" i="16"/>
  <c r="BK58" i="16"/>
  <c r="BL58" i="16"/>
  <c r="BM58" i="16"/>
  <c r="BI59" i="16"/>
  <c r="BJ59" i="16"/>
  <c r="BK59" i="16"/>
  <c r="BL59" i="16"/>
  <c r="BM59" i="16"/>
  <c r="BI60" i="16"/>
  <c r="BJ60" i="16"/>
  <c r="BK60" i="16"/>
  <c r="BL60" i="16"/>
  <c r="BM60" i="16"/>
  <c r="BI61" i="16"/>
  <c r="BJ61" i="16"/>
  <c r="BK61" i="16"/>
  <c r="BL61" i="16"/>
  <c r="BM61" i="16"/>
  <c r="BI62" i="16"/>
  <c r="BJ62" i="16"/>
  <c r="BK62" i="16"/>
  <c r="BL62" i="16"/>
  <c r="BM62" i="16"/>
  <c r="BI63" i="16"/>
  <c r="BJ63" i="16"/>
  <c r="BK63" i="16"/>
  <c r="BL63" i="16"/>
  <c r="BM63" i="16"/>
  <c r="BI64" i="16"/>
  <c r="BJ64" i="16"/>
  <c r="BK64" i="16"/>
  <c r="BL64" i="16"/>
  <c r="BM64" i="16"/>
  <c r="BI65" i="16"/>
  <c r="BJ65" i="16"/>
  <c r="BK65" i="16"/>
  <c r="BL65" i="16"/>
  <c r="BM65" i="16"/>
  <c r="BI66" i="16"/>
  <c r="BJ66" i="16"/>
  <c r="BK66" i="16"/>
  <c r="BL66" i="16"/>
  <c r="BM66" i="16"/>
  <c r="BI67" i="16"/>
  <c r="BJ67" i="16"/>
  <c r="BK67" i="16"/>
  <c r="BL67" i="16"/>
  <c r="BM67" i="16"/>
  <c r="BI68" i="16"/>
  <c r="BJ68" i="16"/>
  <c r="BK68" i="16"/>
  <c r="BL68" i="16"/>
  <c r="BM68" i="16"/>
  <c r="BI69" i="16"/>
  <c r="BJ69" i="16"/>
  <c r="BK69" i="16"/>
  <c r="BL69" i="16"/>
  <c r="BM69" i="16"/>
  <c r="BI70" i="16"/>
  <c r="BJ70" i="16"/>
  <c r="BK70" i="16"/>
  <c r="BL70" i="16"/>
  <c r="BM70" i="16"/>
  <c r="BI71" i="16"/>
  <c r="BJ71" i="16"/>
  <c r="BK71" i="16"/>
  <c r="BL71" i="16"/>
  <c r="BM71" i="16"/>
  <c r="BI72" i="16"/>
  <c r="BJ72" i="16"/>
  <c r="BK72" i="16"/>
  <c r="BL72" i="16"/>
  <c r="BM72" i="16"/>
  <c r="BI73" i="16"/>
  <c r="BJ73" i="16"/>
  <c r="BK73" i="16"/>
  <c r="BL73" i="16"/>
  <c r="BM73" i="16"/>
  <c r="BI74" i="16"/>
  <c r="BJ74" i="16"/>
  <c r="BK74" i="16"/>
  <c r="BL74" i="16"/>
  <c r="BM74" i="16"/>
  <c r="BI75" i="16"/>
  <c r="BJ75" i="16"/>
  <c r="BK75" i="16"/>
  <c r="BL75" i="16"/>
  <c r="BM75" i="16"/>
  <c r="BI76" i="16"/>
  <c r="BJ76" i="16"/>
  <c r="BK76" i="16"/>
  <c r="BL76" i="16"/>
  <c r="BM76" i="16"/>
  <c r="BI77" i="16"/>
  <c r="BJ77" i="16"/>
  <c r="BK77" i="16"/>
  <c r="BL77" i="16"/>
  <c r="BM77" i="16"/>
  <c r="BI78" i="16"/>
  <c r="BJ78" i="16"/>
  <c r="BK78" i="16"/>
  <c r="BL78" i="16"/>
  <c r="BM78" i="16"/>
  <c r="BI79" i="16"/>
  <c r="BJ79" i="16"/>
  <c r="BK79" i="16"/>
  <c r="BL79" i="16"/>
  <c r="BM79" i="16"/>
  <c r="BI80" i="16"/>
  <c r="BJ80" i="16"/>
  <c r="BK80" i="16"/>
  <c r="BL80" i="16"/>
  <c r="BM80" i="16"/>
  <c r="BI81" i="16"/>
  <c r="BJ81" i="16"/>
  <c r="BK81" i="16"/>
  <c r="BL81" i="16"/>
  <c r="BM81" i="16"/>
  <c r="BI82" i="16"/>
  <c r="BJ82" i="16"/>
  <c r="BK82" i="16"/>
  <c r="BL82" i="16"/>
  <c r="BM82" i="16"/>
  <c r="BI83" i="16"/>
  <c r="BJ83" i="16"/>
  <c r="BK83" i="16"/>
  <c r="BL83" i="16"/>
  <c r="BM83" i="16"/>
  <c r="BI84" i="16"/>
  <c r="BJ84" i="16"/>
  <c r="BK84" i="16"/>
  <c r="BL84" i="16"/>
  <c r="BM84" i="16"/>
  <c r="BI85" i="16"/>
  <c r="BJ85" i="16"/>
  <c r="BK85" i="16"/>
  <c r="BL85" i="16"/>
  <c r="BM85" i="16"/>
  <c r="BI86" i="16"/>
  <c r="BJ86" i="16"/>
  <c r="BK86" i="16"/>
  <c r="BL86" i="16"/>
  <c r="BM86" i="16"/>
  <c r="BI87" i="16"/>
  <c r="BJ87" i="16"/>
  <c r="BK87" i="16"/>
  <c r="BL87" i="16"/>
  <c r="BM87" i="16"/>
  <c r="BI88" i="16"/>
  <c r="BJ88" i="16"/>
  <c r="BK88" i="16"/>
  <c r="BL88" i="16"/>
  <c r="BM88" i="16"/>
  <c r="BI89" i="16"/>
  <c r="BJ89" i="16"/>
  <c r="BK89" i="16"/>
  <c r="BL89" i="16"/>
  <c r="BM89" i="16"/>
  <c r="BI90" i="16"/>
  <c r="BJ90" i="16"/>
  <c r="BK90" i="16"/>
  <c r="BL90" i="16"/>
  <c r="BM90" i="16"/>
  <c r="BI91" i="16"/>
  <c r="BJ91" i="16"/>
  <c r="BK91" i="16"/>
  <c r="BL91" i="16"/>
  <c r="BM91" i="16"/>
  <c r="BS92" i="15"/>
  <c r="BR92" i="15"/>
  <c r="BQ92" i="15"/>
  <c r="BP92" i="15"/>
  <c r="BO92" i="15"/>
  <c r="AY3" i="16"/>
  <c r="BB3" i="16"/>
  <c r="BE3" i="16"/>
  <c r="AV3" i="16"/>
  <c r="AS3" i="16"/>
  <c r="BH3" i="16"/>
  <c r="AY4" i="16"/>
  <c r="BB4" i="16"/>
  <c r="BE4" i="16"/>
  <c r="AV4" i="16"/>
  <c r="AS4" i="16"/>
  <c r="BH4" i="16"/>
  <c r="AY5" i="16"/>
  <c r="BB5" i="16"/>
  <c r="BE5" i="16"/>
  <c r="AV5" i="16"/>
  <c r="AS5" i="16"/>
  <c r="BH5" i="16"/>
  <c r="AY6" i="16"/>
  <c r="BB6" i="16"/>
  <c r="BE6" i="16"/>
  <c r="AV6" i="16"/>
  <c r="AS6" i="16"/>
  <c r="BH6" i="16"/>
  <c r="AY7" i="16"/>
  <c r="BB7" i="16"/>
  <c r="BE7" i="16"/>
  <c r="AV7" i="16"/>
  <c r="AS7" i="16"/>
  <c r="BH7" i="16"/>
  <c r="AY8" i="16"/>
  <c r="BB8" i="16"/>
  <c r="BE8" i="16"/>
  <c r="AV8" i="16"/>
  <c r="AS8" i="16"/>
  <c r="BH8" i="16"/>
  <c r="AY9" i="16"/>
  <c r="BB9" i="16"/>
  <c r="BE9" i="16"/>
  <c r="AV9" i="16"/>
  <c r="AS9" i="16"/>
  <c r="BH9" i="16"/>
  <c r="AY10" i="16"/>
  <c r="BB10" i="16"/>
  <c r="BE10" i="16"/>
  <c r="AV10" i="16"/>
  <c r="AS10" i="16"/>
  <c r="BH10" i="16"/>
  <c r="AY11" i="16"/>
  <c r="BB11" i="16"/>
  <c r="BE11" i="16"/>
  <c r="AV11" i="16"/>
  <c r="AS11" i="16"/>
  <c r="BH11" i="16"/>
  <c r="AY12" i="16"/>
  <c r="BB12" i="16"/>
  <c r="BE12" i="16"/>
  <c r="AV12" i="16"/>
  <c r="AS12" i="16"/>
  <c r="BH12" i="16"/>
  <c r="AY13" i="16"/>
  <c r="BB13" i="16"/>
  <c r="BE13" i="16"/>
  <c r="AV13" i="16"/>
  <c r="AS13" i="16"/>
  <c r="BH13" i="16"/>
  <c r="AY14" i="16"/>
  <c r="BB14" i="16"/>
  <c r="BE14" i="16"/>
  <c r="AV14" i="16"/>
  <c r="AS14" i="16"/>
  <c r="BH14" i="16"/>
  <c r="AY15" i="16"/>
  <c r="BB15" i="16"/>
  <c r="BE15" i="16"/>
  <c r="AV15" i="16"/>
  <c r="AS15" i="16"/>
  <c r="BH15" i="16"/>
  <c r="AY16" i="16"/>
  <c r="BB16" i="16"/>
  <c r="BE16" i="16"/>
  <c r="AV16" i="16"/>
  <c r="AS16" i="16"/>
  <c r="BH16" i="16"/>
  <c r="AY17" i="16"/>
  <c r="BB17" i="16"/>
  <c r="BE17" i="16"/>
  <c r="AV17" i="16"/>
  <c r="AS17" i="16"/>
  <c r="BH17" i="16"/>
  <c r="AY18" i="16"/>
  <c r="BB18" i="16"/>
  <c r="BE18" i="16"/>
  <c r="AV18" i="16"/>
  <c r="AS18" i="16"/>
  <c r="BH18" i="16"/>
  <c r="AY19" i="16"/>
  <c r="BB19" i="16"/>
  <c r="BE19" i="16"/>
  <c r="AV19" i="16"/>
  <c r="AS19" i="16"/>
  <c r="BH19" i="16"/>
  <c r="AY20" i="16"/>
  <c r="BB20" i="16"/>
  <c r="BE20" i="16"/>
  <c r="AV20" i="16"/>
  <c r="AS20" i="16"/>
  <c r="BH20" i="16"/>
  <c r="AY21" i="16"/>
  <c r="BB21" i="16"/>
  <c r="BE21" i="16"/>
  <c r="AV21" i="16"/>
  <c r="AS21" i="16"/>
  <c r="BH21" i="16"/>
  <c r="AY22" i="16"/>
  <c r="BB22" i="16"/>
  <c r="BE22" i="16"/>
  <c r="AV22" i="16"/>
  <c r="AS22" i="16"/>
  <c r="BH22" i="16"/>
  <c r="AY23" i="16"/>
  <c r="BB23" i="16"/>
  <c r="BE23" i="16"/>
  <c r="AV23" i="16"/>
  <c r="AS23" i="16"/>
  <c r="BH23" i="16"/>
  <c r="AY24" i="16"/>
  <c r="BB24" i="16"/>
  <c r="BE24" i="16"/>
  <c r="AV24" i="16"/>
  <c r="AS24" i="16"/>
  <c r="BH24" i="16"/>
  <c r="AY25" i="16"/>
  <c r="BB25" i="16"/>
  <c r="BE25" i="16"/>
  <c r="AV25" i="16"/>
  <c r="AS25" i="16"/>
  <c r="BH25" i="16"/>
  <c r="AY26" i="16"/>
  <c r="BB26" i="16"/>
  <c r="BE26" i="16"/>
  <c r="AV26" i="16"/>
  <c r="AS26" i="16"/>
  <c r="BH26" i="16"/>
  <c r="AY27" i="16"/>
  <c r="BB27" i="16"/>
  <c r="BE27" i="16"/>
  <c r="AV27" i="16"/>
  <c r="AS27" i="16"/>
  <c r="BH27" i="16"/>
  <c r="AY28" i="16"/>
  <c r="BB28" i="16"/>
  <c r="BE28" i="16"/>
  <c r="AV28" i="16"/>
  <c r="AS28" i="16"/>
  <c r="BH28" i="16"/>
  <c r="AY29" i="16"/>
  <c r="BB29" i="16"/>
  <c r="BE29" i="16"/>
  <c r="AV29" i="16"/>
  <c r="AS29" i="16"/>
  <c r="BH29" i="16"/>
  <c r="AY30" i="16"/>
  <c r="BB30" i="16"/>
  <c r="BE30" i="16"/>
  <c r="AV30" i="16"/>
  <c r="AS30" i="16"/>
  <c r="BH30" i="16"/>
  <c r="AY31" i="16"/>
  <c r="BB31" i="16"/>
  <c r="BE31" i="16"/>
  <c r="AV31" i="16"/>
  <c r="AS31" i="16"/>
  <c r="BH31" i="16"/>
  <c r="AY32" i="16"/>
  <c r="BB32" i="16"/>
  <c r="BE32" i="16"/>
  <c r="AV32" i="16"/>
  <c r="AS32" i="16"/>
  <c r="BH32" i="16"/>
  <c r="AY33" i="16"/>
  <c r="BB33" i="16"/>
  <c r="BE33" i="16"/>
  <c r="AV33" i="16"/>
  <c r="AS33" i="16"/>
  <c r="BH33" i="16"/>
  <c r="AY34" i="16"/>
  <c r="BB34" i="16"/>
  <c r="BE34" i="16"/>
  <c r="AV34" i="16"/>
  <c r="AS34" i="16"/>
  <c r="BH34" i="16"/>
  <c r="AY35" i="16"/>
  <c r="BB35" i="16"/>
  <c r="BE35" i="16"/>
  <c r="AV35" i="16"/>
  <c r="AS35" i="16"/>
  <c r="BH35" i="16"/>
  <c r="AY36" i="16"/>
  <c r="BB36" i="16"/>
  <c r="BE36" i="16"/>
  <c r="AV36" i="16"/>
  <c r="AS36" i="16"/>
  <c r="BH36" i="16"/>
  <c r="AY37" i="16"/>
  <c r="BB37" i="16"/>
  <c r="BE37" i="16"/>
  <c r="AV37" i="16"/>
  <c r="AS37" i="16"/>
  <c r="BH37" i="16"/>
  <c r="AY38" i="16"/>
  <c r="BB38" i="16"/>
  <c r="BE38" i="16"/>
  <c r="AV38" i="16"/>
  <c r="AS38" i="16"/>
  <c r="BH38" i="16"/>
  <c r="AY39" i="16"/>
  <c r="BB39" i="16"/>
  <c r="BE39" i="16"/>
  <c r="AV39" i="16"/>
  <c r="AS39" i="16"/>
  <c r="BH39" i="16"/>
  <c r="AY40" i="16"/>
  <c r="BB40" i="16"/>
  <c r="BE40" i="16"/>
  <c r="AV40" i="16"/>
  <c r="AS40" i="16"/>
  <c r="BH40" i="16"/>
  <c r="AY41" i="16"/>
  <c r="BB41" i="16"/>
  <c r="BE41" i="16"/>
  <c r="AV41" i="16"/>
  <c r="AS41" i="16"/>
  <c r="BH41" i="16"/>
  <c r="AY42" i="16"/>
  <c r="BB42" i="16"/>
  <c r="BE42" i="16"/>
  <c r="AV42" i="16"/>
  <c r="AS42" i="16"/>
  <c r="BH42" i="16"/>
  <c r="AY43" i="16"/>
  <c r="BB43" i="16"/>
  <c r="BE43" i="16"/>
  <c r="AV43" i="16"/>
  <c r="AS43" i="16"/>
  <c r="BH43" i="16"/>
  <c r="AY44" i="16"/>
  <c r="BB44" i="16"/>
  <c r="BE44" i="16"/>
  <c r="AV44" i="16"/>
  <c r="AS44" i="16"/>
  <c r="BH44" i="16"/>
  <c r="AY45" i="16"/>
  <c r="BB45" i="16"/>
  <c r="BE45" i="16"/>
  <c r="AV45" i="16"/>
  <c r="AS45" i="16"/>
  <c r="BH45" i="16"/>
  <c r="AY46" i="16"/>
  <c r="BB46" i="16"/>
  <c r="BE46" i="16"/>
  <c r="AV46" i="16"/>
  <c r="AS46" i="16"/>
  <c r="BH46" i="16"/>
  <c r="AY47" i="16"/>
  <c r="BB47" i="16"/>
  <c r="BE47" i="16"/>
  <c r="AV47" i="16"/>
  <c r="AS47" i="16"/>
  <c r="BH47" i="16"/>
  <c r="AY48" i="16"/>
  <c r="BB48" i="16"/>
  <c r="BE48" i="16"/>
  <c r="AV48" i="16"/>
  <c r="AS48" i="16"/>
  <c r="BH48" i="16"/>
  <c r="AY49" i="16"/>
  <c r="BB49" i="16"/>
  <c r="BE49" i="16"/>
  <c r="AV49" i="16"/>
  <c r="AS49" i="16"/>
  <c r="BH49" i="16"/>
  <c r="AY50" i="16"/>
  <c r="BB50" i="16"/>
  <c r="BE50" i="16"/>
  <c r="AV50" i="16"/>
  <c r="AS50" i="16"/>
  <c r="BH50" i="16"/>
  <c r="AY51" i="16"/>
  <c r="BB51" i="16"/>
  <c r="BE51" i="16"/>
  <c r="AV51" i="16"/>
  <c r="AS51" i="16"/>
  <c r="BH51" i="16"/>
  <c r="AY52" i="16"/>
  <c r="BB52" i="16"/>
  <c r="BE52" i="16"/>
  <c r="AV52" i="16"/>
  <c r="AS52" i="16"/>
  <c r="BH52" i="16"/>
  <c r="AY53" i="16"/>
  <c r="BB53" i="16"/>
  <c r="BE53" i="16"/>
  <c r="AV53" i="16"/>
  <c r="AS53" i="16"/>
  <c r="BH53" i="16"/>
  <c r="AY54" i="16"/>
  <c r="BB54" i="16"/>
  <c r="BE54" i="16"/>
  <c r="AV54" i="16"/>
  <c r="AS54" i="16"/>
  <c r="BH54" i="16"/>
  <c r="AY55" i="16"/>
  <c r="BB55" i="16"/>
  <c r="BE55" i="16"/>
  <c r="AV55" i="16"/>
  <c r="AS55" i="16"/>
  <c r="BH55" i="16"/>
  <c r="AY56" i="16"/>
  <c r="BB56" i="16"/>
  <c r="BE56" i="16"/>
  <c r="AV56" i="16"/>
  <c r="AS56" i="16"/>
  <c r="BH56" i="16"/>
  <c r="AY57" i="16"/>
  <c r="BB57" i="16"/>
  <c r="BE57" i="16"/>
  <c r="AV57" i="16"/>
  <c r="AS57" i="16"/>
  <c r="BH57" i="16"/>
  <c r="AY58" i="16"/>
  <c r="BB58" i="16"/>
  <c r="BE58" i="16"/>
  <c r="AV58" i="16"/>
  <c r="AS58" i="16"/>
  <c r="BH58" i="16"/>
  <c r="AY59" i="16"/>
  <c r="BB59" i="16"/>
  <c r="BE59" i="16"/>
  <c r="AV59" i="16"/>
  <c r="AS59" i="16"/>
  <c r="BH59" i="16"/>
  <c r="AY60" i="16"/>
  <c r="BB60" i="16"/>
  <c r="BE60" i="16"/>
  <c r="AV60" i="16"/>
  <c r="AS60" i="16"/>
  <c r="BH60" i="16"/>
  <c r="AY61" i="16"/>
  <c r="BB61" i="16"/>
  <c r="BE61" i="16"/>
  <c r="AV61" i="16"/>
  <c r="AS61" i="16"/>
  <c r="BH61" i="16"/>
  <c r="AY62" i="16"/>
  <c r="BB62" i="16"/>
  <c r="BE62" i="16"/>
  <c r="AV62" i="16"/>
  <c r="AS62" i="16"/>
  <c r="BH62" i="16"/>
  <c r="AY63" i="16"/>
  <c r="BB63" i="16"/>
  <c r="BE63" i="16"/>
  <c r="AV63" i="16"/>
  <c r="AS63" i="16"/>
  <c r="BH63" i="16"/>
  <c r="AY64" i="16"/>
  <c r="BB64" i="16"/>
  <c r="BE64" i="16"/>
  <c r="AV64" i="16"/>
  <c r="AS64" i="16"/>
  <c r="BH64" i="16"/>
  <c r="AY65" i="16"/>
  <c r="BB65" i="16"/>
  <c r="BE65" i="16"/>
  <c r="AV65" i="16"/>
  <c r="AS65" i="16"/>
  <c r="BH65" i="16"/>
  <c r="AY66" i="16"/>
  <c r="BB66" i="16"/>
  <c r="BE66" i="16"/>
  <c r="AV66" i="16"/>
  <c r="AS66" i="16"/>
  <c r="BH66" i="16"/>
  <c r="AY67" i="16"/>
  <c r="BB67" i="16"/>
  <c r="BE67" i="16"/>
  <c r="AV67" i="16"/>
  <c r="AS67" i="16"/>
  <c r="BH67" i="16"/>
  <c r="AY68" i="16"/>
  <c r="BB68" i="16"/>
  <c r="BE68" i="16"/>
  <c r="AV68" i="16"/>
  <c r="AS68" i="16"/>
  <c r="BH68" i="16"/>
  <c r="AY69" i="16"/>
  <c r="BB69" i="16"/>
  <c r="BE69" i="16"/>
  <c r="AV69" i="16"/>
  <c r="AS69" i="16"/>
  <c r="BH69" i="16"/>
  <c r="AY70" i="16"/>
  <c r="BB70" i="16"/>
  <c r="BE70" i="16"/>
  <c r="AV70" i="16"/>
  <c r="AS70" i="16"/>
  <c r="BH70" i="16"/>
  <c r="AY71" i="16"/>
  <c r="BB71" i="16"/>
  <c r="BE71" i="16"/>
  <c r="AV71" i="16"/>
  <c r="AS71" i="16"/>
  <c r="BH71" i="16"/>
  <c r="AY72" i="16"/>
  <c r="BB72" i="16"/>
  <c r="BE72" i="16"/>
  <c r="AV72" i="16"/>
  <c r="AS72" i="16"/>
  <c r="BH72" i="16"/>
  <c r="AY73" i="16"/>
  <c r="BB73" i="16"/>
  <c r="BE73" i="16"/>
  <c r="AV73" i="16"/>
  <c r="AS73" i="16"/>
  <c r="BH73" i="16"/>
  <c r="AY74" i="16"/>
  <c r="BB74" i="16"/>
  <c r="BE74" i="16"/>
  <c r="AV74" i="16"/>
  <c r="AS74" i="16"/>
  <c r="BH74" i="16"/>
  <c r="AY75" i="16"/>
  <c r="BB75" i="16"/>
  <c r="BE75" i="16"/>
  <c r="AV75" i="16"/>
  <c r="AS75" i="16"/>
  <c r="BH75" i="16"/>
  <c r="AY76" i="16"/>
  <c r="BB76" i="16"/>
  <c r="BE76" i="16"/>
  <c r="AV76" i="16"/>
  <c r="AS76" i="16"/>
  <c r="BH76" i="16"/>
  <c r="AY77" i="16"/>
  <c r="BB77" i="16"/>
  <c r="BE77" i="16"/>
  <c r="AV77" i="16"/>
  <c r="AS77" i="16"/>
  <c r="BH77" i="16"/>
  <c r="AY78" i="16"/>
  <c r="BB78" i="16"/>
  <c r="BE78" i="16"/>
  <c r="AV78" i="16"/>
  <c r="AS78" i="16"/>
  <c r="BH78" i="16"/>
  <c r="AY79" i="16"/>
  <c r="BB79" i="16"/>
  <c r="BE79" i="16"/>
  <c r="AV79" i="16"/>
  <c r="AS79" i="16"/>
  <c r="BH79" i="16"/>
  <c r="AY80" i="16"/>
  <c r="BB80" i="16"/>
  <c r="BE80" i="16"/>
  <c r="AV80" i="16"/>
  <c r="AS80" i="16"/>
  <c r="BH80" i="16"/>
  <c r="AY81" i="16"/>
  <c r="BB81" i="16"/>
  <c r="BE81" i="16"/>
  <c r="AV81" i="16"/>
  <c r="AS81" i="16"/>
  <c r="BH81" i="16"/>
  <c r="AY82" i="16"/>
  <c r="BB82" i="16"/>
  <c r="BE82" i="16"/>
  <c r="AV82" i="16"/>
  <c r="AS82" i="16"/>
  <c r="BH82" i="16"/>
  <c r="AY83" i="16"/>
  <c r="BB83" i="16"/>
  <c r="BE83" i="16"/>
  <c r="AV83" i="16"/>
  <c r="AS83" i="16"/>
  <c r="BH83" i="16"/>
  <c r="AY84" i="16"/>
  <c r="BB84" i="16"/>
  <c r="BE84" i="16"/>
  <c r="AV84" i="16"/>
  <c r="AS84" i="16"/>
  <c r="BH84" i="16"/>
  <c r="AY85" i="16"/>
  <c r="BB85" i="16"/>
  <c r="BE85" i="16"/>
  <c r="AV85" i="16"/>
  <c r="AS85" i="16"/>
  <c r="BH85" i="16"/>
  <c r="AY86" i="16"/>
  <c r="BB86" i="16"/>
  <c r="BE86" i="16"/>
  <c r="AV86" i="16"/>
  <c r="AS86" i="16"/>
  <c r="BH86" i="16"/>
  <c r="AY87" i="16"/>
  <c r="BB87" i="16"/>
  <c r="BE87" i="16"/>
  <c r="AV87" i="16"/>
  <c r="AS87" i="16"/>
  <c r="BH87" i="16"/>
  <c r="AY88" i="16"/>
  <c r="BB88" i="16"/>
  <c r="BE88" i="16"/>
  <c r="AV88" i="16"/>
  <c r="AS88" i="16"/>
  <c r="BH88" i="16"/>
  <c r="AY89" i="16"/>
  <c r="BB89" i="16"/>
  <c r="BE89" i="16"/>
  <c r="AV89" i="16"/>
  <c r="AS89" i="16"/>
  <c r="BH89" i="16"/>
  <c r="AY90" i="16"/>
  <c r="BB90" i="16"/>
  <c r="BE90" i="16"/>
  <c r="AV90" i="16"/>
  <c r="AS90" i="16"/>
  <c r="BH90" i="16"/>
  <c r="AY91" i="16"/>
  <c r="BB91" i="16"/>
  <c r="BE91" i="16"/>
  <c r="AV91" i="16"/>
  <c r="AS91" i="16"/>
  <c r="BH91" i="16"/>
  <c r="BN92" i="15"/>
  <c r="AX3" i="16"/>
  <c r="BA3" i="16"/>
  <c r="BD3" i="16"/>
  <c r="AU3" i="16"/>
  <c r="AR3" i="16"/>
  <c r="BG3" i="16"/>
  <c r="AX4" i="16"/>
  <c r="BA4" i="16"/>
  <c r="BD4" i="16"/>
  <c r="AU4" i="16"/>
  <c r="AR4" i="16"/>
  <c r="BG4" i="16"/>
  <c r="AX5" i="16"/>
  <c r="BA5" i="16"/>
  <c r="BD5" i="16"/>
  <c r="AU5" i="16"/>
  <c r="AR5" i="16"/>
  <c r="BG5" i="16"/>
  <c r="AX6" i="16"/>
  <c r="BA6" i="16"/>
  <c r="BD6" i="16"/>
  <c r="AU6" i="16"/>
  <c r="AR6" i="16"/>
  <c r="BG6" i="16"/>
  <c r="AX7" i="16"/>
  <c r="BA7" i="16"/>
  <c r="BD7" i="16"/>
  <c r="AU7" i="16"/>
  <c r="AR7" i="16"/>
  <c r="BG7" i="16"/>
  <c r="AX8" i="16"/>
  <c r="BA8" i="16"/>
  <c r="BD8" i="16"/>
  <c r="AU8" i="16"/>
  <c r="AR8" i="16"/>
  <c r="BG8" i="16"/>
  <c r="AX9" i="16"/>
  <c r="BA9" i="16"/>
  <c r="BD9" i="16"/>
  <c r="AU9" i="16"/>
  <c r="AR9" i="16"/>
  <c r="BG9" i="16"/>
  <c r="AX10" i="16"/>
  <c r="BA10" i="16"/>
  <c r="BD10" i="16"/>
  <c r="AU10" i="16"/>
  <c r="AR10" i="16"/>
  <c r="BG10" i="16"/>
  <c r="AX11" i="16"/>
  <c r="BA11" i="16"/>
  <c r="BD11" i="16"/>
  <c r="AU11" i="16"/>
  <c r="AR11" i="16"/>
  <c r="BG11" i="16"/>
  <c r="AX12" i="16"/>
  <c r="BA12" i="16"/>
  <c r="BD12" i="16"/>
  <c r="AU12" i="16"/>
  <c r="AR12" i="16"/>
  <c r="BG12" i="16"/>
  <c r="AX13" i="16"/>
  <c r="BA13" i="16"/>
  <c r="BD13" i="16"/>
  <c r="AU13" i="16"/>
  <c r="AR13" i="16"/>
  <c r="BG13" i="16"/>
  <c r="AX14" i="16"/>
  <c r="BA14" i="16"/>
  <c r="BD14" i="16"/>
  <c r="AU14" i="16"/>
  <c r="AR14" i="16"/>
  <c r="BG14" i="16"/>
  <c r="AX15" i="16"/>
  <c r="BA15" i="16"/>
  <c r="BD15" i="16"/>
  <c r="AU15" i="16"/>
  <c r="AR15" i="16"/>
  <c r="BG15" i="16"/>
  <c r="AX16" i="16"/>
  <c r="BA16" i="16"/>
  <c r="BD16" i="16"/>
  <c r="AU16" i="16"/>
  <c r="AR16" i="16"/>
  <c r="BG16" i="16"/>
  <c r="AX17" i="16"/>
  <c r="BA17" i="16"/>
  <c r="BD17" i="16"/>
  <c r="AU17" i="16"/>
  <c r="AR17" i="16"/>
  <c r="BG17" i="16"/>
  <c r="AX18" i="16"/>
  <c r="BA18" i="16"/>
  <c r="BD18" i="16"/>
  <c r="AU18" i="16"/>
  <c r="AR18" i="16"/>
  <c r="BG18" i="16"/>
  <c r="AX19" i="16"/>
  <c r="BA19" i="16"/>
  <c r="BD19" i="16"/>
  <c r="AU19" i="16"/>
  <c r="AR19" i="16"/>
  <c r="BG19" i="16"/>
  <c r="AX20" i="16"/>
  <c r="BA20" i="16"/>
  <c r="BD20" i="16"/>
  <c r="AU20" i="16"/>
  <c r="AR20" i="16"/>
  <c r="BG20" i="16"/>
  <c r="AX21" i="16"/>
  <c r="BA21" i="16"/>
  <c r="BD21" i="16"/>
  <c r="AU21" i="16"/>
  <c r="AR21" i="16"/>
  <c r="BG21" i="16"/>
  <c r="AX22" i="16"/>
  <c r="BA22" i="16"/>
  <c r="BD22" i="16"/>
  <c r="AU22" i="16"/>
  <c r="AR22" i="16"/>
  <c r="BG22" i="16"/>
  <c r="AX23" i="16"/>
  <c r="BA23" i="16"/>
  <c r="BD23" i="16"/>
  <c r="AU23" i="16"/>
  <c r="AR23" i="16"/>
  <c r="BG23" i="16"/>
  <c r="AX24" i="16"/>
  <c r="BA24" i="16"/>
  <c r="BD24" i="16"/>
  <c r="AU24" i="16"/>
  <c r="AR24" i="16"/>
  <c r="BG24" i="16"/>
  <c r="AX25" i="16"/>
  <c r="BA25" i="16"/>
  <c r="BD25" i="16"/>
  <c r="AU25" i="16"/>
  <c r="AR25" i="16"/>
  <c r="BG25" i="16"/>
  <c r="AX26" i="16"/>
  <c r="BA26" i="16"/>
  <c r="BD26" i="16"/>
  <c r="AU26" i="16"/>
  <c r="AR26" i="16"/>
  <c r="BG26" i="16"/>
  <c r="AX27" i="16"/>
  <c r="BA27" i="16"/>
  <c r="BD27" i="16"/>
  <c r="AU27" i="16"/>
  <c r="AR27" i="16"/>
  <c r="BG27" i="16"/>
  <c r="AX28" i="16"/>
  <c r="BA28" i="16"/>
  <c r="BD28" i="16"/>
  <c r="AU28" i="16"/>
  <c r="AR28" i="16"/>
  <c r="BG28" i="16"/>
  <c r="AX29" i="16"/>
  <c r="BA29" i="16"/>
  <c r="BD29" i="16"/>
  <c r="AU29" i="16"/>
  <c r="AR29" i="16"/>
  <c r="BG29" i="16"/>
  <c r="AX30" i="16"/>
  <c r="BA30" i="16"/>
  <c r="BD30" i="16"/>
  <c r="AU30" i="16"/>
  <c r="AR30" i="16"/>
  <c r="BG30" i="16"/>
  <c r="AX31" i="16"/>
  <c r="BA31" i="16"/>
  <c r="BD31" i="16"/>
  <c r="AU31" i="16"/>
  <c r="AR31" i="16"/>
  <c r="BG31" i="16"/>
  <c r="AX32" i="16"/>
  <c r="BA32" i="16"/>
  <c r="BD32" i="16"/>
  <c r="AU32" i="16"/>
  <c r="AR32" i="16"/>
  <c r="BG32" i="16"/>
  <c r="AX33" i="16"/>
  <c r="BA33" i="16"/>
  <c r="BD33" i="16"/>
  <c r="AU33" i="16"/>
  <c r="AR33" i="16"/>
  <c r="BG33" i="16"/>
  <c r="AX34" i="16"/>
  <c r="BA34" i="16"/>
  <c r="BD34" i="16"/>
  <c r="AU34" i="16"/>
  <c r="AR34" i="16"/>
  <c r="BG34" i="16"/>
  <c r="AX35" i="16"/>
  <c r="BA35" i="16"/>
  <c r="BD35" i="16"/>
  <c r="AU35" i="16"/>
  <c r="AR35" i="16"/>
  <c r="BG35" i="16"/>
  <c r="AX36" i="16"/>
  <c r="BA36" i="16"/>
  <c r="BD36" i="16"/>
  <c r="AU36" i="16"/>
  <c r="AR36" i="16"/>
  <c r="BG36" i="16"/>
  <c r="AX37" i="16"/>
  <c r="BA37" i="16"/>
  <c r="BD37" i="16"/>
  <c r="AU37" i="16"/>
  <c r="AR37" i="16"/>
  <c r="BG37" i="16"/>
  <c r="AX38" i="16"/>
  <c r="BA38" i="16"/>
  <c r="BD38" i="16"/>
  <c r="AU38" i="16"/>
  <c r="AR38" i="16"/>
  <c r="BG38" i="16"/>
  <c r="AX39" i="16"/>
  <c r="BA39" i="16"/>
  <c r="BD39" i="16"/>
  <c r="AU39" i="16"/>
  <c r="AR39" i="16"/>
  <c r="BG39" i="16"/>
  <c r="AX40" i="16"/>
  <c r="BA40" i="16"/>
  <c r="BD40" i="16"/>
  <c r="AU40" i="16"/>
  <c r="AR40" i="16"/>
  <c r="BG40" i="16"/>
  <c r="AX41" i="16"/>
  <c r="BA41" i="16"/>
  <c r="BD41" i="16"/>
  <c r="AU41" i="16"/>
  <c r="AR41" i="16"/>
  <c r="BG41" i="16"/>
  <c r="AX42" i="16"/>
  <c r="BA42" i="16"/>
  <c r="BD42" i="16"/>
  <c r="AU42" i="16"/>
  <c r="AR42" i="16"/>
  <c r="BG42" i="16"/>
  <c r="AX43" i="16"/>
  <c r="BA43" i="16"/>
  <c r="BD43" i="16"/>
  <c r="AU43" i="16"/>
  <c r="AR43" i="16"/>
  <c r="BG43" i="16"/>
  <c r="AX44" i="16"/>
  <c r="BA44" i="16"/>
  <c r="BD44" i="16"/>
  <c r="AU44" i="16"/>
  <c r="AR44" i="16"/>
  <c r="BG44" i="16"/>
  <c r="AX45" i="16"/>
  <c r="BA45" i="16"/>
  <c r="BD45" i="16"/>
  <c r="AU45" i="16"/>
  <c r="AR45" i="16"/>
  <c r="BG45" i="16"/>
  <c r="AX46" i="16"/>
  <c r="BA46" i="16"/>
  <c r="BD46" i="16"/>
  <c r="AU46" i="16"/>
  <c r="AR46" i="16"/>
  <c r="BG46" i="16"/>
  <c r="AX47" i="16"/>
  <c r="BA47" i="16"/>
  <c r="BD47" i="16"/>
  <c r="AU47" i="16"/>
  <c r="AR47" i="16"/>
  <c r="BG47" i="16"/>
  <c r="AX48" i="16"/>
  <c r="BA48" i="16"/>
  <c r="BD48" i="16"/>
  <c r="AU48" i="16"/>
  <c r="AR48" i="16"/>
  <c r="BG48" i="16"/>
  <c r="AX49" i="16"/>
  <c r="BA49" i="16"/>
  <c r="BD49" i="16"/>
  <c r="AU49" i="16"/>
  <c r="AR49" i="16"/>
  <c r="BG49" i="16"/>
  <c r="AX50" i="16"/>
  <c r="BA50" i="16"/>
  <c r="BD50" i="16"/>
  <c r="AU50" i="16"/>
  <c r="AR50" i="16"/>
  <c r="BG50" i="16"/>
  <c r="AX51" i="16"/>
  <c r="BA51" i="16"/>
  <c r="BD51" i="16"/>
  <c r="AU51" i="16"/>
  <c r="AR51" i="16"/>
  <c r="BG51" i="16"/>
  <c r="AX52" i="16"/>
  <c r="BA52" i="16"/>
  <c r="BD52" i="16"/>
  <c r="AU52" i="16"/>
  <c r="AR52" i="16"/>
  <c r="BG52" i="16"/>
  <c r="AX53" i="16"/>
  <c r="BA53" i="16"/>
  <c r="BD53" i="16"/>
  <c r="AU53" i="16"/>
  <c r="AR53" i="16"/>
  <c r="BG53" i="16"/>
  <c r="AX54" i="16"/>
  <c r="BA54" i="16"/>
  <c r="BD54" i="16"/>
  <c r="AU54" i="16"/>
  <c r="AR54" i="16"/>
  <c r="BG54" i="16"/>
  <c r="AX55" i="16"/>
  <c r="BA55" i="16"/>
  <c r="BD55" i="16"/>
  <c r="AU55" i="16"/>
  <c r="AR55" i="16"/>
  <c r="BG55" i="16"/>
  <c r="AX56" i="16"/>
  <c r="BA56" i="16"/>
  <c r="BD56" i="16"/>
  <c r="AU56" i="16"/>
  <c r="AR56" i="16"/>
  <c r="BG56" i="16"/>
  <c r="AX57" i="16"/>
  <c r="BA57" i="16"/>
  <c r="BD57" i="16"/>
  <c r="AU57" i="16"/>
  <c r="AR57" i="16"/>
  <c r="BG57" i="16"/>
  <c r="AX58" i="16"/>
  <c r="BA58" i="16"/>
  <c r="BD58" i="16"/>
  <c r="AU58" i="16"/>
  <c r="AR58" i="16"/>
  <c r="BG58" i="16"/>
  <c r="AX59" i="16"/>
  <c r="BA59" i="16"/>
  <c r="BD59" i="16"/>
  <c r="AU59" i="16"/>
  <c r="AR59" i="16"/>
  <c r="BG59" i="16"/>
  <c r="AX60" i="16"/>
  <c r="BA60" i="16"/>
  <c r="BD60" i="16"/>
  <c r="AU60" i="16"/>
  <c r="AR60" i="16"/>
  <c r="BG60" i="16"/>
  <c r="AX61" i="16"/>
  <c r="BA61" i="16"/>
  <c r="BD61" i="16"/>
  <c r="AU61" i="16"/>
  <c r="AR61" i="16"/>
  <c r="BG61" i="16"/>
  <c r="AX62" i="16"/>
  <c r="BA62" i="16"/>
  <c r="BD62" i="16"/>
  <c r="AU62" i="16"/>
  <c r="AR62" i="16"/>
  <c r="BG62" i="16"/>
  <c r="AX63" i="16"/>
  <c r="BA63" i="16"/>
  <c r="BD63" i="16"/>
  <c r="AU63" i="16"/>
  <c r="AR63" i="16"/>
  <c r="BG63" i="16"/>
  <c r="AX64" i="16"/>
  <c r="BA64" i="16"/>
  <c r="BD64" i="16"/>
  <c r="AU64" i="16"/>
  <c r="AR64" i="16"/>
  <c r="BG64" i="16"/>
  <c r="AX65" i="16"/>
  <c r="BA65" i="16"/>
  <c r="BD65" i="16"/>
  <c r="AU65" i="16"/>
  <c r="AR65" i="16"/>
  <c r="BG65" i="16"/>
  <c r="AX66" i="16"/>
  <c r="BA66" i="16"/>
  <c r="BD66" i="16"/>
  <c r="AU66" i="16"/>
  <c r="AR66" i="16"/>
  <c r="BG66" i="16"/>
  <c r="AX67" i="16"/>
  <c r="BA67" i="16"/>
  <c r="BD67" i="16"/>
  <c r="AU67" i="16"/>
  <c r="AR67" i="16"/>
  <c r="BG67" i="16"/>
  <c r="AX68" i="16"/>
  <c r="BA68" i="16"/>
  <c r="BD68" i="16"/>
  <c r="AU68" i="16"/>
  <c r="AR68" i="16"/>
  <c r="BG68" i="16"/>
  <c r="AX69" i="16"/>
  <c r="BA69" i="16"/>
  <c r="BD69" i="16"/>
  <c r="AU69" i="16"/>
  <c r="AR69" i="16"/>
  <c r="BG69" i="16"/>
  <c r="AX70" i="16"/>
  <c r="BA70" i="16"/>
  <c r="BD70" i="16"/>
  <c r="AU70" i="16"/>
  <c r="AR70" i="16"/>
  <c r="BG70" i="16"/>
  <c r="AX71" i="16"/>
  <c r="BA71" i="16"/>
  <c r="BD71" i="16"/>
  <c r="AU71" i="16"/>
  <c r="AR71" i="16"/>
  <c r="BG71" i="16"/>
  <c r="AX72" i="16"/>
  <c r="BA72" i="16"/>
  <c r="BD72" i="16"/>
  <c r="AU72" i="16"/>
  <c r="AR72" i="16"/>
  <c r="BG72" i="16"/>
  <c r="AX73" i="16"/>
  <c r="BA73" i="16"/>
  <c r="BD73" i="16"/>
  <c r="AU73" i="16"/>
  <c r="AR73" i="16"/>
  <c r="BG73" i="16"/>
  <c r="AX74" i="16"/>
  <c r="BA74" i="16"/>
  <c r="BD74" i="16"/>
  <c r="AU74" i="16"/>
  <c r="AR74" i="16"/>
  <c r="BG74" i="16"/>
  <c r="AX75" i="16"/>
  <c r="BA75" i="16"/>
  <c r="BD75" i="16"/>
  <c r="AU75" i="16"/>
  <c r="AR75" i="16"/>
  <c r="BG75" i="16"/>
  <c r="AX76" i="16"/>
  <c r="BA76" i="16"/>
  <c r="BD76" i="16"/>
  <c r="AU76" i="16"/>
  <c r="AR76" i="16"/>
  <c r="BG76" i="16"/>
  <c r="AX77" i="16"/>
  <c r="BA77" i="16"/>
  <c r="BD77" i="16"/>
  <c r="AU77" i="16"/>
  <c r="AR77" i="16"/>
  <c r="BG77" i="16"/>
  <c r="AX78" i="16"/>
  <c r="BA78" i="16"/>
  <c r="BD78" i="16"/>
  <c r="AU78" i="16"/>
  <c r="AR78" i="16"/>
  <c r="BG78" i="16"/>
  <c r="AX79" i="16"/>
  <c r="BA79" i="16"/>
  <c r="BD79" i="16"/>
  <c r="AU79" i="16"/>
  <c r="AR79" i="16"/>
  <c r="BG79" i="16"/>
  <c r="AX80" i="16"/>
  <c r="BA80" i="16"/>
  <c r="BD80" i="16"/>
  <c r="AU80" i="16"/>
  <c r="AR80" i="16"/>
  <c r="BG80" i="16"/>
  <c r="AX81" i="16"/>
  <c r="BA81" i="16"/>
  <c r="BD81" i="16"/>
  <c r="AU81" i="16"/>
  <c r="AR81" i="16"/>
  <c r="BG81" i="16"/>
  <c r="AX82" i="16"/>
  <c r="BA82" i="16"/>
  <c r="BD82" i="16"/>
  <c r="AU82" i="16"/>
  <c r="AR82" i="16"/>
  <c r="BG82" i="16"/>
  <c r="AX83" i="16"/>
  <c r="BA83" i="16"/>
  <c r="BD83" i="16"/>
  <c r="AU83" i="16"/>
  <c r="AR83" i="16"/>
  <c r="BG83" i="16"/>
  <c r="AX84" i="16"/>
  <c r="BA84" i="16"/>
  <c r="BD84" i="16"/>
  <c r="AU84" i="16"/>
  <c r="AR84" i="16"/>
  <c r="BG84" i="16"/>
  <c r="AX85" i="16"/>
  <c r="BA85" i="16"/>
  <c r="BD85" i="16"/>
  <c r="AU85" i="16"/>
  <c r="AR85" i="16"/>
  <c r="BG85" i="16"/>
  <c r="AX86" i="16"/>
  <c r="BA86" i="16"/>
  <c r="BD86" i="16"/>
  <c r="AU86" i="16"/>
  <c r="AR86" i="16"/>
  <c r="BG86" i="16"/>
  <c r="AX87" i="16"/>
  <c r="BA87" i="16"/>
  <c r="BD87" i="16"/>
  <c r="AU87" i="16"/>
  <c r="AR87" i="16"/>
  <c r="BG87" i="16"/>
  <c r="AX88" i="16"/>
  <c r="BA88" i="16"/>
  <c r="BD88" i="16"/>
  <c r="AU88" i="16"/>
  <c r="AR88" i="16"/>
  <c r="BG88" i="16"/>
  <c r="AX89" i="16"/>
  <c r="BA89" i="16"/>
  <c r="BD89" i="16"/>
  <c r="AU89" i="16"/>
  <c r="AR89" i="16"/>
  <c r="BG89" i="16"/>
  <c r="AX90" i="16"/>
  <c r="BA90" i="16"/>
  <c r="BD90" i="16"/>
  <c r="AU90" i="16"/>
  <c r="AR90" i="16"/>
  <c r="BG90" i="16"/>
  <c r="AX91" i="16"/>
  <c r="BA91" i="16"/>
  <c r="BD91" i="16"/>
  <c r="AU91" i="16"/>
  <c r="AR91" i="16"/>
  <c r="BG91" i="16"/>
  <c r="BM92" i="15"/>
  <c r="AW3" i="16"/>
  <c r="AZ3" i="16"/>
  <c r="BC3" i="16"/>
  <c r="AT3" i="16"/>
  <c r="AQ3" i="16"/>
  <c r="BF3" i="16"/>
  <c r="AW4" i="16"/>
  <c r="AZ4" i="16"/>
  <c r="BC4" i="16"/>
  <c r="AT4" i="16"/>
  <c r="AQ4" i="16"/>
  <c r="BF4" i="16"/>
  <c r="AW5" i="16"/>
  <c r="AZ5" i="16"/>
  <c r="BC5" i="16"/>
  <c r="AT5" i="16"/>
  <c r="AQ5" i="16"/>
  <c r="BF5" i="16"/>
  <c r="AW6" i="16"/>
  <c r="AZ6" i="16"/>
  <c r="BC6" i="16"/>
  <c r="AT6" i="16"/>
  <c r="AQ6" i="16"/>
  <c r="BF6" i="16"/>
  <c r="AW7" i="16"/>
  <c r="AZ7" i="16"/>
  <c r="BC7" i="16"/>
  <c r="AT7" i="16"/>
  <c r="AQ7" i="16"/>
  <c r="BF7" i="16"/>
  <c r="AW8" i="16"/>
  <c r="AZ8" i="16"/>
  <c r="BC8" i="16"/>
  <c r="AT8" i="16"/>
  <c r="AQ8" i="16"/>
  <c r="BF8" i="16"/>
  <c r="AW9" i="16"/>
  <c r="AZ9" i="16"/>
  <c r="BC9" i="16"/>
  <c r="AT9" i="16"/>
  <c r="AQ9" i="16"/>
  <c r="BF9" i="16"/>
  <c r="AW10" i="16"/>
  <c r="AZ10" i="16"/>
  <c r="BC10" i="16"/>
  <c r="AT10" i="16"/>
  <c r="AQ10" i="16"/>
  <c r="BF10" i="16"/>
  <c r="AW11" i="16"/>
  <c r="AZ11" i="16"/>
  <c r="BC11" i="16"/>
  <c r="AT11" i="16"/>
  <c r="AQ11" i="16"/>
  <c r="BF11" i="16"/>
  <c r="AW12" i="16"/>
  <c r="AZ12" i="16"/>
  <c r="BC12" i="16"/>
  <c r="AT12" i="16"/>
  <c r="AQ12" i="16"/>
  <c r="BF12" i="16"/>
  <c r="AW13" i="16"/>
  <c r="AZ13" i="16"/>
  <c r="BC13" i="16"/>
  <c r="AT13" i="16"/>
  <c r="AQ13" i="16"/>
  <c r="BF13" i="16"/>
  <c r="AW14" i="16"/>
  <c r="AZ14" i="16"/>
  <c r="BC14" i="16"/>
  <c r="AT14" i="16"/>
  <c r="AQ14" i="16"/>
  <c r="BF14" i="16"/>
  <c r="AW15" i="16"/>
  <c r="AZ15" i="16"/>
  <c r="BC15" i="16"/>
  <c r="AT15" i="16"/>
  <c r="AQ15" i="16"/>
  <c r="BF15" i="16"/>
  <c r="AW16" i="16"/>
  <c r="AZ16" i="16"/>
  <c r="BC16" i="16"/>
  <c r="AT16" i="16"/>
  <c r="AQ16" i="16"/>
  <c r="BF16" i="16"/>
  <c r="AW17" i="16"/>
  <c r="AZ17" i="16"/>
  <c r="BC17" i="16"/>
  <c r="AT17" i="16"/>
  <c r="AQ17" i="16"/>
  <c r="BF17" i="16"/>
  <c r="AW18" i="16"/>
  <c r="AZ18" i="16"/>
  <c r="BC18" i="16"/>
  <c r="AT18" i="16"/>
  <c r="AQ18" i="16"/>
  <c r="BF18" i="16"/>
  <c r="AW19" i="16"/>
  <c r="AZ19" i="16"/>
  <c r="BC19" i="16"/>
  <c r="AT19" i="16"/>
  <c r="AQ19" i="16"/>
  <c r="BF19" i="16"/>
  <c r="AW20" i="16"/>
  <c r="AZ20" i="16"/>
  <c r="BC20" i="16"/>
  <c r="AT20" i="16"/>
  <c r="AQ20" i="16"/>
  <c r="BF20" i="16"/>
  <c r="AW21" i="16"/>
  <c r="AZ21" i="16"/>
  <c r="BC21" i="16"/>
  <c r="AT21" i="16"/>
  <c r="AQ21" i="16"/>
  <c r="BF21" i="16"/>
  <c r="AW22" i="16"/>
  <c r="AZ22" i="16"/>
  <c r="BC22" i="16"/>
  <c r="AT22" i="16"/>
  <c r="AQ22" i="16"/>
  <c r="BF22" i="16"/>
  <c r="AW23" i="16"/>
  <c r="AZ23" i="16"/>
  <c r="BC23" i="16"/>
  <c r="AT23" i="16"/>
  <c r="AQ23" i="16"/>
  <c r="BF23" i="16"/>
  <c r="AW24" i="16"/>
  <c r="AZ24" i="16"/>
  <c r="BC24" i="16"/>
  <c r="AT24" i="16"/>
  <c r="AQ24" i="16"/>
  <c r="BF24" i="16"/>
  <c r="AW25" i="16"/>
  <c r="AZ25" i="16"/>
  <c r="BC25" i="16"/>
  <c r="AT25" i="16"/>
  <c r="AQ25" i="16"/>
  <c r="BF25" i="16"/>
  <c r="AW26" i="16"/>
  <c r="AZ26" i="16"/>
  <c r="BC26" i="16"/>
  <c r="AT26" i="16"/>
  <c r="AQ26" i="16"/>
  <c r="BF26" i="16"/>
  <c r="AW27" i="16"/>
  <c r="AZ27" i="16"/>
  <c r="BC27" i="16"/>
  <c r="AT27" i="16"/>
  <c r="AQ27" i="16"/>
  <c r="BF27" i="16"/>
  <c r="AW28" i="16"/>
  <c r="AZ28" i="16"/>
  <c r="BC28" i="16"/>
  <c r="AT28" i="16"/>
  <c r="AQ28" i="16"/>
  <c r="BF28" i="16"/>
  <c r="AW29" i="16"/>
  <c r="AZ29" i="16"/>
  <c r="BC29" i="16"/>
  <c r="AT29" i="16"/>
  <c r="AQ29" i="16"/>
  <c r="BF29" i="16"/>
  <c r="AW30" i="16"/>
  <c r="AZ30" i="16"/>
  <c r="BC30" i="16"/>
  <c r="AT30" i="16"/>
  <c r="AQ30" i="16"/>
  <c r="BF30" i="16"/>
  <c r="AW31" i="16"/>
  <c r="AZ31" i="16"/>
  <c r="BC31" i="16"/>
  <c r="AT31" i="16"/>
  <c r="AQ31" i="16"/>
  <c r="BF31" i="16"/>
  <c r="AW32" i="16"/>
  <c r="AZ32" i="16"/>
  <c r="BC32" i="16"/>
  <c r="AT32" i="16"/>
  <c r="AQ32" i="16"/>
  <c r="BF32" i="16"/>
  <c r="AW33" i="16"/>
  <c r="AZ33" i="16"/>
  <c r="BC33" i="16"/>
  <c r="AT33" i="16"/>
  <c r="AQ33" i="16"/>
  <c r="BF33" i="16"/>
  <c r="AW34" i="16"/>
  <c r="AZ34" i="16"/>
  <c r="BC34" i="16"/>
  <c r="AT34" i="16"/>
  <c r="AQ34" i="16"/>
  <c r="BF34" i="16"/>
  <c r="AW35" i="16"/>
  <c r="AZ35" i="16"/>
  <c r="BC35" i="16"/>
  <c r="AT35" i="16"/>
  <c r="AQ35" i="16"/>
  <c r="BF35" i="16"/>
  <c r="AW36" i="16"/>
  <c r="AZ36" i="16"/>
  <c r="BC36" i="16"/>
  <c r="AT36" i="16"/>
  <c r="AQ36" i="16"/>
  <c r="BF36" i="16"/>
  <c r="AW37" i="16"/>
  <c r="AZ37" i="16"/>
  <c r="BC37" i="16"/>
  <c r="AT37" i="16"/>
  <c r="AQ37" i="16"/>
  <c r="BF37" i="16"/>
  <c r="AW38" i="16"/>
  <c r="AZ38" i="16"/>
  <c r="BC38" i="16"/>
  <c r="AT38" i="16"/>
  <c r="AQ38" i="16"/>
  <c r="BF38" i="16"/>
  <c r="AW39" i="16"/>
  <c r="AZ39" i="16"/>
  <c r="BC39" i="16"/>
  <c r="AT39" i="16"/>
  <c r="AQ39" i="16"/>
  <c r="BF39" i="16"/>
  <c r="AW40" i="16"/>
  <c r="AZ40" i="16"/>
  <c r="BC40" i="16"/>
  <c r="AT40" i="16"/>
  <c r="AQ40" i="16"/>
  <c r="BF40" i="16"/>
  <c r="AW41" i="16"/>
  <c r="AZ41" i="16"/>
  <c r="BC41" i="16"/>
  <c r="AT41" i="16"/>
  <c r="AQ41" i="16"/>
  <c r="BF41" i="16"/>
  <c r="AW42" i="16"/>
  <c r="AZ42" i="16"/>
  <c r="BC42" i="16"/>
  <c r="AT42" i="16"/>
  <c r="AQ42" i="16"/>
  <c r="BF42" i="16"/>
  <c r="AW43" i="16"/>
  <c r="AZ43" i="16"/>
  <c r="BC43" i="16"/>
  <c r="AT43" i="16"/>
  <c r="AQ43" i="16"/>
  <c r="BF43" i="16"/>
  <c r="AW44" i="16"/>
  <c r="AZ44" i="16"/>
  <c r="BC44" i="16"/>
  <c r="AT44" i="16"/>
  <c r="AQ44" i="16"/>
  <c r="BF44" i="16"/>
  <c r="AW45" i="16"/>
  <c r="AZ45" i="16"/>
  <c r="BC45" i="16"/>
  <c r="AT45" i="16"/>
  <c r="AQ45" i="16"/>
  <c r="BF45" i="16"/>
  <c r="AW46" i="16"/>
  <c r="AZ46" i="16"/>
  <c r="BC46" i="16"/>
  <c r="AT46" i="16"/>
  <c r="AQ46" i="16"/>
  <c r="BF46" i="16"/>
  <c r="AW47" i="16"/>
  <c r="AZ47" i="16"/>
  <c r="BC47" i="16"/>
  <c r="AT47" i="16"/>
  <c r="AQ47" i="16"/>
  <c r="BF47" i="16"/>
  <c r="AW48" i="16"/>
  <c r="AZ48" i="16"/>
  <c r="BC48" i="16"/>
  <c r="AT48" i="16"/>
  <c r="AQ48" i="16"/>
  <c r="BF48" i="16"/>
  <c r="AW49" i="16"/>
  <c r="AZ49" i="16"/>
  <c r="BC49" i="16"/>
  <c r="AT49" i="16"/>
  <c r="AQ49" i="16"/>
  <c r="BF49" i="16"/>
  <c r="AW50" i="16"/>
  <c r="AZ50" i="16"/>
  <c r="BC50" i="16"/>
  <c r="AT50" i="16"/>
  <c r="AQ50" i="16"/>
  <c r="BF50" i="16"/>
  <c r="AW51" i="16"/>
  <c r="AZ51" i="16"/>
  <c r="BC51" i="16"/>
  <c r="AT51" i="16"/>
  <c r="AQ51" i="16"/>
  <c r="BF51" i="16"/>
  <c r="AW52" i="16"/>
  <c r="AZ52" i="16"/>
  <c r="BC52" i="16"/>
  <c r="AT52" i="16"/>
  <c r="AQ52" i="16"/>
  <c r="BF52" i="16"/>
  <c r="AW53" i="16"/>
  <c r="AZ53" i="16"/>
  <c r="BC53" i="16"/>
  <c r="AT53" i="16"/>
  <c r="AQ53" i="16"/>
  <c r="BF53" i="16"/>
  <c r="AW54" i="16"/>
  <c r="AZ54" i="16"/>
  <c r="BC54" i="16"/>
  <c r="AT54" i="16"/>
  <c r="AQ54" i="16"/>
  <c r="BF54" i="16"/>
  <c r="AW55" i="16"/>
  <c r="AZ55" i="16"/>
  <c r="BC55" i="16"/>
  <c r="AT55" i="16"/>
  <c r="AQ55" i="16"/>
  <c r="BF55" i="16"/>
  <c r="AW56" i="16"/>
  <c r="AZ56" i="16"/>
  <c r="BC56" i="16"/>
  <c r="AT56" i="16"/>
  <c r="AQ56" i="16"/>
  <c r="BF56" i="16"/>
  <c r="AW57" i="16"/>
  <c r="AZ57" i="16"/>
  <c r="BC57" i="16"/>
  <c r="AT57" i="16"/>
  <c r="AQ57" i="16"/>
  <c r="BF57" i="16"/>
  <c r="AW58" i="16"/>
  <c r="AZ58" i="16"/>
  <c r="BC58" i="16"/>
  <c r="AT58" i="16"/>
  <c r="AQ58" i="16"/>
  <c r="BF58" i="16"/>
  <c r="AW59" i="16"/>
  <c r="AZ59" i="16"/>
  <c r="BC59" i="16"/>
  <c r="AT59" i="16"/>
  <c r="AQ59" i="16"/>
  <c r="BF59" i="16"/>
  <c r="AW60" i="16"/>
  <c r="AZ60" i="16"/>
  <c r="BC60" i="16"/>
  <c r="AT60" i="16"/>
  <c r="AQ60" i="16"/>
  <c r="BF60" i="16"/>
  <c r="AW61" i="16"/>
  <c r="AZ61" i="16"/>
  <c r="BC61" i="16"/>
  <c r="AT61" i="16"/>
  <c r="AQ61" i="16"/>
  <c r="BF61" i="16"/>
  <c r="AW62" i="16"/>
  <c r="AZ62" i="16"/>
  <c r="BC62" i="16"/>
  <c r="AT62" i="16"/>
  <c r="AQ62" i="16"/>
  <c r="BF62" i="16"/>
  <c r="AW63" i="16"/>
  <c r="AZ63" i="16"/>
  <c r="BC63" i="16"/>
  <c r="AT63" i="16"/>
  <c r="AQ63" i="16"/>
  <c r="BF63" i="16"/>
  <c r="AW64" i="16"/>
  <c r="AZ64" i="16"/>
  <c r="BC64" i="16"/>
  <c r="AT64" i="16"/>
  <c r="AQ64" i="16"/>
  <c r="BF64" i="16"/>
  <c r="AW65" i="16"/>
  <c r="AZ65" i="16"/>
  <c r="BC65" i="16"/>
  <c r="AT65" i="16"/>
  <c r="AQ65" i="16"/>
  <c r="BF65" i="16"/>
  <c r="AW66" i="16"/>
  <c r="AZ66" i="16"/>
  <c r="BC66" i="16"/>
  <c r="AT66" i="16"/>
  <c r="AQ66" i="16"/>
  <c r="BF66" i="16"/>
  <c r="AW67" i="16"/>
  <c r="AZ67" i="16"/>
  <c r="BC67" i="16"/>
  <c r="AT67" i="16"/>
  <c r="AQ67" i="16"/>
  <c r="BF67" i="16"/>
  <c r="AW68" i="16"/>
  <c r="AZ68" i="16"/>
  <c r="BC68" i="16"/>
  <c r="AT68" i="16"/>
  <c r="AQ68" i="16"/>
  <c r="BF68" i="16"/>
  <c r="AW69" i="16"/>
  <c r="AZ69" i="16"/>
  <c r="BC69" i="16"/>
  <c r="AT69" i="16"/>
  <c r="AQ69" i="16"/>
  <c r="BF69" i="16"/>
  <c r="AW70" i="16"/>
  <c r="AZ70" i="16"/>
  <c r="BC70" i="16"/>
  <c r="AT70" i="16"/>
  <c r="AQ70" i="16"/>
  <c r="BF70" i="16"/>
  <c r="AW71" i="16"/>
  <c r="AZ71" i="16"/>
  <c r="BC71" i="16"/>
  <c r="AT71" i="16"/>
  <c r="AQ71" i="16"/>
  <c r="BF71" i="16"/>
  <c r="AW72" i="16"/>
  <c r="AZ72" i="16"/>
  <c r="BC72" i="16"/>
  <c r="AT72" i="16"/>
  <c r="AQ72" i="16"/>
  <c r="BF72" i="16"/>
  <c r="AW73" i="16"/>
  <c r="AZ73" i="16"/>
  <c r="BC73" i="16"/>
  <c r="AT73" i="16"/>
  <c r="AQ73" i="16"/>
  <c r="BF73" i="16"/>
  <c r="AW74" i="16"/>
  <c r="AZ74" i="16"/>
  <c r="BC74" i="16"/>
  <c r="AT74" i="16"/>
  <c r="AQ74" i="16"/>
  <c r="BF74" i="16"/>
  <c r="AW75" i="16"/>
  <c r="AZ75" i="16"/>
  <c r="BC75" i="16"/>
  <c r="AT75" i="16"/>
  <c r="AQ75" i="16"/>
  <c r="BF75" i="16"/>
  <c r="AW76" i="16"/>
  <c r="AZ76" i="16"/>
  <c r="BC76" i="16"/>
  <c r="AT76" i="16"/>
  <c r="AQ76" i="16"/>
  <c r="BF76" i="16"/>
  <c r="AW77" i="16"/>
  <c r="AZ77" i="16"/>
  <c r="BC77" i="16"/>
  <c r="AT77" i="16"/>
  <c r="AQ77" i="16"/>
  <c r="BF77" i="16"/>
  <c r="AW78" i="16"/>
  <c r="AZ78" i="16"/>
  <c r="BC78" i="16"/>
  <c r="AT78" i="16"/>
  <c r="AQ78" i="16"/>
  <c r="BF78" i="16"/>
  <c r="AW79" i="16"/>
  <c r="AZ79" i="16"/>
  <c r="BC79" i="16"/>
  <c r="AT79" i="16"/>
  <c r="AQ79" i="16"/>
  <c r="BF79" i="16"/>
  <c r="AW80" i="16"/>
  <c r="AZ80" i="16"/>
  <c r="BC80" i="16"/>
  <c r="AT80" i="16"/>
  <c r="AQ80" i="16"/>
  <c r="BF80" i="16"/>
  <c r="AW81" i="16"/>
  <c r="AZ81" i="16"/>
  <c r="BC81" i="16"/>
  <c r="AT81" i="16"/>
  <c r="AQ81" i="16"/>
  <c r="BF81" i="16"/>
  <c r="AW82" i="16"/>
  <c r="AZ82" i="16"/>
  <c r="BC82" i="16"/>
  <c r="AT82" i="16"/>
  <c r="AQ82" i="16"/>
  <c r="BF82" i="16"/>
  <c r="AW83" i="16"/>
  <c r="AZ83" i="16"/>
  <c r="BC83" i="16"/>
  <c r="AT83" i="16"/>
  <c r="AQ83" i="16"/>
  <c r="BF83" i="16"/>
  <c r="AW84" i="16"/>
  <c r="AZ84" i="16"/>
  <c r="BC84" i="16"/>
  <c r="AT84" i="16"/>
  <c r="AQ84" i="16"/>
  <c r="BF84" i="16"/>
  <c r="AW85" i="16"/>
  <c r="AZ85" i="16"/>
  <c r="BC85" i="16"/>
  <c r="AT85" i="16"/>
  <c r="AQ85" i="16"/>
  <c r="BF85" i="16"/>
  <c r="AW86" i="16"/>
  <c r="AZ86" i="16"/>
  <c r="BC86" i="16"/>
  <c r="AT86" i="16"/>
  <c r="AQ86" i="16"/>
  <c r="BF86" i="16"/>
  <c r="AW87" i="16"/>
  <c r="AZ87" i="16"/>
  <c r="BC87" i="16"/>
  <c r="AT87" i="16"/>
  <c r="AQ87" i="16"/>
  <c r="BF87" i="16"/>
  <c r="AW88" i="16"/>
  <c r="AZ88" i="16"/>
  <c r="BC88" i="16"/>
  <c r="AT88" i="16"/>
  <c r="AQ88" i="16"/>
  <c r="BF88" i="16"/>
  <c r="AW89" i="16"/>
  <c r="AZ89" i="16"/>
  <c r="BC89" i="16"/>
  <c r="AT89" i="16"/>
  <c r="AQ89" i="16"/>
  <c r="BF89" i="16"/>
  <c r="AW90" i="16"/>
  <c r="AZ90" i="16"/>
  <c r="BC90" i="16"/>
  <c r="AT90" i="16"/>
  <c r="AQ90" i="16"/>
  <c r="BF90" i="16"/>
  <c r="AW91" i="16"/>
  <c r="AZ91" i="16"/>
  <c r="BC91" i="16"/>
  <c r="AT91" i="16"/>
  <c r="AQ91" i="16"/>
  <c r="BF91" i="16"/>
  <c r="BL92" i="15"/>
  <c r="BK92" i="15"/>
  <c r="BJ92" i="15"/>
  <c r="BI92" i="15"/>
  <c r="BH92" i="15"/>
  <c r="BG92" i="15"/>
  <c r="BF92" i="15"/>
  <c r="BE92" i="15"/>
  <c r="BD92" i="15"/>
  <c r="BC92" i="15"/>
  <c r="BB92" i="15"/>
  <c r="BA92" i="15"/>
  <c r="AZ92" i="15"/>
  <c r="AY92" i="15"/>
  <c r="AX92" i="15"/>
  <c r="AW92" i="15"/>
  <c r="AO3" i="16"/>
  <c r="AO4" i="16"/>
  <c r="AO5" i="16"/>
  <c r="AO6" i="16"/>
  <c r="AO7" i="16"/>
  <c r="AO8" i="16"/>
  <c r="AO9" i="16"/>
  <c r="AO10" i="16"/>
  <c r="AO11" i="16"/>
  <c r="AO12" i="16"/>
  <c r="AO13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O33" i="16"/>
  <c r="AO34" i="16"/>
  <c r="AO35" i="16"/>
  <c r="AO36" i="16"/>
  <c r="AO37" i="16"/>
  <c r="AO38" i="16"/>
  <c r="AO39" i="16"/>
  <c r="AO40" i="16"/>
  <c r="AO41" i="16"/>
  <c r="AO42" i="16"/>
  <c r="AO43" i="16"/>
  <c r="AO44" i="16"/>
  <c r="AO45" i="16"/>
  <c r="AO46" i="16"/>
  <c r="AO47" i="16"/>
  <c r="AO48" i="16"/>
  <c r="AO49" i="16"/>
  <c r="AO50" i="16"/>
  <c r="AO51" i="16"/>
  <c r="AO52" i="16"/>
  <c r="AO53" i="16"/>
  <c r="AO54" i="16"/>
  <c r="AO55" i="16"/>
  <c r="AO56" i="16"/>
  <c r="AO57" i="16"/>
  <c r="AO58" i="16"/>
  <c r="AO59" i="16"/>
  <c r="AO60" i="16"/>
  <c r="AO61" i="16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U92" i="15"/>
  <c r="AN3" i="16"/>
  <c r="AN4" i="16"/>
  <c r="AN5" i="16"/>
  <c r="AN6" i="16"/>
  <c r="AN7" i="16"/>
  <c r="AN8" i="16"/>
  <c r="AN9" i="16"/>
  <c r="AN10" i="16"/>
  <c r="AN11" i="16"/>
  <c r="AN12" i="16"/>
  <c r="AN13" i="16"/>
  <c r="AN14" i="16"/>
  <c r="AN15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N29" i="16"/>
  <c r="AN30" i="16"/>
  <c r="AN31" i="16"/>
  <c r="AN32" i="16"/>
  <c r="AN33" i="16"/>
  <c r="AN34" i="16"/>
  <c r="AN35" i="16"/>
  <c r="AN36" i="16"/>
  <c r="AN37" i="16"/>
  <c r="AN38" i="16"/>
  <c r="AN39" i="16"/>
  <c r="AN40" i="16"/>
  <c r="AN41" i="16"/>
  <c r="AN42" i="16"/>
  <c r="AN43" i="16"/>
  <c r="AN44" i="16"/>
  <c r="AN45" i="16"/>
  <c r="AN46" i="16"/>
  <c r="AN47" i="16"/>
  <c r="AN48" i="16"/>
  <c r="AN49" i="16"/>
  <c r="AN50" i="16"/>
  <c r="AN51" i="16"/>
  <c r="AN52" i="16"/>
  <c r="AN53" i="16"/>
  <c r="AN54" i="16"/>
  <c r="AN55" i="16"/>
  <c r="AN56" i="16"/>
  <c r="AN57" i="16"/>
  <c r="AN58" i="16"/>
  <c r="AN59" i="16"/>
  <c r="AN60" i="16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T92" i="15"/>
  <c r="AM3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M18" i="16"/>
  <c r="AM19" i="16"/>
  <c r="AM20" i="16"/>
  <c r="AM21" i="16"/>
  <c r="AM22" i="16"/>
  <c r="AM23" i="16"/>
  <c r="AM24" i="16"/>
  <c r="AM25" i="16"/>
  <c r="AM26" i="16"/>
  <c r="AM27" i="16"/>
  <c r="AM28" i="16"/>
  <c r="AM29" i="16"/>
  <c r="AM30" i="16"/>
  <c r="AM31" i="16"/>
  <c r="AM32" i="16"/>
  <c r="AM33" i="16"/>
  <c r="AM34" i="16"/>
  <c r="AM35" i="16"/>
  <c r="AM36" i="16"/>
  <c r="AM37" i="16"/>
  <c r="AM38" i="16"/>
  <c r="AM39" i="16"/>
  <c r="AM40" i="16"/>
  <c r="AM41" i="16"/>
  <c r="AM42" i="16"/>
  <c r="AM43" i="16"/>
  <c r="AM44" i="16"/>
  <c r="AM45" i="16"/>
  <c r="AM46" i="16"/>
  <c r="AM47" i="16"/>
  <c r="AM48" i="16"/>
  <c r="AM49" i="16"/>
  <c r="AM50" i="16"/>
  <c r="AM51" i="16"/>
  <c r="AM52" i="16"/>
  <c r="AM53" i="16"/>
  <c r="AM54" i="16"/>
  <c r="AM55" i="16"/>
  <c r="AM56" i="16"/>
  <c r="AM57" i="16"/>
  <c r="AM58" i="16"/>
  <c r="AM59" i="16"/>
  <c r="AM60" i="16"/>
  <c r="AM61" i="16"/>
  <c r="AM62" i="16"/>
  <c r="AM63" i="16"/>
  <c r="AM64" i="16"/>
  <c r="AM65" i="16"/>
  <c r="AM66" i="16"/>
  <c r="AM67" i="16"/>
  <c r="AM68" i="16"/>
  <c r="AM69" i="16"/>
  <c r="AM70" i="16"/>
  <c r="AM71" i="16"/>
  <c r="AM72" i="16"/>
  <c r="AM73" i="16"/>
  <c r="AM74" i="16"/>
  <c r="AM75" i="16"/>
  <c r="AM76" i="16"/>
  <c r="AM77" i="16"/>
  <c r="AM78" i="16"/>
  <c r="AM79" i="16"/>
  <c r="AM80" i="16"/>
  <c r="AM81" i="16"/>
  <c r="AM82" i="16"/>
  <c r="AM83" i="16"/>
  <c r="AM84" i="16"/>
  <c r="AM85" i="16"/>
  <c r="AM86" i="16"/>
  <c r="AM87" i="16"/>
  <c r="AM88" i="16"/>
  <c r="AM89" i="16"/>
  <c r="AM90" i="16"/>
  <c r="AM91" i="16"/>
  <c r="AS92" i="15"/>
  <c r="AL3" i="16"/>
  <c r="AL4" i="16"/>
  <c r="AL5" i="16"/>
  <c r="AL6" i="16"/>
  <c r="AL7" i="16"/>
  <c r="AL8" i="16"/>
  <c r="AL9" i="16"/>
  <c r="AL10" i="16"/>
  <c r="AL11" i="16"/>
  <c r="AL12" i="16"/>
  <c r="AL13" i="16"/>
  <c r="AL14" i="16"/>
  <c r="AL15" i="16"/>
  <c r="AL16" i="16"/>
  <c r="AL17" i="16"/>
  <c r="AL18" i="16"/>
  <c r="AL19" i="16"/>
  <c r="AL20" i="16"/>
  <c r="AL21" i="16"/>
  <c r="AL22" i="16"/>
  <c r="AL23" i="16"/>
  <c r="AL24" i="16"/>
  <c r="AL25" i="16"/>
  <c r="AL26" i="16"/>
  <c r="AL27" i="16"/>
  <c r="AL28" i="16"/>
  <c r="AL29" i="16"/>
  <c r="AL30" i="16"/>
  <c r="AL31" i="16"/>
  <c r="AL32" i="16"/>
  <c r="AL33" i="16"/>
  <c r="AL34" i="16"/>
  <c r="AL35" i="16"/>
  <c r="AL36" i="16"/>
  <c r="AL37" i="16"/>
  <c r="AL38" i="16"/>
  <c r="AL39" i="16"/>
  <c r="AL40" i="16"/>
  <c r="AL41" i="16"/>
  <c r="AL42" i="16"/>
  <c r="AL43" i="16"/>
  <c r="AL44" i="16"/>
  <c r="AL45" i="16"/>
  <c r="AL46" i="16"/>
  <c r="AL47" i="16"/>
  <c r="AL48" i="16"/>
  <c r="AL49" i="16"/>
  <c r="AL50" i="16"/>
  <c r="AL51" i="16"/>
  <c r="AL52" i="16"/>
  <c r="AL53" i="16"/>
  <c r="AL54" i="16"/>
  <c r="AL55" i="16"/>
  <c r="AL56" i="16"/>
  <c r="AL57" i="16"/>
  <c r="AL58" i="16"/>
  <c r="AL59" i="16"/>
  <c r="AL60" i="16"/>
  <c r="AL61" i="16"/>
  <c r="AL62" i="16"/>
  <c r="AL63" i="16"/>
  <c r="AL64" i="16"/>
  <c r="AL65" i="16"/>
  <c r="AL66" i="16"/>
  <c r="AL67" i="16"/>
  <c r="AL68" i="16"/>
  <c r="AL69" i="16"/>
  <c r="AL70" i="16"/>
  <c r="AL71" i="16"/>
  <c r="AL72" i="16"/>
  <c r="AL73" i="16"/>
  <c r="AL74" i="16"/>
  <c r="AL75" i="16"/>
  <c r="AL76" i="16"/>
  <c r="AL77" i="16"/>
  <c r="AL78" i="16"/>
  <c r="AL79" i="16"/>
  <c r="AL80" i="16"/>
  <c r="AL81" i="16"/>
  <c r="AL82" i="16"/>
  <c r="AL83" i="16"/>
  <c r="AL84" i="16"/>
  <c r="AL85" i="16"/>
  <c r="AL86" i="16"/>
  <c r="AL87" i="16"/>
  <c r="AL88" i="16"/>
  <c r="AL89" i="16"/>
  <c r="AL90" i="16"/>
  <c r="AL91" i="16"/>
  <c r="AR92" i="15"/>
  <c r="AJ3" i="16"/>
  <c r="AJ4" i="16"/>
  <c r="AJ5" i="16"/>
  <c r="AJ6" i="16"/>
  <c r="AJ7" i="16"/>
  <c r="AJ8" i="16"/>
  <c r="AJ9" i="16"/>
  <c r="AJ10" i="16"/>
  <c r="AJ11" i="16"/>
  <c r="AJ12" i="16"/>
  <c r="AJ13" i="16"/>
  <c r="AJ14" i="16"/>
  <c r="AJ15" i="16"/>
  <c r="AJ16" i="16"/>
  <c r="AJ17" i="16"/>
  <c r="AJ18" i="16"/>
  <c r="AJ19" i="16"/>
  <c r="AJ20" i="16"/>
  <c r="AJ21" i="16"/>
  <c r="AJ22" i="16"/>
  <c r="AJ23" i="16"/>
  <c r="AJ24" i="16"/>
  <c r="AJ25" i="16"/>
  <c r="AJ26" i="16"/>
  <c r="AJ27" i="16"/>
  <c r="AJ28" i="16"/>
  <c r="AJ29" i="16"/>
  <c r="AJ30" i="16"/>
  <c r="AJ31" i="16"/>
  <c r="AJ32" i="16"/>
  <c r="AJ33" i="16"/>
  <c r="AJ34" i="16"/>
  <c r="AJ35" i="16"/>
  <c r="AJ36" i="16"/>
  <c r="AJ37" i="16"/>
  <c r="AJ38" i="16"/>
  <c r="AJ39" i="16"/>
  <c r="AJ40" i="16"/>
  <c r="AJ41" i="16"/>
  <c r="AJ42" i="16"/>
  <c r="AJ43" i="16"/>
  <c r="AJ44" i="16"/>
  <c r="AJ45" i="16"/>
  <c r="AJ46" i="16"/>
  <c r="AJ47" i="16"/>
  <c r="AJ48" i="16"/>
  <c r="AJ49" i="16"/>
  <c r="AJ50" i="16"/>
  <c r="AJ51" i="16"/>
  <c r="AJ52" i="16"/>
  <c r="AJ53" i="16"/>
  <c r="AJ54" i="16"/>
  <c r="AJ55" i="16"/>
  <c r="AJ56" i="16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J75" i="16"/>
  <c r="AJ76" i="16"/>
  <c r="AJ77" i="16"/>
  <c r="AJ78" i="16"/>
  <c r="AJ79" i="16"/>
  <c r="AJ80" i="16"/>
  <c r="AJ81" i="16"/>
  <c r="AJ82" i="16"/>
  <c r="AJ83" i="16"/>
  <c r="AJ84" i="16"/>
  <c r="AJ85" i="16"/>
  <c r="AJ86" i="16"/>
  <c r="AJ87" i="16"/>
  <c r="AJ88" i="16"/>
  <c r="AJ89" i="16"/>
  <c r="AJ90" i="16"/>
  <c r="AJ91" i="16"/>
  <c r="AP92" i="15"/>
  <c r="AE3" i="16"/>
  <c r="AF3" i="16"/>
  <c r="AG3" i="16"/>
  <c r="AH3" i="16"/>
  <c r="AE4" i="16"/>
  <c r="AF4" i="16"/>
  <c r="AG4" i="16"/>
  <c r="AH4" i="16"/>
  <c r="AE5" i="16"/>
  <c r="AF5" i="16"/>
  <c r="AG5" i="16"/>
  <c r="AH5" i="16"/>
  <c r="AE6" i="16"/>
  <c r="AF6" i="16"/>
  <c r="AG6" i="16"/>
  <c r="AH6" i="16"/>
  <c r="AE7" i="16"/>
  <c r="AF7" i="16"/>
  <c r="AG7" i="16"/>
  <c r="AH7" i="16"/>
  <c r="AE8" i="16"/>
  <c r="AF8" i="16"/>
  <c r="AG8" i="16"/>
  <c r="AH8" i="16"/>
  <c r="AE9" i="16"/>
  <c r="AF9" i="16"/>
  <c r="AG9" i="16"/>
  <c r="AH9" i="16"/>
  <c r="AE10" i="16"/>
  <c r="AF10" i="16"/>
  <c r="AG10" i="16"/>
  <c r="AH10" i="16"/>
  <c r="AE11" i="16"/>
  <c r="AF11" i="16"/>
  <c r="AG11" i="16"/>
  <c r="AH11" i="16"/>
  <c r="AE12" i="16"/>
  <c r="AF12" i="16"/>
  <c r="AG12" i="16"/>
  <c r="AH12" i="16"/>
  <c r="AE13" i="16"/>
  <c r="AF13" i="16"/>
  <c r="AG13" i="16"/>
  <c r="AH13" i="16"/>
  <c r="AE14" i="16"/>
  <c r="AF14" i="16"/>
  <c r="AG14" i="16"/>
  <c r="AH14" i="16"/>
  <c r="AE15" i="16"/>
  <c r="AF15" i="16"/>
  <c r="AG15" i="16"/>
  <c r="AH15" i="16"/>
  <c r="AE16" i="16"/>
  <c r="AF16" i="16"/>
  <c r="AG16" i="16"/>
  <c r="AH16" i="16"/>
  <c r="AE17" i="16"/>
  <c r="AF17" i="16"/>
  <c r="AG17" i="16"/>
  <c r="AH17" i="16"/>
  <c r="AE18" i="16"/>
  <c r="AF18" i="16"/>
  <c r="AG18" i="16"/>
  <c r="AH18" i="16"/>
  <c r="AE19" i="16"/>
  <c r="AF19" i="16"/>
  <c r="AG19" i="16"/>
  <c r="AH19" i="16"/>
  <c r="AE20" i="16"/>
  <c r="AF20" i="16"/>
  <c r="AG20" i="16"/>
  <c r="AH20" i="16"/>
  <c r="AE21" i="16"/>
  <c r="AF21" i="16"/>
  <c r="AG21" i="16"/>
  <c r="AH21" i="16"/>
  <c r="AE22" i="16"/>
  <c r="AF22" i="16"/>
  <c r="AG22" i="16"/>
  <c r="AH22" i="16"/>
  <c r="AE23" i="16"/>
  <c r="AF23" i="16"/>
  <c r="AG23" i="16"/>
  <c r="AH23" i="16"/>
  <c r="AE24" i="16"/>
  <c r="AF24" i="16"/>
  <c r="AG24" i="16"/>
  <c r="AH24" i="16"/>
  <c r="AE25" i="16"/>
  <c r="AF25" i="16"/>
  <c r="AG25" i="16"/>
  <c r="AH25" i="16"/>
  <c r="AE26" i="16"/>
  <c r="AF26" i="16"/>
  <c r="AG26" i="16"/>
  <c r="AH26" i="16"/>
  <c r="AE27" i="16"/>
  <c r="AF27" i="16"/>
  <c r="AG27" i="16"/>
  <c r="AH27" i="16"/>
  <c r="AE28" i="16"/>
  <c r="AF28" i="16"/>
  <c r="AG28" i="16"/>
  <c r="AH28" i="16"/>
  <c r="AE29" i="16"/>
  <c r="AF29" i="16"/>
  <c r="AG29" i="16"/>
  <c r="AH29" i="16"/>
  <c r="AE30" i="16"/>
  <c r="AF30" i="16"/>
  <c r="AG30" i="16"/>
  <c r="AH30" i="16"/>
  <c r="AE31" i="16"/>
  <c r="AF31" i="16"/>
  <c r="AG31" i="16"/>
  <c r="AH31" i="16"/>
  <c r="AE32" i="16"/>
  <c r="AF32" i="16"/>
  <c r="AG32" i="16"/>
  <c r="AH32" i="16"/>
  <c r="AE33" i="16"/>
  <c r="AF33" i="16"/>
  <c r="AG33" i="16"/>
  <c r="AH33" i="16"/>
  <c r="AE34" i="16"/>
  <c r="AF34" i="16"/>
  <c r="AG34" i="16"/>
  <c r="AH34" i="16"/>
  <c r="AE35" i="16"/>
  <c r="AF35" i="16"/>
  <c r="AG35" i="16"/>
  <c r="AH35" i="16"/>
  <c r="AE36" i="16"/>
  <c r="AF36" i="16"/>
  <c r="AG36" i="16"/>
  <c r="AH36" i="16"/>
  <c r="AE37" i="16"/>
  <c r="AF37" i="16"/>
  <c r="AG37" i="16"/>
  <c r="AH37" i="16"/>
  <c r="AE38" i="16"/>
  <c r="AF38" i="16"/>
  <c r="AG38" i="16"/>
  <c r="AH38" i="16"/>
  <c r="AE39" i="16"/>
  <c r="AF39" i="16"/>
  <c r="AG39" i="16"/>
  <c r="AH39" i="16"/>
  <c r="AE40" i="16"/>
  <c r="AF40" i="16"/>
  <c r="AG40" i="16"/>
  <c r="AH40" i="16"/>
  <c r="AE41" i="16"/>
  <c r="AF41" i="16"/>
  <c r="AG41" i="16"/>
  <c r="AH41" i="16"/>
  <c r="AE42" i="16"/>
  <c r="AF42" i="16"/>
  <c r="AG42" i="16"/>
  <c r="AH42" i="16"/>
  <c r="AE43" i="16"/>
  <c r="AF43" i="16"/>
  <c r="AG43" i="16"/>
  <c r="AH43" i="16"/>
  <c r="AE44" i="16"/>
  <c r="AF44" i="16"/>
  <c r="AG44" i="16"/>
  <c r="AH44" i="16"/>
  <c r="AE45" i="16"/>
  <c r="AF45" i="16"/>
  <c r="AG45" i="16"/>
  <c r="AH45" i="16"/>
  <c r="AE46" i="16"/>
  <c r="AF46" i="16"/>
  <c r="AG46" i="16"/>
  <c r="AH46" i="16"/>
  <c r="AE47" i="16"/>
  <c r="AF47" i="16"/>
  <c r="AG47" i="16"/>
  <c r="AH47" i="16"/>
  <c r="AE48" i="16"/>
  <c r="AF48" i="16"/>
  <c r="AG48" i="16"/>
  <c r="AH48" i="16"/>
  <c r="AE49" i="16"/>
  <c r="AF49" i="16"/>
  <c r="AG49" i="16"/>
  <c r="AH49" i="16"/>
  <c r="AE50" i="16"/>
  <c r="AF50" i="16"/>
  <c r="AG50" i="16"/>
  <c r="AH50" i="16"/>
  <c r="AE51" i="16"/>
  <c r="AF51" i="16"/>
  <c r="AG51" i="16"/>
  <c r="AH51" i="16"/>
  <c r="AE52" i="16"/>
  <c r="AF52" i="16"/>
  <c r="AG52" i="16"/>
  <c r="AH52" i="16"/>
  <c r="AE53" i="16"/>
  <c r="AF53" i="16"/>
  <c r="AG53" i="16"/>
  <c r="AH53" i="16"/>
  <c r="AE54" i="16"/>
  <c r="AF54" i="16"/>
  <c r="AG54" i="16"/>
  <c r="AH54" i="16"/>
  <c r="AE55" i="16"/>
  <c r="AF55" i="16"/>
  <c r="AG55" i="16"/>
  <c r="AH55" i="16"/>
  <c r="AE56" i="16"/>
  <c r="AF56" i="16"/>
  <c r="AG56" i="16"/>
  <c r="AH56" i="16"/>
  <c r="AE57" i="16"/>
  <c r="AF57" i="16"/>
  <c r="AG57" i="16"/>
  <c r="AH57" i="16"/>
  <c r="AE58" i="16"/>
  <c r="AF58" i="16"/>
  <c r="AG58" i="16"/>
  <c r="AH58" i="16"/>
  <c r="AE59" i="16"/>
  <c r="AF59" i="16"/>
  <c r="AG59" i="16"/>
  <c r="AH59" i="16"/>
  <c r="AE60" i="16"/>
  <c r="AF60" i="16"/>
  <c r="AG60" i="16"/>
  <c r="AH60" i="16"/>
  <c r="AE61" i="16"/>
  <c r="AF61" i="16"/>
  <c r="AG61" i="16"/>
  <c r="AH61" i="16"/>
  <c r="AE62" i="16"/>
  <c r="AF62" i="16"/>
  <c r="AG62" i="16"/>
  <c r="AH62" i="16"/>
  <c r="AE63" i="16"/>
  <c r="AF63" i="16"/>
  <c r="AG63" i="16"/>
  <c r="AH63" i="16"/>
  <c r="AE64" i="16"/>
  <c r="AF64" i="16"/>
  <c r="AG64" i="16"/>
  <c r="AH64" i="16"/>
  <c r="AE65" i="16"/>
  <c r="AF65" i="16"/>
  <c r="AG65" i="16"/>
  <c r="AH65" i="16"/>
  <c r="AE66" i="16"/>
  <c r="AF66" i="16"/>
  <c r="AG66" i="16"/>
  <c r="AH66" i="16"/>
  <c r="AE67" i="16"/>
  <c r="AF67" i="16"/>
  <c r="AG67" i="16"/>
  <c r="AH67" i="16"/>
  <c r="AE68" i="16"/>
  <c r="AF68" i="16"/>
  <c r="AG68" i="16"/>
  <c r="AH68" i="16"/>
  <c r="AE69" i="16"/>
  <c r="AF69" i="16"/>
  <c r="AG69" i="16"/>
  <c r="AH69" i="16"/>
  <c r="AE70" i="16"/>
  <c r="AF70" i="16"/>
  <c r="AG70" i="16"/>
  <c r="AH70" i="16"/>
  <c r="AE71" i="16"/>
  <c r="AF71" i="16"/>
  <c r="AG71" i="16"/>
  <c r="AH71" i="16"/>
  <c r="AE72" i="16"/>
  <c r="AF72" i="16"/>
  <c r="AG72" i="16"/>
  <c r="AH72" i="16"/>
  <c r="AE73" i="16"/>
  <c r="AF73" i="16"/>
  <c r="AG73" i="16"/>
  <c r="AH73" i="16"/>
  <c r="AE74" i="16"/>
  <c r="AF74" i="16"/>
  <c r="AG74" i="16"/>
  <c r="AH74" i="16"/>
  <c r="AE75" i="16"/>
  <c r="AF75" i="16"/>
  <c r="AG75" i="16"/>
  <c r="AH75" i="16"/>
  <c r="AE76" i="16"/>
  <c r="AF76" i="16"/>
  <c r="AG76" i="16"/>
  <c r="AH76" i="16"/>
  <c r="AE77" i="16"/>
  <c r="AF77" i="16"/>
  <c r="AG77" i="16"/>
  <c r="AH77" i="16"/>
  <c r="AE78" i="16"/>
  <c r="AF78" i="16"/>
  <c r="AG78" i="16"/>
  <c r="AH78" i="16"/>
  <c r="AE79" i="16"/>
  <c r="AF79" i="16"/>
  <c r="AG79" i="16"/>
  <c r="AH79" i="16"/>
  <c r="AE80" i="16"/>
  <c r="AF80" i="16"/>
  <c r="AG80" i="16"/>
  <c r="AH80" i="16"/>
  <c r="AE81" i="16"/>
  <c r="AF81" i="16"/>
  <c r="AG81" i="16"/>
  <c r="AH81" i="16"/>
  <c r="AE82" i="16"/>
  <c r="AF82" i="16"/>
  <c r="AG82" i="16"/>
  <c r="AH82" i="16"/>
  <c r="AE83" i="16"/>
  <c r="AF83" i="16"/>
  <c r="AG83" i="16"/>
  <c r="AH83" i="16"/>
  <c r="AE84" i="16"/>
  <c r="AF84" i="16"/>
  <c r="AG84" i="16"/>
  <c r="AH84" i="16"/>
  <c r="AE85" i="16"/>
  <c r="AF85" i="16"/>
  <c r="AG85" i="16"/>
  <c r="AH85" i="16"/>
  <c r="AE86" i="16"/>
  <c r="AF86" i="16"/>
  <c r="AG86" i="16"/>
  <c r="AH86" i="16"/>
  <c r="AE87" i="16"/>
  <c r="AF87" i="16"/>
  <c r="AG87" i="16"/>
  <c r="AH87" i="16"/>
  <c r="AE88" i="16"/>
  <c r="AF88" i="16"/>
  <c r="AG88" i="16"/>
  <c r="AH88" i="16"/>
  <c r="AE89" i="16"/>
  <c r="AF89" i="16"/>
  <c r="AG89" i="16"/>
  <c r="AH89" i="16"/>
  <c r="AE90" i="16"/>
  <c r="AF90" i="16"/>
  <c r="AG90" i="16"/>
  <c r="AH90" i="16"/>
  <c r="AE91" i="16"/>
  <c r="AF91" i="16"/>
  <c r="AG91" i="16"/>
  <c r="AH91" i="16"/>
  <c r="AN92" i="15"/>
  <c r="AM92" i="15"/>
  <c r="AL92" i="15"/>
  <c r="AK92" i="15"/>
  <c r="AB3" i="16"/>
  <c r="AB4" i="16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H92" i="15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G92" i="15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AF92" i="15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AE92" i="15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AD92" i="15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AC92" i="15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AB92" i="15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AA92" i="15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Z92" i="15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Y92" i="15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X92" i="15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W92" i="15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U92" i="15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S92" i="15"/>
  <c r="BR91" i="15"/>
  <c r="BQ91" i="15"/>
  <c r="BP91" i="15"/>
  <c r="BN91" i="15"/>
  <c r="BM91" i="15"/>
  <c r="BL91" i="15"/>
  <c r="BK91" i="15"/>
  <c r="BJ91" i="15"/>
  <c r="BI91" i="15"/>
  <c r="BH91" i="15"/>
  <c r="BG91" i="15"/>
  <c r="BF91" i="15"/>
  <c r="BE91" i="15"/>
  <c r="BD91" i="15"/>
  <c r="BC91" i="15"/>
  <c r="BB91" i="15"/>
  <c r="BA91" i="15"/>
  <c r="AZ91" i="15"/>
  <c r="AM91" i="15"/>
  <c r="AL91" i="15"/>
  <c r="AK91" i="15"/>
  <c r="AH91" i="15"/>
  <c r="AG91" i="15"/>
  <c r="AF91" i="15"/>
  <c r="AE91" i="15"/>
  <c r="AD91" i="15"/>
  <c r="AC91" i="15"/>
  <c r="AB91" i="15"/>
  <c r="AA91" i="15"/>
  <c r="Z91" i="15"/>
  <c r="U91" i="15"/>
  <c r="BR90" i="15"/>
  <c r="BQ90" i="15"/>
  <c r="BP90" i="15"/>
  <c r="BN90" i="15"/>
  <c r="BM90" i="15"/>
  <c r="BL90" i="15"/>
  <c r="BK90" i="15"/>
  <c r="BJ90" i="15"/>
  <c r="BI90" i="15"/>
  <c r="BH90" i="15"/>
  <c r="BG90" i="15"/>
  <c r="BF90" i="15"/>
  <c r="BE90" i="15"/>
  <c r="BD90" i="15"/>
  <c r="BC90" i="15"/>
  <c r="BB90" i="15"/>
  <c r="BA90" i="15"/>
  <c r="AZ90" i="15"/>
  <c r="AM90" i="15"/>
  <c r="AL90" i="15"/>
  <c r="AK90" i="15"/>
  <c r="AH90" i="15"/>
  <c r="AG90" i="15"/>
  <c r="AF90" i="15"/>
  <c r="AE90" i="15"/>
  <c r="AD90" i="15"/>
  <c r="AC90" i="15"/>
  <c r="AB90" i="15"/>
  <c r="AA90" i="15"/>
  <c r="Z90" i="15"/>
  <c r="U90" i="15"/>
  <c r="BR89" i="15"/>
  <c r="BQ89" i="15"/>
  <c r="BP89" i="15"/>
  <c r="BN89" i="15"/>
  <c r="BM89" i="15"/>
  <c r="BL89" i="15"/>
  <c r="BK89" i="15"/>
  <c r="BJ89" i="15"/>
  <c r="BI89" i="15"/>
  <c r="BH89" i="15"/>
  <c r="BG89" i="15"/>
  <c r="BF89" i="15"/>
  <c r="BE89" i="15"/>
  <c r="BD89" i="15"/>
  <c r="BC89" i="15"/>
  <c r="BB89" i="15"/>
  <c r="BA89" i="15"/>
  <c r="AZ89" i="15"/>
  <c r="AM89" i="15"/>
  <c r="AL89" i="15"/>
  <c r="AK89" i="15"/>
  <c r="AH89" i="15"/>
  <c r="AG89" i="15"/>
  <c r="AF89" i="15"/>
  <c r="AE89" i="15"/>
  <c r="AD89" i="15"/>
  <c r="AC89" i="15"/>
  <c r="AB89" i="15"/>
  <c r="AA89" i="15"/>
  <c r="Z89" i="15"/>
  <c r="U89" i="15"/>
  <c r="BR88" i="15"/>
  <c r="BQ88" i="15"/>
  <c r="BP88" i="15"/>
  <c r="BN88" i="15"/>
  <c r="BM88" i="15"/>
  <c r="BL88" i="15"/>
  <c r="BK88" i="15"/>
  <c r="BJ88" i="15"/>
  <c r="BI88" i="15"/>
  <c r="BH88" i="15"/>
  <c r="BG88" i="15"/>
  <c r="BF88" i="15"/>
  <c r="BE88" i="15"/>
  <c r="BD88" i="15"/>
  <c r="BC88" i="15"/>
  <c r="BB88" i="15"/>
  <c r="BA88" i="15"/>
  <c r="AZ88" i="15"/>
  <c r="AM88" i="15"/>
  <c r="AL88" i="15"/>
  <c r="AK88" i="15"/>
  <c r="AH88" i="15"/>
  <c r="AG88" i="15"/>
  <c r="AF88" i="15"/>
  <c r="AE88" i="15"/>
  <c r="AD88" i="15"/>
  <c r="AC88" i="15"/>
  <c r="AB88" i="15"/>
  <c r="AA88" i="15"/>
  <c r="Z88" i="15"/>
  <c r="U88" i="15"/>
  <c r="BR87" i="15"/>
  <c r="BQ87" i="15"/>
  <c r="BP87" i="15"/>
  <c r="BN87" i="15"/>
  <c r="BM87" i="15"/>
  <c r="BL87" i="15"/>
  <c r="BK87" i="15"/>
  <c r="BJ87" i="15"/>
  <c r="BI87" i="15"/>
  <c r="BH87" i="15"/>
  <c r="BG87" i="15"/>
  <c r="BF87" i="15"/>
  <c r="BE87" i="15"/>
  <c r="BD87" i="15"/>
  <c r="BC87" i="15"/>
  <c r="BB87" i="15"/>
  <c r="BA87" i="15"/>
  <c r="AZ87" i="15"/>
  <c r="AM87" i="15"/>
  <c r="AL87" i="15"/>
  <c r="AK87" i="15"/>
  <c r="AH87" i="15"/>
  <c r="AG87" i="15"/>
  <c r="AF87" i="15"/>
  <c r="AE87" i="15"/>
  <c r="AD87" i="15"/>
  <c r="AC87" i="15"/>
  <c r="AB87" i="15"/>
  <c r="AA87" i="15"/>
  <c r="Z87" i="15"/>
  <c r="U87" i="15"/>
  <c r="BR86" i="15"/>
  <c r="BQ86" i="15"/>
  <c r="BP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Z86" i="15"/>
  <c r="AM86" i="15"/>
  <c r="AL86" i="15"/>
  <c r="AK86" i="15"/>
  <c r="AH86" i="15"/>
  <c r="AG86" i="15"/>
  <c r="AF86" i="15"/>
  <c r="AE86" i="15"/>
  <c r="AD86" i="15"/>
  <c r="AC86" i="15"/>
  <c r="AB86" i="15"/>
  <c r="AA86" i="15"/>
  <c r="Z86" i="15"/>
  <c r="U86" i="15"/>
  <c r="BR85" i="15"/>
  <c r="BQ85" i="15"/>
  <c r="BP85" i="15"/>
  <c r="BN85" i="15"/>
  <c r="BM85" i="15"/>
  <c r="BL85" i="15"/>
  <c r="BK85" i="15"/>
  <c r="BJ85" i="15"/>
  <c r="BI85" i="15"/>
  <c r="BH85" i="15"/>
  <c r="BG85" i="15"/>
  <c r="BF85" i="15"/>
  <c r="BE85" i="15"/>
  <c r="BD85" i="15"/>
  <c r="BC85" i="15"/>
  <c r="BB85" i="15"/>
  <c r="BA85" i="15"/>
  <c r="AZ85" i="15"/>
  <c r="AM85" i="15"/>
  <c r="AL85" i="15"/>
  <c r="AK85" i="15"/>
  <c r="AH85" i="15"/>
  <c r="AG85" i="15"/>
  <c r="AF85" i="15"/>
  <c r="AE85" i="15"/>
  <c r="AD85" i="15"/>
  <c r="AC85" i="15"/>
  <c r="AB85" i="15"/>
  <c r="AA85" i="15"/>
  <c r="Z85" i="15"/>
  <c r="U85" i="15"/>
  <c r="BR84" i="15"/>
  <c r="BQ84" i="15"/>
  <c r="BP84" i="15"/>
  <c r="BN84" i="15"/>
  <c r="BM84" i="15"/>
  <c r="BL84" i="15"/>
  <c r="BK84" i="15"/>
  <c r="BJ84" i="15"/>
  <c r="BI84" i="15"/>
  <c r="BH84" i="15"/>
  <c r="BG84" i="15"/>
  <c r="BF84" i="15"/>
  <c r="BE84" i="15"/>
  <c r="BD84" i="15"/>
  <c r="BC84" i="15"/>
  <c r="BB84" i="15"/>
  <c r="BA84" i="15"/>
  <c r="AZ84" i="15"/>
  <c r="AM84" i="15"/>
  <c r="AL84" i="15"/>
  <c r="AK84" i="15"/>
  <c r="AH84" i="15"/>
  <c r="AG84" i="15"/>
  <c r="AF84" i="15"/>
  <c r="AE84" i="15"/>
  <c r="AD84" i="15"/>
  <c r="AC84" i="15"/>
  <c r="AB84" i="15"/>
  <c r="AA84" i="15"/>
  <c r="Z84" i="15"/>
  <c r="U84" i="15"/>
  <c r="BR83" i="15"/>
  <c r="BQ83" i="15"/>
  <c r="BP83" i="15"/>
  <c r="BN83" i="15"/>
  <c r="BM83" i="15"/>
  <c r="BL83" i="15"/>
  <c r="BK83" i="15"/>
  <c r="BJ83" i="15"/>
  <c r="BI83" i="15"/>
  <c r="BH83" i="15"/>
  <c r="BG83" i="15"/>
  <c r="BF83" i="15"/>
  <c r="BE83" i="15"/>
  <c r="BD83" i="15"/>
  <c r="BC83" i="15"/>
  <c r="BB83" i="15"/>
  <c r="BA83" i="15"/>
  <c r="AZ83" i="15"/>
  <c r="AM83" i="15"/>
  <c r="AL83" i="15"/>
  <c r="AK83" i="15"/>
  <c r="AH83" i="15"/>
  <c r="AG83" i="15"/>
  <c r="AF83" i="15"/>
  <c r="AE83" i="15"/>
  <c r="AD83" i="15"/>
  <c r="AC83" i="15"/>
  <c r="AB83" i="15"/>
  <c r="AA83" i="15"/>
  <c r="Z83" i="15"/>
  <c r="U83" i="15"/>
  <c r="BR82" i="15"/>
  <c r="BQ82" i="15"/>
  <c r="BP82" i="15"/>
  <c r="BN82" i="15"/>
  <c r="BM82" i="15"/>
  <c r="BL82" i="15"/>
  <c r="BK82" i="15"/>
  <c r="BJ82" i="15"/>
  <c r="BI82" i="15"/>
  <c r="BH82" i="15"/>
  <c r="BG82" i="15"/>
  <c r="BF82" i="15"/>
  <c r="BE82" i="15"/>
  <c r="BD82" i="15"/>
  <c r="BC82" i="15"/>
  <c r="BB82" i="15"/>
  <c r="BA82" i="15"/>
  <c r="AZ82" i="15"/>
  <c r="AM82" i="15"/>
  <c r="AL82" i="15"/>
  <c r="AK82" i="15"/>
  <c r="AH82" i="15"/>
  <c r="AG82" i="15"/>
  <c r="AF82" i="15"/>
  <c r="AE82" i="15"/>
  <c r="AD82" i="15"/>
  <c r="AC82" i="15"/>
  <c r="AB82" i="15"/>
  <c r="AA82" i="15"/>
  <c r="Z82" i="15"/>
  <c r="U82" i="15"/>
  <c r="BR81" i="15"/>
  <c r="BQ81" i="15"/>
  <c r="BP81" i="15"/>
  <c r="BN81" i="15"/>
  <c r="BM81" i="15"/>
  <c r="BL81" i="15"/>
  <c r="BK81" i="15"/>
  <c r="BJ81" i="15"/>
  <c r="BI81" i="15"/>
  <c r="BH81" i="15"/>
  <c r="BG81" i="15"/>
  <c r="BF81" i="15"/>
  <c r="BE81" i="15"/>
  <c r="BD81" i="15"/>
  <c r="BC81" i="15"/>
  <c r="BB81" i="15"/>
  <c r="BA81" i="15"/>
  <c r="AZ81" i="15"/>
  <c r="AM81" i="15"/>
  <c r="AL81" i="15"/>
  <c r="AK81" i="15"/>
  <c r="AH81" i="15"/>
  <c r="AG81" i="15"/>
  <c r="AF81" i="15"/>
  <c r="AE81" i="15"/>
  <c r="AD81" i="15"/>
  <c r="AC81" i="15"/>
  <c r="AB81" i="15"/>
  <c r="AA81" i="15"/>
  <c r="Z81" i="15"/>
  <c r="U81" i="15"/>
  <c r="BR80" i="15"/>
  <c r="BQ80" i="15"/>
  <c r="BP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AZ80" i="15"/>
  <c r="AM80" i="15"/>
  <c r="AL80" i="15"/>
  <c r="AK80" i="15"/>
  <c r="AH80" i="15"/>
  <c r="AG80" i="15"/>
  <c r="AF80" i="15"/>
  <c r="AE80" i="15"/>
  <c r="AD80" i="15"/>
  <c r="AC80" i="15"/>
  <c r="AB80" i="15"/>
  <c r="AA80" i="15"/>
  <c r="Z80" i="15"/>
  <c r="U80" i="15"/>
  <c r="BR79" i="15"/>
  <c r="BQ79" i="15"/>
  <c r="BP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AZ79" i="15"/>
  <c r="AM79" i="15"/>
  <c r="AL79" i="15"/>
  <c r="AK79" i="15"/>
  <c r="AH79" i="15"/>
  <c r="AG79" i="15"/>
  <c r="AF79" i="15"/>
  <c r="AE79" i="15"/>
  <c r="AD79" i="15"/>
  <c r="AC79" i="15"/>
  <c r="AB79" i="15"/>
  <c r="AA79" i="15"/>
  <c r="Z79" i="15"/>
  <c r="U79" i="15"/>
  <c r="BR78" i="15"/>
  <c r="BQ78" i="15"/>
  <c r="BP78" i="15"/>
  <c r="BN78" i="15"/>
  <c r="BM78" i="15"/>
  <c r="BL78" i="15"/>
  <c r="BK78" i="15"/>
  <c r="BJ78" i="15"/>
  <c r="BI78" i="15"/>
  <c r="BH78" i="15"/>
  <c r="BG78" i="15"/>
  <c r="BF78" i="15"/>
  <c r="BE78" i="15"/>
  <c r="BD78" i="15"/>
  <c r="BC78" i="15"/>
  <c r="BB78" i="15"/>
  <c r="BA78" i="15"/>
  <c r="AZ78" i="15"/>
  <c r="AM78" i="15"/>
  <c r="AL78" i="15"/>
  <c r="AK78" i="15"/>
  <c r="AH78" i="15"/>
  <c r="AG78" i="15"/>
  <c r="AF78" i="15"/>
  <c r="AE78" i="15"/>
  <c r="AD78" i="15"/>
  <c r="AC78" i="15"/>
  <c r="AB78" i="15"/>
  <c r="AA78" i="15"/>
  <c r="Z78" i="15"/>
  <c r="U78" i="15"/>
  <c r="BR77" i="15"/>
  <c r="BQ77" i="15"/>
  <c r="BP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AZ77" i="15"/>
  <c r="AM77" i="15"/>
  <c r="AL77" i="15"/>
  <c r="AK77" i="15"/>
  <c r="AH77" i="15"/>
  <c r="AG77" i="15"/>
  <c r="AF77" i="15"/>
  <c r="AE77" i="15"/>
  <c r="AD77" i="15"/>
  <c r="AC77" i="15"/>
  <c r="AB77" i="15"/>
  <c r="AA77" i="15"/>
  <c r="Z77" i="15"/>
  <c r="U77" i="15"/>
  <c r="BR76" i="15"/>
  <c r="BQ76" i="15"/>
  <c r="BP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AZ76" i="15"/>
  <c r="AM76" i="15"/>
  <c r="AL76" i="15"/>
  <c r="AK76" i="15"/>
  <c r="AH76" i="15"/>
  <c r="AG76" i="15"/>
  <c r="AF76" i="15"/>
  <c r="AE76" i="15"/>
  <c r="AD76" i="15"/>
  <c r="AC76" i="15"/>
  <c r="AB76" i="15"/>
  <c r="AA76" i="15"/>
  <c r="Z76" i="15"/>
  <c r="U76" i="15"/>
  <c r="BR75" i="15"/>
  <c r="BQ75" i="15"/>
  <c r="BP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AZ75" i="15"/>
  <c r="AM75" i="15"/>
  <c r="AL75" i="15"/>
  <c r="AK75" i="15"/>
  <c r="AH75" i="15"/>
  <c r="AG75" i="15"/>
  <c r="AF75" i="15"/>
  <c r="AE75" i="15"/>
  <c r="AD75" i="15"/>
  <c r="AC75" i="15"/>
  <c r="AB75" i="15"/>
  <c r="AA75" i="15"/>
  <c r="Z75" i="15"/>
  <c r="U75" i="15"/>
  <c r="BR74" i="15"/>
  <c r="BQ74" i="15"/>
  <c r="BP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AZ74" i="15"/>
  <c r="AM74" i="15"/>
  <c r="AL74" i="15"/>
  <c r="AK74" i="15"/>
  <c r="AH74" i="15"/>
  <c r="AG74" i="15"/>
  <c r="AF74" i="15"/>
  <c r="AE74" i="15"/>
  <c r="AD74" i="15"/>
  <c r="AC74" i="15"/>
  <c r="AB74" i="15"/>
  <c r="AA74" i="15"/>
  <c r="Z74" i="15"/>
  <c r="U74" i="15"/>
  <c r="BR73" i="15"/>
  <c r="BQ73" i="15"/>
  <c r="BP73" i="15"/>
  <c r="BN73" i="15"/>
  <c r="BM73" i="15"/>
  <c r="BL73" i="15"/>
  <c r="BK73" i="15"/>
  <c r="BJ73" i="15"/>
  <c r="BI73" i="15"/>
  <c r="BH73" i="15"/>
  <c r="BG73" i="15"/>
  <c r="BF73" i="15"/>
  <c r="BE73" i="15"/>
  <c r="BD73" i="15"/>
  <c r="BC73" i="15"/>
  <c r="BB73" i="15"/>
  <c r="BA73" i="15"/>
  <c r="AZ73" i="15"/>
  <c r="AM73" i="15"/>
  <c r="AL73" i="15"/>
  <c r="AK73" i="15"/>
  <c r="AH73" i="15"/>
  <c r="AG73" i="15"/>
  <c r="AF73" i="15"/>
  <c r="AE73" i="15"/>
  <c r="AD73" i="15"/>
  <c r="AC73" i="15"/>
  <c r="AB73" i="15"/>
  <c r="AA73" i="15"/>
  <c r="Z73" i="15"/>
  <c r="U73" i="15"/>
  <c r="BR72" i="15"/>
  <c r="BQ72" i="15"/>
  <c r="BP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AZ72" i="15"/>
  <c r="AM72" i="15"/>
  <c r="AL72" i="15"/>
  <c r="AK72" i="15"/>
  <c r="AH72" i="15"/>
  <c r="AG72" i="15"/>
  <c r="AF72" i="15"/>
  <c r="AE72" i="15"/>
  <c r="AD72" i="15"/>
  <c r="AC72" i="15"/>
  <c r="AB72" i="15"/>
  <c r="AA72" i="15"/>
  <c r="Z72" i="15"/>
  <c r="U72" i="15"/>
  <c r="BR71" i="15"/>
  <c r="BQ71" i="15"/>
  <c r="BP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M71" i="15"/>
  <c r="AL71" i="15"/>
  <c r="AK71" i="15"/>
  <c r="AH71" i="15"/>
  <c r="AG71" i="15"/>
  <c r="AF71" i="15"/>
  <c r="AE71" i="15"/>
  <c r="AD71" i="15"/>
  <c r="AC71" i="15"/>
  <c r="AB71" i="15"/>
  <c r="AA71" i="15"/>
  <c r="Z71" i="15"/>
  <c r="U71" i="15"/>
  <c r="BR70" i="15"/>
  <c r="BQ70" i="15"/>
  <c r="BP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AZ70" i="15"/>
  <c r="AM70" i="15"/>
  <c r="AL70" i="15"/>
  <c r="AK70" i="15"/>
  <c r="AH70" i="15"/>
  <c r="AG70" i="15"/>
  <c r="AF70" i="15"/>
  <c r="AE70" i="15"/>
  <c r="AD70" i="15"/>
  <c r="AC70" i="15"/>
  <c r="AB70" i="15"/>
  <c r="AA70" i="15"/>
  <c r="Z70" i="15"/>
  <c r="U70" i="15"/>
  <c r="BR69" i="15"/>
  <c r="BQ69" i="15"/>
  <c r="BP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AZ69" i="15"/>
  <c r="AM69" i="15"/>
  <c r="AL69" i="15"/>
  <c r="AK69" i="15"/>
  <c r="AH69" i="15"/>
  <c r="AG69" i="15"/>
  <c r="AF69" i="15"/>
  <c r="AE69" i="15"/>
  <c r="AD69" i="15"/>
  <c r="AC69" i="15"/>
  <c r="AB69" i="15"/>
  <c r="AA69" i="15"/>
  <c r="Z69" i="15"/>
  <c r="U69" i="15"/>
  <c r="BR68" i="15"/>
  <c r="BQ68" i="15"/>
  <c r="BP68" i="15"/>
  <c r="BN68" i="15"/>
  <c r="BM68" i="15"/>
  <c r="BL68" i="15"/>
  <c r="BK68" i="15"/>
  <c r="BJ68" i="15"/>
  <c r="BI68" i="15"/>
  <c r="BH68" i="15"/>
  <c r="BG68" i="15"/>
  <c r="BF68" i="15"/>
  <c r="BE68" i="15"/>
  <c r="BD68" i="15"/>
  <c r="BC68" i="15"/>
  <c r="BB68" i="15"/>
  <c r="BA68" i="15"/>
  <c r="AZ68" i="15"/>
  <c r="AM68" i="15"/>
  <c r="AL68" i="15"/>
  <c r="AK68" i="15"/>
  <c r="AH68" i="15"/>
  <c r="AG68" i="15"/>
  <c r="AF68" i="15"/>
  <c r="AE68" i="15"/>
  <c r="AD68" i="15"/>
  <c r="AC68" i="15"/>
  <c r="AB68" i="15"/>
  <c r="AA68" i="15"/>
  <c r="Z68" i="15"/>
  <c r="U68" i="15"/>
  <c r="BR67" i="15"/>
  <c r="BQ67" i="15"/>
  <c r="BP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AZ67" i="15"/>
  <c r="AM67" i="15"/>
  <c r="AL67" i="15"/>
  <c r="AK67" i="15"/>
  <c r="AH67" i="15"/>
  <c r="AG67" i="15"/>
  <c r="AF67" i="15"/>
  <c r="AE67" i="15"/>
  <c r="AD67" i="15"/>
  <c r="AC67" i="15"/>
  <c r="AB67" i="15"/>
  <c r="AA67" i="15"/>
  <c r="Z67" i="15"/>
  <c r="U67" i="15"/>
  <c r="BR66" i="15"/>
  <c r="BQ66" i="15"/>
  <c r="BP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M66" i="15"/>
  <c r="AL66" i="15"/>
  <c r="AK66" i="15"/>
  <c r="AH66" i="15"/>
  <c r="AG66" i="15"/>
  <c r="AF66" i="15"/>
  <c r="AE66" i="15"/>
  <c r="AD66" i="15"/>
  <c r="AC66" i="15"/>
  <c r="AB66" i="15"/>
  <c r="AA66" i="15"/>
  <c r="Z66" i="15"/>
  <c r="U66" i="15"/>
  <c r="BR65" i="15"/>
  <c r="BQ65" i="15"/>
  <c r="BP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M65" i="15"/>
  <c r="AL65" i="15"/>
  <c r="AK65" i="15"/>
  <c r="AH65" i="15"/>
  <c r="AG65" i="15"/>
  <c r="AF65" i="15"/>
  <c r="AE65" i="15"/>
  <c r="AD65" i="15"/>
  <c r="AC65" i="15"/>
  <c r="AB65" i="15"/>
  <c r="AA65" i="15"/>
  <c r="Z65" i="15"/>
  <c r="U65" i="15"/>
  <c r="BR64" i="15"/>
  <c r="BQ64" i="15"/>
  <c r="BP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AZ64" i="15"/>
  <c r="AM64" i="15"/>
  <c r="AL64" i="15"/>
  <c r="AK64" i="15"/>
  <c r="AH64" i="15"/>
  <c r="AG64" i="15"/>
  <c r="AF64" i="15"/>
  <c r="AE64" i="15"/>
  <c r="AD64" i="15"/>
  <c r="AC64" i="15"/>
  <c r="AB64" i="15"/>
  <c r="AA64" i="15"/>
  <c r="Z64" i="15"/>
  <c r="U64" i="15"/>
  <c r="BR63" i="15"/>
  <c r="BQ63" i="15"/>
  <c r="BP63" i="15"/>
  <c r="BN63" i="15"/>
  <c r="BM63" i="15"/>
  <c r="BL63" i="15"/>
  <c r="BK63" i="15"/>
  <c r="BJ63" i="15"/>
  <c r="BI63" i="15"/>
  <c r="BH63" i="15"/>
  <c r="BG63" i="15"/>
  <c r="BF63" i="15"/>
  <c r="BE63" i="15"/>
  <c r="BD63" i="15"/>
  <c r="BC63" i="15"/>
  <c r="BB63" i="15"/>
  <c r="BA63" i="15"/>
  <c r="AZ63" i="15"/>
  <c r="AM63" i="15"/>
  <c r="AL63" i="15"/>
  <c r="AK63" i="15"/>
  <c r="AH63" i="15"/>
  <c r="AG63" i="15"/>
  <c r="AF63" i="15"/>
  <c r="AE63" i="15"/>
  <c r="AD63" i="15"/>
  <c r="AC63" i="15"/>
  <c r="AB63" i="15"/>
  <c r="AA63" i="15"/>
  <c r="Z63" i="15"/>
  <c r="U63" i="15"/>
  <c r="BR62" i="15"/>
  <c r="BQ62" i="15"/>
  <c r="BP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AZ62" i="15"/>
  <c r="AM62" i="15"/>
  <c r="AL62" i="15"/>
  <c r="AK62" i="15"/>
  <c r="AH62" i="15"/>
  <c r="AG62" i="15"/>
  <c r="AF62" i="15"/>
  <c r="AE62" i="15"/>
  <c r="AD62" i="15"/>
  <c r="AC62" i="15"/>
  <c r="AB62" i="15"/>
  <c r="AA62" i="15"/>
  <c r="Z62" i="15"/>
  <c r="U62" i="15"/>
  <c r="BR61" i="15"/>
  <c r="BQ61" i="15"/>
  <c r="BP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AZ61" i="15"/>
  <c r="AM61" i="15"/>
  <c r="AL61" i="15"/>
  <c r="AK61" i="15"/>
  <c r="AH61" i="15"/>
  <c r="AG61" i="15"/>
  <c r="AF61" i="15"/>
  <c r="AE61" i="15"/>
  <c r="AD61" i="15"/>
  <c r="AC61" i="15"/>
  <c r="AB61" i="15"/>
  <c r="AA61" i="15"/>
  <c r="Z61" i="15"/>
  <c r="U61" i="15"/>
  <c r="BR60" i="15"/>
  <c r="BQ60" i="15"/>
  <c r="BP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AZ60" i="15"/>
  <c r="AM60" i="15"/>
  <c r="AL60" i="15"/>
  <c r="AK60" i="15"/>
  <c r="AH60" i="15"/>
  <c r="AG60" i="15"/>
  <c r="AF60" i="15"/>
  <c r="AE60" i="15"/>
  <c r="AD60" i="15"/>
  <c r="AC60" i="15"/>
  <c r="AB60" i="15"/>
  <c r="AA60" i="15"/>
  <c r="Z60" i="15"/>
  <c r="U60" i="15"/>
  <c r="BR59" i="15"/>
  <c r="BQ59" i="15"/>
  <c r="BP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M59" i="15"/>
  <c r="AL59" i="15"/>
  <c r="AK59" i="15"/>
  <c r="AH59" i="15"/>
  <c r="AG59" i="15"/>
  <c r="AF59" i="15"/>
  <c r="AE59" i="15"/>
  <c r="AD59" i="15"/>
  <c r="AC59" i="15"/>
  <c r="AB59" i="15"/>
  <c r="AA59" i="15"/>
  <c r="Z59" i="15"/>
  <c r="U59" i="15"/>
  <c r="BR58" i="15"/>
  <c r="BQ58" i="15"/>
  <c r="BP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M58" i="15"/>
  <c r="AL58" i="15"/>
  <c r="AK58" i="15"/>
  <c r="AH58" i="15"/>
  <c r="AG58" i="15"/>
  <c r="AF58" i="15"/>
  <c r="AE58" i="15"/>
  <c r="AD58" i="15"/>
  <c r="AC58" i="15"/>
  <c r="AB58" i="15"/>
  <c r="AA58" i="15"/>
  <c r="Z58" i="15"/>
  <c r="U58" i="15"/>
  <c r="BR57" i="15"/>
  <c r="BQ57" i="15"/>
  <c r="BP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AZ57" i="15"/>
  <c r="AM57" i="15"/>
  <c r="AL57" i="15"/>
  <c r="AK57" i="15"/>
  <c r="AH57" i="15"/>
  <c r="AG57" i="15"/>
  <c r="AF57" i="15"/>
  <c r="AE57" i="15"/>
  <c r="AD57" i="15"/>
  <c r="AC57" i="15"/>
  <c r="AB57" i="15"/>
  <c r="AA57" i="15"/>
  <c r="Z57" i="15"/>
  <c r="U57" i="15"/>
  <c r="BR56" i="15"/>
  <c r="BQ56" i="15"/>
  <c r="BP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AZ56" i="15"/>
  <c r="AM56" i="15"/>
  <c r="AL56" i="15"/>
  <c r="AK56" i="15"/>
  <c r="AH56" i="15"/>
  <c r="AG56" i="15"/>
  <c r="AF56" i="15"/>
  <c r="AE56" i="15"/>
  <c r="AD56" i="15"/>
  <c r="AC56" i="15"/>
  <c r="AB56" i="15"/>
  <c r="AA56" i="15"/>
  <c r="Z56" i="15"/>
  <c r="U56" i="15"/>
  <c r="BR55" i="15"/>
  <c r="BQ55" i="15"/>
  <c r="BP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M55" i="15"/>
  <c r="AL55" i="15"/>
  <c r="AK55" i="15"/>
  <c r="AH55" i="15"/>
  <c r="AG55" i="15"/>
  <c r="AF55" i="15"/>
  <c r="AE55" i="15"/>
  <c r="AD55" i="15"/>
  <c r="AC55" i="15"/>
  <c r="AB55" i="15"/>
  <c r="AA55" i="15"/>
  <c r="Z55" i="15"/>
  <c r="U55" i="15"/>
  <c r="BR54" i="15"/>
  <c r="BQ54" i="15"/>
  <c r="BP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AZ54" i="15"/>
  <c r="AM54" i="15"/>
  <c r="AL54" i="15"/>
  <c r="AK54" i="15"/>
  <c r="AH54" i="15"/>
  <c r="AG54" i="15"/>
  <c r="AF54" i="15"/>
  <c r="AE54" i="15"/>
  <c r="AD54" i="15"/>
  <c r="AC54" i="15"/>
  <c r="AB54" i="15"/>
  <c r="AA54" i="15"/>
  <c r="Z54" i="15"/>
  <c r="U54" i="15"/>
  <c r="BR53" i="15"/>
  <c r="BQ53" i="15"/>
  <c r="BP53" i="15"/>
  <c r="BN53" i="15"/>
  <c r="BM53" i="15"/>
  <c r="BL53" i="15"/>
  <c r="BK53" i="15"/>
  <c r="BJ53" i="15"/>
  <c r="BI53" i="15"/>
  <c r="BH53" i="15"/>
  <c r="BG53" i="15"/>
  <c r="BF53" i="15"/>
  <c r="BE53" i="15"/>
  <c r="BD53" i="15"/>
  <c r="BC53" i="15"/>
  <c r="BB53" i="15"/>
  <c r="BA53" i="15"/>
  <c r="AZ53" i="15"/>
  <c r="AM53" i="15"/>
  <c r="AL53" i="15"/>
  <c r="AK53" i="15"/>
  <c r="AH53" i="15"/>
  <c r="AG53" i="15"/>
  <c r="AF53" i="15"/>
  <c r="AE53" i="15"/>
  <c r="AD53" i="15"/>
  <c r="AC53" i="15"/>
  <c r="AB53" i="15"/>
  <c r="AA53" i="15"/>
  <c r="Z53" i="15"/>
  <c r="U53" i="15"/>
  <c r="BR52" i="15"/>
  <c r="BQ52" i="15"/>
  <c r="BP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AZ52" i="15"/>
  <c r="AM52" i="15"/>
  <c r="AL52" i="15"/>
  <c r="AK52" i="15"/>
  <c r="AH52" i="15"/>
  <c r="AG52" i="15"/>
  <c r="AF52" i="15"/>
  <c r="AE52" i="15"/>
  <c r="AD52" i="15"/>
  <c r="AC52" i="15"/>
  <c r="AB52" i="15"/>
  <c r="AA52" i="15"/>
  <c r="Z52" i="15"/>
  <c r="U52" i="15"/>
  <c r="BR51" i="15"/>
  <c r="BQ51" i="15"/>
  <c r="BP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AZ51" i="15"/>
  <c r="AM51" i="15"/>
  <c r="AL51" i="15"/>
  <c r="AK51" i="15"/>
  <c r="AH51" i="15"/>
  <c r="AG51" i="15"/>
  <c r="AF51" i="15"/>
  <c r="AE51" i="15"/>
  <c r="AD51" i="15"/>
  <c r="AC51" i="15"/>
  <c r="AB51" i="15"/>
  <c r="AA51" i="15"/>
  <c r="Z51" i="15"/>
  <c r="U51" i="15"/>
  <c r="BR50" i="15"/>
  <c r="BQ50" i="15"/>
  <c r="BP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AZ50" i="15"/>
  <c r="AM50" i="15"/>
  <c r="AL50" i="15"/>
  <c r="AK50" i="15"/>
  <c r="AH50" i="15"/>
  <c r="AG50" i="15"/>
  <c r="AF50" i="15"/>
  <c r="AE50" i="15"/>
  <c r="AD50" i="15"/>
  <c r="AC50" i="15"/>
  <c r="AB50" i="15"/>
  <c r="AA50" i="15"/>
  <c r="Z50" i="15"/>
  <c r="U50" i="15"/>
  <c r="BR49" i="15"/>
  <c r="BQ49" i="15"/>
  <c r="BP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AZ49" i="15"/>
  <c r="AM49" i="15"/>
  <c r="AL49" i="15"/>
  <c r="AK49" i="15"/>
  <c r="AH49" i="15"/>
  <c r="AG49" i="15"/>
  <c r="AF49" i="15"/>
  <c r="AE49" i="15"/>
  <c r="AD49" i="15"/>
  <c r="AC49" i="15"/>
  <c r="AB49" i="15"/>
  <c r="AA49" i="15"/>
  <c r="Z49" i="15"/>
  <c r="U49" i="15"/>
  <c r="BR48" i="15"/>
  <c r="BQ48" i="15"/>
  <c r="BP48" i="15"/>
  <c r="BN48" i="15"/>
  <c r="BM48" i="15"/>
  <c r="BL48" i="15"/>
  <c r="BK48" i="15"/>
  <c r="BJ48" i="15"/>
  <c r="BI48" i="15"/>
  <c r="BH48" i="15"/>
  <c r="BG48" i="15"/>
  <c r="BF48" i="15"/>
  <c r="BE48" i="15"/>
  <c r="BD48" i="15"/>
  <c r="BC48" i="15"/>
  <c r="BB48" i="15"/>
  <c r="BA48" i="15"/>
  <c r="AZ48" i="15"/>
  <c r="AM48" i="15"/>
  <c r="AL48" i="15"/>
  <c r="AK48" i="15"/>
  <c r="AH48" i="15"/>
  <c r="AG48" i="15"/>
  <c r="AF48" i="15"/>
  <c r="AE48" i="15"/>
  <c r="AD48" i="15"/>
  <c r="AC48" i="15"/>
  <c r="AB48" i="15"/>
  <c r="AA48" i="15"/>
  <c r="Z48" i="15"/>
  <c r="U48" i="15"/>
  <c r="BR47" i="15"/>
  <c r="BQ47" i="15"/>
  <c r="BP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AZ47" i="15"/>
  <c r="AM47" i="15"/>
  <c r="AL47" i="15"/>
  <c r="AK47" i="15"/>
  <c r="AH47" i="15"/>
  <c r="AG47" i="15"/>
  <c r="AF47" i="15"/>
  <c r="AE47" i="15"/>
  <c r="AD47" i="15"/>
  <c r="AC47" i="15"/>
  <c r="AB47" i="15"/>
  <c r="AA47" i="15"/>
  <c r="Z47" i="15"/>
  <c r="U47" i="15"/>
  <c r="BR46" i="15"/>
  <c r="BQ46" i="15"/>
  <c r="BP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AZ46" i="15"/>
  <c r="AM46" i="15"/>
  <c r="AL46" i="15"/>
  <c r="AK46" i="15"/>
  <c r="AH46" i="15"/>
  <c r="AG46" i="15"/>
  <c r="AF46" i="15"/>
  <c r="AE46" i="15"/>
  <c r="AD46" i="15"/>
  <c r="AC46" i="15"/>
  <c r="AB46" i="15"/>
  <c r="AA46" i="15"/>
  <c r="Z46" i="15"/>
  <c r="U46" i="15"/>
  <c r="BR45" i="15"/>
  <c r="BQ45" i="15"/>
  <c r="BP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M45" i="15"/>
  <c r="AL45" i="15"/>
  <c r="AK45" i="15"/>
  <c r="AH45" i="15"/>
  <c r="AG45" i="15"/>
  <c r="AF45" i="15"/>
  <c r="AE45" i="15"/>
  <c r="AD45" i="15"/>
  <c r="AC45" i="15"/>
  <c r="AB45" i="15"/>
  <c r="AA45" i="15"/>
  <c r="Z45" i="15"/>
  <c r="U45" i="15"/>
  <c r="BR44" i="15"/>
  <c r="BQ44" i="15"/>
  <c r="BP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AZ44" i="15"/>
  <c r="AM44" i="15"/>
  <c r="AL44" i="15"/>
  <c r="AK44" i="15"/>
  <c r="AH44" i="15"/>
  <c r="AG44" i="15"/>
  <c r="AF44" i="15"/>
  <c r="AE44" i="15"/>
  <c r="AD44" i="15"/>
  <c r="AC44" i="15"/>
  <c r="AB44" i="15"/>
  <c r="AA44" i="15"/>
  <c r="Z44" i="15"/>
  <c r="U44" i="15"/>
  <c r="BR43" i="15"/>
  <c r="BQ43" i="15"/>
  <c r="BP43" i="15"/>
  <c r="BN43" i="15"/>
  <c r="BM43" i="15"/>
  <c r="BL43" i="15"/>
  <c r="BK43" i="15"/>
  <c r="BJ43" i="15"/>
  <c r="BI43" i="15"/>
  <c r="BH43" i="15"/>
  <c r="BG43" i="15"/>
  <c r="BF43" i="15"/>
  <c r="BE43" i="15"/>
  <c r="BD43" i="15"/>
  <c r="BC43" i="15"/>
  <c r="BB43" i="15"/>
  <c r="BA43" i="15"/>
  <c r="AZ43" i="15"/>
  <c r="AM43" i="15"/>
  <c r="AL43" i="15"/>
  <c r="AK43" i="15"/>
  <c r="AH43" i="15"/>
  <c r="AG43" i="15"/>
  <c r="AF43" i="15"/>
  <c r="AE43" i="15"/>
  <c r="AD43" i="15"/>
  <c r="AC43" i="15"/>
  <c r="AB43" i="15"/>
  <c r="AA43" i="15"/>
  <c r="Z43" i="15"/>
  <c r="U43" i="15"/>
  <c r="BR42" i="15"/>
  <c r="BQ42" i="15"/>
  <c r="BP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AZ42" i="15"/>
  <c r="AM42" i="15"/>
  <c r="AL42" i="15"/>
  <c r="AK42" i="15"/>
  <c r="AH42" i="15"/>
  <c r="AG42" i="15"/>
  <c r="AF42" i="15"/>
  <c r="AE42" i="15"/>
  <c r="AD42" i="15"/>
  <c r="AC42" i="15"/>
  <c r="AB42" i="15"/>
  <c r="AA42" i="15"/>
  <c r="Z42" i="15"/>
  <c r="U42" i="15"/>
  <c r="BR41" i="15"/>
  <c r="BQ41" i="15"/>
  <c r="BP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AZ41" i="15"/>
  <c r="AM41" i="15"/>
  <c r="AL41" i="15"/>
  <c r="AK41" i="15"/>
  <c r="AH41" i="15"/>
  <c r="AG41" i="15"/>
  <c r="AF41" i="15"/>
  <c r="AE41" i="15"/>
  <c r="AD41" i="15"/>
  <c r="AC41" i="15"/>
  <c r="AB41" i="15"/>
  <c r="AA41" i="15"/>
  <c r="Z41" i="15"/>
  <c r="U41" i="15"/>
  <c r="BR40" i="15"/>
  <c r="BQ40" i="15"/>
  <c r="BP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AZ40" i="15"/>
  <c r="AM40" i="15"/>
  <c r="AL40" i="15"/>
  <c r="AK40" i="15"/>
  <c r="AH40" i="15"/>
  <c r="AG40" i="15"/>
  <c r="AF40" i="15"/>
  <c r="AE40" i="15"/>
  <c r="AD40" i="15"/>
  <c r="AC40" i="15"/>
  <c r="AB40" i="15"/>
  <c r="AA40" i="15"/>
  <c r="Z40" i="15"/>
  <c r="U40" i="15"/>
  <c r="BR39" i="15"/>
  <c r="BQ39" i="15"/>
  <c r="BP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AZ39" i="15"/>
  <c r="AM39" i="15"/>
  <c r="AL39" i="15"/>
  <c r="AK39" i="15"/>
  <c r="AH39" i="15"/>
  <c r="AG39" i="15"/>
  <c r="AF39" i="15"/>
  <c r="AE39" i="15"/>
  <c r="AD39" i="15"/>
  <c r="AC39" i="15"/>
  <c r="AB39" i="15"/>
  <c r="AA39" i="15"/>
  <c r="Z39" i="15"/>
  <c r="U39" i="15"/>
  <c r="BR38" i="15"/>
  <c r="BQ38" i="15"/>
  <c r="BP38" i="15"/>
  <c r="BN38" i="15"/>
  <c r="BM38" i="15"/>
  <c r="BL38" i="15"/>
  <c r="BK38" i="15"/>
  <c r="BJ38" i="15"/>
  <c r="BI38" i="15"/>
  <c r="BH38" i="15"/>
  <c r="BG38" i="15"/>
  <c r="BF38" i="15"/>
  <c r="BE38" i="15"/>
  <c r="BD38" i="15"/>
  <c r="BC38" i="15"/>
  <c r="BB38" i="15"/>
  <c r="BA38" i="15"/>
  <c r="AZ38" i="15"/>
  <c r="AM38" i="15"/>
  <c r="AL38" i="15"/>
  <c r="AK38" i="15"/>
  <c r="AH38" i="15"/>
  <c r="AG38" i="15"/>
  <c r="AF38" i="15"/>
  <c r="AE38" i="15"/>
  <c r="AD38" i="15"/>
  <c r="AC38" i="15"/>
  <c r="AB38" i="15"/>
  <c r="AA38" i="15"/>
  <c r="Z38" i="15"/>
  <c r="U38" i="15"/>
  <c r="BR37" i="15"/>
  <c r="BQ37" i="15"/>
  <c r="BP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AZ37" i="15"/>
  <c r="AM37" i="15"/>
  <c r="AL37" i="15"/>
  <c r="AK37" i="15"/>
  <c r="AH37" i="15"/>
  <c r="AG37" i="15"/>
  <c r="AF37" i="15"/>
  <c r="AE37" i="15"/>
  <c r="AD37" i="15"/>
  <c r="AC37" i="15"/>
  <c r="AB37" i="15"/>
  <c r="AA37" i="15"/>
  <c r="Z37" i="15"/>
  <c r="U37" i="15"/>
  <c r="BR36" i="15"/>
  <c r="BQ36" i="15"/>
  <c r="BP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AZ36" i="15"/>
  <c r="AM36" i="15"/>
  <c r="AL36" i="15"/>
  <c r="AK36" i="15"/>
  <c r="AH36" i="15"/>
  <c r="AG36" i="15"/>
  <c r="AF36" i="15"/>
  <c r="AE36" i="15"/>
  <c r="AD36" i="15"/>
  <c r="AC36" i="15"/>
  <c r="AB36" i="15"/>
  <c r="AA36" i="15"/>
  <c r="Z36" i="15"/>
  <c r="U36" i="15"/>
  <c r="BR35" i="15"/>
  <c r="BQ35" i="15"/>
  <c r="BP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M35" i="15"/>
  <c r="AL35" i="15"/>
  <c r="AK35" i="15"/>
  <c r="AH35" i="15"/>
  <c r="AG35" i="15"/>
  <c r="AF35" i="15"/>
  <c r="AE35" i="15"/>
  <c r="AD35" i="15"/>
  <c r="AC35" i="15"/>
  <c r="AB35" i="15"/>
  <c r="AA35" i="15"/>
  <c r="Z35" i="15"/>
  <c r="U35" i="15"/>
  <c r="BR34" i="15"/>
  <c r="BQ34" i="15"/>
  <c r="BP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AZ34" i="15"/>
  <c r="AM34" i="15"/>
  <c r="AL34" i="15"/>
  <c r="AK34" i="15"/>
  <c r="AH34" i="15"/>
  <c r="AG34" i="15"/>
  <c r="AF34" i="15"/>
  <c r="AE34" i="15"/>
  <c r="AD34" i="15"/>
  <c r="AC34" i="15"/>
  <c r="AB34" i="15"/>
  <c r="AA34" i="15"/>
  <c r="Z34" i="15"/>
  <c r="U34" i="15"/>
  <c r="BR33" i="15"/>
  <c r="BQ33" i="15"/>
  <c r="BP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M33" i="15"/>
  <c r="AL33" i="15"/>
  <c r="AK33" i="15"/>
  <c r="AH33" i="15"/>
  <c r="AG33" i="15"/>
  <c r="AF33" i="15"/>
  <c r="AE33" i="15"/>
  <c r="AD33" i="15"/>
  <c r="AC33" i="15"/>
  <c r="AB33" i="15"/>
  <c r="AA33" i="15"/>
  <c r="Z33" i="15"/>
  <c r="U33" i="15"/>
  <c r="BR32" i="15"/>
  <c r="BQ32" i="15"/>
  <c r="BP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AZ32" i="15"/>
  <c r="AM32" i="15"/>
  <c r="AL32" i="15"/>
  <c r="AK32" i="15"/>
  <c r="AH32" i="15"/>
  <c r="AG32" i="15"/>
  <c r="AF32" i="15"/>
  <c r="AE32" i="15"/>
  <c r="AD32" i="15"/>
  <c r="AC32" i="15"/>
  <c r="AB32" i="15"/>
  <c r="AA32" i="15"/>
  <c r="Z32" i="15"/>
  <c r="U32" i="15"/>
  <c r="BR31" i="15"/>
  <c r="BQ31" i="15"/>
  <c r="BP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M31" i="15"/>
  <c r="AL31" i="15"/>
  <c r="AK31" i="15"/>
  <c r="AH31" i="15"/>
  <c r="AG31" i="15"/>
  <c r="AF31" i="15"/>
  <c r="AE31" i="15"/>
  <c r="AD31" i="15"/>
  <c r="AC31" i="15"/>
  <c r="AB31" i="15"/>
  <c r="AA31" i="15"/>
  <c r="Z31" i="15"/>
  <c r="U31" i="15"/>
  <c r="BR30" i="15"/>
  <c r="BQ30" i="15"/>
  <c r="BP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M30" i="15"/>
  <c r="AL30" i="15"/>
  <c r="AK30" i="15"/>
  <c r="AH30" i="15"/>
  <c r="AG30" i="15"/>
  <c r="AF30" i="15"/>
  <c r="AE30" i="15"/>
  <c r="AD30" i="15"/>
  <c r="AC30" i="15"/>
  <c r="AB30" i="15"/>
  <c r="AA30" i="15"/>
  <c r="Z30" i="15"/>
  <c r="U30" i="15"/>
  <c r="BR29" i="15"/>
  <c r="BQ29" i="15"/>
  <c r="BP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M29" i="15"/>
  <c r="AL29" i="15"/>
  <c r="AK29" i="15"/>
  <c r="AH29" i="15"/>
  <c r="AG29" i="15"/>
  <c r="AF29" i="15"/>
  <c r="AE29" i="15"/>
  <c r="AD29" i="15"/>
  <c r="AC29" i="15"/>
  <c r="AB29" i="15"/>
  <c r="AA29" i="15"/>
  <c r="Z29" i="15"/>
  <c r="U29" i="15"/>
  <c r="BR28" i="15"/>
  <c r="BQ28" i="15"/>
  <c r="BP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M28" i="15"/>
  <c r="AL28" i="15"/>
  <c r="AK28" i="15"/>
  <c r="AH28" i="15"/>
  <c r="AG28" i="15"/>
  <c r="AF28" i="15"/>
  <c r="AE28" i="15"/>
  <c r="AD28" i="15"/>
  <c r="AC28" i="15"/>
  <c r="AB28" i="15"/>
  <c r="AA28" i="15"/>
  <c r="Z28" i="15"/>
  <c r="U28" i="15"/>
  <c r="BR27" i="15"/>
  <c r="BQ27" i="15"/>
  <c r="BP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M27" i="15"/>
  <c r="AL27" i="15"/>
  <c r="AK27" i="15"/>
  <c r="AH27" i="15"/>
  <c r="AG27" i="15"/>
  <c r="AF27" i="15"/>
  <c r="AE27" i="15"/>
  <c r="AD27" i="15"/>
  <c r="AC27" i="15"/>
  <c r="AB27" i="15"/>
  <c r="AA27" i="15"/>
  <c r="Z27" i="15"/>
  <c r="U27" i="15"/>
  <c r="BR26" i="15"/>
  <c r="BQ26" i="15"/>
  <c r="BP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M26" i="15"/>
  <c r="AL26" i="15"/>
  <c r="AK26" i="15"/>
  <c r="AH26" i="15"/>
  <c r="AG26" i="15"/>
  <c r="AF26" i="15"/>
  <c r="AE26" i="15"/>
  <c r="AD26" i="15"/>
  <c r="AC26" i="15"/>
  <c r="AB26" i="15"/>
  <c r="AA26" i="15"/>
  <c r="Z26" i="15"/>
  <c r="U26" i="15"/>
  <c r="BR25" i="15"/>
  <c r="BQ25" i="15"/>
  <c r="BP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M25" i="15"/>
  <c r="AL25" i="15"/>
  <c r="AK25" i="15"/>
  <c r="AH25" i="15"/>
  <c r="AG25" i="15"/>
  <c r="AF25" i="15"/>
  <c r="AE25" i="15"/>
  <c r="AD25" i="15"/>
  <c r="AC25" i="15"/>
  <c r="AB25" i="15"/>
  <c r="AA25" i="15"/>
  <c r="Z25" i="15"/>
  <c r="U25" i="15"/>
  <c r="BR24" i="15"/>
  <c r="BQ24" i="15"/>
  <c r="BP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M24" i="15"/>
  <c r="AL24" i="15"/>
  <c r="AK24" i="15"/>
  <c r="AH24" i="15"/>
  <c r="AG24" i="15"/>
  <c r="AF24" i="15"/>
  <c r="AE24" i="15"/>
  <c r="AD24" i="15"/>
  <c r="AC24" i="15"/>
  <c r="AB24" i="15"/>
  <c r="AA24" i="15"/>
  <c r="Z24" i="15"/>
  <c r="U24" i="15"/>
  <c r="BR23" i="15"/>
  <c r="BQ23" i="15"/>
  <c r="BP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M23" i="15"/>
  <c r="AL23" i="15"/>
  <c r="AK23" i="15"/>
  <c r="AH23" i="15"/>
  <c r="AG23" i="15"/>
  <c r="AF23" i="15"/>
  <c r="AE23" i="15"/>
  <c r="AD23" i="15"/>
  <c r="AC23" i="15"/>
  <c r="AB23" i="15"/>
  <c r="AA23" i="15"/>
  <c r="Z23" i="15"/>
  <c r="U23" i="15"/>
  <c r="BR22" i="15"/>
  <c r="BQ22" i="15"/>
  <c r="BP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M22" i="15"/>
  <c r="AL22" i="15"/>
  <c r="AK22" i="15"/>
  <c r="AH22" i="15"/>
  <c r="AG22" i="15"/>
  <c r="AF22" i="15"/>
  <c r="AE22" i="15"/>
  <c r="AD22" i="15"/>
  <c r="AC22" i="15"/>
  <c r="AB22" i="15"/>
  <c r="AA22" i="15"/>
  <c r="Z22" i="15"/>
  <c r="U22" i="15"/>
  <c r="BR21" i="15"/>
  <c r="BQ21" i="15"/>
  <c r="BP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M21" i="15"/>
  <c r="AL21" i="15"/>
  <c r="AK21" i="15"/>
  <c r="AH21" i="15"/>
  <c r="AG21" i="15"/>
  <c r="AF21" i="15"/>
  <c r="AE21" i="15"/>
  <c r="AD21" i="15"/>
  <c r="AC21" i="15"/>
  <c r="AB21" i="15"/>
  <c r="AA21" i="15"/>
  <c r="Z21" i="15"/>
  <c r="U21" i="15"/>
  <c r="BR20" i="15"/>
  <c r="BQ20" i="15"/>
  <c r="BP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M20" i="15"/>
  <c r="AL20" i="15"/>
  <c r="AK20" i="15"/>
  <c r="AH20" i="15"/>
  <c r="AG20" i="15"/>
  <c r="AF20" i="15"/>
  <c r="AE20" i="15"/>
  <c r="AD20" i="15"/>
  <c r="AC20" i="15"/>
  <c r="AB20" i="15"/>
  <c r="AA20" i="15"/>
  <c r="Z20" i="15"/>
  <c r="U20" i="15"/>
  <c r="BR19" i="15"/>
  <c r="BQ19" i="15"/>
  <c r="BP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M19" i="15"/>
  <c r="AL19" i="15"/>
  <c r="AK19" i="15"/>
  <c r="AH19" i="15"/>
  <c r="AG19" i="15"/>
  <c r="AF19" i="15"/>
  <c r="AE19" i="15"/>
  <c r="AD19" i="15"/>
  <c r="AC19" i="15"/>
  <c r="AB19" i="15"/>
  <c r="AA19" i="15"/>
  <c r="Z19" i="15"/>
  <c r="U19" i="15"/>
  <c r="BR18" i="15"/>
  <c r="BQ18" i="15"/>
  <c r="BP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M18" i="15"/>
  <c r="AL18" i="15"/>
  <c r="AK18" i="15"/>
  <c r="AH18" i="15"/>
  <c r="AG18" i="15"/>
  <c r="AF18" i="15"/>
  <c r="AE18" i="15"/>
  <c r="AD18" i="15"/>
  <c r="AC18" i="15"/>
  <c r="AB18" i="15"/>
  <c r="AA18" i="15"/>
  <c r="Z18" i="15"/>
  <c r="U18" i="15"/>
  <c r="BR17" i="15"/>
  <c r="BQ17" i="15"/>
  <c r="BP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M17" i="15"/>
  <c r="AL17" i="15"/>
  <c r="AK17" i="15"/>
  <c r="AH17" i="15"/>
  <c r="AG17" i="15"/>
  <c r="AF17" i="15"/>
  <c r="AE17" i="15"/>
  <c r="AD17" i="15"/>
  <c r="AC17" i="15"/>
  <c r="AB17" i="15"/>
  <c r="AA17" i="15"/>
  <c r="Z17" i="15"/>
  <c r="U17" i="15"/>
  <c r="BR16" i="15"/>
  <c r="BQ16" i="15"/>
  <c r="BP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M16" i="15"/>
  <c r="AL16" i="15"/>
  <c r="AK16" i="15"/>
  <c r="AH16" i="15"/>
  <c r="AG16" i="15"/>
  <c r="AF16" i="15"/>
  <c r="AE16" i="15"/>
  <c r="AD16" i="15"/>
  <c r="AC16" i="15"/>
  <c r="AB16" i="15"/>
  <c r="AA16" i="15"/>
  <c r="Z16" i="15"/>
  <c r="U16" i="15"/>
  <c r="BR15" i="15"/>
  <c r="BQ15" i="15"/>
  <c r="BP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M15" i="15"/>
  <c r="AL15" i="15"/>
  <c r="AK15" i="15"/>
  <c r="AH15" i="15"/>
  <c r="AG15" i="15"/>
  <c r="AF15" i="15"/>
  <c r="AE15" i="15"/>
  <c r="AD15" i="15"/>
  <c r="AC15" i="15"/>
  <c r="AB15" i="15"/>
  <c r="AA15" i="15"/>
  <c r="Z15" i="15"/>
  <c r="U15" i="15"/>
  <c r="BR14" i="15"/>
  <c r="BQ14" i="15"/>
  <c r="BP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M14" i="15"/>
  <c r="AL14" i="15"/>
  <c r="AK14" i="15"/>
  <c r="AH14" i="15"/>
  <c r="AG14" i="15"/>
  <c r="AF14" i="15"/>
  <c r="AE14" i="15"/>
  <c r="AD14" i="15"/>
  <c r="AC14" i="15"/>
  <c r="AB14" i="15"/>
  <c r="AA14" i="15"/>
  <c r="Z14" i="15"/>
  <c r="U14" i="15"/>
  <c r="BR13" i="15"/>
  <c r="BQ13" i="15"/>
  <c r="BP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M13" i="15"/>
  <c r="AL13" i="15"/>
  <c r="AK13" i="15"/>
  <c r="AH13" i="15"/>
  <c r="AG13" i="15"/>
  <c r="AF13" i="15"/>
  <c r="AE13" i="15"/>
  <c r="AD13" i="15"/>
  <c r="AC13" i="15"/>
  <c r="AB13" i="15"/>
  <c r="AA13" i="15"/>
  <c r="Z13" i="15"/>
  <c r="U13" i="15"/>
  <c r="BR12" i="15"/>
  <c r="BQ12" i="15"/>
  <c r="BP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M12" i="15"/>
  <c r="AL12" i="15"/>
  <c r="AK12" i="15"/>
  <c r="AH12" i="15"/>
  <c r="AG12" i="15"/>
  <c r="AF12" i="15"/>
  <c r="AE12" i="15"/>
  <c r="AD12" i="15"/>
  <c r="AC12" i="15"/>
  <c r="AB12" i="15"/>
  <c r="AA12" i="15"/>
  <c r="Z12" i="15"/>
  <c r="U12" i="15"/>
  <c r="BR11" i="15"/>
  <c r="BQ11" i="15"/>
  <c r="BP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M11" i="15"/>
  <c r="AL11" i="15"/>
  <c r="AK11" i="15"/>
  <c r="AH11" i="15"/>
  <c r="AG11" i="15"/>
  <c r="AF11" i="15"/>
  <c r="AE11" i="15"/>
  <c r="AD11" i="15"/>
  <c r="AC11" i="15"/>
  <c r="AB11" i="15"/>
  <c r="AA11" i="15"/>
  <c r="Z11" i="15"/>
  <c r="U11" i="15"/>
  <c r="BR10" i="15"/>
  <c r="BQ10" i="15"/>
  <c r="BP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M10" i="15"/>
  <c r="AL10" i="15"/>
  <c r="AK10" i="15"/>
  <c r="AH10" i="15"/>
  <c r="AG10" i="15"/>
  <c r="AF10" i="15"/>
  <c r="AE10" i="15"/>
  <c r="AD10" i="15"/>
  <c r="AC10" i="15"/>
  <c r="AB10" i="15"/>
  <c r="AA10" i="15"/>
  <c r="Z10" i="15"/>
  <c r="U10" i="15"/>
  <c r="BR9" i="15"/>
  <c r="BQ9" i="15"/>
  <c r="BP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M9" i="15"/>
  <c r="AL9" i="15"/>
  <c r="AK9" i="15"/>
  <c r="AH9" i="15"/>
  <c r="AG9" i="15"/>
  <c r="AF9" i="15"/>
  <c r="AE9" i="15"/>
  <c r="AD9" i="15"/>
  <c r="AC9" i="15"/>
  <c r="AB9" i="15"/>
  <c r="AA9" i="15"/>
  <c r="Z9" i="15"/>
  <c r="U9" i="15"/>
  <c r="BR8" i="15"/>
  <c r="BQ8" i="15"/>
  <c r="BP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M8" i="15"/>
  <c r="AL8" i="15"/>
  <c r="AK8" i="15"/>
  <c r="AH8" i="15"/>
  <c r="AG8" i="15"/>
  <c r="AF8" i="15"/>
  <c r="AE8" i="15"/>
  <c r="AD8" i="15"/>
  <c r="AC8" i="15"/>
  <c r="AB8" i="15"/>
  <c r="AA8" i="15"/>
  <c r="Z8" i="15"/>
  <c r="U8" i="15"/>
  <c r="BR7" i="15"/>
  <c r="BQ7" i="15"/>
  <c r="BP7" i="15"/>
  <c r="BN7" i="15"/>
  <c r="BM7" i="15"/>
  <c r="BL7" i="15"/>
  <c r="BK7" i="15"/>
  <c r="BJ7" i="15"/>
  <c r="BI7" i="15"/>
  <c r="BH7" i="15"/>
  <c r="BG7" i="15"/>
  <c r="BF7" i="15"/>
  <c r="BE7" i="15"/>
  <c r="BD7" i="15"/>
  <c r="BC7" i="15"/>
  <c r="BB7" i="15"/>
  <c r="BA7" i="15"/>
  <c r="AZ7" i="15"/>
  <c r="AM7" i="15"/>
  <c r="AL7" i="15"/>
  <c r="AK7" i="15"/>
  <c r="AH7" i="15"/>
  <c r="AG7" i="15"/>
  <c r="AF7" i="15"/>
  <c r="AE7" i="15"/>
  <c r="AD7" i="15"/>
  <c r="AC7" i="15"/>
  <c r="AB7" i="15"/>
  <c r="AA7" i="15"/>
  <c r="Z7" i="15"/>
  <c r="U7" i="15"/>
  <c r="BR6" i="15"/>
  <c r="BQ6" i="15"/>
  <c r="BP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M6" i="15"/>
  <c r="AL6" i="15"/>
  <c r="AK6" i="15"/>
  <c r="AH6" i="15"/>
  <c r="AG6" i="15"/>
  <c r="AF6" i="15"/>
  <c r="AE6" i="15"/>
  <c r="AD6" i="15"/>
  <c r="AC6" i="15"/>
  <c r="AB6" i="15"/>
  <c r="AA6" i="15"/>
  <c r="Z6" i="15"/>
  <c r="U6" i="15"/>
  <c r="BR5" i="15"/>
  <c r="BQ5" i="15"/>
  <c r="BP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M5" i="15"/>
  <c r="AL5" i="15"/>
  <c r="AK5" i="15"/>
  <c r="AH5" i="15"/>
  <c r="AG5" i="15"/>
  <c r="AF5" i="15"/>
  <c r="AE5" i="15"/>
  <c r="AD5" i="15"/>
  <c r="AC5" i="15"/>
  <c r="AB5" i="15"/>
  <c r="AA5" i="15"/>
  <c r="Z5" i="15"/>
  <c r="U5" i="15"/>
  <c r="BR4" i="15"/>
  <c r="BQ4" i="15"/>
  <c r="BP4" i="15"/>
  <c r="BN4" i="15"/>
  <c r="BM4" i="15"/>
  <c r="BL4" i="15"/>
  <c r="BK4" i="15"/>
  <c r="BJ4" i="15"/>
  <c r="BI4" i="15"/>
  <c r="BH4" i="15"/>
  <c r="BG4" i="15"/>
  <c r="BF4" i="15"/>
  <c r="BE4" i="15"/>
  <c r="BD4" i="15"/>
  <c r="BC4" i="15"/>
  <c r="BB4" i="15"/>
  <c r="BA4" i="15"/>
  <c r="AZ4" i="15"/>
  <c r="AM4" i="15"/>
  <c r="AL4" i="15"/>
  <c r="AK4" i="15"/>
  <c r="AH4" i="15"/>
  <c r="AG4" i="15"/>
  <c r="AF4" i="15"/>
  <c r="AE4" i="15"/>
  <c r="AD4" i="15"/>
  <c r="AC4" i="15"/>
  <c r="AB4" i="15"/>
  <c r="AA4" i="15"/>
  <c r="Z4" i="15"/>
  <c r="U4" i="15"/>
  <c r="BR3" i="15"/>
  <c r="BQ3" i="15"/>
  <c r="BP3" i="15"/>
  <c r="BN3" i="15"/>
  <c r="BM3" i="15"/>
  <c r="BL3" i="15"/>
  <c r="BK3" i="15"/>
  <c r="BJ3" i="15"/>
  <c r="BI3" i="15"/>
  <c r="BH3" i="15"/>
  <c r="BG3" i="15"/>
  <c r="BF3" i="15"/>
  <c r="BE3" i="15"/>
  <c r="BD3" i="15"/>
  <c r="BC3" i="15"/>
  <c r="BB3" i="15"/>
  <c r="BA3" i="15"/>
  <c r="AZ3" i="15"/>
  <c r="AM3" i="15"/>
  <c r="AL3" i="15"/>
  <c r="AK3" i="15"/>
  <c r="AH3" i="15"/>
  <c r="AG3" i="15"/>
  <c r="AF3" i="15"/>
  <c r="AE3" i="15"/>
  <c r="AD3" i="15"/>
  <c r="AC3" i="15"/>
  <c r="AB3" i="15"/>
  <c r="AA3" i="15"/>
  <c r="Z3" i="15"/>
  <c r="U3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O96" i="16"/>
  <c r="O98" i="16"/>
  <c r="O100" i="16"/>
  <c r="A64" i="16"/>
  <c r="A18" i="16"/>
  <c r="A8" i="16"/>
  <c r="A16" i="16"/>
  <c r="A81" i="16"/>
  <c r="A30" i="16"/>
  <c r="A54" i="16"/>
  <c r="A15" i="16"/>
  <c r="A29" i="16"/>
  <c r="A14" i="16"/>
  <c r="A79" i="16"/>
  <c r="A55" i="16"/>
  <c r="A50" i="16"/>
  <c r="A49" i="16"/>
  <c r="A28" i="16"/>
  <c r="A42" i="16"/>
  <c r="A39" i="16"/>
  <c r="A9" i="16"/>
  <c r="A51" i="16"/>
  <c r="A21" i="16"/>
  <c r="A87" i="16"/>
  <c r="A4" i="16"/>
  <c r="A78" i="16"/>
  <c r="A26" i="16"/>
  <c r="A53" i="16"/>
  <c r="A47" i="16"/>
  <c r="A56" i="16"/>
  <c r="A20" i="16"/>
  <c r="A13" i="16"/>
  <c r="A69" i="16"/>
  <c r="A24" i="16"/>
  <c r="A19" i="16"/>
  <c r="A33" i="16"/>
  <c r="A88" i="16"/>
  <c r="A46" i="16"/>
  <c r="A38" i="16"/>
  <c r="A85" i="16"/>
  <c r="A90" i="16"/>
  <c r="A65" i="16"/>
  <c r="A32" i="16"/>
  <c r="A7" i="16"/>
  <c r="A68" i="16"/>
  <c r="A60" i="16"/>
  <c r="A45" i="16"/>
  <c r="A44" i="16"/>
  <c r="A5" i="16"/>
  <c r="A89" i="16"/>
  <c r="A63" i="16"/>
  <c r="A37" i="16"/>
  <c r="A40" i="16"/>
  <c r="A86" i="16"/>
  <c r="A25" i="16"/>
  <c r="A62" i="16"/>
  <c r="A82" i="16"/>
  <c r="A34" i="16"/>
  <c r="A31" i="16"/>
  <c r="A3" i="16"/>
  <c r="A91" i="16"/>
  <c r="A84" i="16"/>
  <c r="A67" i="16"/>
  <c r="A23" i="16"/>
  <c r="A83" i="16"/>
  <c r="A80" i="16"/>
  <c r="A77" i="16"/>
  <c r="A66" i="16"/>
  <c r="A61" i="16"/>
  <c r="A59" i="16"/>
  <c r="A58" i="16"/>
  <c r="A57" i="16"/>
  <c r="A52" i="16"/>
  <c r="A48" i="16"/>
  <c r="A43" i="16"/>
  <c r="A41" i="16"/>
  <c r="A36" i="16"/>
  <c r="A35" i="16"/>
  <c r="A27" i="16"/>
  <c r="A22" i="16"/>
  <c r="A17" i="16"/>
  <c r="A12" i="16"/>
  <c r="A11" i="16"/>
  <c r="A10" i="16"/>
  <c r="A6" i="16"/>
  <c r="A76" i="16"/>
  <c r="A75" i="16"/>
  <c r="A74" i="16"/>
  <c r="A73" i="16"/>
  <c r="A72" i="16"/>
  <c r="A71" i="16"/>
  <c r="A70" i="16"/>
  <c r="G74" i="13"/>
  <c r="D79" i="15"/>
  <c r="G27" i="13"/>
  <c r="G85" i="13"/>
  <c r="D64" i="15"/>
  <c r="G84" i="13"/>
  <c r="D60" i="15"/>
  <c r="G20" i="13"/>
  <c r="D57" i="15"/>
  <c r="G82" i="13"/>
  <c r="D49" i="15"/>
  <c r="G17" i="13"/>
  <c r="D45" i="15"/>
  <c r="G12" i="13"/>
  <c r="D36" i="15"/>
  <c r="G11" i="13"/>
  <c r="D35" i="15"/>
  <c r="G35" i="13"/>
  <c r="D31" i="15"/>
  <c r="G52" i="13"/>
  <c r="D28" i="15"/>
  <c r="G51" i="13"/>
  <c r="D25" i="15"/>
  <c r="G32" i="13"/>
  <c r="D23" i="15"/>
  <c r="G47" i="13"/>
  <c r="D17" i="15"/>
  <c r="G63" i="13"/>
  <c r="D14" i="15"/>
  <c r="G29" i="13"/>
  <c r="D5" i="15"/>
  <c r="G25" i="13"/>
  <c r="G44" i="13"/>
  <c r="G77" i="13"/>
  <c r="D86" i="15"/>
  <c r="G59" i="13"/>
  <c r="D84" i="15"/>
  <c r="G87" i="13"/>
  <c r="D80" i="15"/>
  <c r="G26" i="13"/>
  <c r="G86" i="13"/>
  <c r="D68" i="15"/>
  <c r="G38" i="13"/>
  <c r="D48" i="15"/>
  <c r="G64" i="13"/>
  <c r="D42" i="15"/>
  <c r="G81" i="13"/>
  <c r="G53" i="13"/>
  <c r="D30" i="15"/>
  <c r="G49" i="13"/>
  <c r="D22" i="15"/>
  <c r="G48" i="13"/>
  <c r="D21" i="15"/>
  <c r="G79" i="13"/>
  <c r="D15" i="15"/>
  <c r="G5" i="13"/>
  <c r="D12" i="15"/>
  <c r="G60" i="13"/>
  <c r="D8" i="15"/>
  <c r="G30" i="13"/>
  <c r="D6" i="15"/>
  <c r="G43" i="13"/>
  <c r="D88" i="15"/>
  <c r="G28" i="13"/>
  <c r="G40" i="13"/>
  <c r="D67" i="15"/>
  <c r="G70" i="13"/>
  <c r="D61" i="15"/>
  <c r="G19" i="13"/>
  <c r="D54" i="15"/>
  <c r="G68" i="13"/>
  <c r="D53" i="15"/>
  <c r="G66" i="13"/>
  <c r="D50" i="15"/>
  <c r="G13" i="13"/>
  <c r="D37" i="15"/>
  <c r="G8" i="13"/>
  <c r="D29" i="15"/>
  <c r="G78" i="13"/>
  <c r="D13" i="15"/>
  <c r="G62" i="13"/>
  <c r="D10" i="15"/>
  <c r="G23" i="13"/>
  <c r="G22" i="13"/>
  <c r="G89" i="13"/>
  <c r="D87" i="15"/>
  <c r="G24" i="13"/>
  <c r="G41" i="13"/>
  <c r="D69" i="15"/>
  <c r="G67" i="13"/>
  <c r="D51" i="15"/>
  <c r="G15" i="13"/>
  <c r="D41" i="15"/>
  <c r="G54" i="13"/>
  <c r="D38" i="15"/>
  <c r="G31" i="13"/>
  <c r="D19" i="15"/>
  <c r="G61" i="13"/>
  <c r="D9" i="15"/>
  <c r="G4" i="13"/>
  <c r="D4" i="15"/>
  <c r="G76" i="13"/>
  <c r="D85" i="15"/>
  <c r="G39" i="13"/>
  <c r="D63" i="15"/>
  <c r="G57" i="13"/>
  <c r="D59" i="15"/>
  <c r="G83" i="13"/>
  <c r="D58" i="15"/>
  <c r="G65" i="13"/>
  <c r="D46" i="15"/>
  <c r="G16" i="13"/>
  <c r="D44" i="15"/>
  <c r="G37" i="13"/>
  <c r="G14" i="13"/>
  <c r="D40" i="15"/>
  <c r="G34" i="13"/>
  <c r="D27" i="15"/>
  <c r="G50" i="13"/>
  <c r="D24" i="15"/>
  <c r="G80" i="13"/>
  <c r="D20" i="15"/>
  <c r="G7" i="13"/>
  <c r="D18" i="15"/>
  <c r="G46" i="13"/>
  <c r="D11" i="15"/>
  <c r="G91" i="13"/>
  <c r="D91" i="15"/>
  <c r="G90" i="13"/>
  <c r="G56" i="13"/>
  <c r="D56" i="15"/>
  <c r="G69" i="13"/>
  <c r="D55" i="15"/>
  <c r="G55" i="13"/>
  <c r="D52" i="15"/>
  <c r="G36" i="13"/>
  <c r="D32" i="15"/>
  <c r="G6" i="13"/>
  <c r="D16" i="15"/>
  <c r="G45" i="13"/>
  <c r="D7" i="15"/>
  <c r="G3" i="13"/>
  <c r="D3" i="15"/>
  <c r="G88" i="13"/>
  <c r="D82" i="15"/>
  <c r="G75" i="13"/>
  <c r="D81" i="15"/>
  <c r="G73" i="13"/>
  <c r="D78" i="15"/>
  <c r="G42" i="13"/>
  <c r="D77" i="15"/>
  <c r="G21" i="13"/>
  <c r="G72" i="13"/>
  <c r="D66" i="15"/>
  <c r="G71" i="13"/>
  <c r="D65" i="15"/>
  <c r="G58" i="13"/>
  <c r="D62" i="15"/>
  <c r="G18" i="13"/>
  <c r="D47" i="15"/>
  <c r="G10" i="13"/>
  <c r="G9" i="13"/>
  <c r="D34" i="15"/>
  <c r="G33" i="13"/>
  <c r="D26" i="15"/>
  <c r="F22" i="13"/>
  <c r="F23" i="13"/>
  <c r="F24" i="13"/>
  <c r="F25" i="13"/>
  <c r="F26" i="13"/>
  <c r="F27" i="13"/>
  <c r="F77" i="13"/>
  <c r="E86" i="15"/>
  <c r="F76" i="13"/>
  <c r="E85" i="15"/>
  <c r="F75" i="13"/>
  <c r="E81" i="15"/>
  <c r="F74" i="13"/>
  <c r="E79" i="15"/>
  <c r="F73" i="13"/>
  <c r="E78" i="15"/>
  <c r="F72" i="13"/>
  <c r="E66" i="15"/>
  <c r="F71" i="13"/>
  <c r="E65" i="15"/>
  <c r="F70" i="13"/>
  <c r="E61" i="15"/>
  <c r="F69" i="13"/>
  <c r="E55" i="15"/>
  <c r="F68" i="13"/>
  <c r="E53" i="15"/>
  <c r="F67" i="13"/>
  <c r="E51" i="15"/>
  <c r="F66" i="13"/>
  <c r="E50" i="15"/>
  <c r="F65" i="13"/>
  <c r="E46" i="15"/>
  <c r="F64" i="13"/>
  <c r="E42" i="15"/>
  <c r="F63" i="13"/>
  <c r="E14" i="15"/>
  <c r="F62" i="13"/>
  <c r="E10" i="15"/>
  <c r="F61" i="13"/>
  <c r="E9" i="15"/>
  <c r="F60" i="13"/>
  <c r="E8" i="15"/>
  <c r="F44" i="13"/>
  <c r="F43" i="13"/>
  <c r="E88" i="15"/>
  <c r="F42" i="13"/>
  <c r="E77" i="15"/>
  <c r="F41" i="13"/>
  <c r="E69" i="15"/>
  <c r="F40" i="13"/>
  <c r="E67" i="15"/>
  <c r="F39" i="13"/>
  <c r="E63" i="15"/>
  <c r="F38" i="13"/>
  <c r="E48" i="15"/>
  <c r="F37" i="13"/>
  <c r="F36" i="13"/>
  <c r="E32" i="15"/>
  <c r="F35" i="13"/>
  <c r="E31" i="15"/>
  <c r="F34" i="13"/>
  <c r="E27" i="15"/>
  <c r="F33" i="13"/>
  <c r="E26" i="15"/>
  <c r="F32" i="13"/>
  <c r="E23" i="15"/>
  <c r="F31" i="13"/>
  <c r="E19" i="15"/>
  <c r="F30" i="13"/>
  <c r="E6" i="15"/>
  <c r="F29" i="13"/>
  <c r="E5" i="15"/>
  <c r="F91" i="13"/>
  <c r="E91" i="15"/>
  <c r="F90" i="13"/>
  <c r="F89" i="13"/>
  <c r="E87" i="15"/>
  <c r="F88" i="13"/>
  <c r="E82" i="15"/>
  <c r="F87" i="13"/>
  <c r="E80" i="15"/>
  <c r="F86" i="13"/>
  <c r="E68" i="15"/>
  <c r="F85" i="13"/>
  <c r="E64" i="15"/>
  <c r="F84" i="13"/>
  <c r="E60" i="15"/>
  <c r="F83" i="13"/>
  <c r="E58" i="15"/>
  <c r="F82" i="13"/>
  <c r="E49" i="15"/>
  <c r="F81" i="13"/>
  <c r="F80" i="13"/>
  <c r="E20" i="15"/>
  <c r="F79" i="13"/>
  <c r="E15" i="15"/>
  <c r="F78" i="13"/>
  <c r="E13" i="15"/>
  <c r="F8" i="13"/>
  <c r="E29" i="15"/>
  <c r="F57" i="13"/>
  <c r="E59" i="15"/>
  <c r="F58" i="13"/>
  <c r="E62" i="15"/>
  <c r="F46" i="13"/>
  <c r="E11" i="15"/>
  <c r="F47" i="13"/>
  <c r="E17" i="15"/>
  <c r="F48" i="13"/>
  <c r="E21" i="15"/>
  <c r="F49" i="13"/>
  <c r="E22" i="15"/>
  <c r="F50" i="13"/>
  <c r="E24" i="15"/>
  <c r="F51" i="13"/>
  <c r="E25" i="15"/>
  <c r="F52" i="13"/>
  <c r="E28" i="15"/>
  <c r="F53" i="13"/>
  <c r="E30" i="15"/>
  <c r="F54" i="13"/>
  <c r="E38" i="15"/>
  <c r="F55" i="13"/>
  <c r="E52" i="15"/>
  <c r="F56" i="13"/>
  <c r="E56" i="15"/>
  <c r="F59" i="13"/>
  <c r="E84" i="15"/>
  <c r="F45" i="13"/>
  <c r="E7" i="15"/>
  <c r="F28" i="13"/>
  <c r="F21" i="13"/>
  <c r="F20" i="13"/>
  <c r="E57" i="15"/>
  <c r="F19" i="13"/>
  <c r="E54" i="15"/>
  <c r="F18" i="13"/>
  <c r="E47" i="15"/>
  <c r="F17" i="13"/>
  <c r="E45" i="15"/>
  <c r="F16" i="13"/>
  <c r="E44" i="15"/>
  <c r="F15" i="13"/>
  <c r="E41" i="15"/>
  <c r="F14" i="13"/>
  <c r="E40" i="15"/>
  <c r="F13" i="13"/>
  <c r="E37" i="15"/>
  <c r="F12" i="13"/>
  <c r="E36" i="15"/>
  <c r="F11" i="13"/>
  <c r="E35" i="15"/>
  <c r="F10" i="13"/>
  <c r="F9" i="13"/>
  <c r="E34" i="15"/>
  <c r="F7" i="13"/>
  <c r="E18" i="15"/>
  <c r="F6" i="13"/>
  <c r="E16" i="15"/>
  <c r="F5" i="13"/>
  <c r="E12" i="15"/>
  <c r="F4" i="13"/>
  <c r="E4" i="15"/>
  <c r="F3" i="13"/>
  <c r="E3" i="15"/>
  <c r="AF5" i="12"/>
  <c r="AG5" i="12"/>
  <c r="AF6" i="12"/>
  <c r="AG6" i="12"/>
  <c r="AF7" i="12"/>
  <c r="AG7" i="12"/>
  <c r="AF8" i="12"/>
  <c r="AG8" i="12"/>
  <c r="AF9" i="12"/>
  <c r="AG9" i="12"/>
  <c r="AF10" i="12"/>
  <c r="AG10" i="12"/>
  <c r="AF4" i="12"/>
  <c r="AG4" i="12"/>
  <c r="AB32" i="12"/>
  <c r="AC32" i="12"/>
  <c r="AB33" i="12"/>
  <c r="AC33" i="12"/>
  <c r="AB34" i="12"/>
  <c r="AC34" i="12"/>
  <c r="AB35" i="12"/>
  <c r="AC35" i="12"/>
  <c r="AB5" i="12"/>
  <c r="AC5" i="12"/>
  <c r="AB6" i="12"/>
  <c r="AC6" i="12"/>
  <c r="AB7" i="12"/>
  <c r="AC7" i="12"/>
  <c r="AB8" i="12"/>
  <c r="AC8" i="12"/>
  <c r="AB9" i="12"/>
  <c r="AC9" i="12"/>
  <c r="AB10" i="12"/>
  <c r="AC10" i="12"/>
  <c r="AB11" i="12"/>
  <c r="AC11" i="12"/>
  <c r="AB12" i="12"/>
  <c r="AC12" i="12"/>
  <c r="AB13" i="12"/>
  <c r="AC13" i="12"/>
  <c r="AB14" i="12"/>
  <c r="AC14" i="12"/>
  <c r="AB15" i="12"/>
  <c r="AC15" i="12"/>
  <c r="AB16" i="12"/>
  <c r="AC16" i="12"/>
  <c r="AB17" i="12"/>
  <c r="AC17" i="12"/>
  <c r="AB18" i="12"/>
  <c r="AC18" i="12"/>
  <c r="AB19" i="12"/>
  <c r="AC19" i="12"/>
  <c r="AB20" i="12"/>
  <c r="AC20" i="12"/>
  <c r="AB21" i="12"/>
  <c r="AC21" i="12"/>
  <c r="AB22" i="12"/>
  <c r="AC22" i="12"/>
  <c r="AB23" i="12"/>
  <c r="AC23" i="12"/>
  <c r="AB24" i="12"/>
  <c r="AC24" i="12"/>
  <c r="AB25" i="12"/>
  <c r="AC25" i="12"/>
  <c r="AB26" i="12"/>
  <c r="AC26" i="12"/>
  <c r="AB27" i="12"/>
  <c r="AC27" i="12"/>
  <c r="AB28" i="12"/>
  <c r="AC28" i="12"/>
  <c r="AB29" i="12"/>
  <c r="AC29" i="12"/>
  <c r="AB30" i="12"/>
  <c r="AC30" i="12"/>
  <c r="AB31" i="12"/>
  <c r="AC31" i="12"/>
  <c r="AB4" i="12"/>
  <c r="AC4" i="12"/>
  <c r="X5" i="12"/>
  <c r="Y5" i="12"/>
  <c r="X6" i="12"/>
  <c r="Y6" i="12"/>
  <c r="X7" i="12"/>
  <c r="Y7" i="12"/>
  <c r="X8" i="12"/>
  <c r="Y8" i="12"/>
  <c r="X9" i="12"/>
  <c r="Y9" i="12"/>
  <c r="X10" i="12"/>
  <c r="Y10" i="12"/>
  <c r="X11" i="12"/>
  <c r="Y11" i="12"/>
  <c r="X12" i="12"/>
  <c r="Y12" i="12"/>
  <c r="X13" i="12"/>
  <c r="Y13" i="12"/>
  <c r="X14" i="12"/>
  <c r="Y14" i="12"/>
  <c r="X15" i="12"/>
  <c r="Y15" i="12"/>
  <c r="X16" i="12"/>
  <c r="Y16" i="12"/>
  <c r="X17" i="12"/>
  <c r="Y17" i="12"/>
  <c r="X18" i="12"/>
  <c r="Y18" i="12"/>
  <c r="X19" i="12"/>
  <c r="Y19" i="12"/>
  <c r="X20" i="12"/>
  <c r="Y20" i="12"/>
  <c r="X21" i="12"/>
  <c r="Y21" i="12"/>
  <c r="X22" i="12"/>
  <c r="Y22" i="12"/>
  <c r="X23" i="12"/>
  <c r="Y23" i="12"/>
  <c r="X24" i="12"/>
  <c r="Y24" i="12"/>
  <c r="X25" i="12"/>
  <c r="Y25" i="12"/>
  <c r="X26" i="12"/>
  <c r="Y26" i="12"/>
  <c r="X27" i="12"/>
  <c r="Y27" i="12"/>
  <c r="X28" i="12"/>
  <c r="Y28" i="12"/>
  <c r="X29" i="12"/>
  <c r="Y29" i="12"/>
  <c r="X30" i="12"/>
  <c r="Y30" i="12"/>
  <c r="X31" i="12"/>
  <c r="Y31" i="12"/>
  <c r="X32" i="12"/>
  <c r="Y32" i="12"/>
  <c r="X33" i="12"/>
  <c r="Y33" i="12"/>
  <c r="X34" i="12"/>
  <c r="Y34" i="12"/>
  <c r="X35" i="12"/>
  <c r="Y35" i="12"/>
  <c r="X36" i="12"/>
  <c r="Y36" i="12"/>
  <c r="X37" i="12"/>
  <c r="Y37" i="12"/>
  <c r="X38" i="12"/>
  <c r="Y38" i="12"/>
  <c r="X39" i="12"/>
  <c r="Y39" i="12"/>
  <c r="X40" i="12"/>
  <c r="Y40" i="12"/>
  <c r="X41" i="12"/>
  <c r="Y41" i="12"/>
  <c r="X42" i="12"/>
  <c r="Y42" i="12"/>
  <c r="X43" i="12"/>
  <c r="Y43" i="12"/>
  <c r="X44" i="12"/>
  <c r="Y44" i="12"/>
  <c r="X45" i="12"/>
  <c r="Y45" i="12"/>
  <c r="X46" i="12"/>
  <c r="Y46" i="12"/>
  <c r="X4" i="12"/>
  <c r="Y4" i="12"/>
  <c r="T47" i="12"/>
  <c r="U47" i="12"/>
  <c r="T48" i="12"/>
  <c r="U48" i="12"/>
  <c r="T45" i="12"/>
  <c r="U45" i="12"/>
  <c r="T46" i="12"/>
  <c r="U46" i="12"/>
  <c r="T43" i="12"/>
  <c r="U43" i="12"/>
  <c r="T44" i="12"/>
  <c r="U44" i="12"/>
  <c r="T5" i="12"/>
  <c r="U5" i="12"/>
  <c r="T6" i="12"/>
  <c r="U6" i="12"/>
  <c r="T7" i="12"/>
  <c r="U7" i="12"/>
  <c r="T8" i="12"/>
  <c r="U8" i="12"/>
  <c r="T9" i="12"/>
  <c r="U9" i="12"/>
  <c r="T10" i="12"/>
  <c r="U10" i="12"/>
  <c r="T11" i="12"/>
  <c r="U11" i="12"/>
  <c r="T12" i="12"/>
  <c r="U12" i="12"/>
  <c r="T13" i="12"/>
  <c r="U13" i="12"/>
  <c r="T14" i="12"/>
  <c r="U14" i="12"/>
  <c r="T15" i="12"/>
  <c r="U15" i="12"/>
  <c r="T16" i="12"/>
  <c r="U16" i="12"/>
  <c r="T17" i="12"/>
  <c r="U17" i="12"/>
  <c r="T18" i="12"/>
  <c r="U18" i="12"/>
  <c r="T19" i="12"/>
  <c r="U19" i="12"/>
  <c r="T20" i="12"/>
  <c r="U20" i="12"/>
  <c r="T21" i="12"/>
  <c r="U21" i="12"/>
  <c r="T22" i="12"/>
  <c r="U22" i="12"/>
  <c r="T23" i="12"/>
  <c r="U23" i="12"/>
  <c r="T24" i="12"/>
  <c r="U24" i="12"/>
  <c r="T25" i="12"/>
  <c r="U25" i="12"/>
  <c r="T26" i="12"/>
  <c r="U26" i="12"/>
  <c r="T27" i="12"/>
  <c r="U27" i="12"/>
  <c r="T28" i="12"/>
  <c r="U28" i="12"/>
  <c r="T29" i="12"/>
  <c r="U29" i="12"/>
  <c r="T30" i="12"/>
  <c r="U30" i="12"/>
  <c r="T31" i="12"/>
  <c r="U31" i="12"/>
  <c r="T32" i="12"/>
  <c r="U32" i="12"/>
  <c r="T33" i="12"/>
  <c r="U33" i="12"/>
  <c r="T34" i="12"/>
  <c r="U34" i="12"/>
  <c r="T35" i="12"/>
  <c r="U35" i="12"/>
  <c r="T36" i="12"/>
  <c r="U36" i="12"/>
  <c r="T37" i="12"/>
  <c r="U37" i="12"/>
  <c r="T38" i="12"/>
  <c r="U38" i="12"/>
  <c r="T39" i="12"/>
  <c r="U39" i="12"/>
  <c r="T40" i="12"/>
  <c r="U40" i="12"/>
  <c r="T41" i="12"/>
  <c r="U41" i="12"/>
  <c r="T42" i="12"/>
  <c r="U42" i="12"/>
  <c r="T4" i="12"/>
  <c r="U4" i="12"/>
  <c r="O5" i="12"/>
  <c r="P5" i="12"/>
  <c r="Q5" i="12"/>
  <c r="O6" i="12"/>
  <c r="P6" i="12"/>
  <c r="Q6" i="12"/>
  <c r="O7" i="12"/>
  <c r="P7" i="12"/>
  <c r="Q7" i="12"/>
  <c r="O8" i="12"/>
  <c r="P8" i="12"/>
  <c r="Q8" i="12"/>
  <c r="O9" i="12"/>
  <c r="P9" i="12"/>
  <c r="Q9" i="12"/>
  <c r="O10" i="12"/>
  <c r="P10" i="12"/>
  <c r="Q10" i="12"/>
  <c r="O11" i="12"/>
  <c r="P11" i="12"/>
  <c r="Q11" i="12"/>
  <c r="O12" i="12"/>
  <c r="P12" i="12"/>
  <c r="Q12" i="12"/>
  <c r="O13" i="12"/>
  <c r="P13" i="12"/>
  <c r="Q13" i="12"/>
  <c r="O14" i="12"/>
  <c r="P14" i="12"/>
  <c r="Q14" i="12"/>
  <c r="O15" i="12"/>
  <c r="P15" i="12"/>
  <c r="Q15" i="12"/>
  <c r="O16" i="12"/>
  <c r="P16" i="12"/>
  <c r="Q16" i="12"/>
  <c r="O17" i="12"/>
  <c r="P17" i="12"/>
  <c r="Q17" i="12"/>
  <c r="O18" i="12"/>
  <c r="P18" i="12"/>
  <c r="Q18" i="12"/>
  <c r="O19" i="12"/>
  <c r="P19" i="12"/>
  <c r="Q19" i="12"/>
  <c r="O20" i="12"/>
  <c r="P20" i="12"/>
  <c r="Q20" i="12"/>
  <c r="O21" i="12"/>
  <c r="P21" i="12"/>
  <c r="Q21" i="12"/>
  <c r="O22" i="12"/>
  <c r="P22" i="12"/>
  <c r="Q22" i="12"/>
  <c r="O23" i="12"/>
  <c r="P23" i="12"/>
  <c r="Q23" i="12"/>
  <c r="O24" i="12"/>
  <c r="P24" i="12"/>
  <c r="Q24" i="12"/>
  <c r="O25" i="12"/>
  <c r="P25" i="12"/>
  <c r="Q25" i="12"/>
  <c r="O26" i="12"/>
  <c r="P26" i="12"/>
  <c r="Q26" i="12"/>
  <c r="O27" i="12"/>
  <c r="P27" i="12"/>
  <c r="Q27" i="12"/>
  <c r="O28" i="12"/>
  <c r="P28" i="12"/>
  <c r="Q28" i="12"/>
  <c r="O29" i="12"/>
  <c r="P29" i="12"/>
  <c r="Q29" i="12"/>
  <c r="O30" i="12"/>
  <c r="P30" i="12"/>
  <c r="Q30" i="12"/>
  <c r="O31" i="12"/>
  <c r="P31" i="12"/>
  <c r="Q31" i="12"/>
  <c r="O32" i="12"/>
  <c r="P32" i="12"/>
  <c r="Q32" i="12"/>
  <c r="O33" i="12"/>
  <c r="P33" i="12"/>
  <c r="Q33" i="12"/>
  <c r="O34" i="12"/>
  <c r="P34" i="12"/>
  <c r="Q34" i="12"/>
  <c r="O35" i="12"/>
  <c r="P35" i="12"/>
  <c r="Q35" i="12"/>
  <c r="O36" i="12"/>
  <c r="P36" i="12"/>
  <c r="Q36" i="12"/>
  <c r="O37" i="12"/>
  <c r="P37" i="12"/>
  <c r="Q37" i="12"/>
  <c r="O38" i="12"/>
  <c r="P38" i="12"/>
  <c r="Q38" i="12"/>
  <c r="O39" i="12"/>
  <c r="P39" i="12"/>
  <c r="Q39" i="12"/>
  <c r="O40" i="12"/>
  <c r="P40" i="12"/>
  <c r="Q40" i="12"/>
  <c r="O41" i="12"/>
  <c r="P41" i="12"/>
  <c r="Q41" i="12"/>
  <c r="O42" i="12"/>
  <c r="P42" i="12"/>
  <c r="Q42" i="12"/>
  <c r="O4" i="12"/>
  <c r="P4" i="12"/>
  <c r="Q4" i="12"/>
  <c r="J30" i="12"/>
  <c r="K30" i="12"/>
  <c r="L30" i="12"/>
  <c r="J31" i="12"/>
  <c r="K31" i="12"/>
  <c r="L31" i="12"/>
  <c r="J32" i="12"/>
  <c r="K32" i="12"/>
  <c r="L32" i="12"/>
  <c r="J33" i="12"/>
  <c r="K33" i="12"/>
  <c r="L33" i="12"/>
  <c r="J25" i="12"/>
  <c r="K25" i="12"/>
  <c r="L25" i="12"/>
  <c r="J26" i="12"/>
  <c r="K26" i="12"/>
  <c r="L26" i="12"/>
  <c r="J27" i="12"/>
  <c r="K27" i="12"/>
  <c r="L27" i="12"/>
  <c r="J28" i="12"/>
  <c r="K28" i="12"/>
  <c r="L28" i="12"/>
  <c r="J29" i="12"/>
  <c r="K29" i="12"/>
  <c r="L29" i="12"/>
  <c r="J20" i="12"/>
  <c r="K20" i="12"/>
  <c r="L20" i="12"/>
  <c r="J21" i="12"/>
  <c r="K21" i="12"/>
  <c r="L21" i="12"/>
  <c r="J22" i="12"/>
  <c r="K22" i="12"/>
  <c r="L22" i="12"/>
  <c r="J23" i="12"/>
  <c r="K23" i="12"/>
  <c r="L23" i="12"/>
  <c r="J24" i="12"/>
  <c r="K24" i="12"/>
  <c r="L24" i="12"/>
  <c r="J5" i="12"/>
  <c r="K5" i="12"/>
  <c r="L5" i="12"/>
  <c r="J6" i="12"/>
  <c r="K6" i="12"/>
  <c r="L6" i="12"/>
  <c r="J7" i="12"/>
  <c r="K7" i="12"/>
  <c r="L7" i="12"/>
  <c r="J8" i="12"/>
  <c r="K8" i="12"/>
  <c r="L8" i="12"/>
  <c r="J9" i="12"/>
  <c r="K9" i="12"/>
  <c r="L9" i="12"/>
  <c r="J10" i="12"/>
  <c r="K10" i="12"/>
  <c r="L10" i="12"/>
  <c r="J11" i="12"/>
  <c r="K11" i="12"/>
  <c r="L11" i="12"/>
  <c r="J12" i="12"/>
  <c r="K12" i="12"/>
  <c r="L12" i="12"/>
  <c r="J13" i="12"/>
  <c r="K13" i="12"/>
  <c r="L13" i="12"/>
  <c r="J14" i="12"/>
  <c r="K14" i="12"/>
  <c r="L14" i="12"/>
  <c r="J15" i="12"/>
  <c r="K15" i="12"/>
  <c r="L15" i="12"/>
  <c r="J16" i="12"/>
  <c r="K16" i="12"/>
  <c r="L16" i="12"/>
  <c r="J17" i="12"/>
  <c r="K17" i="12"/>
  <c r="L17" i="12"/>
  <c r="J18" i="12"/>
  <c r="K18" i="12"/>
  <c r="L18" i="12"/>
  <c r="J19" i="12"/>
  <c r="K19" i="12"/>
  <c r="L19" i="12"/>
  <c r="J4" i="12"/>
  <c r="K4" i="12"/>
  <c r="L4" i="12"/>
  <c r="A4" i="12"/>
  <c r="B4" i="12"/>
  <c r="A5" i="12"/>
  <c r="B5" i="12"/>
  <c r="A6" i="12"/>
  <c r="B6" i="12"/>
  <c r="A7" i="12"/>
  <c r="B7" i="12"/>
  <c r="D34" i="5" a="1"/>
  <c r="D34" i="5"/>
  <c r="AT75" i="15"/>
  <c r="AX39" i="15"/>
  <c r="BO83" i="15"/>
  <c r="BS83" i="15"/>
  <c r="AT11" i="15"/>
  <c r="AP19" i="15"/>
  <c r="AR23" i="15"/>
  <c r="AU27" i="15"/>
  <c r="BO35" i="15"/>
  <c r="BS35" i="15"/>
  <c r="BO51" i="15"/>
  <c r="BS51" i="15"/>
  <c r="AU59" i="15"/>
  <c r="AS67" i="15"/>
  <c r="BO4" i="15"/>
  <c r="BS4" i="15"/>
  <c r="AR13" i="15"/>
  <c r="AU49" i="15"/>
  <c r="AX65" i="15"/>
  <c r="AX77" i="15"/>
  <c r="AX81" i="15"/>
  <c r="X78" i="15"/>
  <c r="W72" i="15"/>
  <c r="Y81" i="15"/>
  <c r="AN70" i="15"/>
  <c r="W80" i="15"/>
  <c r="X10" i="15"/>
  <c r="X46" i="15"/>
  <c r="AN55" i="15"/>
  <c r="X62" i="15"/>
  <c r="X4" i="15"/>
  <c r="X20" i="15"/>
  <c r="AN21" i="15"/>
  <c r="AN25" i="15"/>
  <c r="W13" i="15"/>
  <c r="W48" i="15"/>
  <c r="Y63" i="15"/>
  <c r="W64" i="15"/>
  <c r="AN7" i="15"/>
  <c r="X8" i="15"/>
  <c r="Y16" i="15"/>
  <c r="Y47" i="15"/>
  <c r="X56" i="15"/>
  <c r="AN69" i="15"/>
  <c r="X14" i="15"/>
  <c r="X16" i="15"/>
  <c r="X30" i="15"/>
  <c r="AN31" i="15"/>
  <c r="W32" i="15"/>
  <c r="X34" i="15"/>
  <c r="AN34" i="15"/>
  <c r="W35" i="15"/>
  <c r="X38" i="15"/>
  <c r="BO29" i="15"/>
  <c r="BS29" i="15"/>
  <c r="AT29" i="15"/>
  <c r="AX53" i="15"/>
  <c r="AS53" i="15"/>
  <c r="AU69" i="15"/>
  <c r="AR69" i="15"/>
  <c r="X9" i="15"/>
  <c r="AN11" i="15"/>
  <c r="W50" i="15"/>
  <c r="W55" i="15"/>
  <c r="Y55" i="15"/>
  <c r="Y79" i="15"/>
  <c r="AN83" i="15"/>
  <c r="Y85" i="15"/>
  <c r="W88" i="15"/>
  <c r="AN90" i="15"/>
  <c r="Y91" i="15"/>
  <c r="AS85" i="15"/>
  <c r="BO61" i="15"/>
  <c r="BS61" i="15"/>
  <c r="AW41" i="15"/>
  <c r="BO17" i="15"/>
  <c r="BS17" i="15"/>
  <c r="AY57" i="15"/>
  <c r="S33" i="15"/>
  <c r="AP9" i="15"/>
  <c r="Y6" i="15"/>
  <c r="AN15" i="15"/>
  <c r="X42" i="15"/>
  <c r="W57" i="15"/>
  <c r="W62" i="15"/>
  <c r="AN63" i="15"/>
  <c r="AN85" i="15"/>
  <c r="AU73" i="15"/>
  <c r="AS5" i="15"/>
  <c r="AN9" i="15"/>
  <c r="Y52" i="15"/>
  <c r="AS45" i="15"/>
  <c r="AR21" i="15"/>
  <c r="AY4" i="15"/>
  <c r="AN5" i="15"/>
  <c r="Y8" i="15"/>
  <c r="W9" i="15"/>
  <c r="W11" i="15"/>
  <c r="X18" i="15"/>
  <c r="X22" i="15"/>
  <c r="W25" i="15"/>
  <c r="X26" i="15"/>
  <c r="AN26" i="15"/>
  <c r="AN27" i="15"/>
  <c r="X35" i="15"/>
  <c r="Y35" i="15"/>
  <c r="AN35" i="15"/>
  <c r="W40" i="15"/>
  <c r="W43" i="15"/>
  <c r="AN47" i="15"/>
  <c r="AN50" i="15"/>
  <c r="W51" i="15"/>
  <c r="W86" i="15"/>
  <c r="AX37" i="15"/>
  <c r="AR37" i="15"/>
  <c r="AS37" i="15"/>
  <c r="AP82" i="15"/>
  <c r="AX18" i="15"/>
  <c r="X68" i="15"/>
  <c r="X70" i="15"/>
  <c r="X74" i="15"/>
  <c r="W77" i="15"/>
  <c r="AN79" i="15"/>
  <c r="AN81" i="15"/>
  <c r="W85" i="15"/>
  <c r="X85" i="15"/>
  <c r="X90" i="15"/>
  <c r="AT34" i="15"/>
  <c r="AU10" i="15"/>
  <c r="BO42" i="15"/>
  <c r="BS42" i="15"/>
  <c r="X3" i="15"/>
  <c r="AP66" i="15"/>
  <c r="AN20" i="15"/>
  <c r="W27" i="15"/>
  <c r="X33" i="15"/>
  <c r="Y33" i="15"/>
  <c r="Y49" i="15"/>
  <c r="Y58" i="15"/>
  <c r="Y61" i="15"/>
  <c r="W76" i="15"/>
  <c r="AR81" i="15"/>
  <c r="X83" i="15"/>
  <c r="AN13" i="15"/>
  <c r="W36" i="15"/>
  <c r="W41" i="15"/>
  <c r="Y42" i="15"/>
  <c r="W68" i="15"/>
  <c r="AN6" i="15"/>
  <c r="AY29" i="15"/>
  <c r="Y32" i="15"/>
  <c r="AN33" i="15"/>
  <c r="W49" i="15"/>
  <c r="AN53" i="15"/>
  <c r="X54" i="15"/>
  <c r="W58" i="15"/>
  <c r="X61" i="15"/>
  <c r="AN61" i="15"/>
  <c r="W70" i="15"/>
  <c r="W74" i="15"/>
  <c r="AN77" i="15"/>
  <c r="W83" i="15"/>
  <c r="Y83" i="15"/>
  <c r="X86" i="15"/>
  <c r="AU89" i="15"/>
  <c r="AP25" i="15"/>
  <c r="X12" i="15"/>
  <c r="W17" i="15"/>
  <c r="Y19" i="15"/>
  <c r="W19" i="15"/>
  <c r="AN23" i="15"/>
  <c r="X28" i="15"/>
  <c r="AN28" i="15"/>
  <c r="W29" i="15"/>
  <c r="AN29" i="15"/>
  <c r="W33" i="15"/>
  <c r="Y36" i="15"/>
  <c r="AN37" i="15"/>
  <c r="AN39" i="15"/>
  <c r="X40" i="15"/>
  <c r="AN40" i="15"/>
  <c r="Y67" i="15"/>
  <c r="W71" i="15"/>
  <c r="X71" i="15"/>
  <c r="X72" i="15"/>
  <c r="AN72" i="15"/>
  <c r="X84" i="15"/>
  <c r="Y89" i="15"/>
  <c r="AN91" i="15"/>
  <c r="AU19" i="15"/>
  <c r="AT35" i="15"/>
  <c r="AS34" i="15"/>
  <c r="AX7" i="15"/>
  <c r="AS7" i="15"/>
  <c r="AW7" i="15"/>
  <c r="AP7" i="15"/>
  <c r="AU15" i="15"/>
  <c r="AP15" i="15"/>
  <c r="BO15" i="15"/>
  <c r="BS15" i="15"/>
  <c r="AY15" i="15"/>
  <c r="AS15" i="15"/>
  <c r="S15" i="15"/>
  <c r="AX23" i="15"/>
  <c r="AS23" i="15"/>
  <c r="AU23" i="15"/>
  <c r="AU31" i="15"/>
  <c r="AP31" i="15"/>
  <c r="AX31" i="15"/>
  <c r="AR31" i="15"/>
  <c r="AW31" i="15"/>
  <c r="BO39" i="15"/>
  <c r="BS39" i="15"/>
  <c r="AY39" i="15"/>
  <c r="AT39" i="15"/>
  <c r="AU39" i="15"/>
  <c r="AS39" i="15"/>
  <c r="S39" i="15"/>
  <c r="AW39" i="15"/>
  <c r="AR39" i="15"/>
  <c r="AX47" i="15"/>
  <c r="AS47" i="15"/>
  <c r="AT47" i="15"/>
  <c r="BO47" i="15"/>
  <c r="BS47" i="15"/>
  <c r="AY47" i="15"/>
  <c r="AR47" i="15"/>
  <c r="S47" i="15"/>
  <c r="AW47" i="15"/>
  <c r="AW55" i="15"/>
  <c r="AR55" i="15"/>
  <c r="S55" i="15"/>
  <c r="AT55" i="15"/>
  <c r="BO55" i="15"/>
  <c r="BS55" i="15"/>
  <c r="AY55" i="15"/>
  <c r="AS55" i="15"/>
  <c r="AP55" i="15"/>
  <c r="AX63" i="15"/>
  <c r="AS63" i="15"/>
  <c r="BO63" i="15"/>
  <c r="BS63" i="15"/>
  <c r="AY63" i="15"/>
  <c r="AR63" i="15"/>
  <c r="S63" i="15"/>
  <c r="AW63" i="15"/>
  <c r="AP63" i="15"/>
  <c r="AT63" i="15"/>
  <c r="AX71" i="15"/>
  <c r="AS71" i="15"/>
  <c r="AU71" i="15"/>
  <c r="AR71" i="15"/>
  <c r="BO71" i="15"/>
  <c r="BS71" i="15"/>
  <c r="AY71" i="15"/>
  <c r="AP71" i="15"/>
  <c r="AW71" i="15"/>
  <c r="AT71" i="15"/>
  <c r="AU79" i="15"/>
  <c r="AP79" i="15"/>
  <c r="BO79" i="15"/>
  <c r="BS79" i="15"/>
  <c r="AY79" i="15"/>
  <c r="AS79" i="15"/>
  <c r="S79" i="15"/>
  <c r="AW79" i="15"/>
  <c r="AT79" i="15"/>
  <c r="BO87" i="15"/>
  <c r="BS87" i="15"/>
  <c r="AY87" i="15"/>
  <c r="AT87" i="15"/>
  <c r="AW87" i="15"/>
  <c r="AP87" i="15"/>
  <c r="AU87" i="15"/>
  <c r="S87" i="15"/>
  <c r="AS87" i="15"/>
  <c r="AX87" i="15"/>
  <c r="AT31" i="15"/>
  <c r="AU47" i="15"/>
  <c r="AY51" i="15"/>
  <c r="AU55" i="15"/>
  <c r="S59" i="15"/>
  <c r="AU4" i="15"/>
  <c r="AP4" i="15"/>
  <c r="AX4" i="15"/>
  <c r="AR4" i="15"/>
  <c r="AU7" i="15"/>
  <c r="AW19" i="15"/>
  <c r="AY31" i="15"/>
  <c r="BO31" i="15"/>
  <c r="BS31" i="15"/>
  <c r="AY35" i="15"/>
  <c r="AX55" i="15"/>
  <c r="AU63" i="15"/>
  <c r="S71" i="15"/>
  <c r="AR79" i="15"/>
  <c r="AS83" i="15"/>
  <c r="AW77" i="15"/>
  <c r="AR77" i="15"/>
  <c r="S77" i="15"/>
  <c r="BO77" i="15"/>
  <c r="BS77" i="15"/>
  <c r="AY77" i="15"/>
  <c r="AS77" i="15"/>
  <c r="AU77" i="15"/>
  <c r="AT77" i="15"/>
  <c r="AR15" i="15"/>
  <c r="W18" i="15"/>
  <c r="AW23" i="15"/>
  <c r="S27" i="15"/>
  <c r="AX79" i="15"/>
  <c r="AY83" i="15"/>
  <c r="AR87" i="15"/>
  <c r="AX3" i="15"/>
  <c r="AS3" i="15"/>
  <c r="AW3" i="15"/>
  <c r="AP3" i="15"/>
  <c r="AW11" i="15"/>
  <c r="AR11" i="15"/>
  <c r="AU11" i="15"/>
  <c r="BO19" i="15"/>
  <c r="BS19" i="15"/>
  <c r="AY19" i="15"/>
  <c r="AT19" i="15"/>
  <c r="AX19" i="15"/>
  <c r="AR19" i="15"/>
  <c r="S19" i="15"/>
  <c r="AW27" i="15"/>
  <c r="AR27" i="15"/>
  <c r="AT27" i="15"/>
  <c r="BO27" i="15"/>
  <c r="BS27" i="15"/>
  <c r="AY27" i="15"/>
  <c r="AS27" i="15"/>
  <c r="AU35" i="15"/>
  <c r="AP35" i="15"/>
  <c r="AX35" i="15"/>
  <c r="AR35" i="15"/>
  <c r="AW35" i="15"/>
  <c r="AW43" i="15"/>
  <c r="AR43" i="15"/>
  <c r="S43" i="15"/>
  <c r="AT43" i="15"/>
  <c r="BO43" i="15"/>
  <c r="BS43" i="15"/>
  <c r="AY43" i="15"/>
  <c r="AS43" i="15"/>
  <c r="AX43" i="15"/>
  <c r="AU43" i="15"/>
  <c r="AW51" i="15"/>
  <c r="AR51" i="15"/>
  <c r="S51" i="15"/>
  <c r="AX51" i="15"/>
  <c r="AP51" i="15"/>
  <c r="AU51" i="15"/>
  <c r="AT51" i="15"/>
  <c r="AS51" i="15"/>
  <c r="BO59" i="15"/>
  <c r="BS59" i="15"/>
  <c r="AY59" i="15"/>
  <c r="AT59" i="15"/>
  <c r="AX59" i="15"/>
  <c r="AR59" i="15"/>
  <c r="AW59" i="15"/>
  <c r="AP59" i="15"/>
  <c r="AS59" i="15"/>
  <c r="AU67" i="15"/>
  <c r="AP67" i="15"/>
  <c r="AT67" i="15"/>
  <c r="AX67" i="15"/>
  <c r="AW67" i="15"/>
  <c r="BO67" i="15"/>
  <c r="BS67" i="15"/>
  <c r="AY67" i="15"/>
  <c r="S67" i="15"/>
  <c r="AX75" i="15"/>
  <c r="AS75" i="15"/>
  <c r="AU75" i="15"/>
  <c r="AR75" i="15"/>
  <c r="BO75" i="15"/>
  <c r="BS75" i="15"/>
  <c r="AY75" i="15"/>
  <c r="AP75" i="15"/>
  <c r="S75" i="15"/>
  <c r="AW83" i="15"/>
  <c r="AR83" i="15"/>
  <c r="S83" i="15"/>
  <c r="AX83" i="15"/>
  <c r="AP83" i="15"/>
  <c r="AU83" i="15"/>
  <c r="AT83" i="15"/>
  <c r="AU91" i="15"/>
  <c r="AP91" i="15"/>
  <c r="AT91" i="15"/>
  <c r="AS91" i="15"/>
  <c r="S91" i="15"/>
  <c r="BO91" i="15"/>
  <c r="BS91" i="15"/>
  <c r="AY91" i="15"/>
  <c r="AR91" i="15"/>
  <c r="AX91" i="15"/>
  <c r="AW91" i="15"/>
  <c r="AW61" i="15"/>
  <c r="AU13" i="15"/>
  <c r="AP13" i="15"/>
  <c r="S13" i="15"/>
  <c r="BO13" i="15"/>
  <c r="BS13" i="15"/>
  <c r="AY13" i="15"/>
  <c r="AS13" i="15"/>
  <c r="S3" i="15"/>
  <c r="AT3" i="15"/>
  <c r="S7" i="15"/>
  <c r="AT7" i="15"/>
  <c r="S11" i="15"/>
  <c r="AS11" i="15"/>
  <c r="AW13" i="15"/>
  <c r="AW15" i="15"/>
  <c r="AU3" i="15"/>
  <c r="AS4" i="15"/>
  <c r="AX13" i="15"/>
  <c r="W15" i="15"/>
  <c r="AX15" i="15"/>
  <c r="S23" i="15"/>
  <c r="AT23" i="15"/>
  <c r="AP27" i="15"/>
  <c r="S31" i="15"/>
  <c r="S35" i="15"/>
  <c r="AP43" i="15"/>
  <c r="AW53" i="15"/>
  <c r="AR53" i="15"/>
  <c r="S53" i="15"/>
  <c r="AU53" i="15"/>
  <c r="AT53" i="15"/>
  <c r="AP53" i="15"/>
  <c r="BO53" i="15"/>
  <c r="BS53" i="15"/>
  <c r="AY53" i="15"/>
  <c r="AY3" i="15"/>
  <c r="BO3" i="15"/>
  <c r="BS3" i="15"/>
  <c r="S4" i="15"/>
  <c r="AT4" i="15"/>
  <c r="W5" i="15"/>
  <c r="W7" i="15"/>
  <c r="AY7" i="15"/>
  <c r="BO7" i="15"/>
  <c r="BS7" i="15"/>
  <c r="AX11" i="15"/>
  <c r="BO65" i="15"/>
  <c r="BS65" i="15"/>
  <c r="AY65" i="15"/>
  <c r="AT65" i="15"/>
  <c r="AU65" i="15"/>
  <c r="AS65" i="15"/>
  <c r="S65" i="15"/>
  <c r="AR65" i="15"/>
  <c r="AW65" i="15"/>
  <c r="AP65" i="15"/>
  <c r="AU41" i="15"/>
  <c r="AU29" i="15"/>
  <c r="AP29" i="15"/>
  <c r="S29" i="15"/>
  <c r="AX29" i="15"/>
  <c r="AR29" i="15"/>
  <c r="AW29" i="15"/>
  <c r="AR3" i="15"/>
  <c r="Y4" i="15"/>
  <c r="AN4" i="15"/>
  <c r="AW4" i="15"/>
  <c r="AR7" i="15"/>
  <c r="Y10" i="15"/>
  <c r="AN10" i="15"/>
  <c r="AP11" i="15"/>
  <c r="AY11" i="15"/>
  <c r="BO11" i="15"/>
  <c r="BS11" i="15"/>
  <c r="Y12" i="15"/>
  <c r="AN12" i="15"/>
  <c r="AT13" i="15"/>
  <c r="AT15" i="15"/>
  <c r="AS19" i="15"/>
  <c r="Y20" i="15"/>
  <c r="Y22" i="15"/>
  <c r="AP23" i="15"/>
  <c r="AY23" i="15"/>
  <c r="BO23" i="15"/>
  <c r="BS23" i="15"/>
  <c r="Y24" i="15"/>
  <c r="X25" i="15"/>
  <c r="Y25" i="15"/>
  <c r="AX27" i="15"/>
  <c r="AS29" i="15"/>
  <c r="AS31" i="15"/>
  <c r="AS35" i="15"/>
  <c r="AP39" i="15"/>
  <c r="AP47" i="15"/>
  <c r="AR67" i="15"/>
  <c r="AW75" i="15"/>
  <c r="AP77" i="15"/>
  <c r="Y26" i="15"/>
  <c r="Y28" i="15"/>
  <c r="W31" i="15"/>
  <c r="X32" i="15"/>
  <c r="X36" i="15"/>
  <c r="S37" i="15"/>
  <c r="W45" i="15"/>
  <c r="AN49" i="15"/>
  <c r="Y54" i="15"/>
  <c r="W56" i="15"/>
  <c r="Y60" i="15"/>
  <c r="X76" i="15"/>
  <c r="W78" i="15"/>
  <c r="X82" i="15"/>
  <c r="AU81" i="15"/>
  <c r="AP81" i="15"/>
  <c r="BO81" i="15"/>
  <c r="BS81" i="15"/>
  <c r="AY81" i="15"/>
  <c r="AS81" i="15"/>
  <c r="S81" i="15"/>
  <c r="AW81" i="15"/>
  <c r="AT81" i="15"/>
  <c r="BO69" i="15"/>
  <c r="BS69" i="15"/>
  <c r="AY69" i="15"/>
  <c r="AT69" i="15"/>
  <c r="AS69" i="15"/>
  <c r="S69" i="15"/>
  <c r="AX69" i="15"/>
  <c r="AP69" i="15"/>
  <c r="AW69" i="15"/>
  <c r="AW49" i="15"/>
  <c r="AR49" i="15"/>
  <c r="BO49" i="15"/>
  <c r="BS49" i="15"/>
  <c r="AY49" i="15"/>
  <c r="AS49" i="15"/>
  <c r="AX49" i="15"/>
  <c r="AP49" i="15"/>
  <c r="S49" i="15"/>
  <c r="BO37" i="15"/>
  <c r="BS37" i="15"/>
  <c r="AY37" i="15"/>
  <c r="AT37" i="15"/>
  <c r="AW37" i="15"/>
  <c r="AP37" i="15"/>
  <c r="AU37" i="15"/>
  <c r="W3" i="15"/>
  <c r="X5" i="15"/>
  <c r="X17" i="15"/>
  <c r="AN17" i="15"/>
  <c r="AN19" i="15"/>
  <c r="W21" i="15"/>
  <c r="W23" i="15"/>
  <c r="W24" i="15"/>
  <c r="X24" i="15"/>
  <c r="Y41" i="15"/>
  <c r="AN42" i="15"/>
  <c r="AT49" i="15"/>
  <c r="X77" i="15"/>
  <c r="Y77" i="15"/>
  <c r="W37" i="15"/>
  <c r="Y44" i="15"/>
  <c r="X45" i="15"/>
  <c r="Y45" i="15"/>
  <c r="AN45" i="15"/>
  <c r="X48" i="15"/>
  <c r="AN48" i="15"/>
  <c r="X50" i="15"/>
  <c r="AN56" i="15"/>
  <c r="W59" i="15"/>
  <c r="X66" i="15"/>
  <c r="AN66" i="15"/>
  <c r="Y68" i="15"/>
  <c r="Y74" i="15"/>
  <c r="Y76" i="15"/>
  <c r="Y3" i="15"/>
  <c r="AN3" i="15"/>
  <c r="X6" i="15"/>
  <c r="W10" i="15"/>
  <c r="Y11" i="15"/>
  <c r="Y14" i="15"/>
  <c r="AN14" i="15"/>
  <c r="Y18" i="15"/>
  <c r="AN18" i="15"/>
  <c r="Y30" i="15"/>
  <c r="Y34" i="15"/>
  <c r="Y38" i="15"/>
  <c r="W42" i="15"/>
  <c r="Y46" i="15"/>
  <c r="X52" i="15"/>
  <c r="W53" i="15"/>
  <c r="Y57" i="15"/>
  <c r="X59" i="15"/>
  <c r="Y59" i="15"/>
  <c r="AN59" i="15"/>
  <c r="W60" i="15"/>
  <c r="AN62" i="15"/>
  <c r="X64" i="15"/>
  <c r="AN64" i="15"/>
  <c r="Y65" i="15"/>
  <c r="AN67" i="15"/>
  <c r="Y71" i="15"/>
  <c r="Y73" i="15"/>
  <c r="AN75" i="15"/>
  <c r="Y87" i="15"/>
  <c r="W39" i="15"/>
  <c r="Y39" i="15"/>
  <c r="AN41" i="15"/>
  <c r="X43" i="15"/>
  <c r="Y43" i="15"/>
  <c r="AN43" i="15"/>
  <c r="W44" i="15"/>
  <c r="X44" i="15"/>
  <c r="X51" i="15"/>
  <c r="Y51" i="15"/>
  <c r="AN51" i="15"/>
  <c r="W52" i="15"/>
  <c r="AN57" i="15"/>
  <c r="X58" i="15"/>
  <c r="AN58" i="15"/>
  <c r="W61" i="15"/>
  <c r="AN71" i="15"/>
  <c r="AN73" i="15"/>
  <c r="W75" i="15"/>
  <c r="X75" i="15"/>
  <c r="Y75" i="15"/>
  <c r="AN78" i="15"/>
  <c r="X80" i="15"/>
  <c r="AN80" i="15"/>
  <c r="Y82" i="15"/>
  <c r="W82" i="15"/>
  <c r="W84" i="15"/>
  <c r="AN65" i="15"/>
  <c r="W66" i="15"/>
  <c r="W69" i="15"/>
  <c r="X69" i="15"/>
  <c r="Y69" i="15"/>
  <c r="Y84" i="15"/>
  <c r="AN86" i="15"/>
  <c r="AN87" i="15"/>
  <c r="X88" i="15"/>
  <c r="AN88" i="15"/>
  <c r="AN89" i="15"/>
  <c r="W90" i="15"/>
  <c r="W6" i="15"/>
  <c r="W8" i="15"/>
  <c r="Y9" i="15"/>
  <c r="X15" i="15"/>
  <c r="W16" i="15"/>
  <c r="Y17" i="15"/>
  <c r="Y23" i="15"/>
  <c r="Y31" i="15"/>
  <c r="W54" i="15"/>
  <c r="Y90" i="15"/>
  <c r="W91" i="15"/>
  <c r="X91" i="15"/>
  <c r="Y5" i="15"/>
  <c r="Y7" i="15"/>
  <c r="X13" i="15"/>
  <c r="W14" i="15"/>
  <c r="Y15" i="15"/>
  <c r="X21" i="15"/>
  <c r="W22" i="15"/>
  <c r="AN24" i="15"/>
  <c r="W28" i="15"/>
  <c r="X29" i="15"/>
  <c r="Y29" i="15"/>
  <c r="AN32" i="15"/>
  <c r="X37" i="15"/>
  <c r="Y37" i="15"/>
  <c r="W47" i="15"/>
  <c r="Y50" i="15"/>
  <c r="X53" i="15"/>
  <c r="Y53" i="15"/>
  <c r="Y66" i="15"/>
  <c r="W67" i="15"/>
  <c r="X67" i="15"/>
  <c r="AN74" i="15"/>
  <c r="X7" i="15"/>
  <c r="X23" i="15"/>
  <c r="W30" i="15"/>
  <c r="X31" i="15"/>
  <c r="W38" i="15"/>
  <c r="Y48" i="15"/>
  <c r="W4" i="15"/>
  <c r="AN8" i="15"/>
  <c r="X11" i="15"/>
  <c r="W12" i="15"/>
  <c r="Y13" i="15"/>
  <c r="AN16" i="15"/>
  <c r="X19" i="15"/>
  <c r="W20" i="15"/>
  <c r="Y21" i="15"/>
  <c r="AN22" i="15"/>
  <c r="W26" i="15"/>
  <c r="X27" i="15"/>
  <c r="Y27" i="15"/>
  <c r="AN30" i="15"/>
  <c r="W34" i="15"/>
  <c r="Y40" i="15"/>
  <c r="W46" i="15"/>
  <c r="Y56" i="15"/>
  <c r="X60" i="15"/>
  <c r="AN82" i="15"/>
  <c r="AN36" i="15"/>
  <c r="X39" i="15"/>
  <c r="AN44" i="15"/>
  <c r="X47" i="15"/>
  <c r="AN52" i="15"/>
  <c r="X55" i="15"/>
  <c r="AN60" i="15"/>
  <c r="Y64" i="15"/>
  <c r="W65" i="15"/>
  <c r="X65" i="15"/>
  <c r="Y72" i="15"/>
  <c r="W73" i="15"/>
  <c r="X73" i="15"/>
  <c r="Y80" i="15"/>
  <c r="W81" i="15"/>
  <c r="X81" i="15"/>
  <c r="Y88" i="15"/>
  <c r="W89" i="15"/>
  <c r="X89" i="15"/>
  <c r="AN38" i="15"/>
  <c r="X41" i="15"/>
  <c r="AN46" i="15"/>
  <c r="X49" i="15"/>
  <c r="AN54" i="15"/>
  <c r="X57" i="15"/>
  <c r="Y62" i="15"/>
  <c r="W63" i="15"/>
  <c r="X63" i="15"/>
  <c r="AN68" i="15"/>
  <c r="Y70" i="15"/>
  <c r="AN76" i="15"/>
  <c r="Y78" i="15"/>
  <c r="W79" i="15"/>
  <c r="X79" i="15"/>
  <c r="AN84" i="15"/>
  <c r="Y86" i="15"/>
  <c r="W87" i="15"/>
  <c r="X87" i="15"/>
  <c r="AZ92" i="16"/>
  <c r="BD92" i="16"/>
  <c r="N92" i="16"/>
  <c r="BL92" i="16"/>
  <c r="AM92" i="16"/>
  <c r="AR92" i="16"/>
  <c r="W92" i="16"/>
  <c r="AA92" i="16"/>
  <c r="AG92" i="16"/>
  <c r="O92" i="16"/>
  <c r="O101" i="16"/>
  <c r="O102" i="16"/>
  <c r="T92" i="16"/>
  <c r="AB92" i="16"/>
  <c r="AS92" i="16"/>
  <c r="BA92" i="16"/>
  <c r="BE92" i="16"/>
  <c r="Y92" i="16"/>
  <c r="AE92" i="16"/>
  <c r="AJ92" i="16"/>
  <c r="AO92" i="16"/>
  <c r="AX92" i="16"/>
  <c r="BB92" i="16"/>
  <c r="BJ92" i="16"/>
  <c r="X92" i="16"/>
  <c r="AN92" i="16"/>
  <c r="AW92" i="16"/>
  <c r="BI92" i="16"/>
  <c r="U92" i="16"/>
  <c r="V92" i="16"/>
  <c r="Z92" i="16"/>
  <c r="AF92" i="16"/>
  <c r="AL92" i="16"/>
  <c r="AQ92" i="16"/>
  <c r="AY92" i="16"/>
  <c r="BC92" i="16"/>
  <c r="BK92" i="16"/>
  <c r="N12" i="7"/>
  <c r="N13" i="7"/>
  <c r="N14" i="7"/>
  <c r="N3" i="7"/>
  <c r="N4" i="7"/>
  <c r="N5" i="7"/>
  <c r="N9" i="7"/>
  <c r="N10" i="7"/>
  <c r="N11" i="7"/>
  <c r="N6" i="7"/>
  <c r="N7" i="7"/>
  <c r="N8" i="7"/>
  <c r="N18" i="7"/>
  <c r="N19" i="7"/>
  <c r="N20" i="7"/>
  <c r="N15" i="7"/>
  <c r="N16" i="7"/>
  <c r="N17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H23" i="8"/>
  <c r="B2" i="9" a="1"/>
  <c r="B2" i="9"/>
  <c r="A2" i="9" a="1"/>
  <c r="A2" i="9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A37" i="7"/>
  <c r="A8" i="7"/>
  <c r="A43" i="7"/>
  <c r="A22" i="7"/>
  <c r="A33" i="7"/>
  <c r="A30" i="7"/>
  <c r="A14" i="7"/>
  <c r="A20" i="7"/>
  <c r="A39" i="7"/>
  <c r="A10" i="7"/>
  <c r="A45" i="7"/>
  <c r="A16" i="7"/>
  <c r="A5" i="7"/>
  <c r="A29" i="7"/>
  <c r="A24" i="7"/>
  <c r="A18" i="7"/>
  <c r="A11" i="7"/>
  <c r="A7" i="7"/>
  <c r="A12" i="7"/>
  <c r="A23" i="7"/>
  <c r="A41" i="7"/>
  <c r="A4" i="7"/>
  <c r="A15" i="7"/>
  <c r="A26" i="7"/>
  <c r="A3" i="7"/>
  <c r="A6" i="7"/>
  <c r="A31" i="7"/>
  <c r="A19" i="7"/>
  <c r="A17" i="7"/>
  <c r="A32" i="7"/>
  <c r="A40" i="7"/>
  <c r="A21" i="7"/>
  <c r="A28" i="7"/>
  <c r="A38" i="7"/>
  <c r="A34" i="7"/>
  <c r="A13" i="7"/>
  <c r="A25" i="7"/>
  <c r="A44" i="7"/>
  <c r="A27" i="7"/>
  <c r="A42" i="7"/>
  <c r="A35" i="7"/>
  <c r="A36" i="7"/>
  <c r="A9" i="7"/>
  <c r="A5" i="4"/>
  <c r="A7" i="4"/>
  <c r="A6" i="4"/>
  <c r="A9" i="4"/>
  <c r="A10" i="4"/>
  <c r="A8" i="4"/>
  <c r="A13" i="4"/>
  <c r="A11" i="4"/>
  <c r="A12" i="4"/>
  <c r="A16" i="4"/>
  <c r="A14" i="4"/>
  <c r="A15" i="4"/>
  <c r="A17" i="4"/>
  <c r="A18" i="4"/>
  <c r="A19" i="4"/>
  <c r="A20" i="3"/>
  <c r="A2" i="3"/>
  <c r="A21" i="3"/>
  <c r="A16" i="3"/>
  <c r="A25" i="3"/>
  <c r="A26" i="3"/>
  <c r="A9" i="3"/>
  <c r="A3" i="3"/>
  <c r="A22" i="3"/>
  <c r="A4" i="3"/>
  <c r="A18" i="3"/>
  <c r="A27" i="3"/>
  <c r="A28" i="3"/>
  <c r="A5" i="3"/>
  <c r="A15" i="3"/>
  <c r="A13" i="3"/>
  <c r="A30" i="3"/>
  <c r="A24" i="3"/>
  <c r="A19" i="3"/>
  <c r="A32" i="3"/>
  <c r="A10" i="3"/>
  <c r="A29" i="3"/>
  <c r="A6" i="3"/>
  <c r="A11" i="3"/>
  <c r="A8" i="3"/>
  <c r="A12" i="3"/>
  <c r="A7" i="3"/>
  <c r="A17" i="3"/>
  <c r="A23" i="3"/>
  <c r="A31" i="3"/>
  <c r="A14" i="3"/>
  <c r="A13" i="5"/>
  <c r="A12" i="5"/>
  <c r="A9" i="5"/>
  <c r="A8" i="5"/>
  <c r="A10" i="5"/>
  <c r="A19" i="5"/>
  <c r="A18" i="5"/>
  <c r="A17" i="5"/>
  <c r="A22" i="5"/>
  <c r="A21" i="5"/>
  <c r="A20" i="5"/>
  <c r="A26" i="5"/>
  <c r="A27" i="5"/>
  <c r="A28" i="5"/>
  <c r="A24" i="5"/>
  <c r="A25" i="5"/>
  <c r="A23" i="5"/>
  <c r="A14" i="5"/>
  <c r="A16" i="5"/>
  <c r="A15" i="5"/>
  <c r="A2" i="5"/>
  <c r="A4" i="5"/>
  <c r="A3" i="5"/>
  <c r="A5" i="5"/>
  <c r="A6" i="5"/>
  <c r="A7" i="5"/>
  <c r="A31" i="5"/>
  <c r="A29" i="5"/>
  <c r="A30" i="5"/>
  <c r="A11" i="5"/>
  <c r="D36" i="5"/>
  <c r="C17" i="7"/>
  <c r="E17" i="7"/>
  <c r="C19" i="7"/>
  <c r="E19" i="7"/>
  <c r="C7" i="7"/>
  <c r="E7" i="7"/>
  <c r="C29" i="7"/>
  <c r="E29" i="7"/>
  <c r="C20" i="7"/>
  <c r="E20" i="7"/>
  <c r="C14" i="7"/>
  <c r="E14" i="7"/>
  <c r="C12" i="7"/>
  <c r="E12" i="7"/>
  <c r="C34" i="7"/>
  <c r="E34" i="7"/>
  <c r="C25" i="7"/>
  <c r="E25" i="7"/>
  <c r="C40" i="7"/>
  <c r="E40" i="7"/>
  <c r="D30" i="3"/>
  <c r="D31" i="3"/>
  <c r="D18" i="3"/>
  <c r="D32" i="3"/>
  <c r="F32" i="3"/>
  <c r="E29" i="5"/>
  <c r="G29" i="5"/>
  <c r="E30" i="5"/>
  <c r="G30" i="5"/>
  <c r="G26" i="4"/>
  <c r="H26" i="4"/>
  <c r="I26" i="4"/>
  <c r="E33" i="3"/>
  <c r="C41" i="7"/>
  <c r="E41" i="7"/>
  <c r="K35" i="7"/>
  <c r="S42" i="7"/>
  <c r="D46" i="7"/>
  <c r="F32" i="5"/>
  <c r="H20" i="4"/>
  <c r="I20" i="4"/>
  <c r="J20" i="4"/>
  <c r="E42" i="3"/>
  <c r="E44" i="3"/>
  <c r="E46" i="3"/>
  <c r="F25" i="4"/>
  <c r="AR41" i="15"/>
  <c r="AX57" i="15"/>
  <c r="AT57" i="15"/>
  <c r="AY34" i="15"/>
  <c r="AP57" i="15"/>
  <c r="AS41" i="15"/>
  <c r="AP33" i="15"/>
  <c r="AW57" i="15"/>
  <c r="BO57" i="15"/>
  <c r="BS57" i="15"/>
  <c r="AX41" i="15"/>
  <c r="S57" i="15"/>
  <c r="AS66" i="15"/>
  <c r="AX45" i="15"/>
  <c r="AP17" i="15"/>
  <c r="AS33" i="15"/>
  <c r="AT89" i="15"/>
  <c r="AX10" i="15"/>
  <c r="AW45" i="15"/>
  <c r="AP45" i="15"/>
  <c r="AY73" i="15"/>
  <c r="S73" i="15"/>
  <c r="S41" i="15"/>
  <c r="AU57" i="15"/>
  <c r="AS57" i="15"/>
  <c r="BO45" i="15"/>
  <c r="BS45" i="15"/>
  <c r="AS73" i="15"/>
  <c r="BO9" i="15"/>
  <c r="BS9" i="15"/>
  <c r="AS21" i="15"/>
  <c r="AX5" i="15"/>
  <c r="BO85" i="15"/>
  <c r="BS85" i="15"/>
  <c r="AP5" i="15"/>
  <c r="S85" i="15"/>
  <c r="AX82" i="15"/>
  <c r="AR42" i="15"/>
  <c r="AY18" i="15"/>
  <c r="AR25" i="15"/>
  <c r="AY21" i="15"/>
  <c r="AT18" i="15"/>
  <c r="AR85" i="15"/>
  <c r="AW9" i="15"/>
  <c r="AW42" i="15"/>
  <c r="AS82" i="15"/>
  <c r="AX21" i="15"/>
  <c r="AP21" i="15"/>
  <c r="AX85" i="15"/>
  <c r="AS9" i="15"/>
  <c r="AT21" i="15"/>
  <c r="S61" i="15"/>
  <c r="AW89" i="15"/>
  <c r="AY89" i="15"/>
  <c r="AT61" i="15"/>
  <c r="AX61" i="15"/>
  <c r="BO18" i="15"/>
  <c r="BS18" i="15"/>
  <c r="AR61" i="15"/>
  <c r="AR9" i="15"/>
  <c r="AT85" i="15"/>
  <c r="AP85" i="15"/>
  <c r="AY9" i="15"/>
  <c r="AX9" i="15"/>
  <c r="AU42" i="15"/>
  <c r="AY42" i="15"/>
  <c r="AP89" i="15"/>
  <c r="BO89" i="15"/>
  <c r="BS89" i="15"/>
  <c r="S21" i="15"/>
  <c r="AS10" i="15"/>
  <c r="AU61" i="15"/>
  <c r="AY61" i="15"/>
  <c r="AW21" i="15"/>
  <c r="S18" i="15"/>
  <c r="AS18" i="15"/>
  <c r="AR5" i="15"/>
  <c r="AS42" i="15"/>
  <c r="AT42" i="15"/>
  <c r="AW5" i="15"/>
  <c r="BO21" i="15"/>
  <c r="BS21" i="15"/>
  <c r="AY85" i="15"/>
  <c r="AW85" i="15"/>
  <c r="AU85" i="15"/>
  <c r="AP42" i="15"/>
  <c r="AX89" i="15"/>
  <c r="AS61" i="15"/>
  <c r="AP61" i="15"/>
  <c r="AP18" i="15"/>
  <c r="AR18" i="15"/>
  <c r="AU21" i="15"/>
  <c r="AX17" i="15"/>
  <c r="AT17" i="15"/>
  <c r="AR17" i="15"/>
  <c r="AY17" i="15"/>
  <c r="S17" i="15"/>
  <c r="AU17" i="15"/>
  <c r="AW33" i="15"/>
  <c r="AU33" i="15"/>
  <c r="AX66" i="15"/>
  <c r="AU45" i="15"/>
  <c r="AT45" i="15"/>
  <c r="BO73" i="15"/>
  <c r="BS73" i="15"/>
  <c r="AX73" i="15"/>
  <c r="AX34" i="15"/>
  <c r="BO41" i="15"/>
  <c r="BS41" i="15"/>
  <c r="AP41" i="15"/>
  <c r="AS17" i="15"/>
  <c r="AT41" i="15"/>
  <c r="AR33" i="15"/>
  <c r="AR66" i="15"/>
  <c r="AR89" i="15"/>
  <c r="AW73" i="15"/>
  <c r="AR57" i="15"/>
  <c r="AS25" i="15"/>
  <c r="AR45" i="15"/>
  <c r="S45" i="15"/>
  <c r="AT73" i="15"/>
  <c r="AR73" i="15"/>
  <c r="AT33" i="15"/>
  <c r="AY41" i="15"/>
  <c r="AR34" i="15"/>
  <c r="AX33" i="15"/>
  <c r="AU66" i="15"/>
  <c r="AY25" i="15"/>
  <c r="AX25" i="15"/>
  <c r="BO34" i="15"/>
  <c r="BS34" i="15"/>
  <c r="AY45" i="15"/>
  <c r="AP73" i="15"/>
  <c r="AU34" i="15"/>
  <c r="S25" i="15"/>
  <c r="BO33" i="15"/>
  <c r="BS33" i="15"/>
  <c r="AW17" i="15"/>
  <c r="AY33" i="15"/>
  <c r="AT5" i="15"/>
  <c r="S5" i="15"/>
  <c r="AY5" i="15"/>
  <c r="AU5" i="15"/>
  <c r="BO5" i="15"/>
  <c r="BS5" i="15"/>
  <c r="AT9" i="15"/>
  <c r="S9" i="15"/>
  <c r="AU9" i="15"/>
  <c r="AT10" i="15"/>
  <c r="AU82" i="15"/>
  <c r="AW66" i="15"/>
  <c r="AW10" i="15"/>
  <c r="S10" i="15"/>
  <c r="AY66" i="15"/>
  <c r="AT66" i="15"/>
  <c r="AT25" i="15"/>
  <c r="AW82" i="15"/>
  <c r="AY82" i="15"/>
  <c r="S34" i="15"/>
  <c r="AP34" i="15"/>
  <c r="AS89" i="15"/>
  <c r="S89" i="15"/>
  <c r="BO10" i="15"/>
  <c r="BS10" i="15"/>
  <c r="AY10" i="15"/>
  <c r="AP10" i="15"/>
  <c r="AT82" i="15"/>
  <c r="BO66" i="15"/>
  <c r="BS66" i="15"/>
  <c r="S66" i="15"/>
  <c r="BO25" i="15"/>
  <c r="BS25" i="15"/>
  <c r="AR10" i="15"/>
  <c r="AU25" i="15"/>
  <c r="AR82" i="15"/>
  <c r="S82" i="15"/>
  <c r="BO82" i="15"/>
  <c r="BS82" i="15"/>
  <c r="AW34" i="15"/>
  <c r="AW25" i="15"/>
  <c r="S42" i="15"/>
  <c r="AX42" i="15"/>
  <c r="AU18" i="15"/>
  <c r="AW18" i="15"/>
  <c r="AW20" i="15"/>
  <c r="AR20" i="15"/>
  <c r="S20" i="15"/>
  <c r="AU20" i="15"/>
  <c r="AT20" i="15"/>
  <c r="BO20" i="15"/>
  <c r="BS20" i="15"/>
  <c r="AS20" i="15"/>
  <c r="AY20" i="15"/>
  <c r="AP20" i="15"/>
  <c r="AX20" i="15"/>
  <c r="AU74" i="15"/>
  <c r="AP74" i="15"/>
  <c r="AW74" i="15"/>
  <c r="AX74" i="15"/>
  <c r="AT74" i="15"/>
  <c r="S74" i="15"/>
  <c r="BO74" i="15"/>
  <c r="BS74" i="15"/>
  <c r="AY74" i="15"/>
  <c r="AR74" i="15"/>
  <c r="AS74" i="15"/>
  <c r="AW86" i="15"/>
  <c r="AR86" i="15"/>
  <c r="AU86" i="15"/>
  <c r="BO86" i="15"/>
  <c r="BS86" i="15"/>
  <c r="AY86" i="15"/>
  <c r="AP86" i="15"/>
  <c r="AX86" i="15"/>
  <c r="S86" i="15"/>
  <c r="AS86" i="15"/>
  <c r="AT86" i="15"/>
  <c r="AU70" i="15"/>
  <c r="AP70" i="15"/>
  <c r="S70" i="15"/>
  <c r="AW70" i="15"/>
  <c r="AX70" i="15"/>
  <c r="AT70" i="15"/>
  <c r="AS70" i="15"/>
  <c r="AR70" i="15"/>
  <c r="BO70" i="15"/>
  <c r="BS70" i="15"/>
  <c r="AY70" i="15"/>
  <c r="AW58" i="15"/>
  <c r="AR58" i="15"/>
  <c r="S58" i="15"/>
  <c r="AX58" i="15"/>
  <c r="AP58" i="15"/>
  <c r="AU58" i="15"/>
  <c r="AS58" i="15"/>
  <c r="AT58" i="15"/>
  <c r="BO58" i="15"/>
  <c r="BS58" i="15"/>
  <c r="AY58" i="15"/>
  <c r="AU46" i="15"/>
  <c r="AP46" i="15"/>
  <c r="AT46" i="15"/>
  <c r="BO46" i="15"/>
  <c r="BS46" i="15"/>
  <c r="AY46" i="15"/>
  <c r="AS46" i="15"/>
  <c r="S46" i="15"/>
  <c r="AX46" i="15"/>
  <c r="AW46" i="15"/>
  <c r="AR46" i="15"/>
  <c r="AX30" i="15"/>
  <c r="AS30" i="15"/>
  <c r="AW30" i="15"/>
  <c r="AP30" i="15"/>
  <c r="AU30" i="15"/>
  <c r="AR30" i="15"/>
  <c r="BO30" i="15"/>
  <c r="BS30" i="15"/>
  <c r="S30" i="15"/>
  <c r="AY30" i="15"/>
  <c r="AT30" i="15"/>
  <c r="AU22" i="15"/>
  <c r="AP22" i="15"/>
  <c r="AW22" i="15"/>
  <c r="AT22" i="15"/>
  <c r="S22" i="15"/>
  <c r="BO22" i="15"/>
  <c r="BS22" i="15"/>
  <c r="AY22" i="15"/>
  <c r="AR22" i="15"/>
  <c r="AX22" i="15"/>
  <c r="AS22" i="15"/>
  <c r="AU6" i="15"/>
  <c r="AP6" i="15"/>
  <c r="AX6" i="15"/>
  <c r="AR6" i="15"/>
  <c r="AW6" i="15"/>
  <c r="AT6" i="15"/>
  <c r="S6" i="15"/>
  <c r="BO6" i="15"/>
  <c r="BS6" i="15"/>
  <c r="AY6" i="15"/>
  <c r="AS6" i="15"/>
  <c r="AU8" i="15"/>
  <c r="AP8" i="15"/>
  <c r="AX8" i="15"/>
  <c r="AR8" i="15"/>
  <c r="AW8" i="15"/>
  <c r="AT8" i="15"/>
  <c r="S8" i="15"/>
  <c r="BO8" i="15"/>
  <c r="BS8" i="15"/>
  <c r="AY8" i="15"/>
  <c r="AS8" i="15"/>
  <c r="AU24" i="15"/>
  <c r="AP24" i="15"/>
  <c r="AW24" i="15"/>
  <c r="AT24" i="15"/>
  <c r="AX24" i="15"/>
  <c r="S24" i="15"/>
  <c r="AR24" i="15"/>
  <c r="AS24" i="15"/>
  <c r="BO24" i="15"/>
  <c r="BS24" i="15"/>
  <c r="AY24" i="15"/>
  <c r="AU40" i="15"/>
  <c r="AP40" i="15"/>
  <c r="S40" i="15"/>
  <c r="AX40" i="15"/>
  <c r="AR40" i="15"/>
  <c r="AW40" i="15"/>
  <c r="BO40" i="15"/>
  <c r="BS40" i="15"/>
  <c r="AY40" i="15"/>
  <c r="AT40" i="15"/>
  <c r="AS40" i="15"/>
  <c r="AX56" i="15"/>
  <c r="AS56" i="15"/>
  <c r="AT56" i="15"/>
  <c r="BO56" i="15"/>
  <c r="BS56" i="15"/>
  <c r="AY56" i="15"/>
  <c r="AR56" i="15"/>
  <c r="S56" i="15"/>
  <c r="AU56" i="15"/>
  <c r="AP56" i="15"/>
  <c r="AW56" i="15"/>
  <c r="AU72" i="15"/>
  <c r="AP72" i="15"/>
  <c r="AW72" i="15"/>
  <c r="AX72" i="15"/>
  <c r="AT72" i="15"/>
  <c r="S72" i="15"/>
  <c r="AR72" i="15"/>
  <c r="BO72" i="15"/>
  <c r="BS72" i="15"/>
  <c r="AY72" i="15"/>
  <c r="AS72" i="15"/>
  <c r="AW88" i="15"/>
  <c r="AR88" i="15"/>
  <c r="S88" i="15"/>
  <c r="AT88" i="15"/>
  <c r="AU88" i="15"/>
  <c r="AS88" i="15"/>
  <c r="AP88" i="15"/>
  <c r="AX88" i="15"/>
  <c r="BO88" i="15"/>
  <c r="BS88" i="15"/>
  <c r="AY88" i="15"/>
  <c r="BO12" i="15"/>
  <c r="BS12" i="15"/>
  <c r="AY12" i="15"/>
  <c r="AT12" i="15"/>
  <c r="AW12" i="15"/>
  <c r="AP12" i="15"/>
  <c r="AU12" i="15"/>
  <c r="S12" i="15"/>
  <c r="AS12" i="15"/>
  <c r="AX12" i="15"/>
  <c r="AR12" i="15"/>
  <c r="BO28" i="15"/>
  <c r="BS28" i="15"/>
  <c r="AY28" i="15"/>
  <c r="AT28" i="15"/>
  <c r="AU28" i="15"/>
  <c r="AS28" i="15"/>
  <c r="S28" i="15"/>
  <c r="AP28" i="15"/>
  <c r="AW28" i="15"/>
  <c r="AX28" i="15"/>
  <c r="AR28" i="15"/>
  <c r="BO44" i="15"/>
  <c r="BS44" i="15"/>
  <c r="AY44" i="15"/>
  <c r="AT44" i="15"/>
  <c r="AU44" i="15"/>
  <c r="AS44" i="15"/>
  <c r="S44" i="15"/>
  <c r="AP44" i="15"/>
  <c r="AX44" i="15"/>
  <c r="AR44" i="15"/>
  <c r="AW44" i="15"/>
  <c r="AW60" i="15"/>
  <c r="AR60" i="15"/>
  <c r="S60" i="15"/>
  <c r="AU60" i="15"/>
  <c r="AT60" i="15"/>
  <c r="BO60" i="15"/>
  <c r="BS60" i="15"/>
  <c r="AY60" i="15"/>
  <c r="AX60" i="15"/>
  <c r="AS60" i="15"/>
  <c r="AP60" i="15"/>
  <c r="BO76" i="15"/>
  <c r="BS76" i="15"/>
  <c r="AY76" i="15"/>
  <c r="AT76" i="15"/>
  <c r="AU76" i="15"/>
  <c r="AW76" i="15"/>
  <c r="AS76" i="15"/>
  <c r="S76" i="15"/>
  <c r="AX76" i="15"/>
  <c r="AR76" i="15"/>
  <c r="AP76" i="15"/>
  <c r="BO50" i="15"/>
  <c r="BS50" i="15"/>
  <c r="AY50" i="15"/>
  <c r="AT50" i="15"/>
  <c r="AS50" i="15"/>
  <c r="S50" i="15"/>
  <c r="AX50" i="15"/>
  <c r="AR50" i="15"/>
  <c r="AW50" i="15"/>
  <c r="AP50" i="15"/>
  <c r="AU50" i="15"/>
  <c r="AX90" i="15"/>
  <c r="AS90" i="15"/>
  <c r="S90" i="15"/>
  <c r="AT90" i="15"/>
  <c r="BO90" i="15"/>
  <c r="BS90" i="15"/>
  <c r="AY90" i="15"/>
  <c r="AP90" i="15"/>
  <c r="AW90" i="15"/>
  <c r="AU90" i="15"/>
  <c r="AR90" i="15"/>
  <c r="AX78" i="15"/>
  <c r="AS78" i="15"/>
  <c r="BO78" i="15"/>
  <c r="BS78" i="15"/>
  <c r="AY78" i="15"/>
  <c r="AR78" i="15"/>
  <c r="S78" i="15"/>
  <c r="AU78" i="15"/>
  <c r="AT78" i="15"/>
  <c r="AW78" i="15"/>
  <c r="AP78" i="15"/>
  <c r="AU62" i="15"/>
  <c r="AP62" i="15"/>
  <c r="S62" i="15"/>
  <c r="BO62" i="15"/>
  <c r="BS62" i="15"/>
  <c r="AY62" i="15"/>
  <c r="AS62" i="15"/>
  <c r="AX62" i="15"/>
  <c r="AR62" i="15"/>
  <c r="AW62" i="15"/>
  <c r="AT62" i="15"/>
  <c r="BO54" i="15"/>
  <c r="BS54" i="15"/>
  <c r="AY54" i="15"/>
  <c r="AT54" i="15"/>
  <c r="AW54" i="15"/>
  <c r="AP54" i="15"/>
  <c r="AU54" i="15"/>
  <c r="AX54" i="15"/>
  <c r="S54" i="15"/>
  <c r="AS54" i="15"/>
  <c r="AR54" i="15"/>
  <c r="AW38" i="15"/>
  <c r="AR38" i="15"/>
  <c r="S38" i="15"/>
  <c r="AT38" i="15"/>
  <c r="BO38" i="15"/>
  <c r="BS38" i="15"/>
  <c r="AY38" i="15"/>
  <c r="AS38" i="15"/>
  <c r="AP38" i="15"/>
  <c r="AX38" i="15"/>
  <c r="AU38" i="15"/>
  <c r="AU26" i="15"/>
  <c r="AP26" i="15"/>
  <c r="AW26" i="15"/>
  <c r="AT26" i="15"/>
  <c r="AR26" i="15"/>
  <c r="AX26" i="15"/>
  <c r="S26" i="15"/>
  <c r="BO26" i="15"/>
  <c r="BS26" i="15"/>
  <c r="AY26" i="15"/>
  <c r="AS26" i="15"/>
  <c r="AX14" i="15"/>
  <c r="AS14" i="15"/>
  <c r="BO14" i="15"/>
  <c r="BS14" i="15"/>
  <c r="AY14" i="15"/>
  <c r="AR14" i="15"/>
  <c r="S14" i="15"/>
  <c r="AT14" i="15"/>
  <c r="AW14" i="15"/>
  <c r="AU14" i="15"/>
  <c r="AP14" i="15"/>
  <c r="AX36" i="15"/>
  <c r="AS36" i="15"/>
  <c r="AW36" i="15"/>
  <c r="AR36" i="15"/>
  <c r="AP36" i="15"/>
  <c r="BO36" i="15"/>
  <c r="BS36" i="15"/>
  <c r="AY36" i="15"/>
  <c r="AT36" i="15"/>
  <c r="S36" i="15"/>
  <c r="AU36" i="15"/>
  <c r="BO52" i="15"/>
  <c r="BS52" i="15"/>
  <c r="AY52" i="15"/>
  <c r="AT52" i="15"/>
  <c r="AX52" i="15"/>
  <c r="AR52" i="15"/>
  <c r="AW52" i="15"/>
  <c r="AP52" i="15"/>
  <c r="AU52" i="15"/>
  <c r="AS52" i="15"/>
  <c r="S52" i="15"/>
  <c r="AW68" i="15"/>
  <c r="AR68" i="15"/>
  <c r="BO68" i="15"/>
  <c r="BS68" i="15"/>
  <c r="AY68" i="15"/>
  <c r="AS68" i="15"/>
  <c r="AX68" i="15"/>
  <c r="AU68" i="15"/>
  <c r="S68" i="15"/>
  <c r="AT68" i="15"/>
  <c r="AP68" i="15"/>
  <c r="AX84" i="15"/>
  <c r="AS84" i="15"/>
  <c r="AW84" i="15"/>
  <c r="AP84" i="15"/>
  <c r="AR84" i="15"/>
  <c r="BO84" i="15"/>
  <c r="BS84" i="15"/>
  <c r="AY84" i="15"/>
  <c r="AT84" i="15"/>
  <c r="S84" i="15"/>
  <c r="AU84" i="15"/>
  <c r="AX16" i="15"/>
  <c r="AS16" i="15"/>
  <c r="BO16" i="15"/>
  <c r="BS16" i="15"/>
  <c r="AY16" i="15"/>
  <c r="AR16" i="15"/>
  <c r="S16" i="15"/>
  <c r="AT16" i="15"/>
  <c r="AW16" i="15"/>
  <c r="AU16" i="15"/>
  <c r="AP16" i="15"/>
  <c r="AX32" i="15"/>
  <c r="AS32" i="15"/>
  <c r="AW32" i="15"/>
  <c r="AP32" i="15"/>
  <c r="AU32" i="15"/>
  <c r="AR32" i="15"/>
  <c r="S32" i="15"/>
  <c r="BO32" i="15"/>
  <c r="BS32" i="15"/>
  <c r="AY32" i="15"/>
  <c r="AT32" i="15"/>
  <c r="AU48" i="15"/>
  <c r="AP48" i="15"/>
  <c r="AT48" i="15"/>
  <c r="BO48" i="15"/>
  <c r="BS48" i="15"/>
  <c r="AY48" i="15"/>
  <c r="AS48" i="15"/>
  <c r="S48" i="15"/>
  <c r="AR48" i="15"/>
  <c r="AW48" i="15"/>
  <c r="AX48" i="15"/>
  <c r="AU64" i="15"/>
  <c r="AP64" i="15"/>
  <c r="BO64" i="15"/>
  <c r="BS64" i="15"/>
  <c r="AY64" i="15"/>
  <c r="AS64" i="15"/>
  <c r="S64" i="15"/>
  <c r="AX64" i="15"/>
  <c r="AR64" i="15"/>
  <c r="AW64" i="15"/>
  <c r="AT64" i="15"/>
  <c r="AX80" i="15"/>
  <c r="AS80" i="15"/>
  <c r="BO80" i="15"/>
  <c r="BS80" i="15"/>
  <c r="AY80" i="15"/>
  <c r="AR80" i="15"/>
  <c r="S80" i="15"/>
  <c r="AU80" i="15"/>
  <c r="AT80" i="15"/>
  <c r="AW80" i="15"/>
  <c r="AP80" i="15"/>
  <c r="BH92" i="16"/>
  <c r="BM92" i="16"/>
  <c r="S92" i="16"/>
  <c r="R92" i="16"/>
  <c r="AV92" i="16"/>
  <c r="AU92" i="16"/>
  <c r="BG92" i="16"/>
  <c r="Q92" i="16"/>
  <c r="AH92" i="16"/>
  <c r="BF92" i="16"/>
  <c r="AT92" i="16"/>
  <c r="D25" i="3"/>
  <c r="F25" i="3"/>
  <c r="C38" i="7"/>
  <c r="E38" i="7"/>
  <c r="D23" i="3"/>
  <c r="F23" i="3"/>
  <c r="D15" i="3"/>
  <c r="F15" i="3"/>
  <c r="D11" i="3"/>
  <c r="D9" i="3"/>
  <c r="F9" i="3"/>
  <c r="D12" i="3"/>
  <c r="F12" i="3"/>
  <c r="D2" i="3"/>
  <c r="F2" i="3"/>
  <c r="D22" i="3"/>
  <c r="F22" i="3"/>
  <c r="D28" i="3"/>
  <c r="F28" i="3"/>
  <c r="D6" i="3"/>
  <c r="F6" i="3"/>
  <c r="D29" i="3"/>
  <c r="F29" i="3"/>
  <c r="D19" i="3"/>
  <c r="F19" i="3"/>
  <c r="D24" i="3"/>
  <c r="F24" i="3"/>
  <c r="D14" i="3"/>
  <c r="F14" i="3"/>
  <c r="D13" i="3"/>
  <c r="F13" i="3"/>
  <c r="D10" i="3"/>
  <c r="F10" i="3"/>
  <c r="D26" i="3"/>
  <c r="F26" i="3"/>
  <c r="D4" i="3"/>
  <c r="F4" i="3"/>
  <c r="D3" i="3"/>
  <c r="F3" i="3"/>
  <c r="D20" i="3"/>
  <c r="F20" i="3"/>
  <c r="D17" i="3"/>
  <c r="F17" i="3"/>
  <c r="D8" i="3"/>
  <c r="F8" i="3"/>
  <c r="D27" i="3"/>
  <c r="F27" i="3"/>
  <c r="D21" i="3"/>
  <c r="D7" i="3"/>
  <c r="F7" i="3"/>
  <c r="D5" i="3"/>
  <c r="F5" i="3"/>
  <c r="D16" i="3"/>
  <c r="F16" i="3"/>
  <c r="H27" i="4"/>
  <c r="I27" i="4"/>
  <c r="G27" i="4"/>
  <c r="C18" i="7"/>
  <c r="E18" i="7"/>
  <c r="F11" i="3"/>
  <c r="C43" i="7"/>
  <c r="E43" i="7"/>
  <c r="C15" i="7"/>
  <c r="E15" i="7"/>
  <c r="C22" i="7"/>
  <c r="E22" i="7"/>
  <c r="C5" i="7"/>
  <c r="E5" i="7"/>
  <c r="C9" i="7"/>
  <c r="E9" i="7"/>
  <c r="F18" i="3"/>
  <c r="C33" i="7"/>
  <c r="E33" i="7"/>
  <c r="C11" i="7"/>
  <c r="E11" i="7"/>
  <c r="C28" i="7"/>
  <c r="E28" i="7"/>
  <c r="C16" i="7"/>
  <c r="E16" i="7"/>
  <c r="C23" i="7"/>
  <c r="E23" i="7"/>
  <c r="C31" i="7"/>
  <c r="E31" i="7"/>
  <c r="C27" i="7"/>
  <c r="E27" i="7"/>
  <c r="C30" i="7"/>
  <c r="E30" i="7"/>
  <c r="C39" i="7"/>
  <c r="E39" i="7"/>
  <c r="C35" i="7"/>
  <c r="E35" i="7"/>
  <c r="C45" i="7"/>
  <c r="E45" i="7"/>
  <c r="F31" i="3"/>
  <c r="F30" i="3"/>
  <c r="C21" i="7"/>
  <c r="E21" i="7"/>
  <c r="C3" i="7"/>
  <c r="E3" i="7"/>
  <c r="C36" i="7"/>
  <c r="E36" i="7"/>
  <c r="C10" i="7"/>
  <c r="E10" i="7"/>
  <c r="C8" i="7"/>
  <c r="E8" i="7"/>
  <c r="C24" i="7"/>
  <c r="E24" i="7"/>
  <c r="C42" i="7"/>
  <c r="E42" i="7"/>
  <c r="C6" i="7"/>
  <c r="E6" i="7"/>
  <c r="C4" i="7"/>
  <c r="E4" i="7"/>
  <c r="C13" i="7"/>
  <c r="E13" i="7"/>
  <c r="C37" i="7"/>
  <c r="E37" i="7"/>
  <c r="J10" i="7"/>
  <c r="L10" i="7"/>
  <c r="C44" i="7"/>
  <c r="E44" i="7"/>
  <c r="C26" i="7"/>
  <c r="E26" i="7"/>
  <c r="J29" i="7"/>
  <c r="L29" i="7"/>
  <c r="J5" i="7"/>
  <c r="L5" i="7"/>
  <c r="J33" i="7"/>
  <c r="L33" i="7"/>
  <c r="C32" i="7"/>
  <c r="E32" i="7"/>
  <c r="E21" i="5"/>
  <c r="J12" i="7"/>
  <c r="L12" i="7"/>
  <c r="J24" i="7"/>
  <c r="L24" i="7"/>
  <c r="J16" i="7"/>
  <c r="L16" i="7"/>
  <c r="J30" i="7"/>
  <c r="L30" i="7"/>
  <c r="J6" i="7"/>
  <c r="L6" i="7"/>
  <c r="J34" i="7"/>
  <c r="L34" i="7"/>
  <c r="J3" i="7"/>
  <c r="L3" i="7"/>
  <c r="J19" i="7"/>
  <c r="L19" i="7"/>
  <c r="J25" i="7"/>
  <c r="L25" i="7"/>
  <c r="J17" i="7"/>
  <c r="L17" i="7"/>
  <c r="J13" i="7"/>
  <c r="L13" i="7"/>
  <c r="J22" i="7"/>
  <c r="L22" i="7"/>
  <c r="J14" i="7"/>
  <c r="L14" i="7"/>
  <c r="J32" i="7"/>
  <c r="L32" i="7"/>
  <c r="J20" i="7"/>
  <c r="L20" i="7"/>
  <c r="J4" i="7"/>
  <c r="L4" i="7"/>
  <c r="J28" i="7"/>
  <c r="L28" i="7"/>
  <c r="J26" i="7"/>
  <c r="L26" i="7"/>
  <c r="J18" i="7"/>
  <c r="L18" i="7"/>
  <c r="J23" i="7"/>
  <c r="L23" i="7"/>
  <c r="J27" i="7"/>
  <c r="L27" i="7"/>
  <c r="J15" i="7"/>
  <c r="L15" i="7"/>
  <c r="J31" i="7"/>
  <c r="L31" i="7"/>
  <c r="J11" i="7"/>
  <c r="L11" i="7"/>
  <c r="J21" i="7"/>
  <c r="L21" i="7"/>
  <c r="J9" i="7"/>
  <c r="L9" i="7"/>
  <c r="J8" i="7"/>
  <c r="L8" i="7"/>
  <c r="J7" i="7"/>
  <c r="E46" i="7"/>
  <c r="E11" i="5"/>
  <c r="E24" i="5"/>
  <c r="G24" i="5"/>
  <c r="E4" i="5"/>
  <c r="E10" i="5"/>
  <c r="G10" i="5"/>
  <c r="E16" i="5"/>
  <c r="G16" i="5"/>
  <c r="E5" i="5"/>
  <c r="G5" i="5"/>
  <c r="E19" i="5"/>
  <c r="G19" i="5"/>
  <c r="E26" i="5"/>
  <c r="G26" i="5"/>
  <c r="E20" i="5"/>
  <c r="G20" i="5"/>
  <c r="E9" i="5"/>
  <c r="G9" i="5"/>
  <c r="E25" i="5"/>
  <c r="G25" i="5"/>
  <c r="E28" i="5"/>
  <c r="G28" i="5"/>
  <c r="E13" i="5"/>
  <c r="G13" i="5"/>
  <c r="E7" i="5"/>
  <c r="G7" i="5"/>
  <c r="E27" i="5"/>
  <c r="G27" i="5"/>
  <c r="E15" i="5"/>
  <c r="G15" i="5"/>
  <c r="E6" i="5"/>
  <c r="G6" i="5"/>
  <c r="E23" i="5"/>
  <c r="G23" i="5"/>
  <c r="E17" i="5"/>
  <c r="G17" i="5"/>
  <c r="E3" i="5"/>
  <c r="G3" i="5"/>
  <c r="E18" i="5"/>
  <c r="G18" i="5"/>
  <c r="E8" i="5"/>
  <c r="G8" i="5"/>
  <c r="E2" i="5"/>
  <c r="G2" i="5"/>
  <c r="E22" i="5"/>
  <c r="G22" i="5"/>
  <c r="G11" i="5"/>
  <c r="E14" i="5"/>
  <c r="G14" i="5"/>
  <c r="E12" i="5"/>
  <c r="G12" i="5"/>
  <c r="E31" i="5"/>
  <c r="G31" i="5"/>
  <c r="F12" i="4"/>
  <c r="L12" i="4"/>
  <c r="F16" i="4"/>
  <c r="L16" i="4"/>
  <c r="G11" i="4"/>
  <c r="M11" i="4"/>
  <c r="F13" i="4"/>
  <c r="L13" i="4"/>
  <c r="E8" i="4"/>
  <c r="K8" i="4"/>
  <c r="E14" i="4"/>
  <c r="K14" i="4"/>
  <c r="F5" i="4"/>
  <c r="L5" i="4"/>
  <c r="F15" i="4"/>
  <c r="L15" i="4"/>
  <c r="E17" i="4"/>
  <c r="K17" i="4"/>
  <c r="G15" i="4"/>
  <c r="M15" i="4"/>
  <c r="E15" i="4"/>
  <c r="K15" i="4"/>
  <c r="F8" i="4"/>
  <c r="L8" i="4"/>
  <c r="E13" i="4"/>
  <c r="K13" i="4"/>
  <c r="E6" i="4"/>
  <c r="K6" i="4"/>
  <c r="G7" i="4"/>
  <c r="M7" i="4"/>
  <c r="G9" i="4"/>
  <c r="M9" i="4"/>
  <c r="E10" i="4"/>
  <c r="K10" i="4"/>
  <c r="F6" i="4"/>
  <c r="L6" i="4"/>
  <c r="G13" i="4"/>
  <c r="M13" i="4"/>
  <c r="F14" i="4"/>
  <c r="L14" i="4"/>
  <c r="G6" i="4"/>
  <c r="M6" i="4"/>
  <c r="G14" i="4"/>
  <c r="M14" i="4"/>
  <c r="G12" i="4"/>
  <c r="M12" i="4"/>
  <c r="G8" i="4"/>
  <c r="M8" i="4"/>
  <c r="F10" i="4"/>
  <c r="L10" i="4"/>
  <c r="E16" i="4"/>
  <c r="K16" i="4"/>
  <c r="F17" i="4"/>
  <c r="L17" i="4"/>
  <c r="E19" i="4"/>
  <c r="K19" i="4"/>
  <c r="F9" i="4"/>
  <c r="L9" i="4"/>
  <c r="G18" i="4"/>
  <c r="E11" i="4"/>
  <c r="K11" i="4"/>
  <c r="E9" i="4"/>
  <c r="K9" i="4"/>
  <c r="G19" i="4"/>
  <c r="M19" i="4"/>
  <c r="E18" i="4"/>
  <c r="K18" i="4"/>
  <c r="E12" i="4"/>
  <c r="K12" i="4"/>
  <c r="G10" i="4"/>
  <c r="M10" i="4"/>
  <c r="E5" i="4"/>
  <c r="K5" i="4"/>
  <c r="F18" i="4"/>
  <c r="L18" i="4"/>
  <c r="F11" i="4"/>
  <c r="L11" i="4"/>
  <c r="G17" i="4"/>
  <c r="M17" i="4"/>
  <c r="E7" i="4"/>
  <c r="K7" i="4"/>
  <c r="F19" i="4"/>
  <c r="L19" i="4"/>
  <c r="G5" i="4"/>
  <c r="M5" i="4"/>
  <c r="G16" i="4"/>
  <c r="M16" i="4"/>
  <c r="F7" i="4"/>
  <c r="L7" i="4"/>
  <c r="R38" i="7"/>
  <c r="T38" i="7"/>
  <c r="G21" i="5"/>
  <c r="C46" i="7"/>
  <c r="L7" i="7"/>
  <c r="L35" i="7"/>
  <c r="J35" i="7"/>
  <c r="F21" i="3"/>
  <c r="F33" i="3"/>
  <c r="D33" i="3"/>
  <c r="R41" i="7"/>
  <c r="T41" i="7"/>
  <c r="L20" i="4"/>
  <c r="H28" i="4"/>
  <c r="K20" i="4"/>
  <c r="G28" i="4"/>
  <c r="R20" i="7"/>
  <c r="T20" i="7"/>
  <c r="R15" i="7"/>
  <c r="R36" i="7"/>
  <c r="T36" i="7"/>
  <c r="R34" i="7"/>
  <c r="T34" i="7"/>
  <c r="R8" i="7"/>
  <c r="T8" i="7"/>
  <c r="R27" i="7"/>
  <c r="R19" i="7"/>
  <c r="T19" i="7"/>
  <c r="R30" i="7"/>
  <c r="T30" i="7"/>
  <c r="R32" i="7"/>
  <c r="T32" i="7"/>
  <c r="R18" i="7"/>
  <c r="T18" i="7"/>
  <c r="R7" i="7"/>
  <c r="T7" i="7"/>
  <c r="R37" i="7"/>
  <c r="T37" i="7"/>
  <c r="R14" i="7"/>
  <c r="T14" i="7"/>
  <c r="R4" i="7"/>
  <c r="T4" i="7"/>
  <c r="R33" i="7"/>
  <c r="R29" i="7"/>
  <c r="T29" i="7"/>
  <c r="R17" i="7"/>
  <c r="T17" i="7"/>
  <c r="R24" i="7"/>
  <c r="R5" i="7"/>
  <c r="T5" i="7"/>
  <c r="R13" i="7"/>
  <c r="T13" i="7"/>
  <c r="R25" i="7"/>
  <c r="T25" i="7"/>
  <c r="R28" i="7"/>
  <c r="T28" i="7"/>
  <c r="R12" i="7"/>
  <c r="T12" i="7"/>
  <c r="R31" i="7"/>
  <c r="T31" i="7"/>
  <c r="R22" i="7"/>
  <c r="T22" i="7"/>
  <c r="R21" i="7"/>
  <c r="T21" i="7"/>
  <c r="R6" i="7"/>
  <c r="T6" i="7"/>
  <c r="R39" i="7"/>
  <c r="T39" i="7"/>
  <c r="R35" i="7"/>
  <c r="T35" i="7"/>
  <c r="R10" i="7"/>
  <c r="T10" i="7"/>
  <c r="R16" i="7"/>
  <c r="T16" i="7"/>
  <c r="R11" i="7"/>
  <c r="T11" i="7"/>
  <c r="R26" i="7"/>
  <c r="T26" i="7"/>
  <c r="R9" i="7"/>
  <c r="R3" i="7"/>
  <c r="R40" i="7"/>
  <c r="T40" i="7"/>
  <c r="R23" i="7"/>
  <c r="T23" i="7"/>
  <c r="E47" i="3"/>
  <c r="E48" i="3"/>
  <c r="E20" i="4"/>
  <c r="F20" i="4"/>
  <c r="M18" i="4"/>
  <c r="M20" i="4"/>
  <c r="G20" i="4"/>
  <c r="G4" i="5"/>
  <c r="G32" i="5"/>
  <c r="E32" i="5"/>
  <c r="I28" i="4"/>
  <c r="G29" i="4"/>
  <c r="G30" i="4"/>
  <c r="T3" i="7"/>
  <c r="T9" i="7"/>
  <c r="T15" i="7"/>
  <c r="T24" i="7"/>
  <c r="T33" i="7"/>
  <c r="D37" i="5"/>
  <c r="D39" i="5"/>
  <c r="T27" i="7"/>
  <c r="T42" i="7"/>
  <c r="D38" i="5"/>
  <c r="R42" i="7"/>
  <c r="E21" i="12"/>
  <c r="F21" i="12"/>
  <c r="G21" i="12"/>
  <c r="E32" i="12"/>
  <c r="E26" i="12"/>
  <c r="F26" i="12"/>
  <c r="G26" i="12"/>
  <c r="E22" i="12"/>
  <c r="E23" i="12"/>
  <c r="F23" i="12"/>
  <c r="G23" i="12"/>
  <c r="E27" i="12"/>
  <c r="E19" i="12"/>
  <c r="F19" i="12"/>
  <c r="G19" i="12"/>
  <c r="E13" i="12"/>
  <c r="F13" i="12"/>
  <c r="G13" i="12"/>
  <c r="E24" i="12"/>
  <c r="F24" i="12"/>
  <c r="G24" i="12"/>
  <c r="E28" i="12"/>
  <c r="Q29" i="15"/>
  <c r="E30" i="12"/>
  <c r="Q57" i="15"/>
  <c r="Q91" i="15"/>
  <c r="Q3" i="15"/>
  <c r="E4" i="12"/>
  <c r="F4" i="12"/>
  <c r="G4" i="12"/>
  <c r="Q58" i="15"/>
  <c r="Q39" i="15"/>
  <c r="Q87" i="15"/>
  <c r="Q53" i="15"/>
  <c r="Q10" i="15"/>
  <c r="Q52" i="15"/>
  <c r="Q67" i="15"/>
  <c r="E11" i="12"/>
  <c r="F11" i="12"/>
  <c r="G11" i="12"/>
  <c r="Q83" i="15"/>
  <c r="Q14" i="15"/>
  <c r="Q79" i="15"/>
  <c r="E15" i="12"/>
  <c r="F15" i="12"/>
  <c r="G15" i="12"/>
  <c r="Q75" i="15"/>
  <c r="Q72" i="15"/>
  <c r="Q74" i="15"/>
  <c r="Q76" i="15"/>
  <c r="Q71" i="15"/>
  <c r="Q73" i="15"/>
  <c r="Q70" i="15"/>
  <c r="Q40" i="15"/>
  <c r="Q63" i="15"/>
  <c r="Q62" i="15"/>
  <c r="Q36" i="15"/>
  <c r="Q59" i="15"/>
  <c r="E18" i="12"/>
  <c r="F18" i="12"/>
  <c r="G18" i="12"/>
  <c r="Q23" i="15"/>
  <c r="Q17" i="15"/>
  <c r="Q31" i="15"/>
  <c r="Q18" i="15"/>
  <c r="E16" i="12"/>
  <c r="F16" i="12"/>
  <c r="G16" i="12"/>
  <c r="Q15" i="15"/>
  <c r="Q55" i="15"/>
  <c r="E5" i="12"/>
  <c r="F5" i="12"/>
  <c r="G5" i="12"/>
  <c r="Q4" i="15"/>
  <c r="Q51" i="15"/>
  <c r="Q47" i="15"/>
  <c r="Q56" i="15"/>
  <c r="Q78" i="15"/>
  <c r="Q84" i="15"/>
  <c r="Q43" i="15"/>
  <c r="Q80" i="15"/>
  <c r="E7" i="12"/>
  <c r="F7" i="12"/>
  <c r="G7" i="12"/>
  <c r="Q6" i="15"/>
  <c r="Q12" i="15"/>
  <c r="Q22" i="15"/>
  <c r="Q77" i="15"/>
  <c r="Q35" i="15"/>
  <c r="Q66" i="15"/>
  <c r="Q61" i="15"/>
  <c r="Q20" i="15"/>
  <c r="Q48" i="15"/>
  <c r="Q11" i="15"/>
  <c r="E12" i="12"/>
  <c r="F12" i="12"/>
  <c r="G12" i="12"/>
  <c r="Q41" i="15"/>
  <c r="Q27" i="15"/>
  <c r="E20" i="12"/>
  <c r="F20" i="12"/>
  <c r="G20" i="12"/>
  <c r="Q69" i="15"/>
  <c r="Q19" i="15"/>
  <c r="Q90" i="15"/>
  <c r="Q7" i="15"/>
  <c r="E8" i="12"/>
  <c r="F8" i="12"/>
  <c r="G8" i="12"/>
  <c r="E9" i="12"/>
  <c r="F9" i="12"/>
  <c r="G9" i="12"/>
  <c r="Q8" i="15"/>
  <c r="Q16" i="15"/>
  <c r="Q49" i="15"/>
  <c r="E17" i="12"/>
  <c r="F17" i="12"/>
  <c r="G17" i="12"/>
  <c r="E25" i="12"/>
  <c r="F25" i="12"/>
  <c r="G25" i="12"/>
  <c r="Q24" i="15"/>
  <c r="Q28" i="15"/>
  <c r="Q54" i="15"/>
  <c r="E29" i="12"/>
  <c r="F29" i="12"/>
  <c r="G29" i="12"/>
  <c r="Q37" i="15"/>
  <c r="E33" i="12"/>
  <c r="F33" i="12"/>
  <c r="G33" i="12"/>
  <c r="Q32" i="15"/>
  <c r="Q38" i="15"/>
  <c r="Q44" i="15"/>
  <c r="Q45" i="15"/>
  <c r="Q60" i="15"/>
  <c r="Q81" i="15"/>
  <c r="Q64" i="15"/>
  <c r="Q89" i="15"/>
  <c r="Q68" i="15"/>
  <c r="Q33" i="15"/>
  <c r="E34" i="12"/>
  <c r="F34" i="12"/>
  <c r="G34" i="12"/>
  <c r="Q88" i="15"/>
  <c r="Q46" i="15"/>
  <c r="Q86" i="15"/>
  <c r="Q34" i="15"/>
  <c r="Q82" i="15"/>
  <c r="Q50" i="15"/>
  <c r="E31" i="12"/>
  <c r="F31" i="12"/>
  <c r="G31" i="12"/>
  <c r="Q30" i="15"/>
  <c r="E10" i="12"/>
  <c r="F10" i="12"/>
  <c r="G10" i="12"/>
  <c r="Q9" i="15"/>
  <c r="Q42" i="15"/>
  <c r="Q21" i="15"/>
  <c r="Q26" i="15"/>
  <c r="Q13" i="15"/>
  <c r="E14" i="12"/>
  <c r="F14" i="12"/>
  <c r="G14" i="12"/>
  <c r="Q25" i="15"/>
  <c r="E6" i="12"/>
  <c r="F6" i="12"/>
  <c r="G6" i="12"/>
  <c r="Q5" i="15"/>
  <c r="F30" i="12"/>
  <c r="G30" i="12"/>
  <c r="Q65" i="15"/>
  <c r="Q85" i="15"/>
  <c r="F32" i="12"/>
  <c r="G32" i="12"/>
  <c r="F22" i="12"/>
  <c r="G22" i="12"/>
  <c r="F27" i="12"/>
  <c r="G27" i="12"/>
  <c r="F28" i="12"/>
  <c r="G2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K2" authorId="0" shapeId="0" xr:uid="{EEBE90C7-0724-4B0C-9535-5D0E9DADED6D}">
      <text>
        <r>
          <rPr>
            <b/>
            <sz val="9"/>
            <color indexed="81"/>
            <rFont val="Tahoma"/>
            <family val="2"/>
          </rPr>
          <t>Cryp7iC: 
Please Keep Column Z to AB Hidden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E2" authorId="0" shapeId="0" xr:uid="{5BD10D76-21C1-42B1-BEB7-EC8E37839D21}">
      <text>
        <r>
          <rPr>
            <b/>
            <sz val="9"/>
            <color indexed="81"/>
            <rFont val="Tahoma"/>
            <family val="2"/>
          </rPr>
          <t>Cryp7iC: 
Please Keep Column Z to AB Hidden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6" authorId="0" shapeId="0" xr:uid="{5A5520A0-FA4B-40F2-942C-F67F678F10FF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P98" authorId="0" shapeId="0" xr:uid="{0F3614FE-69D8-48D8-B15B-143CDED97564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P100" authorId="0" shapeId="0" xr:uid="{A0161B8B-9480-4B4A-8677-6D8F207E22A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P101" authorId="0" shapeId="0" xr:uid="{EF266ED2-48AB-4BA9-B90E-92661C1ED11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Books / Daily Mats Collection}</t>
        </r>
      </text>
    </comment>
    <comment ref="P102" authorId="0" shapeId="0" xr:uid="{8D3B9073-560A-4F2C-B2CB-73F5E7DDF2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F42" authorId="0" shapeId="0" xr:uid="{7DDDD7C3-E716-4D11-9415-2703862924C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F44" authorId="0" shapeId="0" xr:uid="{BFA2DA53-1903-4C1D-926E-58F8194C622D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F46" authorId="0" shapeId="0" xr:uid="{E2146A34-F09B-4FBE-A466-FE6608FBE2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F47" authorId="0" shapeId="0" xr:uid="{6F357B4D-7245-4402-AD72-BBC0E3C19FA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F48" authorId="0" shapeId="0" xr:uid="{A70AC60C-BD39-468B-B4A9-596BF5EFF65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E34" authorId="0" shapeId="0" xr:uid="{1BE1E76B-AF64-4774-8DC3-A92F954AF34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Total boss count</t>
        </r>
      </text>
    </comment>
    <comment ref="E36" authorId="0" shapeId="0" xr:uid="{AFC2AB7C-C5EE-456A-82A9-3D8ED80E32E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{Weekly Reward Collection x Rewards per Clear}</t>
        </r>
      </text>
    </comment>
    <comment ref="E37" authorId="0" shapeId="0" xr:uid="{416BBF2A-2A05-45B5-8983-5A4B007EAA7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E38" authorId="0" shapeId="0" xr:uid="{1C6BF3AF-3DDD-4BAF-813C-62FC055D28B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 needed for collection x 7 days}</t>
        </r>
      </text>
    </comment>
    <comment ref="E39" authorId="0" shapeId="0" xr:uid="{F1BB1318-43D4-41CA-86D0-891FDD77003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{9 Times Clear Resin Cost (450) x Total Weeks Needed}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5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</futureMetadata>
  <cellMetadata count="1">
    <bk>
      <rc t="1" v="0"/>
    </bk>
  </cellMetadata>
  <valueMetadata count="65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</valueMetadata>
</metadata>
</file>

<file path=xl/sharedStrings.xml><?xml version="1.0" encoding="utf-8"?>
<sst xmlns="http://schemas.openxmlformats.org/spreadsheetml/2006/main" count="2745" uniqueCount="744">
  <si>
    <t>Weekly Boss</t>
  </si>
  <si>
    <t>Ascension Mob Name</t>
  </si>
  <si>
    <t>World Boss</t>
  </si>
  <si>
    <t>boss1</t>
  </si>
  <si>
    <t>Book Region</t>
  </si>
  <si>
    <t>natlan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</si>
  <si>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</si>
  <si>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</si>
  <si>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</si>
  <si>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</si>
  <si>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</si>
  <si>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</si>
  <si>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</si>
  <si>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</si>
  <si>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</si>
  <si>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</si>
  <si>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</si>
  <si>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</si>
  <si>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</si>
  <si>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</si>
  <si>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</si>
  <si>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</si>
  <si>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</si>
  <si>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</si>
  <si>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</si>
  <si>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</si>
  <si>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</si>
  <si>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</si>
  <si>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</si>
  <si>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</si>
  <si>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</si>
  <si>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Electro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</si>
  <si>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</si>
  <si>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</si>
  <si>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</si>
  <si>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</si>
  <si>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</si>
  <si>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</si>
  <si>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</si>
  <si>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</si>
  <si>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</si>
  <si>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</si>
  <si>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</si>
  <si>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</si>
  <si>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</si>
  <si>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</si>
  <si>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</si>
  <si>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</si>
  <si>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</si>
  <si>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</si>
  <si>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</si>
  <si>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</si>
  <si>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</si>
  <si>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</si>
  <si>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Flower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</si>
  <si>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</si>
  <si>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</si>
  <si>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</si>
  <si>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</si>
  <si>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</si>
  <si>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</si>
  <si>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</si>
  <si>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</si>
  <si>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</si>
  <si>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</si>
  <si>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</si>
  <si>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</si>
  <si>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</si>
  <si>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</si>
  <si>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Character</t>
  </si>
  <si>
    <t>World Boss Materials</t>
  </si>
  <si>
    <t>Weekly Boss Materials</t>
  </si>
  <si>
    <t>Monster Materials</t>
  </si>
  <si>
    <t>Talent Books</t>
  </si>
  <si>
    <t>Local Specialties [Flowers]</t>
  </si>
  <si>
    <t>Gems</t>
  </si>
  <si>
    <t>Misc.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</si>
  <si>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</si>
  <si>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</si>
  <si>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</si>
  <si>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</si>
  <si>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</si>
  <si>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</si>
  <si>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</si>
  <si>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</si>
  <si>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</si>
  <si>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</si>
  <si>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</si>
  <si>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</si>
  <si>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</si>
  <si>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</si>
  <si>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</si>
  <si>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</si>
  <si>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BrilliantDiamondSliver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</si>
  <si>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</si>
  <si>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</si>
  <si>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</si>
  <si>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</si>
  <si>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</si>
  <si>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</si>
  <si>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</si>
  <si>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</si>
  <si>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BrilliantDiamondFragment</t>
  </si>
  <si>
    <t>CrownofInsight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</si>
  <si>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</si>
  <si>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</si>
  <si>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</si>
  <si>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</si>
  <si>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</si>
  <si>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</si>
  <si>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</si>
  <si>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</si>
  <si>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BrilliantDiamondChunk</t>
  </si>
  <si>
    <t>resin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</si>
  <si>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</si>
  <si>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</si>
  <si>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</si>
  <si>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</si>
  <si>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</si>
  <si>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</si>
  <si>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</si>
  <si>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</si>
  <si>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</si>
  <si>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</si>
  <si>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BrilliantDiamondGemstone</t>
  </si>
  <si>
    <t>characters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</si>
  <si>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</si>
  <si>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</si>
  <si>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</si>
  <si>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</si>
  <si>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</si>
  <si>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</si>
  <si>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</si>
  <si>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AgnidusAgateSliver</t>
  </si>
  <si>
    <t>inventory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</si>
  <si>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</si>
  <si>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</si>
  <si>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</si>
  <si>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</si>
  <si>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</si>
  <si>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</si>
  <si>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</si>
  <si>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AgnidusAgateFragment</t>
  </si>
  <si>
    <t>options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</si>
  <si>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</si>
  <si>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</si>
  <si>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</si>
  <si>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</si>
  <si>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</si>
  <si>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</si>
  <si>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</si>
  <si>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</si>
  <si>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</si>
  <si>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AgnidusAgateChunk</t>
  </si>
  <si>
    <t>weapons</t>
  </si>
  <si>
    <t>Kaedehara 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</si>
  <si>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</si>
  <si>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</si>
  <si>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</si>
  <si>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</si>
  <si>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</si>
  <si>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</si>
  <si>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AgnidusAgateGemstone</t>
  </si>
  <si>
    <t>Sword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</si>
  <si>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</si>
  <si>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</si>
  <si>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</si>
  <si>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</si>
  <si>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</si>
  <si>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</si>
  <si>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</si>
  <si>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VarunadaLazuriteSliver</t>
  </si>
  <si>
    <t>Claymore</t>
  </si>
  <si>
    <t>Kamisato 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</si>
  <si>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</si>
  <si>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</si>
  <si>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</si>
  <si>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</si>
  <si>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</si>
  <si>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</si>
  <si>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</si>
  <si>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</si>
  <si>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VarunadaLazuriteFragment</t>
  </si>
  <si>
    <t>Polearm</t>
  </si>
  <si>
    <t>Kamisato Ayato</t>
  </si>
  <si>
    <t>Pyro Hypostases</t>
  </si>
  <si>
    <t>SmolderingPearl</t>
  </si>
  <si>
    <t>GildedScale</t>
  </si>
  <si>
    <t>SlimeSecretions</t>
  </si>
  <si>
    <t>GuidetoGold</t>
  </si>
  <si>
    <t>GlazeLily</t>
  </si>
  <si>
    <t>VarunadaLazuriteChunk</t>
  </si>
  <si>
    <t>Bow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</si>
  <si>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</si>
  <si>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</si>
  <si>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</si>
  <si>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</si>
  <si>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</si>
  <si>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</si>
  <si>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</si>
  <si>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VarunadaLazuriteGemstone</t>
  </si>
  <si>
    <t>Catalyst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</si>
  <si>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</si>
  <si>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</si>
  <si>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</si>
  <si>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</si>
  <si>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</si>
  <si>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</si>
  <si>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</si>
  <si>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</si>
  <si>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</si>
  <si>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NagadusEmeraldSliver</t>
  </si>
  <si>
    <t>anemo</t>
  </si>
  <si>
    <t>Kuki 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</si>
  <si>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</si>
  <si>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</si>
  <si>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</si>
  <si>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</si>
  <si>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</si>
  <si>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</si>
  <si>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NagadusEmeraldFragment</t>
  </si>
  <si>
    <t>geo</t>
  </si>
  <si>
    <t>Layla</t>
  </si>
  <si>
    <t>Bathysmal Vishap Herds</t>
  </si>
  <si>
    <t>DragonheirsFalseFin</t>
  </si>
  <si>
    <t>SilkenFeather</t>
  </si>
  <si>
    <t>GoldenRavenInsignia</t>
  </si>
  <si>
    <t>PhilosophiesofProsperity</t>
  </si>
  <si>
    <t>LakelightLily</t>
  </si>
  <si>
    <t>NagadusEmeraldChunk</t>
  </si>
  <si>
    <t>electro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</si>
  <si>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</si>
  <si>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</si>
  <si>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</si>
  <si>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</si>
  <si>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</si>
  <si>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</si>
  <si>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</si>
  <si>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</si>
  <si>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</si>
  <si>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NagadusEmeraldGemstone</t>
  </si>
  <si>
    <t>dendro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</si>
  <si>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</si>
  <si>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</si>
  <si>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</si>
  <si>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</si>
  <si>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</si>
  <si>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</si>
  <si>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</si>
  <si>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VajradaAmethystSliver</t>
  </si>
  <si>
    <t>hydro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</si>
  <si>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</si>
  <si>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</si>
  <si>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</si>
  <si>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</si>
  <si>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</si>
  <si>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</si>
  <si>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</si>
  <si>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VajradaAmethystFragment</t>
  </si>
  <si>
    <t>pyro</t>
  </si>
  <si>
    <t>Traveler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</si>
  <si>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</si>
  <si>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</si>
  <si>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</si>
  <si>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</si>
  <si>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</si>
  <si>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</si>
  <si>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</si>
  <si>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VajradaAmethystChunk</t>
  </si>
  <si>
    <t>cryo</t>
  </si>
  <si>
    <t>ASIMON</t>
  </si>
  <si>
    <t>LightGuidingTetrahedron</t>
  </si>
  <si>
    <t>DakasBell</t>
  </si>
  <si>
    <t>ShimmeringNectar</t>
  </si>
  <si>
    <t>GuidetoTransience</t>
  </si>
  <si>
    <t>NilotpalaLotus</t>
  </si>
  <si>
    <t>VajradaAmethystGemstone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</si>
  <si>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</si>
  <si>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</si>
  <si>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</si>
  <si>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</si>
  <si>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</si>
  <si>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</si>
  <si>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VayudaTurquoiseSliver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</si>
  <si>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</si>
  <si>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</si>
  <si>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</si>
  <si>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</si>
  <si>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</si>
  <si>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</si>
  <si>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</si>
  <si>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</si>
  <si>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VayudaTurquoiseFragment</t>
  </si>
  <si>
    <t>Iniquitous Baptists</t>
  </si>
  <si>
    <t>EvergloomRing</t>
  </si>
  <si>
    <t>Everamber</t>
  </si>
  <si>
    <t>KageuchiHandguard</t>
  </si>
  <si>
    <t>GuidetoLight</t>
  </si>
  <si>
    <t>Padisarah</t>
  </si>
  <si>
    <t>VayudaTurquoiseChunk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</si>
  <si>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</si>
  <si>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</si>
  <si>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</si>
  <si>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</si>
  <si>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</si>
  <si>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</si>
  <si>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VayudaTurquoiseGemstone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</si>
  <si>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</si>
  <si>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</si>
  <si>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</si>
  <si>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</si>
  <si>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</si>
  <si>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</si>
  <si>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</si>
  <si>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</si>
  <si>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ShivadaJadeSliver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</si>
  <si>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</si>
  <si>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</si>
  <si>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</si>
  <si>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</si>
  <si>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</si>
  <si>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</si>
  <si>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</si>
  <si>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ShivadaJadeFragment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</si>
  <si>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</si>
  <si>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</si>
  <si>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</si>
  <si>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</si>
  <si>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</si>
  <si>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</si>
  <si>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</si>
  <si>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ShivadaJadeChunk</t>
  </si>
  <si>
    <t>Amber</t>
  </si>
  <si>
    <t>Millennial Pearl Seahorses</t>
  </si>
  <si>
    <t>FontemerUnihorn</t>
  </si>
  <si>
    <t>The Knave</t>
  </si>
  <si>
    <t>Fungi</t>
  </si>
  <si>
    <t>FungalSpores</t>
  </si>
  <si>
    <t>TeachingsofIngenuity</t>
  </si>
  <si>
    <t>RukkhashavaMushrooms</t>
  </si>
  <si>
    <t>ShivadaJadeGemstone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</si>
  <si>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</si>
  <si>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</si>
  <si>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</si>
  <si>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</si>
  <si>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</si>
  <si>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</si>
  <si>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</si>
  <si>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PrithivaTopazSliver</t>
  </si>
  <si>
    <t>Diona</t>
  </si>
  <si>
    <t>CloudseamScale</t>
  </si>
  <si>
    <t>FadingCandle</t>
  </si>
  <si>
    <t>CrystallineCystDust</t>
  </si>
  <si>
    <t>PhilosophiesofIngenuity</t>
  </si>
  <si>
    <t>SandGreasePupa</t>
  </si>
  <si>
    <t>PrithivaTopazFragment</t>
  </si>
  <si>
    <t>Faruzan</t>
  </si>
  <si>
    <t>Legatus Golem</t>
  </si>
  <si>
    <t>FragmentofaGoldenMelody</t>
  </si>
  <si>
    <t>FadedRedSatin</t>
  </si>
  <si>
    <t>TeachingsofAdmonition</t>
  </si>
  <si>
    <t>SangoPearl</t>
  </si>
  <si>
    <t>PrithivaTopazChunk</t>
  </si>
  <si>
    <t>Fischl</t>
  </si>
  <si>
    <t>TrimmedRedSilk</t>
  </si>
  <si>
    <t>GuidetoAdmonition</t>
  </si>
  <si>
    <t>Scarab</t>
  </si>
  <si>
    <t>PrithivaTopazGemstone</t>
  </si>
  <si>
    <t>Ganyu</t>
  </si>
  <si>
    <t>RichRedBrocade</t>
  </si>
  <si>
    <t>PhilosophiesofAdmonition</t>
  </si>
  <si>
    <t>SeaGanoderma</t>
  </si>
  <si>
    <t>Gorou</t>
  </si>
  <si>
    <t>Fontemer Aberrant</t>
  </si>
  <si>
    <t>TransoceanicPearl</t>
  </si>
  <si>
    <t>TeachingsofPraxis</t>
  </si>
  <si>
    <t>SilkFlower</t>
  </si>
  <si>
    <t>KujouSara</t>
  </si>
  <si>
    <t>TransoceanicChunk</t>
  </si>
  <si>
    <t>GuidetoPraxis</t>
  </si>
  <si>
    <t>SmallLampGrass</t>
  </si>
  <si>
    <t>Lyney</t>
  </si>
  <si>
    <t>XenochromaticCrystal</t>
  </si>
  <si>
    <t>PhilosophiesofPraxis</t>
  </si>
  <si>
    <t>SpringoftheFirstDewdrop</t>
  </si>
  <si>
    <t>Clockwork Meka</t>
  </si>
  <si>
    <t>MeshingGear</t>
  </si>
  <si>
    <t>TeachingsofJustice</t>
  </si>
  <si>
    <t>Starconch</t>
  </si>
  <si>
    <t>Tartaglia</t>
  </si>
  <si>
    <t>MechanicalSpurGear</t>
  </si>
  <si>
    <t>GuidetoJustice</t>
  </si>
  <si>
    <t>SubdetectionUnit</t>
  </si>
  <si>
    <t>Tighnari</t>
  </si>
  <si>
    <t>ArtificedDynamicGear</t>
  </si>
  <si>
    <t>PhilosophiesofJustice</t>
  </si>
  <si>
    <t>Venti</t>
  </si>
  <si>
    <t>TeachingsofOrder</t>
  </si>
  <si>
    <t>Valberry</t>
  </si>
  <si>
    <t>Yelan</t>
  </si>
  <si>
    <t>GuidetoOrder</t>
  </si>
  <si>
    <t>Violetgrass</t>
  </si>
  <si>
    <t>Yoimiya</t>
  </si>
  <si>
    <t>PhilosophiesofOrder</t>
  </si>
  <si>
    <t>WindwheelAster</t>
  </si>
  <si>
    <t>Arataki Itto</t>
  </si>
  <si>
    <t>TeachingsofEquity</t>
  </si>
  <si>
    <t>Wolfhook</t>
  </si>
  <si>
    <t>Beidou</t>
  </si>
  <si>
    <t>GuidetoEquity</t>
  </si>
  <si>
    <t>Chongyun</t>
  </si>
  <si>
    <t>PhilosophiesofEquity</t>
  </si>
  <si>
    <t>Dehya</t>
  </si>
  <si>
    <t>Diluc</t>
  </si>
  <si>
    <t>Dori</t>
  </si>
  <si>
    <t>Eula</t>
  </si>
  <si>
    <t>Freminet</t>
  </si>
  <si>
    <t>Gaming</t>
  </si>
  <si>
    <t>Kaveh</t>
  </si>
  <si>
    <t>Navia</t>
  </si>
  <si>
    <t>Noelle</t>
  </si>
  <si>
    <t>Razor</t>
  </si>
  <si>
    <t>Sayu</t>
  </si>
  <si>
    <t>Xinyan</t>
  </si>
  <si>
    <t>Arlecchino</t>
  </si>
  <si>
    <t>Baizhu</t>
  </si>
  <si>
    <t>Barbara</t>
  </si>
  <si>
    <t>Charlotte</t>
  </si>
  <si>
    <t>Klee</t>
  </si>
  <si>
    <t>Lisa</t>
  </si>
  <si>
    <t>Mona</t>
  </si>
  <si>
    <t>Nahida</t>
  </si>
  <si>
    <t>Neuvillette</t>
  </si>
  <si>
    <t>Ningguang</t>
  </si>
  <si>
    <t>Sangonomiya Kokomi</t>
  </si>
  <si>
    <t>Shikanoin Heizou</t>
  </si>
  <si>
    <t>Sucrose</t>
  </si>
  <si>
    <t>Wanderer</t>
  </si>
  <si>
    <t>Wriothesley</t>
  </si>
  <si>
    <t>Xianyun</t>
  </si>
  <si>
    <t>Yae Miko</t>
  </si>
  <si>
    <t>Yanfei</t>
  </si>
  <si>
    <t>Candace</t>
  </si>
  <si>
    <t>Chevreuse</t>
  </si>
  <si>
    <t>Cyno</t>
  </si>
  <si>
    <t>HuTao</t>
  </si>
  <si>
    <t>Mika</t>
  </si>
  <si>
    <t>Raiden Shogun</t>
  </si>
  <si>
    <t>Rosaria</t>
  </si>
  <si>
    <t>Shenhe</t>
  </si>
  <si>
    <t>Thoma</t>
  </si>
  <si>
    <t>Xiangling</t>
  </si>
  <si>
    <t>Xiao</t>
  </si>
  <si>
    <t>Yaoyao</t>
  </si>
  <si>
    <t>YunJin</t>
  </si>
  <si>
    <t>Zhongli</t>
  </si>
  <si>
    <t>Inventory</t>
  </si>
  <si>
    <t>Quantity</t>
  </si>
  <si>
    <t>Mats Name</t>
  </si>
  <si>
    <t>Sl No.</t>
  </si>
  <si>
    <t>Current Character Levels</t>
  </si>
  <si>
    <t>Targeted Character Levels</t>
  </si>
  <si>
    <t>Hero's Wits</t>
  </si>
  <si>
    <t>{for SUM formula} please keep O~W Columns hidden</t>
  </si>
  <si>
    <t>Ascension Flowers</t>
  </si>
  <si>
    <t>Ascension Stones</t>
  </si>
  <si>
    <t>Ascension Mob Materials</t>
  </si>
  <si>
    <t>Talent Mob Materials</t>
  </si>
  <si>
    <t>{for SUM formula} please keep AR~AZ Columns hidden</t>
  </si>
  <si>
    <t>Total Mob Materials</t>
  </si>
  <si>
    <t>Mora Calculation</t>
  </si>
  <si>
    <t>Version</t>
  </si>
  <si>
    <t>Level</t>
  </si>
  <si>
    <t>NA</t>
  </si>
  <si>
    <t>Skill</t>
  </si>
  <si>
    <t>Burst</t>
  </si>
  <si>
    <t>World Boss Mats Need</t>
  </si>
  <si>
    <t>Book Name</t>
  </si>
  <si>
    <t>4* Book</t>
  </si>
  <si>
    <t>3* Book</t>
  </si>
  <si>
    <t>2* Book</t>
  </si>
  <si>
    <t>4*</t>
  </si>
  <si>
    <t>3*</t>
  </si>
  <si>
    <t>2*</t>
  </si>
  <si>
    <r>
      <t>4*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</si>
  <si>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3</t>
    </r>
  </si>
  <si>
    <r>
      <t>2*</t>
    </r>
    <r>
      <rPr>
        <b/>
        <i/>
        <sz val="12"/>
        <color theme="4"/>
        <rFont val="Calibri"/>
        <family val="2"/>
        <scheme val="minor"/>
      </rPr>
      <t>4</t>
    </r>
  </si>
  <si>
    <r>
      <t>4*</t>
    </r>
    <r>
      <rPr>
        <b/>
        <i/>
        <sz val="12"/>
        <color theme="4"/>
        <rFont val="Calibri"/>
        <family val="2"/>
        <scheme val="minor"/>
      </rPr>
      <t>5</t>
    </r>
  </si>
  <si>
    <r>
      <t>3*</t>
    </r>
    <r>
      <rPr>
        <b/>
        <i/>
        <sz val="12"/>
        <color theme="4"/>
        <rFont val="Calibri"/>
        <family val="2"/>
        <scheme val="minor"/>
      </rPr>
      <t>6</t>
    </r>
  </si>
  <si>
    <r>
      <t>2*</t>
    </r>
    <r>
      <rPr>
        <b/>
        <i/>
        <sz val="12"/>
        <color theme="4"/>
        <rFont val="Calibri"/>
        <family val="2"/>
        <scheme val="minor"/>
      </rPr>
      <t>7</t>
    </r>
  </si>
  <si>
    <t>Weekly Boss Name</t>
  </si>
  <si>
    <t>Weekly Boss Mats Name</t>
  </si>
  <si>
    <r>
      <t>NA</t>
    </r>
    <r>
      <rPr>
        <b/>
        <i/>
        <sz val="12"/>
        <color theme="4"/>
        <rFont val="Calibri"/>
        <family val="2"/>
        <scheme val="minor"/>
      </rPr>
      <t>9</t>
    </r>
  </si>
  <si>
    <r>
      <t>Skill</t>
    </r>
    <r>
      <rPr>
        <b/>
        <i/>
        <sz val="12"/>
        <color theme="4"/>
        <rFont val="Calibri"/>
        <family val="2"/>
        <scheme val="minor"/>
      </rPr>
      <t>10</t>
    </r>
  </si>
  <si>
    <r>
      <t>Burst</t>
    </r>
    <r>
      <rPr>
        <b/>
        <i/>
        <sz val="12"/>
        <color theme="4"/>
        <rFont val="Calibri"/>
        <family val="2"/>
        <scheme val="minor"/>
      </rPr>
      <t>11</t>
    </r>
  </si>
  <si>
    <t>Weekly Boss Mats Need</t>
  </si>
  <si>
    <t>Flower Name</t>
  </si>
  <si>
    <t>Flower Quantity</t>
  </si>
  <si>
    <t>Stone Name</t>
  </si>
  <si>
    <t>3*
(Asc)</t>
  </si>
  <si>
    <t>2*
(Asc)</t>
  </si>
  <si>
    <t>1*
(Asc)</t>
  </si>
  <si>
    <t>3*
(Tal)</t>
  </si>
  <si>
    <t>2*
(Tal)</t>
  </si>
  <si>
    <t>1*
(Tal)</t>
  </si>
  <si>
    <r>
      <t>3*</t>
    </r>
    <r>
      <rPr>
        <b/>
        <i/>
        <sz val="12"/>
        <color theme="4"/>
        <rFont val="Calibri"/>
        <family val="2"/>
        <scheme val="minor"/>
      </rPr>
      <t>2</t>
    </r>
  </si>
  <si>
    <r>
      <t>2*</t>
    </r>
    <r>
      <rPr>
        <b/>
        <i/>
        <sz val="12"/>
        <color theme="4"/>
        <rFont val="Calibri"/>
        <family val="2"/>
        <scheme val="minor"/>
      </rPr>
      <t>2</t>
    </r>
  </si>
  <si>
    <r>
      <t>1*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</si>
  <si>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22</t>
    </r>
  </si>
  <si>
    <r>
      <t>2*</t>
    </r>
    <r>
      <rPr>
        <b/>
        <i/>
        <sz val="12"/>
        <color theme="4"/>
        <rFont val="Calibri"/>
        <family val="2"/>
        <scheme val="minor"/>
      </rPr>
      <t>23</t>
    </r>
  </si>
  <si>
    <r>
      <t>1*</t>
    </r>
    <r>
      <rPr>
        <b/>
        <i/>
        <sz val="12"/>
        <color theme="4"/>
        <rFont val="Calibri"/>
        <family val="2"/>
        <scheme val="minor"/>
      </rPr>
      <t>24</t>
    </r>
  </si>
  <si>
    <r>
      <t>3*</t>
    </r>
    <r>
      <rPr>
        <b/>
        <i/>
        <sz val="12"/>
        <color theme="4"/>
        <rFont val="Calibri"/>
        <family val="2"/>
        <scheme val="minor"/>
      </rPr>
      <t>23</t>
    </r>
  </si>
  <si>
    <r>
      <t>2*</t>
    </r>
    <r>
      <rPr>
        <b/>
        <i/>
        <sz val="12"/>
        <color theme="4"/>
        <rFont val="Calibri"/>
        <family val="2"/>
        <scheme val="minor"/>
      </rPr>
      <t>24</t>
    </r>
  </si>
  <si>
    <r>
      <t>1*</t>
    </r>
    <r>
      <rPr>
        <b/>
        <i/>
        <sz val="12"/>
        <color theme="4"/>
        <rFont val="Calibri"/>
        <family val="2"/>
        <scheme val="minor"/>
      </rPr>
      <t>25</t>
    </r>
  </si>
  <si>
    <t>Level
Up</t>
  </si>
  <si>
    <t>NA
Up</t>
  </si>
  <si>
    <t>Skill
Up</t>
  </si>
  <si>
    <t>Burst
Up</t>
  </si>
  <si>
    <t>Total</t>
  </si>
  <si>
    <t>Ballad</t>
  </si>
  <si>
    <t>Tusk of Monoceros Caeli</t>
  </si>
  <si>
    <t>Prithiva Topaz (Geo)</t>
  </si>
  <si>
    <t>Ingenuity</t>
  </si>
  <si>
    <t>Shouki no Kami</t>
  </si>
  <si>
    <t>Mirror Of Mushin</t>
  </si>
  <si>
    <t>Sand Grease Pupa</t>
  </si>
  <si>
    <t>Nagadus Emerald (Dendro)</t>
  </si>
  <si>
    <t>Freedom</t>
  </si>
  <si>
    <t>Molten Moment</t>
  </si>
  <si>
    <t>Crystal Marrow</t>
  </si>
  <si>
    <t>Shivada Jade (Cryo)</t>
  </si>
  <si>
    <t>Stormterror</t>
  </si>
  <si>
    <t>Dvalin's Sigh</t>
  </si>
  <si>
    <t>Small Lamp Grass</t>
  </si>
  <si>
    <t>Agnidus Agate (Pyro)</t>
  </si>
  <si>
    <t>Elegance</t>
  </si>
  <si>
    <t>Ashen Heart</t>
  </si>
  <si>
    <t>Order</t>
  </si>
  <si>
    <t>Fading Candle</t>
  </si>
  <si>
    <t>Rainbow Rose</t>
  </si>
  <si>
    <t>Gold</t>
  </si>
  <si>
    <t>Apep's Oasis</t>
  </si>
  <si>
    <t>Worldspan Fern</t>
  </si>
  <si>
    <t>Wolf of the North</t>
  </si>
  <si>
    <t>Ring of Boreas</t>
  </si>
  <si>
    <t>Philanemo Mushroom</t>
  </si>
  <si>
    <t>Varunada Lazurite (Hydro)</t>
  </si>
  <si>
    <t>Noctilucous Jade</t>
  </si>
  <si>
    <t>Vajrada Amethyst (Electro)</t>
  </si>
  <si>
    <t>Resistance</t>
  </si>
  <si>
    <t>Dvalin's Plume</t>
  </si>
  <si>
    <t>Windwheel Aster</t>
  </si>
  <si>
    <t>Admonition</t>
  </si>
  <si>
    <t>Eternity</t>
  </si>
  <si>
    <t>Tears of the Calamitous God</t>
  </si>
  <si>
    <t>Henna Berry</t>
  </si>
  <si>
    <t>Justice</t>
  </si>
  <si>
    <t>Narwhal</t>
  </si>
  <si>
    <t>Lightless Silk String</t>
  </si>
  <si>
    <t>Beryl Conch</t>
  </si>
  <si>
    <t>Lumidouce Bell</t>
  </si>
  <si>
    <t>Light</t>
  </si>
  <si>
    <t>Dilligence</t>
  </si>
  <si>
    <t>Cor Lapis</t>
  </si>
  <si>
    <t>Rukkhashava Mushrooms</t>
  </si>
  <si>
    <t>Mudra of the Malefic General</t>
  </si>
  <si>
    <t>Puppet Strings</t>
  </si>
  <si>
    <t>Shard of a Fould Lagacy</t>
  </si>
  <si>
    <t>Calla Lily</t>
  </si>
  <si>
    <t>Bloodjade Branch</t>
  </si>
  <si>
    <t>Kalpalata Lotus</t>
  </si>
  <si>
    <t>Dragon Lord's Crown</t>
  </si>
  <si>
    <t>Dandelion Seed</t>
  </si>
  <si>
    <t>Vayuda Turquoise (Anemo)</t>
  </si>
  <si>
    <t>Spirit Locket of Boreas</t>
  </si>
  <si>
    <t>Romaritime Flower</t>
  </si>
  <si>
    <t>Lightless Mass</t>
  </si>
  <si>
    <t>Lakelight Lily</t>
  </si>
  <si>
    <t>Prosperity</t>
  </si>
  <si>
    <t>Shadow of the Warrior</t>
  </si>
  <si>
    <t>Sango Pearl</t>
  </si>
  <si>
    <t>Hu Tao</t>
  </si>
  <si>
    <t>Transience</t>
  </si>
  <si>
    <t>The Meaning of Aeons</t>
  </si>
  <si>
    <t>Silk Flower</t>
  </si>
  <si>
    <t>Sakura Bloom</t>
  </si>
  <si>
    <t>Kazuha</t>
  </si>
  <si>
    <t>Primordial Greenbloom</t>
  </si>
  <si>
    <t>Mourning Flower</t>
  </si>
  <si>
    <t>Gilded Scale</t>
  </si>
  <si>
    <t>Sea Ganoderma</t>
  </si>
  <si>
    <t>Amakumo Fruit</t>
  </si>
  <si>
    <t>Kujou Sara</t>
  </si>
  <si>
    <t>Hellfire Butterfly</t>
  </si>
  <si>
    <t>Naku Weed</t>
  </si>
  <si>
    <t>Nilotpala Lotus</t>
  </si>
  <si>
    <t>Dvalin's Claw</t>
  </si>
  <si>
    <t>Equity</t>
  </si>
  <si>
    <t>Spring of the First Dewdrop</t>
  </si>
  <si>
    <t>Glaze Lily</t>
  </si>
  <si>
    <t>Tail of Boreas</t>
  </si>
  <si>
    <t>Fluorescent Fungus</t>
  </si>
  <si>
    <t>Traveller</t>
  </si>
  <si>
    <t>N/A</t>
  </si>
  <si>
    <t>-</t>
  </si>
  <si>
    <t>Brilliant Diamond</t>
  </si>
  <si>
    <t>Subdetection Unit</t>
  </si>
  <si>
    <t>Jueyun Chili</t>
  </si>
  <si>
    <t>Lightless Eye of the Maelstrom</t>
  </si>
  <si>
    <t>Clearwater Jade</t>
  </si>
  <si>
    <t>Xinqiu</t>
  </si>
  <si>
    <t>Yoimia</t>
  </si>
  <si>
    <t>Yun Jin</t>
  </si>
  <si>
    <t>Target Level</t>
  </si>
  <si>
    <t>Target NA</t>
  </si>
  <si>
    <t>Target Skill</t>
  </si>
  <si>
    <t>Target Burst</t>
  </si>
  <si>
    <t>World Boss Name</t>
  </si>
  <si>
    <t>World Boss Mats Meed</t>
  </si>
  <si>
    <t>Geo</t>
  </si>
  <si>
    <t>Dendro</t>
  </si>
  <si>
    <t>Cryo</t>
  </si>
  <si>
    <t>Pyro</t>
  </si>
  <si>
    <t>Hydro</t>
  </si>
  <si>
    <t>Anemo</t>
  </si>
  <si>
    <t>Heizou</t>
  </si>
  <si>
    <t>Kokomi</t>
  </si>
  <si>
    <t>Hero's Wits Collection Estimated Time Calculations</t>
  </si>
  <si>
    <t>Resin Replenishing Time</t>
  </si>
  <si>
    <t>1 per 8 minutes</t>
  </si>
  <si>
    <t>Daily Resin</t>
  </si>
  <si>
    <t>Resins</t>
  </si>
  <si>
    <t>Layline Reward Collection Cost</t>
  </si>
  <si>
    <t>Daily Layline Reward Collection</t>
  </si>
  <si>
    <t>Times</t>
  </si>
  <si>
    <t>Layline Book Rewards (Approx)</t>
  </si>
  <si>
    <t>Books</t>
  </si>
  <si>
    <t>Daily Books Collection (Approx)</t>
  </si>
  <si>
    <t>Days Needed for "Total Books" Collection</t>
  </si>
  <si>
    <t>Days</t>
  </si>
  <si>
    <t>Total Resin Needed</t>
  </si>
  <si>
    <t>#these calculations are not 100% accurate</t>
  </si>
  <si>
    <t>Mats Needed</t>
  </si>
  <si>
    <t>Mats Acquired</t>
  </si>
  <si>
    <t>Remaining Mats</t>
  </si>
  <si>
    <t>Estimated Time Calculations</t>
  </si>
  <si>
    <t>Boss Reward Collection Cost</t>
  </si>
  <si>
    <t>Daily Boss Reward Collection</t>
  </si>
  <si>
    <t>Boss Mats Rewards per Clear (Approx)</t>
  </si>
  <si>
    <t>Mats</t>
  </si>
  <si>
    <t>Daily Mats Collection (Approx)</t>
  </si>
  <si>
    <t>Days Needed for "Remaining Mats" Collection</t>
  </si>
  <si>
    <t>Talent Books Calculations</t>
  </si>
  <si>
    <t>Books Needed</t>
  </si>
  <si>
    <t>Books Acquired</t>
  </si>
  <si>
    <t>Remaining Books</t>
  </si>
  <si>
    <t>Book name</t>
  </si>
  <si>
    <t>Book Rarity</t>
  </si>
  <si>
    <r>
      <t>4*</t>
    </r>
    <r>
      <rPr>
        <sz val="11"/>
        <color theme="4"/>
        <rFont val="Calibri"/>
        <family val="2"/>
        <scheme val="minor"/>
      </rPr>
      <t>2</t>
    </r>
  </si>
  <si>
    <r>
      <t>3*</t>
    </r>
    <r>
      <rPr>
        <sz val="11"/>
        <color theme="4"/>
        <rFont val="Calibri"/>
        <family val="2"/>
        <scheme val="minor"/>
      </rPr>
      <t>3</t>
    </r>
  </si>
  <si>
    <r>
      <t>2*</t>
    </r>
    <r>
      <rPr>
        <sz val="11"/>
        <color theme="4"/>
        <rFont val="Calibri"/>
        <family val="2"/>
        <scheme val="minor"/>
      </rPr>
      <t>4</t>
    </r>
  </si>
  <si>
    <r>
      <t>4*</t>
    </r>
    <r>
      <rPr>
        <sz val="11"/>
        <color theme="4"/>
        <rFont val="Calibri"/>
        <family val="2"/>
        <scheme val="minor"/>
      </rPr>
      <t>5</t>
    </r>
  </si>
  <si>
    <r>
      <t>3*</t>
    </r>
    <r>
      <rPr>
        <sz val="11"/>
        <color theme="4"/>
        <rFont val="Calibri"/>
        <family val="2"/>
        <scheme val="minor"/>
      </rPr>
      <t>6</t>
    </r>
  </si>
  <si>
    <r>
      <t>2*</t>
    </r>
    <r>
      <rPr>
        <sz val="11"/>
        <color theme="4"/>
        <rFont val="Calibri"/>
        <family val="2"/>
        <scheme val="minor"/>
      </rPr>
      <t>7</t>
    </r>
  </si>
  <si>
    <t>Mondstadt</t>
  </si>
  <si>
    <t>Liyue</t>
  </si>
  <si>
    <t>Inazuma</t>
  </si>
  <si>
    <t>Sumeru</t>
  </si>
  <si>
    <t>Fontain</t>
  </si>
  <si>
    <t>Experiment with 180 Resins</t>
  </si>
  <si>
    <t>1 / 8 min</t>
  </si>
  <si>
    <t>4 Star Materials Drop</t>
  </si>
  <si>
    <t>3 Star Materials Drop</t>
  </si>
  <si>
    <t>2 Star Materials Drop</t>
  </si>
  <si>
    <t>1st Clear</t>
  </si>
  <si>
    <t>Domain Reward Collection Cost</t>
  </si>
  <si>
    <t>2nd Clear</t>
  </si>
  <si>
    <t>Daily Domain Reward Collection</t>
  </si>
  <si>
    <t>3rd Clear</t>
  </si>
  <si>
    <t>Domain Mats Rewards per Clear (Approx)</t>
  </si>
  <si>
    <t>4th Clear</t>
  </si>
  <si>
    <t>5th Clear</t>
  </si>
  <si>
    <t>6th Clear</t>
  </si>
  <si>
    <t>Average Days Needed</t>
  </si>
  <si>
    <t>7th Clear</t>
  </si>
  <si>
    <t>8th Clear</t>
  </si>
  <si>
    <t>9th Clear</t>
  </si>
  <si>
    <t>Weekly Boss Material</t>
  </si>
  <si>
    <t>Silken Feather</t>
  </si>
  <si>
    <t>Denial and Judgement</t>
  </si>
  <si>
    <t>Weekly Boss Reward Collection</t>
  </si>
  <si>
    <t>Weekly Mats Collection (Approx)</t>
  </si>
  <si>
    <t>Weeks Needed for "Remaining Mats" Collection</t>
  </si>
  <si>
    <t>Weeks</t>
  </si>
  <si>
    <t>In Days</t>
  </si>
  <si>
    <t>Flowers Needed</t>
  </si>
  <si>
    <t>Flowers Acquired</t>
  </si>
  <si>
    <t>Remaining Flowers</t>
  </si>
  <si>
    <t>Stone Type</t>
  </si>
  <si>
    <t>Stones
Needed</t>
  </si>
  <si>
    <t>Stones Acquired</t>
  </si>
  <si>
    <t>Remaining Stones</t>
  </si>
  <si>
    <t>Material Name</t>
  </si>
  <si>
    <t>Mats
Needed</t>
  </si>
  <si>
    <t>Mats
Acquired</t>
  </si>
  <si>
    <t>Damaged Mask (1*)</t>
  </si>
  <si>
    <t>Stained Mask (2*)</t>
  </si>
  <si>
    <t>Ominous Mask (3*)</t>
  </si>
  <si>
    <t>Firm Arrowhead (1*)</t>
  </si>
  <si>
    <t>Sharp Arrowhead (2*)</t>
  </si>
  <si>
    <t>Weathered Arrowhead (3*)</t>
  </si>
  <si>
    <t>Divining Scroll (1*)</t>
  </si>
  <si>
    <t>Sealed Scroll (2*)</t>
  </si>
  <si>
    <t>Forbidden Curse Scroll (3*)</t>
  </si>
  <si>
    <t>Sli­me Con­den­sate (1*)</t>
  </si>
  <si>
    <t>Slime Secretions (2*)</t>
  </si>
  <si>
    <t>Sli­me Con­cen­trate (3*)</t>
  </si>
  <si>
    <t>Treasure Hoarder Insignia (1*)</t>
  </si>
  <si>
    <t>Silver Raven Insignia (2*)</t>
  </si>
  <si>
    <t>Golden Raven Insignia (3*)</t>
  </si>
  <si>
    <t>Recruit's Insignia (1*)</t>
  </si>
  <si>
    <t>Sergeant's Insignia (2*)</t>
  </si>
  <si>
    <t>Lieutenant's Insignia (3*)</t>
  </si>
  <si>
    <t>Whopper­flower Necta (1*)</t>
  </si>
  <si>
    <t>Shimmering Nectar (2*)</t>
  </si>
  <si>
    <t>Energy Nectar (3*)</t>
  </si>
  <si>
    <t>Old Handguard (1*)</t>
  </si>
  <si>
    <t>Kageuchi Handguard (2*)</t>
  </si>
  <si>
    <t>Famed Handguard (3*)</t>
  </si>
  <si>
    <t>Spectral Husk (1*)</t>
  </si>
  <si>
    <t>Spectral Heart (2*)</t>
  </si>
  <si>
    <t>Spectral Nucleus (3*)</t>
  </si>
  <si>
    <t>Fungal Spores (1*)</t>
  </si>
  <si>
    <t>Luminescent Pollen (2*)</t>
  </si>
  <si>
    <t>Crystalline Cyst Dust (3*)</t>
  </si>
  <si>
    <t>Faded Red Satin (1*)</t>
  </si>
  <si>
    <t>Trimmed Red Silk (2*)</t>
  </si>
  <si>
    <t>Rich Red Brocade (3*)</t>
  </si>
  <si>
    <t>Trans­ocean­ic Pearl (1*)</t>
  </si>
  <si>
    <t>Trans­ocean­ic Chunk (2*)</t>
  </si>
  <si>
    <t>Xeno­chrom­at­ic Cryst­al (3*)</t>
  </si>
  <si>
    <t>Meshing Gear (1*)</t>
  </si>
  <si>
    <t>Mechanical Spur Gear (2*)</t>
  </si>
  <si>
    <t>Artificed Dynamic Gear (3*)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</si>
</sst>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D9AD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indexed="64"/>
      </bottom>
      <diagonal/>
    </border>
    <border>
      <left/>
      <right style="thin">
        <color indexed="64"/>
      </right>
      <top style="double">
        <color theme="4"/>
      </top>
      <bottom style="thin">
        <color indexed="64"/>
      </bottom>
      <diagonal/>
    </border>
    <border>
      <left style="thin">
        <color rgb="FF00000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double">
        <color theme="4"/>
      </top>
      <bottom style="thin">
        <color indexed="64"/>
      </bottom>
      <diagonal/>
    </border>
    <border>
      <left/>
      <right/>
      <top style="double">
        <color theme="4"/>
      </top>
      <bottom style="thin">
        <color rgb="FF000000"/>
      </bottom>
      <diagonal/>
    </border>
    <border>
      <left/>
      <right/>
      <top style="double">
        <color theme="4"/>
      </top>
      <bottom/>
      <diagonal/>
    </border>
  </borders>
  <cellStyleXfs count="5">
    <xf numFmtId="0" fontId="0" fillId="0" borderId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3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1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5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8" xfId="0" applyFont="1" applyBorder="1"/>
    <xf numFmtId="0" fontId="0" fillId="0" borderId="8" xfId="0" applyBorder="1"/>
    <xf numFmtId="0" fontId="0" fillId="0" borderId="5" xfId="0" applyBorder="1"/>
    <xf numFmtId="0" fontId="0" fillId="0" borderId="7" xfId="0" applyBorder="1"/>
    <xf numFmtId="0" fontId="10" fillId="0" borderId="6" xfId="0" applyFont="1" applyBorder="1"/>
    <xf numFmtId="0" fontId="7" fillId="2" borderId="13" xfId="0" applyFon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14" xfId="0" applyFont="1" applyFill="1" applyBorder="1"/>
    <xf numFmtId="0" fontId="11" fillId="0" borderId="14" xfId="0" applyFont="1" applyBorder="1" applyAlignment="1">
      <alignment horizontal="center"/>
    </xf>
    <xf numFmtId="0" fontId="7" fillId="2" borderId="13" xfId="0" applyFont="1" applyFill="1" applyBorder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/>
    <xf numFmtId="0" fontId="0" fillId="0" borderId="6" xfId="0" applyBorder="1" applyAlignment="1">
      <alignment vertical="center"/>
    </xf>
    <xf numFmtId="0" fontId="9" fillId="0" borderId="8" xfId="0" applyFont="1" applyBorder="1"/>
    <xf numFmtId="0" fontId="9" fillId="0" borderId="9" xfId="0" applyFont="1" applyBorder="1"/>
    <xf numFmtId="2" fontId="1" fillId="0" borderId="0" xfId="0" applyNumberFormat="1" applyFont="1"/>
    <xf numFmtId="0" fontId="1" fillId="0" borderId="0" xfId="0" applyFont="1"/>
    <xf numFmtId="1" fontId="1" fillId="0" borderId="8" xfId="0" applyNumberFormat="1" applyFont="1" applyBorder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0" fillId="0" borderId="5" xfId="0" applyNumberFormat="1" applyBorder="1" applyAlignment="1">
      <alignment horizontal="right" vertical="center"/>
    </xf>
    <xf numFmtId="1" fontId="0" fillId="0" borderId="8" xfId="0" applyNumberFormat="1" applyBorder="1"/>
    <xf numFmtId="0" fontId="8" fillId="2" borderId="13" xfId="0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3" fontId="0" fillId="0" borderId="6" xfId="0" applyNumberFormat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3" fontId="0" fillId="0" borderId="19" xfId="0" applyNumberFormat="1" applyBorder="1"/>
    <xf numFmtId="3" fontId="0" fillId="0" borderId="20" xfId="0" applyNumberFormat="1" applyBorder="1"/>
    <xf numFmtId="1" fontId="14" fillId="0" borderId="5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" fontId="14" fillId="0" borderId="0" xfId="0" applyNumberFormat="1" applyFont="1" applyAlignment="1">
      <alignment horizontal="right" vertical="center"/>
    </xf>
    <xf numFmtId="1" fontId="14" fillId="0" borderId="0" xfId="0" applyNumberFormat="1" applyFont="1" applyAlignment="1">
      <alignment vertical="center"/>
    </xf>
    <xf numFmtId="0" fontId="15" fillId="0" borderId="14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6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1" fontId="16" fillId="0" borderId="5" xfId="0" applyNumberFormat="1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6" xfId="0" applyFont="1" applyBorder="1" applyAlignment="1">
      <alignment vertical="center"/>
    </xf>
    <xf numFmtId="1" fontId="16" fillId="0" borderId="5" xfId="0" applyNumberFormat="1" applyFont="1" applyBorder="1" applyAlignment="1">
      <alignment horizontal="right" vertical="center"/>
    </xf>
    <xf numFmtId="1" fontId="16" fillId="0" borderId="0" xfId="0" applyNumberFormat="1" applyFont="1" applyAlignment="1">
      <alignment horizontal="right" vertical="center"/>
    </xf>
    <xf numFmtId="1" fontId="16" fillId="0" borderId="0" xfId="0" applyNumberFormat="1" applyFont="1" applyAlignment="1">
      <alignment vertical="center"/>
    </xf>
    <xf numFmtId="3" fontId="16" fillId="0" borderId="5" xfId="0" applyNumberFormat="1" applyFont="1" applyBorder="1" applyAlignment="1">
      <alignment vertical="center"/>
    </xf>
    <xf numFmtId="3" fontId="16" fillId="0" borderId="0" xfId="0" applyNumberFormat="1" applyFont="1" applyAlignment="1">
      <alignment vertical="center"/>
    </xf>
    <xf numFmtId="3" fontId="16" fillId="0" borderId="6" xfId="0" applyNumberFormat="1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16" fillId="0" borderId="6" xfId="0" applyFont="1" applyBorder="1"/>
    <xf numFmtId="0" fontId="15" fillId="0" borderId="6" xfId="0" applyFont="1" applyBorder="1"/>
    <xf numFmtId="0" fontId="15" fillId="0" borderId="9" xfId="0" applyFont="1" applyBorder="1"/>
    <xf numFmtId="0" fontId="1" fillId="0" borderId="11" xfId="0" applyFont="1" applyBorder="1"/>
    <xf numFmtId="0" fontId="1" fillId="0" borderId="12" xfId="0" applyFont="1" applyBorder="1"/>
    <xf numFmtId="0" fontId="10" fillId="0" borderId="0" xfId="0" applyFont="1"/>
    <xf numFmtId="0" fontId="1" fillId="0" borderId="6" xfId="0" applyFont="1" applyBorder="1"/>
    <xf numFmtId="0" fontId="1" fillId="0" borderId="9" xfId="0" applyFont="1" applyBorder="1"/>
    <xf numFmtId="0" fontId="16" fillId="0" borderId="10" xfId="0" applyFont="1" applyBorder="1"/>
    <xf numFmtId="0" fontId="16" fillId="0" borderId="1" xfId="0" applyFont="1" applyBorder="1" applyAlignment="1">
      <alignment horizontal="center"/>
    </xf>
    <xf numFmtId="0" fontId="16" fillId="0" borderId="2" xfId="0" applyFont="1" applyBorder="1"/>
    <xf numFmtId="0" fontId="16" fillId="0" borderId="1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15" xfId="0" applyFont="1" applyBorder="1"/>
    <xf numFmtId="0" fontId="16" fillId="0" borderId="33" xfId="0" applyFont="1" applyBorder="1" applyAlignment="1">
      <alignment vertical="center"/>
    </xf>
    <xf numFmtId="1" fontId="16" fillId="0" borderId="5" xfId="0" applyNumberFormat="1" applyFont="1" applyBorder="1" applyAlignment="1">
      <alignment vertical="center"/>
    </xf>
    <xf numFmtId="1" fontId="16" fillId="0" borderId="6" xfId="0" applyNumberFormat="1" applyFont="1" applyBorder="1" applyAlignment="1">
      <alignment vertical="center"/>
    </xf>
    <xf numFmtId="1" fontId="4" fillId="0" borderId="5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8" fillId="4" borderId="27" xfId="2" applyBorder="1"/>
    <xf numFmtId="0" fontId="18" fillId="4" borderId="29" xfId="2" applyBorder="1"/>
    <xf numFmtId="0" fontId="18" fillId="4" borderId="31" xfId="2" applyBorder="1"/>
    <xf numFmtId="0" fontId="17" fillId="3" borderId="28" xfId="1" applyBorder="1"/>
    <xf numFmtId="0" fontId="17" fillId="3" borderId="30" xfId="1" applyBorder="1"/>
    <xf numFmtId="0" fontId="17" fillId="3" borderId="32" xfId="1" applyBorder="1"/>
    <xf numFmtId="0" fontId="18" fillId="4" borderId="21" xfId="2" applyBorder="1"/>
    <xf numFmtId="0" fontId="18" fillId="4" borderId="23" xfId="2" applyBorder="1"/>
    <xf numFmtId="0" fontId="18" fillId="4" borderId="25" xfId="2" applyBorder="1"/>
    <xf numFmtId="0" fontId="17" fillId="3" borderId="22" xfId="1" applyBorder="1"/>
    <xf numFmtId="0" fontId="17" fillId="3" borderId="24" xfId="1" applyBorder="1"/>
    <xf numFmtId="0" fontId="17" fillId="3" borderId="26" xfId="1" applyBorder="1"/>
    <xf numFmtId="0" fontId="19" fillId="0" borderId="0" xfId="3" applyAlignment="1">
      <alignment horizontal="right"/>
    </xf>
    <xf numFmtId="0" fontId="4" fillId="0" borderId="14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17" fillId="3" borderId="22" xfId="1" applyBorder="1" applyProtection="1">
      <protection locked="0"/>
    </xf>
    <xf numFmtId="0" fontId="19" fillId="0" borderId="0" xfId="3" applyProtection="1"/>
    <xf numFmtId="49" fontId="0" fillId="0" borderId="0" xfId="0" applyNumberFormat="1"/>
    <xf numFmtId="0" fontId="7" fillId="6" borderId="34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/>
    </xf>
    <xf numFmtId="0" fontId="0" fillId="5" borderId="34" xfId="0" applyFill="1" applyBorder="1" applyAlignment="1">
      <alignment horizontal="left" vertical="center"/>
    </xf>
    <xf numFmtId="0" fontId="0" fillId="0" borderId="34" xfId="0" applyBorder="1" applyAlignment="1">
      <alignment horizontal="center"/>
    </xf>
    <xf numFmtId="0" fontId="0" fillId="0" borderId="34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7" fillId="3" borderId="24" xfId="1" applyNumberFormat="1" applyBorder="1" applyAlignment="1">
      <alignment horizontal="left"/>
    </xf>
    <xf numFmtId="164" fontId="16" fillId="0" borderId="14" xfId="0" applyNumberFormat="1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7" fillId="2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" fontId="14" fillId="0" borderId="5" xfId="0" applyNumberFormat="1" applyFont="1" applyBorder="1" applyAlignment="1">
      <alignment vertical="center"/>
    </xf>
    <xf numFmtId="0" fontId="21" fillId="0" borderId="0" xfId="4" applyAlignment="1">
      <alignment horizontal="left" vertical="center"/>
    </xf>
    <xf numFmtId="0" fontId="21" fillId="0" borderId="0" xfId="4" applyAlignment="1">
      <alignment horizontal="center"/>
    </xf>
    <xf numFmtId="0" fontId="21" fillId="0" borderId="0" xfId="4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19" fillId="0" borderId="6" xfId="3" applyBorder="1" applyAlignment="1">
      <alignment horizontal="right"/>
    </xf>
    <xf numFmtId="1" fontId="0" fillId="0" borderId="0" xfId="0" applyNumberFormat="1"/>
    <xf numFmtId="0" fontId="0" fillId="0" borderId="33" xfId="0" applyBorder="1" applyAlignment="1">
      <alignment vertical="center"/>
    </xf>
    <xf numFmtId="1" fontId="0" fillId="0" borderId="6" xfId="0" applyNumberFormat="1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16" fillId="5" borderId="36" xfId="0" applyFont="1" applyFill="1" applyBorder="1" applyAlignment="1">
      <alignment vertical="center"/>
    </xf>
    <xf numFmtId="0" fontId="16" fillId="5" borderId="37" xfId="0" applyFont="1" applyFill="1" applyBorder="1" applyAlignment="1">
      <alignment horizontal="center" vertical="center"/>
    </xf>
    <xf numFmtId="1" fontId="16" fillId="5" borderId="37" xfId="0" applyNumberFormat="1" applyFont="1" applyFill="1" applyBorder="1" applyAlignment="1">
      <alignment horizontal="center" vertical="center"/>
    </xf>
    <xf numFmtId="1" fontId="16" fillId="5" borderId="36" xfId="0" applyNumberFormat="1" applyFont="1" applyFill="1" applyBorder="1" applyAlignment="1">
      <alignment horizontal="center" vertical="center"/>
    </xf>
    <xf numFmtId="1" fontId="16" fillId="5" borderId="35" xfId="0" applyNumberFormat="1" applyFont="1" applyFill="1" applyBorder="1" applyAlignment="1">
      <alignment horizontal="center" vertical="center"/>
    </xf>
    <xf numFmtId="1" fontId="4" fillId="5" borderId="36" xfId="0" applyNumberFormat="1" applyFont="1" applyFill="1" applyBorder="1" applyAlignment="1">
      <alignment horizontal="center" vertical="center"/>
    </xf>
    <xf numFmtId="1" fontId="4" fillId="5" borderId="35" xfId="0" applyNumberFormat="1" applyFont="1" applyFill="1" applyBorder="1" applyAlignment="1">
      <alignment horizontal="center" vertical="center"/>
    </xf>
    <xf numFmtId="1" fontId="4" fillId="5" borderId="37" xfId="0" applyNumberFormat="1" applyFont="1" applyFill="1" applyBorder="1" applyAlignment="1">
      <alignment horizontal="center" vertical="center"/>
    </xf>
    <xf numFmtId="1" fontId="16" fillId="5" borderId="36" xfId="0" applyNumberFormat="1" applyFont="1" applyFill="1" applyBorder="1" applyAlignment="1">
      <alignment horizontal="left" vertical="center"/>
    </xf>
    <xf numFmtId="0" fontId="16" fillId="5" borderId="35" xfId="0" applyFont="1" applyFill="1" applyBorder="1" applyAlignment="1">
      <alignment vertical="center"/>
    </xf>
    <xf numFmtId="0" fontId="4" fillId="5" borderId="35" xfId="0" applyFont="1" applyFill="1" applyBorder="1" applyAlignment="1">
      <alignment vertical="center"/>
    </xf>
    <xf numFmtId="0" fontId="16" fillId="5" borderId="35" xfId="0" applyFont="1" applyFill="1" applyBorder="1" applyAlignment="1">
      <alignment horizontal="center" vertical="center"/>
    </xf>
    <xf numFmtId="0" fontId="16" fillId="5" borderId="37" xfId="0" applyFont="1" applyFill="1" applyBorder="1" applyAlignment="1">
      <alignment vertical="center"/>
    </xf>
    <xf numFmtId="1" fontId="16" fillId="5" borderId="36" xfId="0" applyNumberFormat="1" applyFont="1" applyFill="1" applyBorder="1" applyAlignment="1">
      <alignment horizontal="right" vertical="center"/>
    </xf>
    <xf numFmtId="1" fontId="16" fillId="5" borderId="35" xfId="0" applyNumberFormat="1" applyFont="1" applyFill="1" applyBorder="1" applyAlignment="1">
      <alignment vertical="center"/>
    </xf>
    <xf numFmtId="1" fontId="14" fillId="5" borderId="36" xfId="0" applyNumberFormat="1" applyFont="1" applyFill="1" applyBorder="1" applyAlignment="1">
      <alignment vertical="center"/>
    </xf>
    <xf numFmtId="1" fontId="14" fillId="5" borderId="35" xfId="0" applyNumberFormat="1" applyFont="1" applyFill="1" applyBorder="1" applyAlignment="1">
      <alignment vertical="center"/>
    </xf>
    <xf numFmtId="3" fontId="16" fillId="5" borderId="36" xfId="0" applyNumberFormat="1" applyFont="1" applyFill="1" applyBorder="1" applyAlignment="1">
      <alignment vertical="center"/>
    </xf>
    <xf numFmtId="3" fontId="16" fillId="5" borderId="35" xfId="0" applyNumberFormat="1" applyFont="1" applyFill="1" applyBorder="1" applyAlignment="1">
      <alignment vertical="center"/>
    </xf>
    <xf numFmtId="3" fontId="16" fillId="5" borderId="37" xfId="0" applyNumberFormat="1" applyFont="1" applyFill="1" applyBorder="1" applyAlignment="1">
      <alignment vertical="center"/>
    </xf>
    <xf numFmtId="0" fontId="16" fillId="0" borderId="36" xfId="0" applyFont="1" applyBorder="1" applyAlignment="1">
      <alignment vertical="center"/>
    </xf>
    <xf numFmtId="0" fontId="16" fillId="0" borderId="37" xfId="0" applyFont="1" applyBorder="1" applyAlignment="1">
      <alignment horizontal="center" vertical="center"/>
    </xf>
    <xf numFmtId="1" fontId="16" fillId="0" borderId="37" xfId="0" applyNumberFormat="1" applyFont="1" applyBorder="1" applyAlignment="1">
      <alignment horizontal="center" vertical="center"/>
    </xf>
    <xf numFmtId="1" fontId="16" fillId="0" borderId="36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4" fillId="0" borderId="36" xfId="0" applyNumberFormat="1" applyFont="1" applyBorder="1" applyAlignment="1">
      <alignment horizontal="center" vertical="center"/>
    </xf>
    <xf numFmtId="1" fontId="4" fillId="0" borderId="35" xfId="0" applyNumberFormat="1" applyFont="1" applyBorder="1" applyAlignment="1">
      <alignment horizontal="center" vertical="center"/>
    </xf>
    <xf numFmtId="1" fontId="4" fillId="0" borderId="37" xfId="0" applyNumberFormat="1" applyFont="1" applyBorder="1" applyAlignment="1">
      <alignment horizontal="center" vertical="center"/>
    </xf>
    <xf numFmtId="1" fontId="16" fillId="0" borderId="36" xfId="0" applyNumberFormat="1" applyFont="1" applyBorder="1" applyAlignment="1">
      <alignment horizontal="left" vertical="center"/>
    </xf>
    <xf numFmtId="0" fontId="16" fillId="0" borderId="35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16" fillId="0" borderId="35" xfId="0" applyFont="1" applyBorder="1" applyAlignment="1">
      <alignment horizontal="center" vertical="center"/>
    </xf>
    <xf numFmtId="0" fontId="16" fillId="0" borderId="37" xfId="0" applyFont="1" applyBorder="1" applyAlignment="1">
      <alignment vertical="center"/>
    </xf>
    <xf numFmtId="1" fontId="16" fillId="0" borderId="36" xfId="0" applyNumberFormat="1" applyFont="1" applyBorder="1" applyAlignment="1">
      <alignment horizontal="right" vertical="center"/>
    </xf>
    <xf numFmtId="1" fontId="16" fillId="0" borderId="35" xfId="0" applyNumberFormat="1" applyFont="1" applyBorder="1" applyAlignment="1">
      <alignment vertical="center"/>
    </xf>
    <xf numFmtId="1" fontId="14" fillId="0" borderId="35" xfId="0" applyNumberFormat="1" applyFont="1" applyBorder="1" applyAlignment="1">
      <alignment vertical="center"/>
    </xf>
    <xf numFmtId="3" fontId="16" fillId="0" borderId="36" xfId="0" applyNumberFormat="1" applyFont="1" applyBorder="1" applyAlignment="1">
      <alignment vertical="center"/>
    </xf>
    <xf numFmtId="3" fontId="16" fillId="0" borderId="35" xfId="0" applyNumberFormat="1" applyFont="1" applyBorder="1" applyAlignment="1">
      <alignment vertical="center"/>
    </xf>
    <xf numFmtId="3" fontId="16" fillId="0" borderId="37" xfId="0" applyNumberFormat="1" applyFont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7" xfId="0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1" fontId="0" fillId="5" borderId="35" xfId="0" applyNumberFormat="1" applyFill="1" applyBorder="1" applyAlignment="1">
      <alignment horizontal="center" vertical="center"/>
    </xf>
    <xf numFmtId="1" fontId="0" fillId="5" borderId="37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left" vertical="center"/>
    </xf>
    <xf numFmtId="0" fontId="0" fillId="5" borderId="35" xfId="0" applyFill="1" applyBorder="1" applyAlignment="1">
      <alignment vertical="center"/>
    </xf>
    <xf numFmtId="0" fontId="0" fillId="5" borderId="35" xfId="0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" fontId="0" fillId="5" borderId="36" xfId="0" applyNumberFormat="1" applyFill="1" applyBorder="1" applyAlignment="1">
      <alignment horizontal="right" vertical="center"/>
    </xf>
    <xf numFmtId="1" fontId="0" fillId="5" borderId="35" xfId="0" applyNumberFormat="1" applyFill="1" applyBorder="1" applyAlignment="1">
      <alignment vertical="center"/>
    </xf>
    <xf numFmtId="3" fontId="0" fillId="5" borderId="35" xfId="0" applyNumberFormat="1" applyFill="1" applyBorder="1" applyAlignment="1">
      <alignment vertical="center"/>
    </xf>
    <xf numFmtId="3" fontId="0" fillId="5" borderId="37" xfId="0" applyNumberFormat="1" applyFill="1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1" fontId="0" fillId="0" borderId="36" xfId="0" applyNumberFormat="1" applyBorder="1" applyAlignment="1">
      <alignment horizontal="right" vertical="center"/>
    </xf>
    <xf numFmtId="1" fontId="0" fillId="0" borderId="35" xfId="0" applyNumberFormat="1" applyBorder="1" applyAlignment="1">
      <alignment vertical="center"/>
    </xf>
    <xf numFmtId="3" fontId="0" fillId="0" borderId="35" xfId="0" applyNumberFormat="1" applyBorder="1" applyAlignment="1">
      <alignment vertical="center"/>
    </xf>
    <xf numFmtId="3" fontId="0" fillId="0" borderId="37" xfId="0" applyNumberFormat="1" applyBorder="1" applyAlignment="1">
      <alignment vertical="center"/>
    </xf>
    <xf numFmtId="1" fontId="16" fillId="0" borderId="36" xfId="0" applyNumberFormat="1" applyFont="1" applyBorder="1" applyAlignment="1">
      <alignment vertical="center"/>
    </xf>
    <xf numFmtId="1" fontId="16" fillId="0" borderId="37" xfId="0" applyNumberFormat="1" applyFont="1" applyBorder="1" applyAlignment="1">
      <alignment vertical="center"/>
    </xf>
    <xf numFmtId="0" fontId="16" fillId="0" borderId="36" xfId="0" applyFont="1" applyBorder="1" applyAlignment="1">
      <alignment horizontal="center" vertical="center"/>
    </xf>
    <xf numFmtId="1" fontId="14" fillId="0" borderId="36" xfId="0" applyNumberFormat="1" applyFont="1" applyBorder="1" applyAlignment="1">
      <alignment horizontal="center" vertical="center"/>
    </xf>
    <xf numFmtId="1" fontId="14" fillId="0" borderId="35" xfId="0" applyNumberFormat="1" applyFont="1" applyBorder="1" applyAlignment="1">
      <alignment horizontal="center" vertical="center"/>
    </xf>
    <xf numFmtId="1" fontId="14" fillId="0" borderId="37" xfId="0" applyNumberFormat="1" applyFont="1" applyBorder="1" applyAlignment="1">
      <alignment horizontal="center" vertical="center"/>
    </xf>
    <xf numFmtId="0" fontId="14" fillId="0" borderId="35" xfId="0" applyFont="1" applyBorder="1" applyAlignment="1">
      <alignment vertical="center"/>
    </xf>
    <xf numFmtId="0" fontId="16" fillId="5" borderId="36" xfId="0" applyFont="1" applyFill="1" applyBorder="1" applyAlignment="1">
      <alignment horizontal="center" vertical="center"/>
    </xf>
    <xf numFmtId="1" fontId="14" fillId="5" borderId="36" xfId="0" applyNumberFormat="1" applyFont="1" applyFill="1" applyBorder="1" applyAlignment="1">
      <alignment horizontal="center" vertical="center"/>
    </xf>
    <xf numFmtId="1" fontId="14" fillId="5" borderId="35" xfId="0" applyNumberFormat="1" applyFont="1" applyFill="1" applyBorder="1" applyAlignment="1">
      <alignment horizontal="center" vertical="center"/>
    </xf>
    <xf numFmtId="1" fontId="14" fillId="5" borderId="37" xfId="0" applyNumberFormat="1" applyFont="1" applyFill="1" applyBorder="1" applyAlignment="1">
      <alignment horizontal="center" vertical="center"/>
    </xf>
    <xf numFmtId="0" fontId="14" fillId="5" borderId="35" xfId="0" applyFont="1" applyFill="1" applyBorder="1" applyAlignment="1">
      <alignment vertical="center"/>
    </xf>
    <xf numFmtId="1" fontId="16" fillId="0" borderId="35" xfId="0" applyNumberFormat="1" applyFont="1" applyBorder="1" applyAlignment="1">
      <alignment horizontal="right" vertical="center"/>
    </xf>
    <xf numFmtId="1" fontId="14" fillId="0" borderId="35" xfId="0" applyNumberFormat="1" applyFont="1" applyBorder="1" applyAlignment="1">
      <alignment horizontal="right" vertical="center"/>
    </xf>
    <xf numFmtId="0" fontId="16" fillId="0" borderId="40" xfId="0" applyFont="1" applyBorder="1" applyAlignment="1">
      <alignment vertical="center"/>
    </xf>
    <xf numFmtId="0" fontId="0" fillId="0" borderId="40" xfId="0" applyBorder="1" applyAlignment="1">
      <alignment vertical="center"/>
    </xf>
    <xf numFmtId="1" fontId="0" fillId="0" borderId="37" xfId="0" applyNumberFormat="1" applyBorder="1" applyAlignment="1">
      <alignment vertical="center"/>
    </xf>
    <xf numFmtId="0" fontId="16" fillId="5" borderId="40" xfId="0" applyFont="1" applyFill="1" applyBorder="1" applyAlignment="1">
      <alignment vertical="center"/>
    </xf>
    <xf numFmtId="1" fontId="16" fillId="5" borderId="37" xfId="0" applyNumberFormat="1" applyFont="1" applyFill="1" applyBorder="1" applyAlignment="1">
      <alignment vertical="center"/>
    </xf>
    <xf numFmtId="0" fontId="1" fillId="0" borderId="39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1" xfId="0" applyFont="1" applyBorder="1"/>
    <xf numFmtId="0" fontId="1" fillId="0" borderId="38" xfId="0" applyFont="1" applyBorder="1"/>
    <xf numFmtId="1" fontId="1" fillId="0" borderId="38" xfId="0" applyNumberFormat="1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3" fontId="1" fillId="0" borderId="19" xfId="0" applyNumberFormat="1" applyFont="1" applyBorder="1"/>
    <xf numFmtId="3" fontId="1" fillId="0" borderId="20" xfId="0" applyNumberFormat="1" applyFont="1" applyBorder="1"/>
    <xf numFmtId="0" fontId="1" fillId="0" borderId="43" xfId="0" applyFont="1" applyBorder="1" applyAlignment="1">
      <alignment vertical="center"/>
    </xf>
    <xf numFmtId="0" fontId="1" fillId="0" borderId="4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0" fontId="20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2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2" borderId="10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</cellXfs>
  <cellStyles count="5">
    <cellStyle name="Bad" xfId="2" builtinId="27"/>
    <cellStyle name="Explanatory Text" xfId="3" builtinId="53"/>
    <cellStyle name="Good" xfId="1" builtinId="26"/>
    <cellStyle name="Hyperlink" xfId="4" builtinId="8"/>
    <cellStyle name="Normal" xfId="0" builtinId="0"/>
  </cellStyles>
  <dxfs count="363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" formatCode="#,##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</dxf>
    <dxf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alignment horizontal="general" vertical="center" textRotation="0" wrapText="0" indent="0" justifyLastLine="0" shrinkToFit="0" readingOrder="0"/>
      <border outline="0">
        <left style="thin">
          <color rgb="FF000000"/>
        </left>
        <right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00000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3399FF"/>
      <color rgb="FFFF9900"/>
      <color rgb="FF9933FF"/>
      <color rgb="FF66FF33"/>
      <color rgb="FF00FFFF"/>
      <color rgb="FF99FFCC"/>
      <color rgb="FFFF9933"/>
      <color rgb="FFE98FFF"/>
      <color rgb="FFD9A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8.emf"/><Relationship Id="rId2" Type="http://schemas.openxmlformats.org/officeDocument/2006/relationships/image" Target="../media/image327.emf"/><Relationship Id="rId1" Type="http://schemas.openxmlformats.org/officeDocument/2006/relationships/image" Target="../media/image326.emf"/><Relationship Id="rId6" Type="http://schemas.openxmlformats.org/officeDocument/2006/relationships/image" Target="../media/image331.emf"/><Relationship Id="rId5" Type="http://schemas.openxmlformats.org/officeDocument/2006/relationships/image" Target="../media/image330.emf"/><Relationship Id="rId4" Type="http://schemas.openxmlformats.org/officeDocument/2006/relationships/image" Target="../media/image3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99" Type="http://schemas.openxmlformats.org/officeDocument/2006/relationships/image" Target="../media/image299.png"/><Relationship Id="rId21" Type="http://schemas.openxmlformats.org/officeDocument/2006/relationships/image" Target="../media/image21.png"/><Relationship Id="rId63" Type="http://schemas.openxmlformats.org/officeDocument/2006/relationships/image" Target="../media/image63.png"/><Relationship Id="rId159" Type="http://schemas.openxmlformats.org/officeDocument/2006/relationships/image" Target="../media/image159.png"/><Relationship Id="rId324" Type="http://schemas.openxmlformats.org/officeDocument/2006/relationships/image" Target="../media/image324.png"/><Relationship Id="rId170" Type="http://schemas.openxmlformats.org/officeDocument/2006/relationships/image" Target="../media/image170.png"/><Relationship Id="rId226" Type="http://schemas.openxmlformats.org/officeDocument/2006/relationships/image" Target="../media/image226.png"/><Relationship Id="rId268" Type="http://schemas.openxmlformats.org/officeDocument/2006/relationships/image" Target="../media/image268.png"/><Relationship Id="rId32" Type="http://schemas.openxmlformats.org/officeDocument/2006/relationships/image" Target="../media/image32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181" Type="http://schemas.openxmlformats.org/officeDocument/2006/relationships/image" Target="../media/image181.png"/><Relationship Id="rId237" Type="http://schemas.openxmlformats.org/officeDocument/2006/relationships/image" Target="../media/image237.png"/><Relationship Id="rId279" Type="http://schemas.openxmlformats.org/officeDocument/2006/relationships/image" Target="../media/image279.png"/><Relationship Id="rId43" Type="http://schemas.openxmlformats.org/officeDocument/2006/relationships/image" Target="../media/image43.png"/><Relationship Id="rId139" Type="http://schemas.openxmlformats.org/officeDocument/2006/relationships/image" Target="../media/image139.png"/><Relationship Id="rId290" Type="http://schemas.openxmlformats.org/officeDocument/2006/relationships/image" Target="../media/image290.png"/><Relationship Id="rId304" Type="http://schemas.openxmlformats.org/officeDocument/2006/relationships/image" Target="../media/image304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92" Type="http://schemas.openxmlformats.org/officeDocument/2006/relationships/image" Target="../media/image192.png"/><Relationship Id="rId206" Type="http://schemas.openxmlformats.org/officeDocument/2006/relationships/image" Target="../media/image206.png"/><Relationship Id="rId248" Type="http://schemas.openxmlformats.org/officeDocument/2006/relationships/image" Target="../media/image248.png"/><Relationship Id="rId12" Type="http://schemas.openxmlformats.org/officeDocument/2006/relationships/image" Target="../media/image12.png"/><Relationship Id="rId108" Type="http://schemas.openxmlformats.org/officeDocument/2006/relationships/image" Target="../media/image108.png"/><Relationship Id="rId315" Type="http://schemas.openxmlformats.org/officeDocument/2006/relationships/image" Target="../media/image315.png"/><Relationship Id="rId54" Type="http://schemas.openxmlformats.org/officeDocument/2006/relationships/image" Target="../media/image54.png"/><Relationship Id="rId96" Type="http://schemas.openxmlformats.org/officeDocument/2006/relationships/image" Target="../media/image96.png"/><Relationship Id="rId161" Type="http://schemas.openxmlformats.org/officeDocument/2006/relationships/image" Target="../media/image161.png"/><Relationship Id="rId217" Type="http://schemas.openxmlformats.org/officeDocument/2006/relationships/image" Target="../media/image217.png"/><Relationship Id="rId259" Type="http://schemas.openxmlformats.org/officeDocument/2006/relationships/image" Target="../media/image259.png"/><Relationship Id="rId23" Type="http://schemas.openxmlformats.org/officeDocument/2006/relationships/image" Target="../media/image23.png"/><Relationship Id="rId119" Type="http://schemas.openxmlformats.org/officeDocument/2006/relationships/image" Target="../media/image119.png"/><Relationship Id="rId270" Type="http://schemas.openxmlformats.org/officeDocument/2006/relationships/image" Target="../media/image270.png"/><Relationship Id="rId65" Type="http://schemas.openxmlformats.org/officeDocument/2006/relationships/image" Target="../media/image65.png"/><Relationship Id="rId130" Type="http://schemas.openxmlformats.org/officeDocument/2006/relationships/image" Target="../media/image130.png"/><Relationship Id="rId172" Type="http://schemas.openxmlformats.org/officeDocument/2006/relationships/image" Target="../media/image172.png"/><Relationship Id="rId228" Type="http://schemas.openxmlformats.org/officeDocument/2006/relationships/image" Target="../media/image228.png"/><Relationship Id="rId281" Type="http://schemas.openxmlformats.org/officeDocument/2006/relationships/image" Target="../media/image281.png"/><Relationship Id="rId34" Type="http://schemas.openxmlformats.org/officeDocument/2006/relationships/image" Target="../media/image34.png"/><Relationship Id="rId76" Type="http://schemas.openxmlformats.org/officeDocument/2006/relationships/image" Target="../media/image76.png"/><Relationship Id="rId141" Type="http://schemas.openxmlformats.org/officeDocument/2006/relationships/image" Target="../media/image141.png"/><Relationship Id="rId7" Type="http://schemas.openxmlformats.org/officeDocument/2006/relationships/image" Target="../media/image7.png"/><Relationship Id="rId162" Type="http://schemas.openxmlformats.org/officeDocument/2006/relationships/image" Target="../media/image162.png"/><Relationship Id="rId183" Type="http://schemas.openxmlformats.org/officeDocument/2006/relationships/image" Target="../media/image183.png"/><Relationship Id="rId218" Type="http://schemas.openxmlformats.org/officeDocument/2006/relationships/image" Target="../media/image218.png"/><Relationship Id="rId239" Type="http://schemas.openxmlformats.org/officeDocument/2006/relationships/image" Target="../media/image239.png"/><Relationship Id="rId250" Type="http://schemas.openxmlformats.org/officeDocument/2006/relationships/image" Target="../media/image250.png"/><Relationship Id="rId271" Type="http://schemas.openxmlformats.org/officeDocument/2006/relationships/image" Target="../media/image271.png"/><Relationship Id="rId292" Type="http://schemas.openxmlformats.org/officeDocument/2006/relationships/image" Target="../media/image292.png"/><Relationship Id="rId306" Type="http://schemas.openxmlformats.org/officeDocument/2006/relationships/image" Target="../media/image306.png"/><Relationship Id="rId24" Type="http://schemas.openxmlformats.org/officeDocument/2006/relationships/image" Target="../media/image24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31" Type="http://schemas.openxmlformats.org/officeDocument/2006/relationships/image" Target="../media/image131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229" Type="http://schemas.openxmlformats.org/officeDocument/2006/relationships/image" Target="../media/image229.png"/><Relationship Id="rId240" Type="http://schemas.openxmlformats.org/officeDocument/2006/relationships/image" Target="../media/image240.png"/><Relationship Id="rId261" Type="http://schemas.openxmlformats.org/officeDocument/2006/relationships/image" Target="../media/image261.png"/><Relationship Id="rId14" Type="http://schemas.openxmlformats.org/officeDocument/2006/relationships/image" Target="../media/image14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282" Type="http://schemas.openxmlformats.org/officeDocument/2006/relationships/image" Target="../media/image282.png"/><Relationship Id="rId317" Type="http://schemas.openxmlformats.org/officeDocument/2006/relationships/image" Target="../media/image317.png"/><Relationship Id="rId8" Type="http://schemas.openxmlformats.org/officeDocument/2006/relationships/image" Target="../media/image8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184" Type="http://schemas.openxmlformats.org/officeDocument/2006/relationships/image" Target="../media/image184.png"/><Relationship Id="rId219" Type="http://schemas.openxmlformats.org/officeDocument/2006/relationships/image" Target="../media/image219.png"/><Relationship Id="rId230" Type="http://schemas.openxmlformats.org/officeDocument/2006/relationships/image" Target="../media/image230.png"/><Relationship Id="rId251" Type="http://schemas.openxmlformats.org/officeDocument/2006/relationships/image" Target="../media/image251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272" Type="http://schemas.openxmlformats.org/officeDocument/2006/relationships/image" Target="../media/image272.png"/><Relationship Id="rId293" Type="http://schemas.openxmlformats.org/officeDocument/2006/relationships/image" Target="../media/image293.png"/><Relationship Id="rId307" Type="http://schemas.openxmlformats.org/officeDocument/2006/relationships/image" Target="../media/image307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95" Type="http://schemas.openxmlformats.org/officeDocument/2006/relationships/image" Target="../media/image195.png"/><Relationship Id="rId209" Type="http://schemas.openxmlformats.org/officeDocument/2006/relationships/image" Target="../media/image209.png"/><Relationship Id="rId220" Type="http://schemas.openxmlformats.org/officeDocument/2006/relationships/image" Target="../media/image220.png"/><Relationship Id="rId241" Type="http://schemas.openxmlformats.org/officeDocument/2006/relationships/image" Target="../media/image24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262" Type="http://schemas.openxmlformats.org/officeDocument/2006/relationships/image" Target="../media/image262.png"/><Relationship Id="rId283" Type="http://schemas.openxmlformats.org/officeDocument/2006/relationships/image" Target="../media/image283.png"/><Relationship Id="rId318" Type="http://schemas.openxmlformats.org/officeDocument/2006/relationships/image" Target="../media/image318.png"/><Relationship Id="rId78" Type="http://schemas.openxmlformats.org/officeDocument/2006/relationships/image" Target="../media/image78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64" Type="http://schemas.openxmlformats.org/officeDocument/2006/relationships/image" Target="../media/image164.png"/><Relationship Id="rId185" Type="http://schemas.openxmlformats.org/officeDocument/2006/relationships/image" Target="../media/image185.png"/><Relationship Id="rId9" Type="http://schemas.openxmlformats.org/officeDocument/2006/relationships/image" Target="../media/image9.png"/><Relationship Id="rId210" Type="http://schemas.openxmlformats.org/officeDocument/2006/relationships/image" Target="../media/image210.png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252" Type="http://schemas.openxmlformats.org/officeDocument/2006/relationships/image" Target="../media/image252.png"/><Relationship Id="rId273" Type="http://schemas.openxmlformats.org/officeDocument/2006/relationships/image" Target="../media/image273.png"/><Relationship Id="rId294" Type="http://schemas.openxmlformats.org/officeDocument/2006/relationships/image" Target="../media/image294.png"/><Relationship Id="rId308" Type="http://schemas.openxmlformats.org/officeDocument/2006/relationships/image" Target="../media/image308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png"/><Relationship Id="rId196" Type="http://schemas.openxmlformats.org/officeDocument/2006/relationships/image" Target="../media/image196.png"/><Relationship Id="rId200" Type="http://schemas.openxmlformats.org/officeDocument/2006/relationships/image" Target="../media/image200.png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242" Type="http://schemas.openxmlformats.org/officeDocument/2006/relationships/image" Target="../media/image242.png"/><Relationship Id="rId263" Type="http://schemas.openxmlformats.org/officeDocument/2006/relationships/image" Target="../media/image263.png"/><Relationship Id="rId284" Type="http://schemas.openxmlformats.org/officeDocument/2006/relationships/image" Target="../media/image284.png"/><Relationship Id="rId319" Type="http://schemas.openxmlformats.org/officeDocument/2006/relationships/image" Target="../media/image319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186" Type="http://schemas.openxmlformats.org/officeDocument/2006/relationships/image" Target="../media/image186.png"/><Relationship Id="rId211" Type="http://schemas.openxmlformats.org/officeDocument/2006/relationships/image" Target="../media/image211.png"/><Relationship Id="rId232" Type="http://schemas.openxmlformats.org/officeDocument/2006/relationships/image" Target="../media/image232.png"/><Relationship Id="rId253" Type="http://schemas.openxmlformats.org/officeDocument/2006/relationships/image" Target="../media/image253.png"/><Relationship Id="rId274" Type="http://schemas.openxmlformats.org/officeDocument/2006/relationships/image" Target="../media/image274.png"/><Relationship Id="rId295" Type="http://schemas.openxmlformats.org/officeDocument/2006/relationships/image" Target="../media/image295.png"/><Relationship Id="rId309" Type="http://schemas.openxmlformats.org/officeDocument/2006/relationships/image" Target="../media/image309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320" Type="http://schemas.openxmlformats.org/officeDocument/2006/relationships/image" Target="../media/image320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97" Type="http://schemas.openxmlformats.org/officeDocument/2006/relationships/image" Target="../media/image197.png"/><Relationship Id="rId201" Type="http://schemas.openxmlformats.org/officeDocument/2006/relationships/image" Target="../media/image201.png"/><Relationship Id="rId222" Type="http://schemas.openxmlformats.org/officeDocument/2006/relationships/image" Target="../media/image222.png"/><Relationship Id="rId243" Type="http://schemas.openxmlformats.org/officeDocument/2006/relationships/image" Target="../media/image243.png"/><Relationship Id="rId264" Type="http://schemas.openxmlformats.org/officeDocument/2006/relationships/image" Target="../media/image264.png"/><Relationship Id="rId285" Type="http://schemas.openxmlformats.org/officeDocument/2006/relationships/image" Target="../media/image28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310" Type="http://schemas.openxmlformats.org/officeDocument/2006/relationships/image" Target="../media/image310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png"/><Relationship Id="rId166" Type="http://schemas.openxmlformats.org/officeDocument/2006/relationships/image" Target="../media/image166.png"/><Relationship Id="rId187" Type="http://schemas.openxmlformats.org/officeDocument/2006/relationships/image" Target="../media/image187.png"/><Relationship Id="rId1" Type="http://schemas.openxmlformats.org/officeDocument/2006/relationships/image" Target="../media/image1.png"/><Relationship Id="rId212" Type="http://schemas.openxmlformats.org/officeDocument/2006/relationships/image" Target="../media/image212.png"/><Relationship Id="rId233" Type="http://schemas.openxmlformats.org/officeDocument/2006/relationships/image" Target="../media/image233.png"/><Relationship Id="rId254" Type="http://schemas.openxmlformats.org/officeDocument/2006/relationships/image" Target="../media/image254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275" Type="http://schemas.openxmlformats.org/officeDocument/2006/relationships/image" Target="../media/image275.png"/><Relationship Id="rId296" Type="http://schemas.openxmlformats.org/officeDocument/2006/relationships/image" Target="../media/image296.png"/><Relationship Id="rId300" Type="http://schemas.openxmlformats.org/officeDocument/2006/relationships/image" Target="../media/image300.png"/><Relationship Id="rId60" Type="http://schemas.openxmlformats.org/officeDocument/2006/relationships/image" Target="../media/image60.png"/><Relationship Id="rId81" Type="http://schemas.openxmlformats.org/officeDocument/2006/relationships/image" Target="../media/image81.png"/><Relationship Id="rId135" Type="http://schemas.openxmlformats.org/officeDocument/2006/relationships/image" Target="../media/image135.png"/><Relationship Id="rId156" Type="http://schemas.openxmlformats.org/officeDocument/2006/relationships/image" Target="../media/image156.png"/><Relationship Id="rId177" Type="http://schemas.openxmlformats.org/officeDocument/2006/relationships/image" Target="../media/image177.png"/><Relationship Id="rId198" Type="http://schemas.openxmlformats.org/officeDocument/2006/relationships/image" Target="../media/image198.png"/><Relationship Id="rId321" Type="http://schemas.openxmlformats.org/officeDocument/2006/relationships/image" Target="../media/image321.png"/><Relationship Id="rId202" Type="http://schemas.openxmlformats.org/officeDocument/2006/relationships/image" Target="../media/image202.png"/><Relationship Id="rId223" Type="http://schemas.openxmlformats.org/officeDocument/2006/relationships/image" Target="../media/image223.png"/><Relationship Id="rId244" Type="http://schemas.openxmlformats.org/officeDocument/2006/relationships/image" Target="../media/image244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265" Type="http://schemas.openxmlformats.org/officeDocument/2006/relationships/image" Target="../media/image265.png"/><Relationship Id="rId286" Type="http://schemas.openxmlformats.org/officeDocument/2006/relationships/image" Target="../media/image286.png"/><Relationship Id="rId50" Type="http://schemas.openxmlformats.org/officeDocument/2006/relationships/image" Target="../media/image50.png"/><Relationship Id="rId104" Type="http://schemas.openxmlformats.org/officeDocument/2006/relationships/image" Target="../media/image104.png"/><Relationship Id="rId125" Type="http://schemas.openxmlformats.org/officeDocument/2006/relationships/image" Target="../media/image125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188" Type="http://schemas.openxmlformats.org/officeDocument/2006/relationships/image" Target="../media/image188.png"/><Relationship Id="rId311" Type="http://schemas.openxmlformats.org/officeDocument/2006/relationships/image" Target="../media/image311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13" Type="http://schemas.openxmlformats.org/officeDocument/2006/relationships/image" Target="../media/image213.png"/><Relationship Id="rId234" Type="http://schemas.openxmlformats.org/officeDocument/2006/relationships/image" Target="../media/image234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55" Type="http://schemas.openxmlformats.org/officeDocument/2006/relationships/image" Target="../media/image255.png"/><Relationship Id="rId276" Type="http://schemas.openxmlformats.org/officeDocument/2006/relationships/image" Target="../media/image276.png"/><Relationship Id="rId297" Type="http://schemas.openxmlformats.org/officeDocument/2006/relationships/image" Target="../media/image297.png"/><Relationship Id="rId40" Type="http://schemas.openxmlformats.org/officeDocument/2006/relationships/image" Target="../media/image40.png"/><Relationship Id="rId115" Type="http://schemas.openxmlformats.org/officeDocument/2006/relationships/image" Target="../media/image115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png"/><Relationship Id="rId301" Type="http://schemas.openxmlformats.org/officeDocument/2006/relationships/image" Target="../media/image301.png"/><Relationship Id="rId322" Type="http://schemas.openxmlformats.org/officeDocument/2006/relationships/image" Target="../media/image322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9" Type="http://schemas.openxmlformats.org/officeDocument/2006/relationships/image" Target="../media/image199.png"/><Relationship Id="rId203" Type="http://schemas.openxmlformats.org/officeDocument/2006/relationships/image" Target="../media/image203.png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245" Type="http://schemas.openxmlformats.org/officeDocument/2006/relationships/image" Target="../media/image245.png"/><Relationship Id="rId266" Type="http://schemas.openxmlformats.org/officeDocument/2006/relationships/image" Target="../media/image266.png"/><Relationship Id="rId287" Type="http://schemas.openxmlformats.org/officeDocument/2006/relationships/image" Target="../media/image287.png"/><Relationship Id="rId30" Type="http://schemas.openxmlformats.org/officeDocument/2006/relationships/image" Target="../media/image3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312" Type="http://schemas.openxmlformats.org/officeDocument/2006/relationships/image" Target="../media/image312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189" Type="http://schemas.openxmlformats.org/officeDocument/2006/relationships/image" Target="../media/image189.png"/><Relationship Id="rId3" Type="http://schemas.openxmlformats.org/officeDocument/2006/relationships/image" Target="../media/image3.png"/><Relationship Id="rId214" Type="http://schemas.openxmlformats.org/officeDocument/2006/relationships/image" Target="../media/image214.png"/><Relationship Id="rId235" Type="http://schemas.openxmlformats.org/officeDocument/2006/relationships/image" Target="../media/image235.png"/><Relationship Id="rId256" Type="http://schemas.openxmlformats.org/officeDocument/2006/relationships/image" Target="../media/image256.png"/><Relationship Id="rId277" Type="http://schemas.openxmlformats.org/officeDocument/2006/relationships/image" Target="../media/image277.png"/><Relationship Id="rId298" Type="http://schemas.openxmlformats.org/officeDocument/2006/relationships/image" Target="../media/image298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302" Type="http://schemas.openxmlformats.org/officeDocument/2006/relationships/image" Target="../media/image302.png"/><Relationship Id="rId323" Type="http://schemas.openxmlformats.org/officeDocument/2006/relationships/image" Target="../media/image32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190" Type="http://schemas.openxmlformats.org/officeDocument/2006/relationships/image" Target="../media/image190.png"/><Relationship Id="rId204" Type="http://schemas.openxmlformats.org/officeDocument/2006/relationships/image" Target="../media/image204.png"/><Relationship Id="rId225" Type="http://schemas.openxmlformats.org/officeDocument/2006/relationships/image" Target="../media/image225.png"/><Relationship Id="rId246" Type="http://schemas.openxmlformats.org/officeDocument/2006/relationships/image" Target="../media/image246.png"/><Relationship Id="rId267" Type="http://schemas.openxmlformats.org/officeDocument/2006/relationships/image" Target="../media/image267.png"/><Relationship Id="rId288" Type="http://schemas.openxmlformats.org/officeDocument/2006/relationships/image" Target="../media/image288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313" Type="http://schemas.openxmlformats.org/officeDocument/2006/relationships/image" Target="../media/image31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94" Type="http://schemas.openxmlformats.org/officeDocument/2006/relationships/image" Target="../media/image94.png"/><Relationship Id="rId148" Type="http://schemas.openxmlformats.org/officeDocument/2006/relationships/image" Target="../media/image148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180" Type="http://schemas.openxmlformats.org/officeDocument/2006/relationships/image" Target="../media/image180.png"/><Relationship Id="rId215" Type="http://schemas.openxmlformats.org/officeDocument/2006/relationships/image" Target="../media/image215.png"/><Relationship Id="rId236" Type="http://schemas.openxmlformats.org/officeDocument/2006/relationships/image" Target="../media/image236.png"/><Relationship Id="rId257" Type="http://schemas.openxmlformats.org/officeDocument/2006/relationships/image" Target="../media/image257.png"/><Relationship Id="rId278" Type="http://schemas.openxmlformats.org/officeDocument/2006/relationships/image" Target="../media/image278.png"/><Relationship Id="rId303" Type="http://schemas.openxmlformats.org/officeDocument/2006/relationships/image" Target="../media/image303.png"/><Relationship Id="rId42" Type="http://schemas.openxmlformats.org/officeDocument/2006/relationships/image" Target="../media/image42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91" Type="http://schemas.openxmlformats.org/officeDocument/2006/relationships/image" Target="../media/image191.png"/><Relationship Id="rId205" Type="http://schemas.openxmlformats.org/officeDocument/2006/relationships/image" Target="../media/image205.png"/><Relationship Id="rId247" Type="http://schemas.openxmlformats.org/officeDocument/2006/relationships/image" Target="../media/image247.png"/><Relationship Id="rId107" Type="http://schemas.openxmlformats.org/officeDocument/2006/relationships/image" Target="../media/image107.png"/><Relationship Id="rId289" Type="http://schemas.openxmlformats.org/officeDocument/2006/relationships/image" Target="../media/image289.png"/><Relationship Id="rId11" Type="http://schemas.openxmlformats.org/officeDocument/2006/relationships/image" Target="../media/image11.png"/><Relationship Id="rId53" Type="http://schemas.openxmlformats.org/officeDocument/2006/relationships/image" Target="../media/image53.png"/><Relationship Id="rId149" Type="http://schemas.openxmlformats.org/officeDocument/2006/relationships/image" Target="../media/image149.png"/><Relationship Id="rId314" Type="http://schemas.openxmlformats.org/officeDocument/2006/relationships/image" Target="../media/image314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16" Type="http://schemas.openxmlformats.org/officeDocument/2006/relationships/image" Target="../media/image216.png"/><Relationship Id="rId258" Type="http://schemas.openxmlformats.org/officeDocument/2006/relationships/image" Target="../media/image258.png"/><Relationship Id="rId22" Type="http://schemas.openxmlformats.org/officeDocument/2006/relationships/image" Target="../media/image22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325" Type="http://schemas.openxmlformats.org/officeDocument/2006/relationships/image" Target="../media/image325.png"/><Relationship Id="rId171" Type="http://schemas.openxmlformats.org/officeDocument/2006/relationships/image" Target="../media/image171.png"/><Relationship Id="rId227" Type="http://schemas.openxmlformats.org/officeDocument/2006/relationships/image" Target="../media/image227.png"/><Relationship Id="rId269" Type="http://schemas.openxmlformats.org/officeDocument/2006/relationships/image" Target="../media/image269.png"/><Relationship Id="rId33" Type="http://schemas.openxmlformats.org/officeDocument/2006/relationships/image" Target="../media/image33.png"/><Relationship Id="rId129" Type="http://schemas.openxmlformats.org/officeDocument/2006/relationships/image" Target="../media/image129.png"/><Relationship Id="rId280" Type="http://schemas.openxmlformats.org/officeDocument/2006/relationships/image" Target="../media/image280.png"/><Relationship Id="rId75" Type="http://schemas.openxmlformats.org/officeDocument/2006/relationships/image" Target="../media/image75.png"/><Relationship Id="rId140" Type="http://schemas.openxmlformats.org/officeDocument/2006/relationships/image" Target="../media/image140.png"/><Relationship Id="rId182" Type="http://schemas.openxmlformats.org/officeDocument/2006/relationships/image" Target="../media/image182.png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291" Type="http://schemas.openxmlformats.org/officeDocument/2006/relationships/image" Target="../media/image291.png"/><Relationship Id="rId305" Type="http://schemas.openxmlformats.org/officeDocument/2006/relationships/image" Target="../media/image305.png"/><Relationship Id="rId44" Type="http://schemas.openxmlformats.org/officeDocument/2006/relationships/image" Target="../media/image44.png"/><Relationship Id="rId86" Type="http://schemas.openxmlformats.org/officeDocument/2006/relationships/image" Target="../media/image86.png"/><Relationship Id="rId151" Type="http://schemas.openxmlformats.org/officeDocument/2006/relationships/image" Target="../media/image151.png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249" Type="http://schemas.openxmlformats.org/officeDocument/2006/relationships/image" Target="../media/image249.png"/><Relationship Id="rId13" Type="http://schemas.openxmlformats.org/officeDocument/2006/relationships/image" Target="../media/image13.png"/><Relationship Id="rId109" Type="http://schemas.openxmlformats.org/officeDocument/2006/relationships/image" Target="../media/image109.png"/><Relationship Id="rId260" Type="http://schemas.openxmlformats.org/officeDocument/2006/relationships/image" Target="../media/image260.png"/><Relationship Id="rId316" Type="http://schemas.openxmlformats.org/officeDocument/2006/relationships/image" Target="../media/image316.png"/><Relationship Id="rId55" Type="http://schemas.openxmlformats.org/officeDocument/2006/relationships/image" Target="../media/image55.png"/><Relationship Id="rId97" Type="http://schemas.openxmlformats.org/officeDocument/2006/relationships/image" Target="../media/image97.png"/><Relationship Id="rId120" Type="http://schemas.openxmlformats.org/officeDocument/2006/relationships/image" Target="../media/image12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51">
  <rv s="0">
    <v>0</v>
    <v>5</v>
  </rv>
  <rv s="0">
    <v>1</v>
    <v>5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4</v>
  </rv>
  <rv s="0">
    <v>19</v>
    <v>4</v>
  </rv>
  <rv s="1">
    <v>2</v>
    <v>10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4</v>
  </rv>
  <rv s="0">
    <v>30</v>
    <v>5</v>
  </rv>
  <rv s="0">
    <v>31</v>
    <v>5</v>
  </rv>
  <rv s="0">
    <v>32</v>
    <v>5</v>
  </rv>
  <rv s="0">
    <v>6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4</v>
    <v>5</v>
  </rv>
  <rv s="0">
    <v>38</v>
    <v>5</v>
  </rv>
  <rv s="0">
    <v>39</v>
    <v>5</v>
  </rv>
  <rv s="0">
    <v>40</v>
    <v>5</v>
  </rv>
  <rv s="0">
    <v>8</v>
    <v>5</v>
  </rv>
  <rv s="0">
    <v>41</v>
    <v>5</v>
  </rv>
  <rv s="0">
    <v>42</v>
    <v>5</v>
  </rv>
  <rv s="0">
    <v>43</v>
    <v>5</v>
  </rv>
  <rv s="0">
    <v>44</v>
    <v>4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4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4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2</v>
    <v>5</v>
  </rv>
  <rv s="0">
    <v>77</v>
    <v>5</v>
  </rv>
  <rv s="0">
    <v>78</v>
    <v>4</v>
  </rv>
  <rv s="0">
    <v>79</v>
    <v>5</v>
  </rv>
  <rv s="0">
    <v>5</v>
    <v>5</v>
  </rv>
  <rv s="0">
    <v>7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62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3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44</v>
    <v>5</v>
  </rv>
  <rv s="0">
    <v>129</v>
    <v>5</v>
  </rv>
  <rv s="0">
    <v>130</v>
    <v>5</v>
  </rv>
  <rv s="0">
    <v>131</v>
    <v>5</v>
  </rv>
  <rv s="0">
    <v>132</v>
    <v>5</v>
  </rv>
  <rv s="0">
    <v>133</v>
    <v>5</v>
  </rv>
  <rv s="0">
    <v>134</v>
    <v>5</v>
  </rv>
  <rv s="0">
    <v>135</v>
    <v>5</v>
  </rv>
  <rv s="0">
    <v>18</v>
    <v>5</v>
  </rv>
  <rv s="0">
    <v>136</v>
    <v>5</v>
  </rv>
  <rv s="0">
    <v>137</v>
    <v>5</v>
  </rv>
  <rv s="0">
    <v>138</v>
    <v>5</v>
  </rv>
  <rv s="0">
    <v>139</v>
    <v>5</v>
  </rv>
  <rv s="0">
    <v>140</v>
    <v>5</v>
  </rv>
  <rv s="0">
    <v>141</v>
    <v>5</v>
  </rv>
  <rv s="0">
    <v>142</v>
    <v>5</v>
  </rv>
  <rv s="0">
    <v>53</v>
    <v>5</v>
  </rv>
  <rv s="0">
    <v>143</v>
    <v>5</v>
  </rv>
  <rv s="0">
    <v>144</v>
    <v>5</v>
  </rv>
  <rv s="0">
    <v>145</v>
    <v>5</v>
  </rv>
  <rv s="0">
    <v>146</v>
    <v>5</v>
  </rv>
  <rv s="0">
    <v>147</v>
    <v>5</v>
  </rv>
  <rv s="0">
    <v>148</v>
    <v>5</v>
  </rv>
  <rv s="0">
    <v>149</v>
    <v>5</v>
  </rv>
  <rv s="0">
    <v>29</v>
    <v>5</v>
  </rv>
  <rv s="0">
    <v>150</v>
    <v>5</v>
  </rv>
  <rv s="0">
    <v>151</v>
    <v>5</v>
  </rv>
  <rv s="0">
    <v>152</v>
    <v>5</v>
  </rv>
  <rv s="0">
    <v>153</v>
    <v>5</v>
  </rv>
  <rv s="0">
    <v>154</v>
    <v>5</v>
  </rv>
  <rv s="0">
    <v>155</v>
    <v>5</v>
  </rv>
  <rv s="0">
    <v>156</v>
    <v>5</v>
  </rv>
  <rv s="0">
    <v>78</v>
    <v>5</v>
  </rv>
  <rv s="0">
    <v>157</v>
    <v>5</v>
  </rv>
  <rv s="0">
    <v>158</v>
    <v>5</v>
  </rv>
  <rv s="0">
    <v>159</v>
    <v>5</v>
  </rv>
  <rv s="0">
    <v>160</v>
    <v>5</v>
  </rv>
  <rv s="0">
    <v>161</v>
    <v>5</v>
  </rv>
  <rv s="0">
    <v>162</v>
    <v>5</v>
  </rv>
  <rv s="0">
    <v>163</v>
    <v>5</v>
  </rv>
  <rv s="0">
    <v>164</v>
    <v>5</v>
  </rv>
  <rv s="0">
    <v>165</v>
    <v>5</v>
  </rv>
  <rv s="0">
    <v>166</v>
    <v>5</v>
  </rv>
  <rv s="0">
    <v>167</v>
    <v>5</v>
  </rv>
  <rv s="0">
    <v>168</v>
    <v>5</v>
  </rv>
  <rv s="0">
    <v>19</v>
    <v>5</v>
  </rv>
  <rv s="0">
    <v>169</v>
    <v>5</v>
  </rv>
  <rv s="0">
    <v>170</v>
    <v>5</v>
  </rv>
  <rv s="0">
    <v>171</v>
    <v>5</v>
  </rv>
  <rv s="0">
    <v>172</v>
    <v>5</v>
  </rv>
  <rv s="0">
    <v>173</v>
    <v>5</v>
  </rv>
  <rv s="0">
    <v>174</v>
    <v>5</v>
  </rv>
  <rv s="0">
    <v>175</v>
    <v>5</v>
  </rv>
  <rv s="0">
    <v>176</v>
    <v>5</v>
  </rv>
  <rv s="0">
    <v>177</v>
    <v>5</v>
  </rv>
  <rv s="0">
    <v>178</v>
    <v>5</v>
  </rv>
  <rv s="0">
    <v>179</v>
    <v>5</v>
  </rv>
  <rv s="0">
    <v>180</v>
    <v>5</v>
  </rv>
  <rv s="0">
    <v>181</v>
    <v>5</v>
  </rv>
  <rv s="0">
    <v>182</v>
    <v>5</v>
  </rv>
  <rv s="0">
    <v>183</v>
    <v>5</v>
  </rv>
  <rv s="0">
    <v>184</v>
    <v>5</v>
  </rv>
  <rv s="0">
    <v>185</v>
    <v>5</v>
  </rv>
  <rv s="0">
    <v>186</v>
    <v>5</v>
  </rv>
  <rv s="0">
    <v>187</v>
    <v>5</v>
  </rv>
  <rv s="0">
    <v>188</v>
    <v>5</v>
  </rv>
  <rv s="0">
    <v>189</v>
    <v>5</v>
  </rv>
  <rv s="0">
    <v>190</v>
    <v>5</v>
  </rv>
  <rv s="0">
    <v>191</v>
    <v>5</v>
  </rv>
  <rv s="0">
    <v>192</v>
    <v>5</v>
  </rv>
  <rv s="0">
    <v>193</v>
    <v>5</v>
  </rv>
  <rv s="0">
    <v>194</v>
    <v>5</v>
  </rv>
  <rv s="0">
    <v>195</v>
    <v>5</v>
  </rv>
  <rv s="0">
    <v>196</v>
    <v>5</v>
  </rv>
  <rv s="0">
    <v>197</v>
    <v>5</v>
  </rv>
  <rv s="0">
    <v>198</v>
    <v>5</v>
  </rv>
  <rv s="0">
    <v>199</v>
    <v>5</v>
  </rv>
  <rv s="0">
    <v>99</v>
    <v>4</v>
  </rv>
  <rv s="0">
    <v>200</v>
    <v>5</v>
  </rv>
  <rv s="0">
    <v>201</v>
    <v>5</v>
  </rv>
  <rv s="0">
    <v>202</v>
    <v>5</v>
  </rv>
  <rv s="0">
    <v>203</v>
    <v>5</v>
  </rv>
  <rv s="0">
    <v>204</v>
    <v>5</v>
  </rv>
  <rv s="0">
    <v>205</v>
    <v>5</v>
  </rv>
  <rv s="0">
    <v>206</v>
    <v>5</v>
  </rv>
  <rv s="0">
    <v>207</v>
    <v>5</v>
  </rv>
  <rv s="0">
    <v>208</v>
    <v>5</v>
  </rv>
  <rv s="0">
    <v>209</v>
    <v>5</v>
  </rv>
  <rv s="0">
    <v>210</v>
    <v>5</v>
  </rv>
  <rv s="0">
    <v>211</v>
    <v>5</v>
  </rv>
  <rv s="0">
    <v>212</v>
    <v>5</v>
  </rv>
  <rv s="0">
    <v>213</v>
    <v>5</v>
  </rv>
  <rv s="0">
    <v>214</v>
    <v>5</v>
  </rv>
  <rv s="0">
    <v>215</v>
    <v>5</v>
  </rv>
  <rv s="0">
    <v>216</v>
    <v>5</v>
  </rv>
  <rv s="0">
    <v>217</v>
    <v>5</v>
  </rv>
  <rv s="0">
    <v>218</v>
    <v>5</v>
  </rv>
  <rv s="0">
    <v>219</v>
    <v>5</v>
  </rv>
  <rv s="0">
    <v>220</v>
    <v>5</v>
  </rv>
  <rv s="0">
    <v>221</v>
    <v>5</v>
  </rv>
  <rv s="0">
    <v>222</v>
    <v>5</v>
  </rv>
  <rv s="0">
    <v>223</v>
    <v>5</v>
  </rv>
  <rv s="0">
    <v>224</v>
    <v>5</v>
  </rv>
  <rv s="0">
    <v>225</v>
    <v>5</v>
  </rv>
  <rv s="0">
    <v>226</v>
    <v>5</v>
  </rv>
  <rv s="0">
    <v>227</v>
    <v>5</v>
  </rv>
  <rv s="0">
    <v>228</v>
    <v>5</v>
  </rv>
  <rv s="0">
    <v>229</v>
    <v>5</v>
  </rv>
  <rv s="0">
    <v>230</v>
    <v>5</v>
  </rv>
  <rv s="0">
    <v>231</v>
    <v>5</v>
  </rv>
  <rv s="0">
    <v>232</v>
    <v>5</v>
  </rv>
  <rv s="0">
    <v>233</v>
    <v>5</v>
  </rv>
  <rv s="0">
    <v>234</v>
    <v>5</v>
  </rv>
  <rv s="0">
    <v>235</v>
    <v>5</v>
  </rv>
  <rv s="0">
    <v>236</v>
    <v>5</v>
  </rv>
  <rv s="0">
    <v>237</v>
    <v>5</v>
  </rv>
  <rv s="0">
    <v>238</v>
    <v>5</v>
  </rv>
  <rv s="0">
    <v>239</v>
    <v>5</v>
  </rv>
  <rv s="0">
    <v>240</v>
    <v>5</v>
  </rv>
  <rv s="0">
    <v>241</v>
    <v>5</v>
  </rv>
  <rv s="0">
    <v>242</v>
    <v>5</v>
  </rv>
  <rv s="0">
    <v>243</v>
    <v>5</v>
  </rv>
  <rv s="0">
    <v>244</v>
    <v>5</v>
  </rv>
  <rv s="0">
    <v>245</v>
    <v>5</v>
  </rv>
  <rv s="0">
    <v>246</v>
    <v>5</v>
  </rv>
  <rv s="0">
    <v>247</v>
    <v>5</v>
  </rv>
  <rv s="0">
    <v>248</v>
    <v>5</v>
  </rv>
  <rv s="0">
    <v>249</v>
    <v>5</v>
  </rv>
  <rv s="0">
    <v>250</v>
    <v>5</v>
  </rv>
  <rv s="0">
    <v>251</v>
    <v>5</v>
  </rv>
  <rv s="0">
    <v>252</v>
    <v>5</v>
  </rv>
  <rv s="0">
    <v>253</v>
    <v>5</v>
  </rv>
  <rv s="0">
    <v>254</v>
    <v>5</v>
  </rv>
  <rv s="0">
    <v>255</v>
    <v>5</v>
  </rv>
  <rv s="0">
    <v>256</v>
    <v>5</v>
  </rv>
  <rv s="0">
    <v>257</v>
    <v>5</v>
  </rv>
  <rv s="0">
    <v>258</v>
    <v>5</v>
  </rv>
  <rv s="0">
    <v>259</v>
    <v>5</v>
  </rv>
  <rv s="0">
    <v>260</v>
    <v>5</v>
  </rv>
  <rv s="0">
    <v>261</v>
    <v>5</v>
  </rv>
  <rv s="0">
    <v>262</v>
    <v>5</v>
  </rv>
  <rv s="0">
    <v>263</v>
    <v>5</v>
  </rv>
  <rv s="0">
    <v>264</v>
    <v>5</v>
  </rv>
  <rv s="0">
    <v>265</v>
    <v>5</v>
  </rv>
  <rv s="0">
    <v>266</v>
    <v>5</v>
  </rv>
  <rv s="0">
    <v>267</v>
    <v>5</v>
  </rv>
  <rv s="0">
    <v>268</v>
    <v>5</v>
  </rv>
  <rv s="0">
    <v>269</v>
    <v>5</v>
  </rv>
  <rv s="0">
    <v>270</v>
    <v>5</v>
  </rv>
  <rv s="0">
    <v>271</v>
    <v>5</v>
  </rv>
  <rv s="0">
    <v>272</v>
    <v>5</v>
  </rv>
  <rv s="0">
    <v>273</v>
    <v>5</v>
  </rv>
  <rv s="0">
    <v>274</v>
    <v>5</v>
  </rv>
  <rv s="0">
    <v>83</v>
    <v>4</v>
  </rv>
  <rv s="0">
    <v>275</v>
    <v>5</v>
  </rv>
  <rv s="0">
    <v>276</v>
    <v>5</v>
  </rv>
  <rv s="0">
    <v>277</v>
    <v>5</v>
  </rv>
  <rv s="0">
    <v>278</v>
    <v>5</v>
  </rv>
  <rv s="0">
    <v>279</v>
    <v>5</v>
  </rv>
  <rv s="0">
    <v>280</v>
    <v>5</v>
  </rv>
  <rv s="0">
    <v>281</v>
    <v>5</v>
  </rv>
  <rv s="0">
    <v>282</v>
    <v>5</v>
  </rv>
  <rv s="0">
    <v>283</v>
    <v>5</v>
  </rv>
  <rv s="0">
    <v>284</v>
    <v>5</v>
  </rv>
  <rv s="0">
    <v>285</v>
    <v>5</v>
  </rv>
  <rv s="0">
    <v>286</v>
    <v>5</v>
  </rv>
  <rv s="0">
    <v>287</v>
    <v>5</v>
  </rv>
  <rv s="0">
    <v>288</v>
    <v>5</v>
  </rv>
  <rv s="0">
    <v>289</v>
    <v>5</v>
  </rv>
  <rv s="0">
    <v>290</v>
    <v>5</v>
  </rv>
  <rv s="0">
    <v>291</v>
    <v>5</v>
  </rv>
  <rv s="0">
    <v>292</v>
    <v>5</v>
  </rv>
  <rv s="0">
    <v>293</v>
    <v>5</v>
  </rv>
  <rv s="0">
    <v>107</v>
    <v>4</v>
  </rv>
  <rv s="0">
    <v>294</v>
    <v>5</v>
  </rv>
  <rv s="0">
    <v>295</v>
    <v>5</v>
  </rv>
  <rv s="0">
    <v>296</v>
    <v>5</v>
  </rv>
  <rv s="0">
    <v>297</v>
    <v>5</v>
  </rv>
  <rv s="0">
    <v>298</v>
    <v>5</v>
  </rv>
  <rv s="0">
    <v>299</v>
    <v>5</v>
  </rv>
  <rv s="0">
    <v>300</v>
    <v>5</v>
  </rv>
  <rv s="0">
    <v>301</v>
    <v>5</v>
  </rv>
  <rv s="0">
    <v>302</v>
    <v>5</v>
  </rv>
  <rv s="0">
    <v>303</v>
    <v>5</v>
  </rv>
  <rv s="0">
    <v>304</v>
    <v>5</v>
  </rv>
  <rv s="0">
    <v>305</v>
    <v>5</v>
  </rv>
  <rv s="0">
    <v>306</v>
    <v>5</v>
  </rv>
  <rv s="0">
    <v>307</v>
    <v>5</v>
  </rv>
  <rv s="0">
    <v>308</v>
    <v>5</v>
  </rv>
  <rv s="0">
    <v>309</v>
    <v>5</v>
  </rv>
  <rv s="0">
    <v>310</v>
    <v>5</v>
  </rv>
  <rv s="0">
    <v>311</v>
    <v>5</v>
  </rv>
  <rv s="0">
    <v>91</v>
    <v>4</v>
  </rv>
  <rv s="0">
    <v>312</v>
    <v>5</v>
  </rv>
  <rv s="0">
    <v>313</v>
    <v>5</v>
  </rv>
  <rv s="0">
    <v>314</v>
    <v>5</v>
  </rv>
  <rv s="0">
    <v>315</v>
    <v>5</v>
  </rv>
  <rv s="0">
    <v>316</v>
    <v>5</v>
  </rv>
  <rv s="0">
    <v>317</v>
    <v>5</v>
  </rv>
  <rv s="0">
    <v>318</v>
    <v>5</v>
  </rv>
  <rv s="0">
    <v>319</v>
    <v>5</v>
  </rv>
  <rv s="0">
    <v>320</v>
    <v>5</v>
  </rv>
  <rv s="0">
    <v>321</v>
    <v>5</v>
  </rv>
  <rv s="0">
    <v>322</v>
    <v>5</v>
  </rv>
  <rv s="0">
    <v>323</v>
    <v>5</v>
  </rv>
  <rv s="0">
    <v>324</v>
    <v>5</v>
  </rv>
  <rv s="0">
    <v>0</v>
    <v>4</v>
  </rv>
  <rv s="0">
    <v>9</v>
    <v>4</v>
  </rv>
  <rv s="0">
    <v>10</v>
    <v>4</v>
  </rv>
  <rv s="0">
    <v>11</v>
    <v>4</v>
  </rv>
  <rv s="0">
    <v>12</v>
    <v>4</v>
  </rv>
  <rv s="0">
    <v>13</v>
    <v>4</v>
  </rv>
  <rv s="0">
    <v>14</v>
    <v>4</v>
  </rv>
  <rv s="0">
    <v>15</v>
    <v>4</v>
  </rv>
  <rv s="0">
    <v>16</v>
    <v>4</v>
  </rv>
  <rv s="0">
    <v>20</v>
    <v>4</v>
  </rv>
  <rv s="0">
    <v>21</v>
    <v>4</v>
  </rv>
  <rv s="0">
    <v>22</v>
    <v>4</v>
  </rv>
  <rv s="0">
    <v>23</v>
    <v>4</v>
  </rv>
  <rv s="0">
    <v>24</v>
    <v>4</v>
  </rv>
  <rv s="0">
    <v>25</v>
    <v>4</v>
  </rv>
  <rv s="0">
    <v>26</v>
    <v>4</v>
  </rv>
  <rv s="0">
    <v>27</v>
    <v>4</v>
  </rv>
  <rv s="0">
    <v>30</v>
    <v>4</v>
  </rv>
  <rv s="0">
    <v>31</v>
    <v>4</v>
  </rv>
  <rv s="0">
    <v>32</v>
    <v>4</v>
  </rv>
  <rv s="0">
    <v>33</v>
    <v>4</v>
  </rv>
  <rv s="0">
    <v>34</v>
    <v>4</v>
  </rv>
  <rv s="0">
    <v>35</v>
    <v>4</v>
  </rv>
  <rv s="0">
    <v>36</v>
    <v>4</v>
  </rv>
  <rv s="0">
    <v>38</v>
    <v>4</v>
  </rv>
  <rv s="0">
    <v>39</v>
    <v>4</v>
  </rv>
  <rv s="0">
    <v>40</v>
    <v>4</v>
  </rv>
  <rv s="0">
    <v>41</v>
    <v>4</v>
  </rv>
  <rv s="0">
    <v>42</v>
    <v>4</v>
  </rv>
  <rv s="0">
    <v>45</v>
    <v>4</v>
  </rv>
  <rv s="0">
    <v>46</v>
    <v>4</v>
  </rv>
  <rv s="0">
    <v>47</v>
    <v>4</v>
  </rv>
  <rv s="0">
    <v>48</v>
    <v>4</v>
  </rv>
  <rv s="0">
    <v>49</v>
    <v>4</v>
  </rv>
  <rv s="0">
    <v>50</v>
    <v>4</v>
  </rv>
  <rv s="0">
    <v>51</v>
    <v>4</v>
  </rv>
  <rv s="0">
    <v>54</v>
    <v>4</v>
  </rv>
  <rv s="0">
    <v>55</v>
    <v>4</v>
  </rv>
  <rv s="0">
    <v>56</v>
    <v>4</v>
  </rv>
  <rv s="0">
    <v>57</v>
    <v>4</v>
  </rv>
  <rv s="0">
    <v>58</v>
    <v>4</v>
  </rv>
  <rv s="0">
    <v>59</v>
    <v>4</v>
  </rv>
  <rv s="0">
    <v>60</v>
    <v>4</v>
  </rv>
  <rv s="0">
    <v>63</v>
    <v>4</v>
  </rv>
  <rv s="0">
    <v>64</v>
    <v>4</v>
  </rv>
  <rv s="0">
    <v>65</v>
    <v>4</v>
  </rv>
  <rv s="0">
    <v>66</v>
    <v>4</v>
  </rv>
  <rv s="0">
    <v>67</v>
    <v>4</v>
  </rv>
  <rv s="0">
    <v>68</v>
    <v>4</v>
  </rv>
  <rv s="0">
    <v>69</v>
    <v>4</v>
  </rv>
  <rv s="0">
    <v>71</v>
    <v>4</v>
  </rv>
  <rv s="0">
    <v>72</v>
    <v>4</v>
  </rv>
  <rv s="0">
    <v>73</v>
    <v>4</v>
  </rv>
  <rv s="0">
    <v>74</v>
    <v>4</v>
  </rv>
  <rv s="0">
    <v>75</v>
    <v>4</v>
  </rv>
  <rv s="0">
    <v>76</v>
    <v>4</v>
  </rv>
  <rv s="0">
    <v>79</v>
    <v>4</v>
  </rv>
  <rv s="0">
    <v>80</v>
    <v>4</v>
  </rv>
  <rv s="0">
    <v>81</v>
    <v>4</v>
  </rv>
  <rv s="0">
    <v>82</v>
    <v>4</v>
  </rv>
  <rv s="0">
    <v>85</v>
    <v>4</v>
  </rv>
  <rv s="0">
    <v>86</v>
    <v>4</v>
  </rv>
  <rv s="0">
    <v>87</v>
    <v>4</v>
  </rv>
  <rv s="0">
    <v>88</v>
    <v>4</v>
  </rv>
  <rv s="0">
    <v>89</v>
    <v>4</v>
  </rv>
  <rv s="0">
    <v>90</v>
    <v>4</v>
  </rv>
  <rv s="0">
    <v>93</v>
    <v>4</v>
  </rv>
  <rv s="0">
    <v>94</v>
    <v>4</v>
  </rv>
  <rv s="0">
    <v>95</v>
    <v>4</v>
  </rv>
  <rv s="0">
    <v>96</v>
    <v>4</v>
  </rv>
  <rv s="0">
    <v>97</v>
    <v>4</v>
  </rv>
  <rv s="0">
    <v>98</v>
    <v>4</v>
  </rv>
  <rv s="0">
    <v>101</v>
    <v>4</v>
  </rv>
  <rv s="0">
    <v>102</v>
    <v>4</v>
  </rv>
  <rv s="0">
    <v>103</v>
    <v>4</v>
  </rv>
  <rv s="0">
    <v>104</v>
    <v>4</v>
  </rv>
  <rv s="0">
    <v>105</v>
    <v>4</v>
  </rv>
  <rv s="0">
    <v>106</v>
    <v>4</v>
  </rv>
  <rv s="0">
    <v>109</v>
    <v>4</v>
  </rv>
  <rv s="0">
    <v>110</v>
    <v>4</v>
  </rv>
  <rv s="0">
    <v>111</v>
    <v>4</v>
  </rv>
  <rv s="0">
    <v>112</v>
    <v>4</v>
  </rv>
  <rv s="0">
    <v>113</v>
    <v>4</v>
  </rv>
  <rv s="0">
    <v>114</v>
    <v>4</v>
  </rv>
  <rv s="0">
    <v>116</v>
    <v>4</v>
  </rv>
  <rv s="0">
    <v>117</v>
    <v>4</v>
  </rv>
  <rv s="0">
    <v>118</v>
    <v>4</v>
  </rv>
  <rv s="0">
    <v>119</v>
    <v>4</v>
  </rv>
  <rv s="0">
    <v>120</v>
    <v>4</v>
  </rv>
  <rv s="0">
    <v>121</v>
    <v>4</v>
  </rv>
  <rv s="0">
    <v>123</v>
    <v>4</v>
  </rv>
  <rv s="0">
    <v>124</v>
    <v>4</v>
  </rv>
  <rv s="0">
    <v>125</v>
    <v>4</v>
  </rv>
  <rv s="0">
    <v>126</v>
    <v>4</v>
  </rv>
  <rv s="0">
    <v>127</v>
    <v>4</v>
  </rv>
  <rv s="0">
    <v>128</v>
    <v>4</v>
  </rv>
  <rv s="0">
    <v>130</v>
    <v>4</v>
  </rv>
  <rv s="0">
    <v>131</v>
    <v>4</v>
  </rv>
  <rv s="0">
    <v>132</v>
    <v>4</v>
  </rv>
  <rv s="0">
    <v>133</v>
    <v>4</v>
  </rv>
  <rv s="0">
    <v>134</v>
    <v>4</v>
  </rv>
  <rv s="0">
    <v>135</v>
    <v>4</v>
  </rv>
  <rv s="0">
    <v>137</v>
    <v>4</v>
  </rv>
  <rv s="0">
    <v>138</v>
    <v>4</v>
  </rv>
  <rv s="0">
    <v>139</v>
    <v>4</v>
  </rv>
  <rv s="0">
    <v>140</v>
    <v>4</v>
  </rv>
  <rv s="0">
    <v>141</v>
    <v>4</v>
  </rv>
  <rv s="0">
    <v>142</v>
    <v>4</v>
  </rv>
  <rv s="0">
    <v>144</v>
    <v>4</v>
  </rv>
  <rv s="0">
    <v>145</v>
    <v>4</v>
  </rv>
  <rv s="0">
    <v>146</v>
    <v>4</v>
  </rv>
  <rv s="0">
    <v>147</v>
    <v>4</v>
  </rv>
  <rv s="0">
    <v>148</v>
    <v>4</v>
  </rv>
  <rv s="0">
    <v>149</v>
    <v>4</v>
  </rv>
  <rv s="0">
    <v>151</v>
    <v>4</v>
  </rv>
  <rv s="0">
    <v>152</v>
    <v>4</v>
  </rv>
  <rv s="0">
    <v>153</v>
    <v>4</v>
  </rv>
  <rv s="0">
    <v>154</v>
    <v>4</v>
  </rv>
  <rv s="0">
    <v>155</v>
    <v>4</v>
  </rv>
  <rv s="0">
    <v>156</v>
    <v>4</v>
  </rv>
  <rv s="0">
    <v>157</v>
    <v>4</v>
  </rv>
  <rv s="0">
    <v>158</v>
    <v>4</v>
  </rv>
  <rv s="0">
    <v>159</v>
    <v>4</v>
  </rv>
  <rv s="0">
    <v>160</v>
    <v>4</v>
  </rv>
  <rv s="0">
    <v>161</v>
    <v>4</v>
  </rv>
  <rv s="0">
    <v>162</v>
    <v>4</v>
  </rv>
  <rv s="0">
    <v>163</v>
    <v>4</v>
  </rv>
  <rv s="0">
    <v>164</v>
    <v>4</v>
  </rv>
  <rv s="0">
    <v>165</v>
    <v>4</v>
  </rv>
  <rv s="0">
    <v>166</v>
    <v>4</v>
  </rv>
  <rv s="0">
    <v>167</v>
    <v>4</v>
  </rv>
  <rv s="0">
    <v>168</v>
    <v>4</v>
  </rv>
  <rv s="0">
    <v>169</v>
    <v>4</v>
  </rv>
  <rv s="0">
    <v>170</v>
    <v>4</v>
  </rv>
  <rv s="0">
    <v>171</v>
    <v>4</v>
  </rv>
  <rv s="0">
    <v>172</v>
    <v>4</v>
  </rv>
  <rv s="0">
    <v>173</v>
    <v>4</v>
  </rv>
  <rv s="0">
    <v>174</v>
    <v>4</v>
  </rv>
  <rv s="0">
    <v>175</v>
    <v>4</v>
  </rv>
  <rv s="0">
    <v>176</v>
    <v>4</v>
  </rv>
  <rv s="0">
    <v>177</v>
    <v>4</v>
  </rv>
  <rv s="0">
    <v>178</v>
    <v>4</v>
  </rv>
  <rv s="0">
    <v>179</v>
    <v>4</v>
  </rv>
  <rv s="0">
    <v>180</v>
    <v>4</v>
  </rv>
  <rv s="0">
    <v>181</v>
    <v>4</v>
  </rv>
  <rv s="0">
    <v>182</v>
    <v>4</v>
  </rv>
  <rv s="0">
    <v>183</v>
    <v>4</v>
  </rv>
  <rv s="0">
    <v>184</v>
    <v>4</v>
  </rv>
  <rv s="0">
    <v>185</v>
    <v>4</v>
  </rv>
  <rv s="0">
    <v>186</v>
    <v>4</v>
  </rv>
  <rv s="0">
    <v>187</v>
    <v>4</v>
  </rv>
  <rv s="0">
    <v>188</v>
    <v>4</v>
  </rv>
  <rv s="0">
    <v>189</v>
    <v>4</v>
  </rv>
  <rv s="0">
    <v>190</v>
    <v>4</v>
  </rv>
  <rv s="0">
    <v>191</v>
    <v>4</v>
  </rv>
  <rv s="0">
    <v>193</v>
    <v>4</v>
  </rv>
  <rv s="0">
    <v>194</v>
    <v>4</v>
  </rv>
  <rv s="0">
    <v>195</v>
    <v>4</v>
  </rv>
  <rv s="0">
    <v>196</v>
    <v>4</v>
  </rv>
  <rv s="0">
    <v>197</v>
    <v>4</v>
  </rv>
  <rv s="0">
    <v>198</v>
    <v>4</v>
  </rv>
  <rv s="0">
    <v>200</v>
    <v>4</v>
  </rv>
  <rv s="0">
    <v>201</v>
    <v>4</v>
  </rv>
  <rv s="0">
    <v>202</v>
    <v>4</v>
  </rv>
  <rv s="0">
    <v>203</v>
    <v>4</v>
  </rv>
  <rv s="0">
    <v>204</v>
    <v>4</v>
  </rv>
  <rv s="0">
    <v>205</v>
    <v>4</v>
  </rv>
  <rv s="0">
    <v>207</v>
    <v>4</v>
  </rv>
  <rv s="0">
    <v>208</v>
    <v>4</v>
  </rv>
  <rv s="0">
    <v>209</v>
    <v>4</v>
  </rv>
  <rv s="0">
    <v>210</v>
    <v>4</v>
  </rv>
  <rv s="0">
    <v>211</v>
    <v>4</v>
  </rv>
  <rv s="0">
    <v>213</v>
    <v>4</v>
  </rv>
  <rv s="0">
    <v>214</v>
    <v>4</v>
  </rv>
  <rv s="0">
    <v>215</v>
    <v>4</v>
  </rv>
  <rv s="0">
    <v>216</v>
    <v>4</v>
  </rv>
  <rv s="0">
    <v>217</v>
    <v>4</v>
  </rv>
  <rv s="0">
    <v>218</v>
    <v>4</v>
  </rv>
  <rv s="0">
    <v>220</v>
    <v>4</v>
  </rv>
  <rv s="0">
    <v>221</v>
    <v>4</v>
  </rv>
  <rv s="0">
    <v>222</v>
    <v>4</v>
  </rv>
  <rv s="0">
    <v>223</v>
    <v>4</v>
  </rv>
  <rv s="0">
    <v>224</v>
    <v>4</v>
  </rv>
  <rv s="0">
    <v>225</v>
    <v>4</v>
  </rv>
  <rv s="0">
    <v>227</v>
    <v>4</v>
  </rv>
  <rv s="0">
    <v>228</v>
    <v>4</v>
  </rv>
  <rv s="0">
    <v>229</v>
    <v>4</v>
  </rv>
  <rv s="0">
    <v>230</v>
    <v>4</v>
  </rv>
  <rv s="0">
    <v>231</v>
    <v>4</v>
  </rv>
  <rv s="0">
    <v>233</v>
    <v>4</v>
  </rv>
  <rv s="0">
    <v>234</v>
    <v>4</v>
  </rv>
  <rv s="0">
    <v>235</v>
    <v>4</v>
  </rv>
  <rv s="0">
    <v>236</v>
    <v>4</v>
  </rv>
  <rv s="0">
    <v>238</v>
    <v>4</v>
  </rv>
  <rv s="0">
    <v>239</v>
    <v>4</v>
  </rv>
  <rv s="0">
    <v>240</v>
    <v>4</v>
  </rv>
  <rv s="0">
    <v>242</v>
    <v>4</v>
  </rv>
  <rv s="0">
    <v>243</v>
    <v>4</v>
  </rv>
  <rv s="0">
    <v>244</v>
    <v>4</v>
  </rv>
  <rv s="0">
    <v>246</v>
    <v>4</v>
  </rv>
  <rv s="0">
    <v>247</v>
    <v>4</v>
  </rv>
  <rv s="0">
    <v>248</v>
    <v>4</v>
  </rv>
  <rv s="0">
    <v>250</v>
    <v>4</v>
  </rv>
  <rv s="0">
    <v>251</v>
    <v>4</v>
  </rv>
  <rv s="0">
    <v>252</v>
    <v>4</v>
  </rv>
  <rv s="0">
    <v>254</v>
    <v>4</v>
  </rv>
  <rv s="0">
    <v>255</v>
    <v>4</v>
  </rv>
  <rv s="0">
    <v>256</v>
    <v>4</v>
  </rv>
  <rv s="0">
    <v>258</v>
    <v>4</v>
  </rv>
  <rv s="0">
    <v>259</v>
    <v>4</v>
  </rv>
  <rv s="0">
    <v>260</v>
    <v>4</v>
  </rv>
  <rv s="0">
    <v>262</v>
    <v>4</v>
  </rv>
  <rv s="0">
    <v>263</v>
    <v>4</v>
  </rv>
  <rv s="0">
    <v>264</v>
    <v>4</v>
  </rv>
  <rv s="0">
    <v>266</v>
    <v>4</v>
  </rv>
  <rv s="0">
    <v>267</v>
    <v>4</v>
  </rv>
  <rv s="0">
    <v>269</v>
    <v>4</v>
  </rv>
  <rv s="0">
    <v>270</v>
    <v>4</v>
  </rv>
  <rv s="0">
    <v>272</v>
    <v>4</v>
  </rv>
  <rv s="0">
    <v>273</v>
    <v>4</v>
  </rv>
  <rv s="0">
    <v>275</v>
    <v>4</v>
  </rv>
  <rv s="0">
    <v>276</v>
    <v>4</v>
  </rv>
  <rv s="0">
    <v>278</v>
    <v>4</v>
  </rv>
  <rv s="0">
    <v>280</v>
    <v>4</v>
  </rv>
  <rv s="0">
    <v>1</v>
    <v>4</v>
  </rv>
  <rv s="0">
    <v>17</v>
    <v>4</v>
  </rv>
  <rv s="0">
    <v>28</v>
    <v>4</v>
  </rv>
  <rv s="0">
    <v>37</v>
    <v>4</v>
  </rv>
  <rv s="0">
    <v>43</v>
    <v>4</v>
  </rv>
  <rv s="0">
    <v>52</v>
    <v>4</v>
  </rv>
  <rv s="0">
    <v>61</v>
    <v>4</v>
  </rv>
  <rv s="0">
    <v>70</v>
    <v>4</v>
  </rv>
  <rv s="0">
    <v>77</v>
    <v>4</v>
  </rv>
  <rv s="0">
    <v>84</v>
    <v>4</v>
  </rv>
  <rv s="0">
    <v>92</v>
    <v>4</v>
  </rv>
  <rv s="0">
    <v>100</v>
    <v>4</v>
  </rv>
  <rv s="0">
    <v>108</v>
    <v>4</v>
  </rv>
  <rv s="0">
    <v>115</v>
    <v>4</v>
  </rv>
  <rv s="0">
    <v>122</v>
    <v>4</v>
  </rv>
  <rv s="0">
    <v>129</v>
    <v>4</v>
  </rv>
  <rv s="0">
    <v>136</v>
    <v>4</v>
  </rv>
  <rv s="0">
    <v>143</v>
    <v>4</v>
  </rv>
  <rv s="0">
    <v>150</v>
    <v>4</v>
  </rv>
  <rv s="0">
    <v>192</v>
    <v>4</v>
  </rv>
  <rv s="0">
    <v>199</v>
    <v>4</v>
  </rv>
  <rv s="0">
    <v>206</v>
    <v>4</v>
  </rv>
  <rv s="0">
    <v>212</v>
    <v>4</v>
  </rv>
  <rv s="0">
    <v>219</v>
    <v>4</v>
  </rv>
  <rv s="0">
    <v>226</v>
    <v>4</v>
  </rv>
  <rv s="0">
    <v>232</v>
    <v>4</v>
  </rv>
  <rv s="0">
    <v>237</v>
    <v>4</v>
  </rv>
  <rv s="0">
    <v>241</v>
    <v>4</v>
  </rv>
  <rv s="0">
    <v>245</v>
    <v>4</v>
  </rv>
  <rv s="0">
    <v>249</v>
    <v>4</v>
  </rv>
  <rv s="0">
    <v>253</v>
    <v>4</v>
  </rv>
  <rv s="0">
    <v>257</v>
    <v>4</v>
  </rv>
  <rv s="0">
    <v>261</v>
    <v>4</v>
  </rv>
  <rv s="0">
    <v>265</v>
    <v>4</v>
  </rv>
  <rv s="0">
    <v>268</v>
    <v>4</v>
  </rv>
  <rv s="0">
    <v>271</v>
    <v>4</v>
  </rv>
  <rv s="0">
    <v>274</v>
    <v>4</v>
  </rv>
  <rv s="0">
    <v>277</v>
    <v>4</v>
  </rv>
  <rv s="0">
    <v>279</v>
    <v>4</v>
  </rv>
  <rv s="0">
    <v>281</v>
    <v>4</v>
  </rv>
  <rv s="0">
    <v>282</v>
    <v>4</v>
  </rv>
  <rv s="0">
    <v>283</v>
    <v>4</v>
  </rv>
  <rv s="0">
    <v>284</v>
    <v>4</v>
  </rv>
  <rv s="0">
    <v>285</v>
    <v>4</v>
  </rv>
  <rv s="0">
    <v>286</v>
    <v>4</v>
  </rv>
  <rv s="0">
    <v>287</v>
    <v>4</v>
  </rv>
  <rv s="0">
    <v>288</v>
    <v>4</v>
  </rv>
  <rv s="0">
    <v>289</v>
    <v>4</v>
  </rv>
  <rv s="0">
    <v>290</v>
    <v>4</v>
  </rv>
  <rv s="0">
    <v>291</v>
    <v>4</v>
  </rv>
  <rv s="0">
    <v>292</v>
    <v>4</v>
  </rv>
  <rv s="0">
    <v>293</v>
    <v>4</v>
  </rv>
  <rv s="0">
    <v>294</v>
    <v>4</v>
  </rv>
  <rv s="0">
    <v>295</v>
    <v>4</v>
  </rv>
  <rv s="0">
    <v>296</v>
    <v>4</v>
  </rv>
  <rv s="0">
    <v>297</v>
    <v>4</v>
  </rv>
  <rv s="0">
    <v>298</v>
    <v>4</v>
  </rv>
  <rv s="0">
    <v>299</v>
    <v>4</v>
  </rv>
  <rv s="0">
    <v>300</v>
    <v>4</v>
  </rv>
  <rv s="0">
    <v>301</v>
    <v>4</v>
  </rv>
  <rv s="0">
    <v>302</v>
    <v>4</v>
  </rv>
  <rv s="0">
    <v>303</v>
    <v>4</v>
  </rv>
  <rv s="0">
    <v>304</v>
    <v>4</v>
  </rv>
  <rv s="0">
    <v>305</v>
    <v>4</v>
  </rv>
  <rv s="0">
    <v>306</v>
    <v>4</v>
  </rv>
  <rv s="0">
    <v>307</v>
    <v>4</v>
  </rv>
  <rv s="0">
    <v>308</v>
    <v>4</v>
  </rv>
  <rv s="0">
    <v>309</v>
    <v>4</v>
  </rv>
  <rv s="0">
    <v>310</v>
    <v>4</v>
  </rv>
  <rv s="0">
    <v>311</v>
    <v>4</v>
  </rv>
  <rv s="0">
    <v>312</v>
    <v>4</v>
  </rv>
  <rv s="0">
    <v>313</v>
    <v>4</v>
  </rv>
  <rv s="0">
    <v>314</v>
    <v>4</v>
  </rv>
  <rv s="0">
    <v>315</v>
    <v>4</v>
  </rv>
  <rv s="0">
    <v>316</v>
    <v>4</v>
  </rv>
  <rv s="0">
    <v>317</v>
    <v>4</v>
  </rv>
  <rv s="0">
    <v>318</v>
    <v>4</v>
  </rv>
  <rv s="0">
    <v>319</v>
    <v>4</v>
  </rv>
  <rv s="0">
    <v>320</v>
    <v>4</v>
  </rv>
  <rv s="0">
    <v>321</v>
    <v>4</v>
  </rv>
  <rv s="0">
    <v>322</v>
    <v>4</v>
  </rv>
  <rv s="0">
    <v>323</v>
    <v>4</v>
  </rv>
  <rv s="0">
    <v>324</v>
    <v>4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  <rel r:id="rId277"/>
  <rel r:id="rId278"/>
  <rel r:id="rId279"/>
  <rel r:id="rId280"/>
  <rel r:id="rId281"/>
  <rel r:id="rId282"/>
  <rel r:id="rId283"/>
  <rel r:id="rId284"/>
  <rel r:id="rId285"/>
  <rel r:id="rId286"/>
  <rel r:id="rId287"/>
  <rel r:id="rId288"/>
  <rel r:id="rId289"/>
  <rel r:id="rId290"/>
  <rel r:id="rId291"/>
  <rel r:id="rId292"/>
  <rel r:id="rId293"/>
  <rel r:id="rId294"/>
  <rel r:id="rId295"/>
  <rel r:id="rId296"/>
  <rel r:id="rId297"/>
  <rel r:id="rId298"/>
  <rel r:id="rId299"/>
  <rel r:id="rId300"/>
  <rel r:id="rId301"/>
  <rel r:id="rId302"/>
  <rel r:id="rId303"/>
  <rel r:id="rId304"/>
  <rel r:id="rId305"/>
  <rel r:id="rId306"/>
  <rel r:id="rId307"/>
  <rel r:id="rId308"/>
  <rel r:id="rId309"/>
  <rel r:id="rId310"/>
  <rel r:id="rId311"/>
  <rel r:id="rId312"/>
  <rel r:id="rId313"/>
  <rel r:id="rId314"/>
  <rel r:id="rId315"/>
  <rel r:id="rId316"/>
  <rel r:id="rId317"/>
  <rel r:id="rId318"/>
  <rel r:id="rId319"/>
  <rel r:id="rId320"/>
  <rel r:id="rId321"/>
  <rel r:id="rId322"/>
  <rel r:id="rId323"/>
  <rel r:id="rId324"/>
  <rel r:id="rId325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Flower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12" displayName="Experience12" ref="A2:B6" totalsRowShown="0" headerRowDxfId="362" dataDxfId="361">
  <autoFilter ref="A2:B6" xr:uid="{F20D8DEB-90FF-455C-90C3-295E7737CAF7}"/>
  <tableColumns count="2">
    <tableColumn id="1" xr3:uid="{64F03A41-F93A-49D5-92A0-88AE43229642}" name="Icon" dataDxfId="360"/>
    <tableColumn id="2" xr3:uid="{079531D8-FFD6-4BFD-9AE3-36BE5EA2A4F5}" name="Name" dataDxfId="3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Database" displayName="WorldBossDatabase" ref="O2:Q33" totalsRowShown="0" headerRowDxfId="358" dataDxfId="357">
  <autoFilter ref="O2:Q33" xr:uid="{471FC162-B430-4704-BBFD-A691624963BF}"/>
  <tableColumns count="3">
    <tableColumn id="1" xr3:uid="{3277339E-1133-4913-BB4F-1AC15D415C0C}" name="Icon" dataDxfId="356"/>
    <tableColumn id="3" xr3:uid="{B819A49D-9BA8-4A23-A3AB-E14EF4676B73}" name="Boss Name" dataDxfId="355"/>
    <tableColumn id="2" xr3:uid="{E39AA9A9-AEA7-418E-A2B3-0E45DCD84BCE}" name="Name" dataDxfId="3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Materials22" displayName="WeeklyBossMaterials22" ref="S2:U32" totalsRowShown="0" headerRowDxfId="353" dataDxfId="352">
  <autoFilter ref="S2:U32" xr:uid="{D0C4DF60-7933-46BC-89ED-69A9036A2D91}"/>
  <tableColumns count="3">
    <tableColumn id="1" xr3:uid="{AD4B7A33-55D0-4E8E-9EDC-3EBC968E101E}" name="Icon" dataDxfId="351"/>
    <tableColumn id="3" xr3:uid="{A446ED41-09B0-449E-B189-8FF8D8B28F55}" name="Boss Name" dataDxfId="350"/>
    <tableColumn id="2" xr3:uid="{87ECF132-A20B-4883-AC89-CE8D9AC68BA9}" name="Name" dataDxfId="3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23" displayName="MonsterMaterials23" ref="W2:Y41" totalsRowShown="0" headerRowDxfId="348" dataDxfId="347">
  <autoFilter ref="W2:Y41" xr:uid="{91B59D81-EF99-40E2-BF60-EEF1578AA981}"/>
  <tableColumns count="3">
    <tableColumn id="1" xr3:uid="{3BFDEB95-FF72-4271-9FCF-385ED018EDBE}" name="Icon" dataDxfId="346"/>
    <tableColumn id="3" xr3:uid="{FD79A5C7-F6A3-48B3-AC3B-566E039BBA95}" name="Mob Name" dataDxfId="345"/>
    <tableColumn id="2" xr3:uid="{04A4E4F9-F684-4E4F-9E22-B172E3B2EAF7}" name="Name" dataDxfId="3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24" displayName="TalentBooks24" ref="AA2:AB47" totalsRowShown="0" headerRowDxfId="343" dataDxfId="342">
  <autoFilter ref="AA2:AB47" xr:uid="{85F45436-0A7B-4E28-B2C5-38946D623E1E}"/>
  <tableColumns count="2">
    <tableColumn id="1" xr3:uid="{C2995E17-7D14-42A7-91AF-8367BFA6D5B5}" name="Icon" dataDxfId="341"/>
    <tableColumn id="2" xr3:uid="{7EA85A24-EB9F-47EF-B32C-E5B2B3D15C0F}" name="Name" dataDxfId="3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25" displayName="LocalSpecialties25" ref="AD2:AE45" totalsRowShown="0" headerRowDxfId="339" dataDxfId="338">
  <autoFilter ref="AD2:AE45" xr:uid="{D298F8CA-CFE3-4FC6-A382-7447B4038B8E}"/>
  <tableColumns count="2">
    <tableColumn id="1" xr3:uid="{B18A0F22-65CA-4A90-B8DC-9A419DA03BEE}" name="Icon" dataDxfId="337"/>
    <tableColumn id="2" xr3:uid="{C148C8AE-33E1-4216-A3FB-633C34B95E9E}" name="Name" dataDxfId="3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26" displayName="Gems26" ref="AG2:AH34" totalsRowShown="0" headerRowDxfId="335" dataDxfId="334">
  <autoFilter ref="AG2:AH34" xr:uid="{783B91E0-F1E2-4EE2-BAD9-5FA64344E12F}"/>
  <tableColumns count="2">
    <tableColumn id="1" xr3:uid="{246371CD-B3BE-4265-8C60-F89F20AEF5C1}" name="Icon" dataDxfId="333"/>
    <tableColumn id="2" xr3:uid="{EB06E72D-2BDB-46C8-9E43-33524DEF81A2}" name="Name" dataDxfId="3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27" displayName="Misc27" ref="AJ2:AK21" totalsRowShown="0" headerRowDxfId="331" dataDxfId="330">
  <autoFilter ref="AJ2:AK21" xr:uid="{5D30F5FB-AFE3-4A6D-8E00-B029E7745D3B}"/>
  <tableColumns count="2">
    <tableColumn id="1" xr3:uid="{71F572B4-BC88-4273-A43C-C1305E4FA246}" name="Icon" dataDxfId="329"/>
    <tableColumn id="2" xr3:uid="{40B0BB0D-30A2-409A-A1E2-EB71F05EE365}" name="Name" dataDxfId="3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s" displayName="CharacterDetailss" ref="D2:M91" totalsRowShown="0" headerRowDxfId="327" dataDxfId="326">
  <autoFilter ref="D2:M91" xr:uid="{B5C23B03-03C1-4CEE-9134-CD105CBF4BC3}"/>
  <sortState xmlns:xlrd2="http://schemas.microsoft.com/office/spreadsheetml/2017/richdata2" ref="D3:M91">
    <sortCondition ref="F2:F91"/>
  </sortState>
  <tableColumns count="10">
    <tableColumn id="1" xr3:uid="{630FBB57-BC04-4CB3-B3C5-6142ADA352CA}" name="Icon" dataDxfId="325"/>
    <tableColumn id="2" xr3:uid="{731F8CD1-3758-4160-BFF4-C3B88A7B4205}" name="Name" dataDxfId="324"/>
    <tableColumn id="3" xr3:uid="{E7239F64-B800-4A9B-8248-6A4AB7995230}" name="Weapon Type" dataDxfId="323"/>
    <tableColumn id="4" xr3:uid="{A82441D1-53D6-4839-B2A8-426CE38F86B2}" name="Element" dataDxfId="322"/>
    <tableColumn id="9" xr3:uid="{3CE19D5D-1609-41E7-BA8E-A040E443B33E}" name="Released Version" dataDxfId="321"/>
    <tableColumn id="5" xr3:uid="{C72FD904-AB80-4F32-961B-24BA223503CA}" name="World Boss" dataDxfId="320"/>
    <tableColumn id="6" xr3:uid="{CDFC77AA-F941-4088-9FFC-CF4DEBBFDE4F}" name="Weekly Boss" dataDxfId="319"/>
    <tableColumn id="7" xr3:uid="{82D3AE23-725D-4204-AFE6-ABC95BE6CA93}" name="TalentBook" dataDxfId="318"/>
    <tableColumn id="8" xr3:uid="{721C5EB6-0B21-43CA-8D2F-1DC12A085740}" name="Monster Mats" dataDxfId="317"/>
    <tableColumn id="10" xr3:uid="{FD44B491-F749-4815-A910-7F8B60F6BC03}" name="Flower" dataDxfId="31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" displayName="Experience" ref="A3:C7" totalsRowShown="0" headerRowDxfId="315" dataDxfId="314" headerRowBorderDxfId="313">
  <autoFilter ref="A3:C7" xr:uid="{CEC85B4B-D14A-404A-BAED-6490403A6959}"/>
  <tableColumns count="3">
    <tableColumn id="1" xr3:uid="{B3C9709D-32B6-48B0-A807-661EC80D2242}" name="Icon" dataDxfId="312">
      <calculatedColumnFormula>ImgDatabase!A3</calculatedColumnFormula>
    </tableColumn>
    <tableColumn id="2" xr3:uid="{B6CD2CE0-B0AB-4C2B-9133-08536C641980}" name="Name" dataDxfId="311">
      <calculatedColumnFormula>LOOKUP(ImgDatabase!A3,Experience[[#This Row],[Icon]],ImgDatabase!B3)</calculatedColumnFormula>
    </tableColumn>
    <tableColumn id="3" xr3:uid="{AC9369FA-7C10-48AC-8670-6BD395FD7FC6}" name="Quantity" dataDxfId="3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Materials" displayName="WorldBossMaterials" ref="E3:H34" totalsRowShown="0" headerRowDxfId="309" dataDxfId="308" headerRowBorderDxfId="307">
  <autoFilter ref="E3:H34" xr:uid="{467BB2F5-E7B5-4DEA-ADA2-C32432EF67D0}"/>
  <tableColumns count="4">
    <tableColumn id="1" xr3:uid="{5F9E4E8C-24BB-43F3-8AD5-133003311CA5}" name="Icon" dataDxfId="306">
      <calculatedColumnFormula>ImgDatabase!O3</calculatedColumnFormula>
    </tableColumn>
    <tableColumn id="2" xr3:uid="{11C7298D-A49D-48AA-939C-2B18F86D34E6}" name="Boss Name" dataDxfId="305">
      <calculatedColumnFormula>LOOKUP(ImgDatabase!O3,WorldBossMaterials[[#This Row],[Icon]],ImgDatabase!P3)</calculatedColumnFormula>
    </tableColumn>
    <tableColumn id="4" xr3:uid="{6EEC594D-CBDF-482F-934A-2F0213FB85CB}" name="Mats Name" dataDxfId="304">
      <calculatedColumnFormula>LOOKUP(ImgDatabase!P3,WorldBossMaterials[[#This Row],[Boss Name]],ImgDatabase!Q3)</calculatedColumnFormula>
    </tableColumn>
    <tableColumn id="3" xr3:uid="{88644666-390B-45FE-9705-99F1C2FE29EB}" name="Quantity" dataDxfId="30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Materials" displayName="WeeklyBossMaterials" ref="J3:M33" totalsRowShown="0" headerRowDxfId="302" dataDxfId="301" headerRowBorderDxfId="300">
  <autoFilter ref="J3:M33" xr:uid="{EB9A62B4-730A-4308-9E3A-AB1917CA1130}"/>
  <tableColumns count="4">
    <tableColumn id="1" xr3:uid="{17F8F6D2-6B6E-42B1-BB28-2AC118308596}" name="Icon" dataDxfId="299">
      <calculatedColumnFormula>ImgDatabase!S3</calculatedColumnFormula>
    </tableColumn>
    <tableColumn id="2" xr3:uid="{7FF83B1F-2FF5-447D-967D-B89DAF50CC55}" name="Boss Name" dataDxfId="298">
      <calculatedColumnFormula>LOOKUP(ImgDatabase!S3,WeeklyBossMaterials[[#This Row],[Icon]],ImgDatabase!T3)</calculatedColumnFormula>
    </tableColumn>
    <tableColumn id="4" xr3:uid="{9D3819C0-F8CB-4C2E-920B-B619FEEE8BB2}" name="Mats Name" dataDxfId="297">
      <calculatedColumnFormula>LOOKUP(ImgDatabase!T3,WeeklyBossMaterials[[#This Row],[Boss Name]],ImgDatabase!U3)</calculatedColumnFormula>
    </tableColumn>
    <tableColumn id="3" xr3:uid="{A1FFDB15-D0C6-4F52-9D2E-B3BB820018BD}" name="Quantity" dataDxfId="29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" displayName="MonsterMaterials" ref="O3:R42" totalsRowShown="0" headerRowDxfId="295" dataDxfId="294" headerRowBorderDxfId="293">
  <autoFilter ref="O3:R42" xr:uid="{8E2FFD29-F9A5-465A-8592-4622E20F44E5}"/>
  <tableColumns count="4">
    <tableColumn id="1" xr3:uid="{0C593EFA-90DC-4C79-8D84-5CD5C454DA4C}" name="Icon" dataDxfId="292">
      <calculatedColumnFormula>ImgDatabase!W3</calculatedColumnFormula>
    </tableColumn>
    <tableColumn id="4" xr3:uid="{5FC7B1F0-320E-47E9-AEEF-1EC7161AC003}" name="Mob Name" dataDxfId="291">
      <calculatedColumnFormula>LOOKUP(ImgDatabase!W3,MonsterMaterials[[#This Row],[Icon]],ImgDatabase!X3)</calculatedColumnFormula>
    </tableColumn>
    <tableColumn id="2" xr3:uid="{D8D7600D-1C6D-4C12-A021-B6D397656215}" name="Mats Name" dataDxfId="290">
      <calculatedColumnFormula>LOOKUP(ImgDatabase!X3,MonsterMaterials[[#This Row],[Mob Name]],ImgDatabase!Y3)</calculatedColumnFormula>
    </tableColumn>
    <tableColumn id="3" xr3:uid="{92666AB6-694E-4341-973B-A601365969E7}" name="Quantity" dataDxfId="28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" displayName="TalentBooks" ref="T3:V48" totalsRowShown="0" headerRowDxfId="288" dataDxfId="287" headerRowBorderDxfId="286">
  <autoFilter ref="T3:V48" xr:uid="{2887DA76-B656-437B-8ADF-127D2D65ECFD}"/>
  <tableColumns count="3">
    <tableColumn id="1" xr3:uid="{3E0A2344-C4BE-41E6-AA1F-3F3560F1D8CD}" name="Icon" dataDxfId="285">
      <calculatedColumnFormula>ImgDatabase!AA3</calculatedColumnFormula>
    </tableColumn>
    <tableColumn id="2" xr3:uid="{8F199FFD-CD2D-4352-AE1D-E08F1C5302FE}" name="Name" dataDxfId="284">
      <calculatedColumnFormula>LOOKUP(ImgDatabase!AA3,TalentBooks[[#This Row],[Icon]],ImgDatabase!AB3)</calculatedColumnFormula>
    </tableColumn>
    <tableColumn id="3" xr3:uid="{AB3250A8-839E-44EE-82BE-95BD928D8544}" name="Quantity" dataDxfId="28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" displayName="LocalSpecialties" ref="X3:Z46" totalsRowShown="0" headerRowDxfId="282" dataDxfId="281" headerRowBorderDxfId="280">
  <autoFilter ref="X3:Z46" xr:uid="{D3B5164D-E759-45F7-9F13-BCCD285D48B2}"/>
  <tableColumns count="3">
    <tableColumn id="1" xr3:uid="{1D638E2C-7664-4985-828A-21020C6A0798}" name="Icon" dataDxfId="279">
      <calculatedColumnFormula>ImgDatabase!AD3</calculatedColumnFormula>
    </tableColumn>
    <tableColumn id="2" xr3:uid="{A2B1E95C-3BD1-410D-A938-D5FB3CBF91FD}" name="Name" dataDxfId="278">
      <calculatedColumnFormula>LOOKUP(ImgDatabase!AD3,LocalSpecialties[[#This Row],[Icon]],ImgDatabase!AE3)</calculatedColumnFormula>
    </tableColumn>
    <tableColumn id="3" xr3:uid="{04524C7E-5D67-49B7-A579-4AEFBDE4C2E8}" name="Quantity" dataDxfId="27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" displayName="Gems" ref="AB3:AD35" totalsRowShown="0" headerRowDxfId="276" dataDxfId="275" headerRowBorderDxfId="274">
  <autoFilter ref="AB3:AD35" xr:uid="{EE23DE02-3333-448C-B74B-7A0BB4496250}"/>
  <tableColumns count="3">
    <tableColumn id="1" xr3:uid="{2E23D609-0F17-4689-89BD-6298404B6DD8}" name="Icon" dataDxfId="273">
      <calculatedColumnFormula>ImgDatabase!AG3</calculatedColumnFormula>
    </tableColumn>
    <tableColumn id="2" xr3:uid="{AE6E0DF1-2310-4D33-871B-F8DD12F9F24E}" name="Name" dataDxfId="272">
      <calculatedColumnFormula>LOOKUP(ImgDatabase!AG3,Gems[[#This Row],[Icon]],ImgDatabase!AH3)</calculatedColumnFormula>
    </tableColumn>
    <tableColumn id="3" xr3:uid="{0D7E441B-15E4-4B31-BB46-7A42C5AC4C8E}" name="Quantity" dataDxfId="27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" displayName="Misc" ref="AF3:AH10" totalsRowShown="0" headerRowDxfId="270" dataDxfId="269" headerRowBorderDxfId="268">
  <autoFilter ref="AF3:AH10" xr:uid="{8FFC40B2-5A5C-4983-B7F8-4ED9CC6CFCE3}"/>
  <tableColumns count="3">
    <tableColumn id="1" xr3:uid="{52BBDE71-F8D3-47CE-9251-6A9A7DFC78E5}" name="Icon" dataDxfId="267">
      <calculatedColumnFormula>ImgDatabase!AJ3</calculatedColumnFormula>
    </tableColumn>
    <tableColumn id="2" xr3:uid="{24173428-BE0C-410C-82D8-497ED06E67C1}" name="Name" dataDxfId="266">
      <calculatedColumnFormula>LOOKUP(ImgDatabase!AJ3,Misc[[#This Row],[Icon]],ImgDatabase!AK3)</calculatedColumnFormula>
    </tableColumn>
    <tableColumn id="3" xr3:uid="{BC9F4EE1-5DAD-4963-B051-F140BBDB125A}" name="Quantity" dataDxfId="2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J92" totalsRowCount="1" headerRowDxfId="264" dataDxfId="263">
  <autoFilter ref="A2:J91" xr:uid="{C78F8660-662A-46FF-93BA-D65807617CAE}"/>
  <sortState xmlns:xlrd2="http://schemas.microsoft.com/office/spreadsheetml/2017/richdata2" ref="A3:BP91">
    <sortCondition ref="F2:F91"/>
  </sortState>
  <tableColumns count="10">
    <tableColumn id="1" xr3:uid="{D6E5C43E-5C07-49FF-B1B9-ABD557AF19B6}" name="Sl No." dataDxfId="261" totalsRowDxfId="262">
      <calculatedColumnFormula>SUBTOTAL(3,$C$3:Character[[#This Row],[Name]])</calculatedColumnFormula>
    </tableColumn>
    <tableColumn id="67" xr3:uid="{44824374-AEFA-4453-925C-01C7C29F92A0}" name="Icon" dataDxfId="259" totalsRowDxfId="260">
      <calculatedColumnFormula>ImgDatabase!D3</calculatedColumnFormula>
    </tableColumn>
    <tableColumn id="2" xr3:uid="{23057AD2-2F98-4AC4-B35C-51B7D584B762}" name="Name" dataDxfId="257" totalsRowDxfId="258"/>
    <tableColumn id="3" xr3:uid="{0AF9C27E-11C8-4E4E-91F8-E76E8348E504}" name="Element" dataDxfId="255" totalsRowDxfId="256">
      <calculatedColumnFormula>IFERROR(INDEX(CharacterDetailss[Element], MATCH(Character[[#This Row],[Name]], CharacterDetailss[Name], 0)), "")</calculatedColumnFormula>
    </tableColumn>
    <tableColumn id="66" xr3:uid="{66B480C5-D129-4F57-BA4D-E91009D66890}" name="Weapon Type" dataDxfId="253" totalsRowDxfId="254">
      <calculatedColumnFormula>IFERROR(INDEX(CharacterDetailss[Weapon Type], MATCH(Character[[#This Row],[Name]], CharacterDetailss[Name], 0)), "")</calculatedColumnFormula>
    </tableColumn>
    <tableColumn id="62" xr3:uid="{BFE9BC67-A161-4EF5-9121-D0146E5A0056}" name="Version" dataDxfId="251" totalsRowDxfId="252"/>
    <tableColumn id="4" xr3:uid="{FFD41670-F581-4DC2-9A71-CD9EBEE81793}" name="Level" dataDxfId="249" totalsRowDxfId="250"/>
    <tableColumn id="5" xr3:uid="{EB001A27-D042-4C62-BA7D-E45BB2185E69}" name="NA" dataDxfId="247" totalsRowDxfId="248"/>
    <tableColumn id="6" xr3:uid="{F70D0D2E-D6B8-4F1E-BB79-7FB00B6C8DE5}" name="Skill" dataDxfId="245" totalsRowDxfId="246"/>
    <tableColumn id="7" xr3:uid="{FC7A010A-90F9-47F4-85F9-27E3EC4FACBE}" name="Burst" dataDxfId="243" totalsRowDxfId="24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ble31" displayName="Table31" ref="L2:O91" totalsRowShown="0" headerRowBorderDxfId="241" tableBorderDxfId="242">
  <autoFilter ref="L2:O91" xr:uid="{CBE7F488-26D2-4060-9FD5-6FDAE5E82AFE}"/>
  <tableColumns count="4">
    <tableColumn id="1" xr3:uid="{B7415A67-641F-4B5E-9975-805094B9D589}" name="Level" dataDxfId="240"/>
    <tableColumn id="2" xr3:uid="{03862FE3-4387-49A7-BD17-509BB8EAB610}" name="NA" dataDxfId="239"/>
    <tableColumn id="3" xr3:uid="{7E4D3758-AC1A-4B87-9756-992C6BA416CA}" name="Skill" dataDxfId="238"/>
    <tableColumn id="4" xr3:uid="{FAC75E29-6717-4454-AA6A-6B93D0E6D083}" name="Burst" dataDxfId="23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Q2:S92" totalsRowShown="0" headerRowDxfId="236" tableBorderDxfId="235">
  <autoFilter ref="Q2:S92" xr:uid="{3C3970CA-B3D9-4AF4-8F5F-1420BBC36EE6}"/>
  <tableColumns count="3">
    <tableColumn id="1" xr3:uid="{EDEF5BC8-91C7-4ED8-9429-DD31B2857790}" name="World Boss" dataDxfId="234">
      <calculatedColumnFormula>IFERROR(INDEX(ImgDatabase!$O:$O, MATCH(WorldBoss[[#This Row],[Boss Name]], ImgDatabase!$P:$P, 0)), "")</calculatedColumnFormula>
    </tableColumn>
    <tableColumn id="2" xr3:uid="{3F142E43-E803-49A6-A44B-0C6F66715B06}" name="Boss Name"/>
    <tableColumn id="3" xr3:uid="{76BA97C1-1204-4ADC-9350-96E7ED530536}" name="World Boss Mats Need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A982D3B-26B6-419E-914A-E616F6B1C389}" name="Summary2831" displayName="Summary2831" ref="A2:BM92" totalsRowCount="1" headerRowDxfId="233" dataDxfId="232">
  <autoFilter ref="A2:BM91" xr:uid="{C78F8660-662A-46FF-93BA-D65807617CAE}"/>
  <sortState xmlns:xlrd2="http://schemas.microsoft.com/office/spreadsheetml/2017/richdata2" ref="A3:BM91">
    <sortCondition ref="B2:B91"/>
  </sortState>
  <tableColumns count="65">
    <tableColumn id="1" xr3:uid="{EE256DDA-8984-44B7-96FB-DDECDFFA9AA5}" name="Sl No." dataDxfId="230" totalsRowDxfId="231">
      <calculatedColumnFormula>SUBTOTAL(3,$B$3:Summary2831[[#This Row],[Name]])</calculatedColumnFormula>
    </tableColumn>
    <tableColumn id="2" xr3:uid="{C524E48E-0A3A-4761-9B2F-F30298B98C28}" name="Name" dataDxfId="228" totalsRowDxfId="229"/>
    <tableColumn id="3" xr3:uid="{D96E1822-5090-4564-A574-83A0BD3E871F}" name="Element" dataDxfId="226" totalsRowDxfId="227"/>
    <tableColumn id="62" xr3:uid="{93DF940D-3DA5-43B7-8DAA-CDD26449BA3F}" name="Version" dataDxfId="224" totalsRowDxfId="225"/>
    <tableColumn id="4" xr3:uid="{88C67B1A-A4CC-4F04-927F-4D9C21AD52D1}" name="Level" dataDxfId="222" totalsRowDxfId="223"/>
    <tableColumn id="5" xr3:uid="{EA751D98-9700-4486-BBF2-99E811351E18}" name="NA" dataDxfId="220" totalsRowDxfId="221"/>
    <tableColumn id="6" xr3:uid="{B0960E6C-4AFC-46F9-830A-5A0C15472030}" name="Skill" dataDxfId="218" totalsRowDxfId="219"/>
    <tableColumn id="7" xr3:uid="{4E4EB2AF-E7B0-4EB3-8D16-E274BE8E88F7}" name="Burst" dataDxfId="216" totalsRowDxfId="217"/>
    <tableColumn id="61" xr3:uid="{E3B492A7-968B-4001-8A62-1AB0BA9F4D75}" name="Target Level" dataDxfId="214" totalsRowDxfId="215"/>
    <tableColumn id="63" xr3:uid="{7C40D5DC-7CCD-4919-B9B6-6DB64C0D223A}" name="Target NA" dataDxfId="212" totalsRowDxfId="213"/>
    <tableColumn id="64" xr3:uid="{D5A1ADD7-51BE-4EDB-A39E-E252B9D503F8}" name="Target Skill" dataDxfId="210" totalsRowDxfId="211"/>
    <tableColumn id="65" xr3:uid="{565C2AE3-F482-497F-9757-27237B97B22A}" name="Target Burst" dataDxfId="208" totalsRowDxfId="209"/>
    <tableColumn id="8" xr3:uid="{03CD7E50-BE32-403E-BBFD-A8FF0C102493}" name="World Boss Name" totalsRowLabel="Total" dataDxfId="206" totalsRowDxfId="207"/>
    <tableColumn id="9" xr3:uid="{60D943F7-B6A9-46A3-9575-EE42AD2A53AD}" name="World Boss Mats Meed" totalsRowFunction="sum" dataDxfId="204" totalsRowDxfId="205">
      <calculatedColumnFormula>(IF($E3&lt;=0,"0",IF($E3&lt;=40,"46",IF($E3&lt;=50,"44",IF($E3&lt;=60,"40",IF($E3&lt;=70,"32",IF($E3&lt;=80,"20","0")))))))+0</calculatedColumnFormula>
    </tableColumn>
    <tableColumn id="10" xr3:uid="{1CD682E3-1CAA-46E8-9621-55D6545A56DF}" name="Hero's Wits" totalsRowFunction="sum" dataDxfId="202" totalsRowDxfId="203">
      <calculatedColumnFormula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calculatedColumnFormula>
    </tableColumn>
    <tableColumn id="11" xr3:uid="{7BF58961-7E4E-4F6B-8E55-AA1C36AEEA6F}" name="Book Name" totalsRowLabel="Total" dataDxfId="200" totalsRowDxfId="201"/>
    <tableColumn id="12" xr3:uid="{87AF566B-5E64-46D2-A247-8E78D75AA717}" name="4* Book" totalsRowFunction="sum" dataDxfId="198" totalsRowDxfId="199">
      <calculatedColumnFormula>T3+W3+Z3</calculatedColumnFormula>
    </tableColumn>
    <tableColumn id="13" xr3:uid="{924A3030-3EAB-475B-973B-9A7C870C59A8}" name="3* Book" totalsRowFunction="sum" dataDxfId="196" totalsRowDxfId="197">
      <calculatedColumnFormula>U3+X3+AA3</calculatedColumnFormula>
    </tableColumn>
    <tableColumn id="14" xr3:uid="{7A73CB8B-4CE6-4FE1-8205-CEC49F78D523}" name="2* Book" totalsRowFunction="sum" dataDxfId="194" totalsRowDxfId="195">
      <calculatedColumnFormula>V3+Y3+AB3</calculatedColumnFormula>
    </tableColumn>
    <tableColumn id="15" xr3:uid="{780E5221-793B-4E96-A97F-4013C8ACF14B}" name="4*" totalsRowFunction="sum" dataDxfId="192" totalsRowDxfId="193">
      <calculatedColumnFormula>(IF($F3&lt;=0,"0",IF($F3&lt;=6,"22",IF($F3&lt;=7,"18",IF($F3&lt;=8,"12",0)))))+0</calculatedColumnFormula>
    </tableColumn>
    <tableColumn id="16" xr3:uid="{D1671AAA-02F5-4584-BDB3-39E46CD38AF1}" name="3*" totalsRowFunction="sum" dataDxfId="190" totalsRowDxfId="191">
      <calculatedColumnFormula>(IF($F3&lt;=0,"0",IF($F3&lt;=2,"21",IF($F3&lt;=3,"19",IF($F3&lt;=4,"15",IF($F3&lt;=5,"9",0))))))+0</calculatedColumnFormula>
    </tableColumn>
    <tableColumn id="17" xr3:uid="{DFC6DA45-C451-4CF1-A285-DFF052E57D6E}" name="2*" totalsRowFunction="sum" dataDxfId="188" totalsRowDxfId="189">
      <calculatedColumnFormula>(IF($F3&lt;=0,"0",IF($F3&lt;=1,"3",0)))+0</calculatedColumnFormula>
    </tableColumn>
    <tableColumn id="18" xr3:uid="{FC639919-049D-4E18-8FF2-168BFE481083}" name="4*2" totalsRowFunction="sum" dataDxfId="186" totalsRowDxfId="187">
      <calculatedColumnFormula>(IF($G3&lt;=0,"0",IF($G3&lt;=6,"22",IF($G3&lt;=7,"18",IF($G3&lt;=8,"12",0)))))+0</calculatedColumnFormula>
    </tableColumn>
    <tableColumn id="19" xr3:uid="{2248484F-12F2-47EB-91EC-2C6060057B9B}" name="3*3" totalsRowFunction="sum" dataDxfId="184" totalsRowDxfId="185">
      <calculatedColumnFormula>(IF($G3&lt;=0,"0",IF($G3&lt;=2,"21",IF($G3&lt;=3,"19",IF($G3&lt;=4,"15",IF($G3&lt;=5,"9",0))))))+0</calculatedColumnFormula>
    </tableColumn>
    <tableColumn id="20" xr3:uid="{7E01DED4-F45B-4FAA-B8EA-533E43D1180F}" name="2*4" totalsRowFunction="sum" dataDxfId="182" totalsRowDxfId="183">
      <calculatedColumnFormula>(IF($G3&lt;=0,"0",IF($G3&lt;=1,"3",0)))+0</calculatedColumnFormula>
    </tableColumn>
    <tableColumn id="21" xr3:uid="{AD29D963-6B0F-4397-A406-678261B2A36E}" name="4*5" totalsRowFunction="sum" dataDxfId="180" totalsRowDxfId="181">
      <calculatedColumnFormula>(IF($H3&lt;=0,"0",IF($H3&lt;=6,"22",IF($H3&lt;=7,"18",IF($H3&lt;=8,"12",0)))))+0</calculatedColumnFormula>
    </tableColumn>
    <tableColumn id="22" xr3:uid="{29738159-0D94-4EA2-8D3D-9656271DEB4A}" name="3*6" totalsRowFunction="sum" dataDxfId="178" totalsRowDxfId="179">
      <calculatedColumnFormula>(IF($H3&lt;=0,"0",IF($H3&lt;=2,"21",IF($H3&lt;=3,"19",IF($H3&lt;=4,"15",IF($H3&lt;=5,"9",0))))))+0</calculatedColumnFormula>
    </tableColumn>
    <tableColumn id="23" xr3:uid="{42A31805-576B-4313-8805-53246B667903}" name="2*7" totalsRowFunction="sum" dataDxfId="176" totalsRowDxfId="177">
      <calculatedColumnFormula>(IF($H3&lt;=0,"0",IF($H3&lt;=1,"3",0)))+0</calculatedColumnFormula>
    </tableColumn>
    <tableColumn id="24" xr3:uid="{1590F69A-F930-4C97-9A93-FE79B2CF8C70}" name="Weekly Boss Name" dataDxfId="174" totalsRowDxfId="175"/>
    <tableColumn id="25" xr3:uid="{38CABDEA-B527-421A-B7E6-B6C77FDA693C}" name="Weekly Boss Mats Name" totalsRowLabel="Total" dataDxfId="172" totalsRowDxfId="173"/>
    <tableColumn id="26" xr3:uid="{80B9C051-D227-43A2-85E1-046235469ECA}" name="NA9" totalsRowFunction="sum" dataDxfId="170" totalsRowDxfId="171">
      <calculatedColumnFormula>(IF($F3&lt;=0,"0",IF($F3&lt;=6,"4",IF($F3&lt;=7,"3",IF($F3&lt;=8,"2","0")))))+0</calculatedColumnFormula>
    </tableColumn>
    <tableColumn id="27" xr3:uid="{4EA552BA-E120-491D-AF34-8AE4A6C99CF0}" name="Skill10" totalsRowFunction="sum" dataDxfId="168" totalsRowDxfId="169">
      <calculatedColumnFormula>(IF($G3&lt;=0,"0",IF($G3&lt;=6,"4",IF($G3&lt;=7,"3",IF($G3&lt;=8,"2","0")))))+0</calculatedColumnFormula>
    </tableColumn>
    <tableColumn id="28" xr3:uid="{867639ED-D9C8-4126-BC6C-443407F79E0D}" name="Burst11" totalsRowFunction="sum" dataDxfId="166" totalsRowDxfId="167">
      <calculatedColumnFormula>(IF($H3&lt;=0,"0",IF($H3&lt;=6,"4",IF($H3&lt;=7,"3",IF($H3&lt;=8,"2","0")))))+0</calculatedColumnFormula>
    </tableColumn>
    <tableColumn id="29" xr3:uid="{7D710B0A-C440-4B20-974B-763143E25896}" name="Weekly Boss Mats Need" totalsRowFunction="sum" dataDxfId="164" totalsRowDxfId="165">
      <calculatedColumnFormula>SUM(AE3:AG3)</calculatedColumnFormula>
    </tableColumn>
    <tableColumn id="30" xr3:uid="{371984F1-4C61-407A-B40D-10C45AB7096E}" name="Flower Name" totalsRowLabel="Total" dataDxfId="162" totalsRowDxfId="163"/>
    <tableColumn id="31" xr3:uid="{C98D24B7-CBDE-49D4-B70E-8B95E6D0B585}" name="Flower Quantity" totalsRowFunction="sum" dataDxfId="160" totalsRowDxfId="161">
      <calculatedColumnFormula>(IF($E3&lt;=0,"0",IF($E3&lt;=20,"168",IF($E3&lt;=30,"165",IF($E3&lt;=50,"155",IF($E3&lt;=60,"135",IF($E3&lt;=70,"105",IF($E3&lt;=80,"60","0"))))))))+0</calculatedColumnFormula>
    </tableColumn>
    <tableColumn id="32" xr3:uid="{810C9D11-C5FD-4F93-9F61-A0A65184DC81}" name="Stone Name" totalsRowLabel="Total" dataDxfId="158" totalsRowDxfId="159"/>
    <tableColumn id="41" xr3:uid="{104193F1-CF30-47F3-A7CB-484A30FDBE35}" name="Gemstone" totalsRowFunction="sum" dataDxfId="156" totalsRowDxfId="157">
      <calculatedColumnFormula>(IF($E3&lt;=0,"0",IF($E3&lt;=80,"6","0")))+0</calculatedColumnFormula>
    </tableColumn>
    <tableColumn id="33" xr3:uid="{41009187-FF1B-41B9-B604-6BEEFA8F91FB}" name="Chunk" totalsRowFunction="sum" dataDxfId="154" totalsRowDxfId="155">
      <calculatedColumnFormula>(IF($E3&lt;=0,"0",IF($E3&lt;=60,"9",IF($E3&lt;=70,"6","0"))))+0</calculatedColumnFormula>
    </tableColumn>
    <tableColumn id="34" xr3:uid="{0B409B21-D86C-4912-B8B5-C6C381190F9E}" name="Fragment" totalsRowFunction="sum" dataDxfId="152" totalsRowDxfId="153">
      <calculatedColumnFormula>(IF($E3&lt;=0,"0",IF($E3&lt;=40,"9",IF($E3&lt;=50,"6","0"))))+0</calculatedColumnFormula>
    </tableColumn>
    <tableColumn id="40" xr3:uid="{6B40DD54-02C7-4E40-938E-8DAF87911B31}" name="Silver" totalsRowFunction="sum" dataDxfId="150" totalsRowDxfId="151">
      <calculatedColumnFormula>(IF($E3&lt;=0,"0",IF($E3&lt;=20,"1","0")))+0</calculatedColumnFormula>
    </tableColumn>
    <tableColumn id="36" xr3:uid="{3DA4CA30-EBE9-40CC-AA9A-6F4307D77F91}" name="Mob Name" totalsRowLabel="Total" dataDxfId="148" totalsRowDxfId="149"/>
    <tableColumn id="37" xr3:uid="{020266BB-C163-45CA-8A2A-8238A3E1F2E5}" name="3*_x000a_(Asc)" totalsRowFunction="sum" dataDxfId="146" totalsRowDxfId="147">
      <calculatedColumnFormula>(IF($E3&lt;=0,"0",IF($E3&lt;=70,"36",IF($E3&lt;=80,"24","0"))))+0</calculatedColumnFormula>
    </tableColumn>
    <tableColumn id="38" xr3:uid="{63C196CA-FD14-474E-81F9-1F9E201EC3FD}" name="2*_x000a_(Asc)" totalsRowFunction="sum" dataDxfId="144" totalsRowDxfId="145">
      <calculatedColumnFormula>(IF($E3&lt;=0,"0",IF($E3&lt;=50,"30",IF($E3&lt;=60,"18","0"))))+0</calculatedColumnFormula>
    </tableColumn>
    <tableColumn id="39" xr3:uid="{0ECF5CD9-9073-4C0F-AFEA-4B644C41F4D2}" name="1*_x000a_(Asc)" totalsRowFunction="sum" dataDxfId="142" totalsRowDxfId="143">
      <calculatedColumnFormula>(IF($E3&lt;=0,"0",IF($E3&lt;=20,"18",IF($E3&lt;=40,"15","0"))))+0</calculatedColumnFormula>
    </tableColumn>
    <tableColumn id="35" xr3:uid="{6D64DD7C-AF9B-43BD-B776-D5C05F07A7A1}" name="3*_x000a_(Tal)" totalsRowFunction="sum" dataDxfId="140" totalsRowDxfId="141">
      <calculatedColumnFormula>Summary2831[[#This Row],[3*2]]+Summary2831[[#This Row],[3*22]]+Summary2831[[#This Row],[3*23]]</calculatedColumnFormula>
    </tableColumn>
    <tableColumn id="42" xr3:uid="{4E330386-1408-4438-B41D-2508BDC6162F}" name="2*_x000a_(Tal)" totalsRowFunction="sum" dataDxfId="138" totalsRowDxfId="139">
      <calculatedColumnFormula>Summary2831[[#This Row],[2*2]]+Summary2831[[#This Row],[2*23]]+Summary2831[[#This Row],[2*24]]</calculatedColumnFormula>
    </tableColumn>
    <tableColumn id="43" xr3:uid="{6B2F3D52-2B9B-49D0-BE9B-6E051A841C36}" name="1*_x000a_(Tal)" totalsRowFunction="sum" dataDxfId="136" totalsRowDxfId="137">
      <calculatedColumnFormula>Summary2831[[#This Row],[1*2]]+Summary2831[[#This Row],[1*24]]+Summary2831[[#This Row],[1*25]]</calculatedColumnFormula>
    </tableColumn>
    <tableColumn id="47" xr3:uid="{4905BCAF-5400-4AD9-A57F-E2D8B82C9E1F}" name="3*2" totalsRowFunction="sum" dataDxfId="134" totalsRowDxfId="135">
      <calculatedColumnFormula>IF($F3&lt;=0,"0",IF($F3&lt;=6,"19",IF($F3&lt;=7,"18",IF($F3&lt;=8,"9",0))))+0</calculatedColumnFormula>
    </tableColumn>
    <tableColumn id="48" xr3:uid="{1AB7AB31-D15B-47E2-8416-4515745D2816}" name="2*2" totalsRowFunction="sum" dataDxfId="132" totalsRowDxfId="133">
      <calculatedColumnFormula>IF($F3&lt;=0,"0",IF($F3&lt;=2,"22",IF($F3&lt;=3,"19",IF($F3&lt;=4,"15",IF($F3&lt;=5,"9",0)))))+0</calculatedColumnFormula>
    </tableColumn>
    <tableColumn id="49" xr3:uid="{4A039556-DE6E-435D-A172-2960D3DE42D6}" name="1*2" totalsRowFunction="sum" dataDxfId="130" totalsRowDxfId="131">
      <calculatedColumnFormula>IF($F3&lt;=0,"0",IF($F3&lt;=1,"6",0))+0</calculatedColumnFormula>
    </tableColumn>
    <tableColumn id="50" xr3:uid="{69D732FE-8DC1-453B-BF83-1D93A79A8F1A}" name="3*22" totalsRowFunction="sum" dataDxfId="128" totalsRowDxfId="129">
      <calculatedColumnFormula>IF($G3&lt;=0,"0",IF($G3&lt;=6,"19",IF($G3&lt;=7,"18",IF($G3&lt;=8,"9",0))))+0</calculatedColumnFormula>
    </tableColumn>
    <tableColumn id="51" xr3:uid="{CDF7FFFB-1C72-46D3-A325-B319B41E1167}" name="2*23" totalsRowFunction="sum" dataDxfId="126" totalsRowDxfId="127">
      <calculatedColumnFormula>IF($G3&lt;=0,"0",IF($G3&lt;=2,"22",IF($G3&lt;=3,"19",IF($G3&lt;=4,"15",IF($G3&lt;=5,"9",0)))))+0</calculatedColumnFormula>
    </tableColumn>
    <tableColumn id="52" xr3:uid="{D398047F-9D06-4995-B974-7AFCD6A476E4}" name="1*24" totalsRowFunction="sum" dataDxfId="124" totalsRowDxfId="125">
      <calculatedColumnFormula>IF($G3&lt;=0,"0",IF($G3&lt;=1,"6",0))+0</calculatedColumnFormula>
    </tableColumn>
    <tableColumn id="53" xr3:uid="{4E9A1954-452D-4D3E-84E7-09E4A810EF04}" name="3*23" totalsRowFunction="sum" dataDxfId="122" totalsRowDxfId="123">
      <calculatedColumnFormula>IF($H3&lt;=0,"0",IF($H3&lt;=6,"19",IF($H3&lt;=7,"18",IF($H3&lt;=8,"9",0))))+0</calculatedColumnFormula>
    </tableColumn>
    <tableColumn id="54" xr3:uid="{0DBBDAFB-6DC3-474A-80B0-E5E67051FD75}" name="2*24" totalsRowFunction="sum" dataDxfId="120" totalsRowDxfId="121">
      <calculatedColumnFormula>IF($H3&lt;=0,"0",IF($H3&lt;=2,"22",IF($H3&lt;=3,"19",IF($H3&lt;=4,"15",IF($H3&lt;=5,"9",0)))))+0</calculatedColumnFormula>
    </tableColumn>
    <tableColumn id="55" xr3:uid="{C43BF661-D5F6-40BA-BA19-C3166E4EF94F}" name="1*25" totalsRowFunction="sum" dataDxfId="118" totalsRowDxfId="119">
      <calculatedColumnFormula>IF($H3&lt;=0,"0",IF($H3&lt;=1,"6",0))+0</calculatedColumnFormula>
    </tableColumn>
    <tableColumn id="56" xr3:uid="{BD90A355-DBDA-4AA3-A37A-3EB1C7367068}" name="3* Mats" totalsRowFunction="sum" dataDxfId="116" totalsRowDxfId="117">
      <calculatedColumnFormula>SUM(Summary2831[[#This Row],[3*
(Tal)]],Summary2831[[#This Row],[3*
(Asc)]])</calculatedColumnFormula>
    </tableColumn>
    <tableColumn id="57" xr3:uid="{ADD28119-2E31-4B5B-B961-557288964A52}" name="2* Mats" totalsRowFunction="sum" dataDxfId="114" totalsRowDxfId="115">
      <calculatedColumnFormula>SUM(Summary2831[[#This Row],[2*
(Tal)]],Summary2831[[#This Row],[2*
(Asc)]])</calculatedColumnFormula>
    </tableColumn>
    <tableColumn id="58" xr3:uid="{61D8502E-E3BC-4220-8B79-9CCC0842B480}" name="1* Mats" totalsRowFunction="custom" dataDxfId="112" totalsRowDxfId="113">
      <calculatedColumnFormula>SUM(Summary2831[[#This Row],[1*
(Tal)]],Summary2831[[#This Row],[1*
(Asc)]])</calculatedColumnFormula>
      <totalsRowFormula>SUBTOTAL(109,Summary2831[1* Mats])</totalsRowFormula>
    </tableColumn>
    <tableColumn id="44" xr3:uid="{7DA75423-296B-4FEA-9EC4-CD9F554F178E}" name="Level_x000a_Up" totalsRowFunction="custom" dataDxfId="110" totalsRowDxfId="111">
      <calculatedColumnFormula>(IF($E3&lt;=0,"0",IF($E3&lt;=1,"2092530",IF($E3&lt;=10,"2087525",IF($E3&lt;=20,"2068495",IF($E3&lt;=30,"2005910",IF($E3&lt;=40,"1932830",IF($E3&lt;=50,"1777010",IF($E3&lt;=60,"1546185",IF($E3&lt;=70,"1227000",IF($E3&lt;=80,"804625",IF($E3&lt;=81,"647990",IF($E3&lt;=90,"0",0)))))))))))))+0</calculatedColumnFormula>
      <totalsRowFormula>SUBTOTAL(109,Summary2831[Level
Up])</totalsRowFormula>
    </tableColumn>
    <tableColumn id="45" xr3:uid="{CA415E53-F032-4D2F-8274-A9C23DE262A8}" name="NA_x000a_Up" totalsRowFunction="custom" dataDxfId="108" totalsRowDxfId="109">
      <calculatedColumnFormula>(IF($F3&lt;=0,"0",IF($F3&lt;=1,"952500",IF($F3&lt;=2,"940000",IF($F3&lt;=3,"922500",IF($F3&lt;=4,"897500",IF($F3&lt;=5,"867500",IF($F3&lt;=6,"830000",IF($F3&lt;=7,"710000",IF($F3&lt;=8,"450000",0))))))))))+0</calculatedColumnFormula>
      <totalsRowFormula>SUBTOTAL(109,Summary2831[NA
Up])</totalsRowFormula>
    </tableColumn>
    <tableColumn id="59" xr3:uid="{7C80C1F5-61AB-4688-BB1D-17222F194C37}" name="Skill_x000a_Up" totalsRowFunction="custom" dataDxfId="106" totalsRowDxfId="107">
      <calculatedColumnFormula>(IF($G3&lt;=0,"0",IF($G3&lt;=1,"952500",IF($G3&lt;=2,"940000",IF($G3&lt;=3,"922500",IF($G3&lt;=4,"897500",IF($G3&lt;=5,"867500",IF($G3&lt;=6,"830000",IF($G3&lt;=7,"710000",IF($G3&lt;=8,"450000",0))))))))))+0</calculatedColumnFormula>
      <totalsRowFormula>SUBTOTAL(109,Summary2831[Skill
Up])</totalsRowFormula>
    </tableColumn>
    <tableColumn id="60" xr3:uid="{B336862C-C0A8-4A22-8BD1-CC40F513C392}" name="Burst_x000a_Up" totalsRowFunction="custom" dataDxfId="104" totalsRowDxfId="105">
      <calculatedColumnFormula>(IF($H3&lt;=0,"0",IF($H3&lt;=1,"952500",IF($H3&lt;=2,"940000",IF($H3&lt;=3,"922500",IF($H3&lt;=4,"897500",IF($H3&lt;=5,"867500",IF($H3&lt;=6,"830000",IF($H3&lt;=7,"710000",IF($H3&lt;=8,"450000",0))))))))))+0</calculatedColumnFormula>
      <totalsRowFormula>SUBTOTAL(109,Summary2831[Burst
Up])</totalsRowFormula>
    </tableColumn>
    <tableColumn id="46" xr3:uid="{232BF595-2391-40EE-85E0-035B3E6A1AAB}" name="Total" totalsRowFunction="custom" dataDxfId="102" totalsRowDxfId="103">
      <calculatedColumnFormula>SUM(BI3,BJ3,BK3,BL3)</calculatedColumnFormula>
      <totalsRowFormula>SUBTOTAL(109,Summary2831[Total])</totalsRow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1:F33" totalsRowCount="1" headerRowDxfId="101" dataDxfId="100">
  <autoFilter ref="A1:F32" xr:uid="{75761221-EEEE-4308-995F-040E07A72874}"/>
  <sortState xmlns:xlrd2="http://schemas.microsoft.com/office/spreadsheetml/2017/richdata2" ref="A2:F32">
    <sortCondition ref="C1:C32"/>
  </sortState>
  <tableColumns count="6">
    <tableColumn id="1" xr3:uid="{100EA993-FA4F-47D1-A56D-9C7CB1E50869}" name="Sl No." totalsRowLabel="Total" dataDxfId="98" totalsRowDxfId="99">
      <calculatedColumnFormula>SUBTOTAL(3,$B$2:World_Boss[[#This Row],[World Boss]])</calculatedColumnFormula>
    </tableColumn>
    <tableColumn id="2" xr3:uid="{CE78B17E-A0A1-40CF-B5A0-BAC11C1E73B4}" name="World Boss" dataDxfId="96" totalsRowDxfId="97"/>
    <tableColumn id="6" xr3:uid="{2E05B981-DF2A-42C1-8B17-183136F03967}" name="Version" dataDxfId="94" totalsRowDxfId="95"/>
    <tableColumn id="3" xr3:uid="{736FF383-833A-41BE-80BC-05287188C2E3}" name="Mats Needed" totalsRowFunction="sum" dataDxfId="92" totalsRowDxfId="93">
      <calculatedColumnFormula>SUMIF(#REF!,World_Boss[[#This Row],[World Boss]],#REF!)</calculatedColumnFormula>
    </tableColumn>
    <tableColumn id="4" xr3:uid="{72A3CB5D-0DFF-473E-A9CA-C382695C0795}" name="Mats Acquired" totalsRowFunction="sum" dataDxfId="90" totalsRowDxfId="91"/>
    <tableColumn id="5" xr3:uid="{8F190CE4-749D-4ED5-8194-9710BCFE4279}" name="Remaining Mats" totalsRowFunction="custom" dataDxfId="88" totalsRowDxfId="89">
      <calculatedColumnFormula>D2-E2</calculatedColumnFormula>
      <totalsRowFormula>SUMIF(F2:F32,"&gt;=0")</totalsRow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4:M20" totalsRowCount="1" headerRowDxfId="87" dataDxfId="86" headerRowBorderDxfId="84" tableBorderDxfId="85">
  <autoFilter ref="A4:M19" xr:uid="{6D9118A6-159A-4FBD-B4FB-632CECCE43B9}"/>
  <sortState xmlns:xlrd2="http://schemas.microsoft.com/office/spreadsheetml/2017/richdata2" ref="A5:M19">
    <sortCondition ref="D4:D19"/>
  </sortState>
  <tableColumns count="13">
    <tableColumn id="1" xr3:uid="{AAA4A7E4-B9F5-4F75-ABA8-F21690018EA9}" name="Sl No." totalsRowLabel="Total" dataDxfId="82" totalsRowDxfId="83">
      <calculatedColumnFormula>SUBTOTAL(3,$B$5:Talent_Books[[#This Row],[Book Region]])</calculatedColumnFormula>
    </tableColumn>
    <tableColumn id="2" xr3:uid="{78FA7F45-740E-4EF8-BDEC-5978699DFEB3}" name="Book Region" dataDxfId="80" totalsRowDxfId="81"/>
    <tableColumn id="3" xr3:uid="{848E969F-1F78-4291-9F3E-8FE3C036CF09}" name="Book name" dataDxfId="78" totalsRowDxfId="79"/>
    <tableColumn id="13" xr3:uid="{70530C69-55A3-47EB-B1D8-597F704A39E1}" name="Version" dataDxfId="76" totalsRowDxfId="77"/>
    <tableColumn id="4" xr3:uid="{40F4725D-358F-4B6F-B580-1492C9F45E95}" name="4*" totalsRowFunction="sum" dataDxfId="74" totalsRowDxfId="75">
      <calculatedColumnFormula>SUMIF(#REF!,Talent_Books[[#This Row],[Book name]],#REF!)</calculatedColumnFormula>
    </tableColumn>
    <tableColumn id="5" xr3:uid="{F2A14402-8AC1-4401-B0B1-45A5E759C80E}" name="3*" totalsRowFunction="sum" dataDxfId="72" totalsRowDxfId="73">
      <calculatedColumnFormula>SUMIF(#REF!,Talent_Books[[#This Row],[Book name]],#REF!)</calculatedColumnFormula>
    </tableColumn>
    <tableColumn id="6" xr3:uid="{06ACA8D3-4AE5-4828-AD0D-4FF0D624F3DA}" name="2*" totalsRowFunction="sum" dataDxfId="70" totalsRowDxfId="71">
      <calculatedColumnFormula>SUMIF(#REF!,Talent_Books[[#This Row],[Book name]],#REF!)</calculatedColumnFormula>
    </tableColumn>
    <tableColumn id="7" xr3:uid="{9B3F32CF-7532-4D42-A127-BA137803F7CC}" name="4*2" totalsRowFunction="sum" dataDxfId="68" totalsRowDxfId="69"/>
    <tableColumn id="8" xr3:uid="{72AFA39A-5EAC-48E2-AE40-06E58B34C1AD}" name="3*3" totalsRowFunction="sum" dataDxfId="66" totalsRowDxfId="67"/>
    <tableColumn id="9" xr3:uid="{6A9267B2-6490-4215-B346-F474A9C0EFF9}" name="2*4" totalsRowFunction="sum" dataDxfId="64" totalsRowDxfId="65"/>
    <tableColumn id="10" xr3:uid="{E6D5A6EE-DED9-4553-B39F-06B0B5C5373B}" name="4*5" totalsRowFunction="custom" dataDxfId="62" totalsRowDxfId="63">
      <calculatedColumnFormula>E5-H5</calculatedColumnFormula>
      <totalsRowFormula>SUMIF(K5:K19,"&gt;=0")</totalsRowFormula>
    </tableColumn>
    <tableColumn id="11" xr3:uid="{B3750A25-F5EB-4E0D-B5E9-1AE5B505E431}" name="3*6" totalsRowFunction="custom" dataDxfId="60" totalsRowDxfId="61">
      <calculatedColumnFormula>F5-I5</calculatedColumnFormula>
      <totalsRowFormula>SUMIF(L5:L19,"&gt;=0")</totalsRowFormula>
    </tableColumn>
    <tableColumn id="12" xr3:uid="{1FC80303-8A00-4341-9ADC-462F59AD5F0F}" name="2*7" totalsRowFunction="custom" dataDxfId="58" totalsRowDxfId="59">
      <calculatedColumnFormula>G5-J5</calculatedColumnFormula>
      <totalsRowFormula>SUMIF(M5:M19,"&gt;=0")</totalsRow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1:G32" totalsRowCount="1" headerRowDxfId="57" dataDxfId="56">
  <autoFilter ref="A1:G31" xr:uid="{0D12F913-D745-4C24-ACC2-50E45CE14F5C}"/>
  <sortState xmlns:xlrd2="http://schemas.microsoft.com/office/spreadsheetml/2017/richdata2" ref="A2:G31">
    <sortCondition ref="D1:D31"/>
  </sortState>
  <tableColumns count="7">
    <tableColumn id="1" xr3:uid="{1AF8B431-0CA2-4C3F-ACEE-D1594E30F657}" name="Sl No." totalsRowLabel="Total" dataDxfId="54" totalsRowDxfId="55">
      <calculatedColumnFormula>SUBTOTAL(3,$B$2:Weekly_Boss[[#This Row],[Weekly Boss]])</calculatedColumnFormula>
    </tableColumn>
    <tableColumn id="2" xr3:uid="{9946B1E7-6265-4792-88FB-7D4B0ADE2782}" name="Weekly Boss" dataDxfId="52" totalsRowDxfId="53"/>
    <tableColumn id="3" xr3:uid="{2D8682D7-AECB-442B-BE29-2F38E80C2C45}" name="Weekly Boss Material" dataDxfId="50" totalsRowDxfId="51"/>
    <tableColumn id="7" xr3:uid="{8086B8DB-CE3D-4BBE-AB26-5A5B8C8E69F7}" name="Version" dataDxfId="48" totalsRowDxfId="49"/>
    <tableColumn id="4" xr3:uid="{34E1C2BE-5B37-4ADF-BA9D-FE111D4F04F4}" name="Mats Needed" totalsRowFunction="sum" dataDxfId="46" totalsRowDxfId="47">
      <calculatedColumnFormula>SUMIF(#REF!,Weekly_Boss[[#This Row],[Weekly Boss Material]],#REF!)</calculatedColumnFormula>
    </tableColumn>
    <tableColumn id="5" xr3:uid="{3324C55E-E38C-41AA-A95E-327F4EC0AD70}" name="Mats Acquired" totalsRowFunction="sum" dataDxfId="44" totalsRowDxfId="45"/>
    <tableColumn id="6" xr3:uid="{6E441E18-6E87-4320-A580-1EEBB3269CE1}" name="Remaining Mats" totalsRowFunction="custom" dataDxfId="42" totalsRowDxfId="43">
      <calculatedColumnFormula>E2-F2</calculatedColumnFormula>
      <totalsRowFormula>SUMIF(G2:G31,"&gt;=0")</totalsRow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E46" totalsRowCount="1" headerRowDxfId="41" dataDxfId="40">
  <autoFilter ref="A2:E45" xr:uid="{0D12F913-D745-4C24-ACC2-50E45CE14F5C}"/>
  <sortState xmlns:xlrd2="http://schemas.microsoft.com/office/spreadsheetml/2017/richdata2" ref="A3:E45">
    <sortCondition ref="B2:B45"/>
  </sortState>
  <tableColumns count="5">
    <tableColumn id="1" xr3:uid="{51FEBC3D-1386-4C46-84E4-81ECE9899AAC}" name="Sl No." totalsRowLabel="Total" dataDxfId="38" totalsRowDxfId="39">
      <calculatedColumnFormula>SUBTOTAL(3,$B$3:B3)</calculatedColumnFormula>
    </tableColumn>
    <tableColumn id="3" xr3:uid="{2E0BE8BD-94A9-45F3-87C2-A844CA07F639}" name="Flower Name" dataDxfId="36" totalsRowDxfId="37"/>
    <tableColumn id="4" xr3:uid="{C8723A94-0DF1-4181-95F1-5B2320ABDB29}" name="Flowers Needed" totalsRowFunction="sum" dataDxfId="34" totalsRowDxfId="35">
      <calculatedColumnFormula>SUMIF(#REF!,Ascension_Flower[[#This Row],[Flower Name]],#REF!)</calculatedColumnFormula>
    </tableColumn>
    <tableColumn id="5" xr3:uid="{7AEF3766-2EDE-467B-991F-AC7B238DD897}" name="Flowers Acquired" totalsRowFunction="sum" dataDxfId="32" totalsRowDxfId="33"/>
    <tableColumn id="6" xr3:uid="{C360486C-653F-4F56-9585-5C98BBC0A13D}" name="Remaining Flowers" totalsRowFunction="custom" dataDxfId="30" totalsRowDxfId="31">
      <calculatedColumnFormula>Ascension_Flower[[#This Row],[Flowers Needed]]-Ascension_Flower[[#This Row],[Flowers Acquired]]</calculatedColumnFormula>
      <totalsRowFormula>SUMIF(E3:E45,"&gt;=0")</totalsRow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6DC38F-9522-4CC1-A0E2-54BB0746C847}" name="Ascension_Mob_Materials" displayName="Ascension_Mob_Materials" ref="N2:T42" totalsRowCount="1" headerRowDxfId="29" dataDxfId="28">
  <autoFilter ref="N2:T41" xr:uid="{EF6DC38F-9522-4CC1-A0E2-54BB0746C847}"/>
  <sortState xmlns:xlrd2="http://schemas.microsoft.com/office/spreadsheetml/2017/richdata2" ref="N3:T41">
    <sortCondition ref="Q2:Q41"/>
  </sortState>
  <tableColumns count="7">
    <tableColumn id="1" xr3:uid="{62916484-AA55-400A-A39F-0E5EE7F82BF7}" name="Sl No." totalsRowLabel="Total" dataDxfId="26" totalsRowDxfId="27">
      <calculatedColumnFormula>SUBTOTAL(3,$O$3:Ascension_Mob_Materials[[#This Row],[Mob Name]])</calculatedColumnFormula>
    </tableColumn>
    <tableColumn id="2" xr3:uid="{61524F61-A3D2-4D66-8229-73C8F76E703A}" name="Mob Name" dataDxfId="24" totalsRowDxfId="25"/>
    <tableColumn id="3" xr3:uid="{B5DA3A8C-BCBB-4DB0-9043-2C83FA9B7A34}" name="Material Name" dataDxfId="22" totalsRowDxfId="23"/>
    <tableColumn id="7" xr3:uid="{A488719F-C3A3-4343-AF6E-88D55B415DE6}" name="Version" dataDxfId="20" totalsRowDxfId="21"/>
    <tableColumn id="4" xr3:uid="{1280CFC8-DABE-44D3-9ED6-84C9ACBAA55B}" name="Mats_x000a_Needed" totalsRowFunction="sum" dataDxfId="18" totalsRowDxfId="19"/>
    <tableColumn id="5" xr3:uid="{7E5EE480-BF04-4792-8178-2416A6F48F97}" name="Mats_x000a_Acquired" totalsRowFunction="sum" dataDxfId="16" totalsRowDxfId="17"/>
    <tableColumn id="6" xr3:uid="{71625B4B-5CC2-4356-87CB-7FC688D390A2}" name="Remaining Mats" totalsRowFunction="custom" dataDxfId="14" totalsRowDxfId="15">
      <calculatedColumnFormula>Ascension_Mob_Materials[[#This Row],[Mats
Needed]]-Ascension_Mob_Materials[[#This Row],[Mats
Acquired]]</calculatedColumnFormula>
      <totalsRowFormula>SUMIF(T3:T41,"&gt;=0")</totalsRow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41BC84-F527-45D1-9D47-971D432180E8}" name="Ascension_Stones" displayName="Ascension_Stones" ref="G2:L35" totalsRowCount="1" headerRowDxfId="13" dataDxfId="12">
  <autoFilter ref="G2:L34" xr:uid="{D441BC84-F527-45D1-9D47-971D432180E8}"/>
  <tableColumns count="6">
    <tableColumn id="1" xr3:uid="{C22BE4D9-EDDA-40FC-A275-0BC14B6B12E0}" name="Sl No." totalsRowLabel="Total" dataDxfId="10" totalsRowDxfId="11">
      <calculatedColumnFormula>SUBTOTAL(3,$H$3:Ascension_Stones[[#This Row],[Stone Name]])</calculatedColumnFormula>
    </tableColumn>
    <tableColumn id="2" xr3:uid="{85C1978D-AA1E-49A0-9807-27463DDEF621}" name="Stone Name" dataDxfId="8" totalsRowDxfId="9"/>
    <tableColumn id="3" xr3:uid="{999D0B3F-8D23-41B2-A941-CB659FF58969}" name="Stone Type" dataDxfId="6" totalsRowDxfId="7"/>
    <tableColumn id="4" xr3:uid="{F7E258ED-0BD4-4B3F-9595-FEE451FA4A82}" name="Stones_x000a_Needed" totalsRowFunction="sum" dataDxfId="4" totalsRowDxfId="5">
      <calculatedColumnFormula>SUMIF(#REF!,Ascension_Stones[[#This Row],[Stone Name]],#REF!)</calculatedColumnFormula>
    </tableColumn>
    <tableColumn id="5" xr3:uid="{E052F83B-2EDB-4A10-B9D4-CB7C671561AF}" name="Stones Acquired" totalsRowFunction="sum" dataDxfId="2" totalsRowDxfId="3"/>
    <tableColumn id="6" xr3:uid="{C2B811A6-2E52-447C-B3B6-729BE6BBB38E}" name="Remaining Stones" totalsRowFunction="custom" dataDxfId="0" totalsRowDxfId="1">
      <calculatedColumnFormula>Ascension_Stones[[#This Row],[Stones
Needed]]-Ascension_Stones[[#This Row],[Stones Acquired]]</calculatedColumnFormula>
      <totalsRowFormula>SUMIF(L3:L34,"&gt;=0")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8" Type="http://schemas.openxmlformats.org/officeDocument/2006/relationships/image" Target="../media/image329.emf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12" Type="http://schemas.openxmlformats.org/officeDocument/2006/relationships/control" Target="../activeX/activeX5.xml"/><Relationship Id="rId17" Type="http://schemas.openxmlformats.org/officeDocument/2006/relationships/image" Target="../media/image328.emf"/><Relationship Id="rId2" Type="http://schemas.openxmlformats.org/officeDocument/2006/relationships/drawing" Target="../drawings/drawing1.xml"/><Relationship Id="rId16" Type="http://schemas.openxmlformats.org/officeDocument/2006/relationships/image" Target="../media/image327.emf"/><Relationship Id="rId20" Type="http://schemas.openxmlformats.org/officeDocument/2006/relationships/image" Target="../media/image33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326.emf"/><Relationship Id="rId10" Type="http://schemas.openxmlformats.org/officeDocument/2006/relationships/control" Target="../activeX/activeX4.xml"/><Relationship Id="rId19" Type="http://schemas.openxmlformats.org/officeDocument/2006/relationships/image" Target="../media/image330.emf"/><Relationship Id="rId14" Type="http://schemas.openxmlformats.org/officeDocument/2006/relationships/control" Target="../activeX/activeX6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vmlDrawing" Target="../drawings/vmlDrawing2.vml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2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26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8" Type="http://schemas.openxmlformats.org/officeDocument/2006/relationships/table" Target="../tables/table28.xm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9" Type="http://schemas.openxmlformats.org/officeDocument/2006/relationships/table" Target="../tables/table29.xm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7" Type="http://schemas.openxmlformats.org/officeDocument/2006/relationships/table" Target="../tables/table27.xm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168E-24D8-4242-98C6-F9338FEB781F}">
  <sheetPr codeName="Sheet7">
    <tabColor rgb="FFFFC000"/>
  </sheetPr>
  <dimension ref="A1:C34"/>
  <sheetViews>
    <sheetView workbookViewId="0"/>
    <sheetView workbookViewId="1"/>
  </sheetViews>
  <sheetFormatPr defaultRowHeight="15"/>
  <cols>
    <col min="1" max="1" width="35.140625" bestFit="1" customWidth="1"/>
    <col min="2" max="2" width="32.7109375" customWidth="1"/>
    <col min="3" max="3" width="17.42578125" style="2" customWidth="1"/>
    <col min="5" max="6" width="9.140625" customWidth="1"/>
  </cols>
  <sheetData>
    <row r="1" spans="1:3">
      <c r="A1" s="145" t="s">
        <v>0</v>
      </c>
      <c r="B1" s="145" t="s">
        <v>1</v>
      </c>
      <c r="C1"/>
    </row>
    <row r="2" spans="1:3">
      <c r="A2" s="146" t="str" cm="1">
        <f t="array" ref="A2:A11">_xlfn.UNIQUE(Weekly_Boss[Weekly Boss])</f>
        <v>[Dvalin] Stormterror</v>
      </c>
      <c r="B2" s="147" t="str" cm="1">
        <f t="array" ref="B2:B14">_xlfn.UNIQUE(Ascension_Mob_Materials[Mob Name])</f>
        <v>Hilichurl</v>
      </c>
      <c r="C2"/>
    </row>
    <row r="3" spans="1:3">
      <c r="A3" s="148" t="str">
        <v>[Boreas] Wolf of the North</v>
      </c>
      <c r="B3" s="149" t="str">
        <v>Hilichurl Shooter</v>
      </c>
      <c r="C3"/>
    </row>
    <row r="4" spans="1:3">
      <c r="A4" s="146" t="str">
        <v>[Childe] Golden House</v>
      </c>
      <c r="B4" s="147" t="str">
        <v>Samachurl</v>
      </c>
      <c r="C4"/>
    </row>
    <row r="5" spans="1:3">
      <c r="A5" s="148" t="str">
        <v>Azhdaha</v>
      </c>
      <c r="B5" s="149" t="str">
        <v>Slime</v>
      </c>
      <c r="C5"/>
    </row>
    <row r="6" spans="1:3">
      <c r="A6" s="146" t="str">
        <v>Signora</v>
      </c>
      <c r="B6" s="147" t="str">
        <v>Treasure Hoarder</v>
      </c>
      <c r="C6"/>
    </row>
    <row r="7" spans="1:3">
      <c r="A7" s="148" t="str">
        <v>[Raiden] Guardian of Eternity</v>
      </c>
      <c r="B7" s="149" t="str">
        <v>Fatui</v>
      </c>
      <c r="C7"/>
    </row>
    <row r="8" spans="1:3">
      <c r="A8" s="146" t="str">
        <v>[Scaramouche] Shouki no Kami</v>
      </c>
      <c r="B8" s="147" t="str">
        <v>Whopper­flower</v>
      </c>
      <c r="C8"/>
    </row>
    <row r="9" spans="1:3">
      <c r="A9" s="148" t="str">
        <v>Guardian of Apep's Oasis</v>
      </c>
      <c r="B9" s="149" t="str">
        <v>Nobushi</v>
      </c>
      <c r="C9"/>
    </row>
    <row r="10" spans="1:3">
      <c r="A10" s="146" t="str">
        <v>All-Devouring Narwhal</v>
      </c>
      <c r="B10" s="147" t="str">
        <v>Specters</v>
      </c>
      <c r="C10"/>
    </row>
    <row r="11" spans="1:3">
      <c r="A11" s="148" t="str">
        <v>The Knave</v>
      </c>
      <c r="B11" s="149" t="str">
        <v>Fungi</v>
      </c>
      <c r="C11"/>
    </row>
    <row r="12" spans="1:3">
      <c r="A12" s="146"/>
      <c r="B12" s="147" t="str">
        <v>The Eremites</v>
      </c>
      <c r="C12"/>
    </row>
    <row r="13" spans="1:3">
      <c r="A13" s="148"/>
      <c r="B13" s="149" t="str">
        <v>Fontemer Aberrant</v>
      </c>
      <c r="C13"/>
    </row>
    <row r="14" spans="1:3">
      <c r="A14" s="146"/>
      <c r="B14" s="147" t="str">
        <v>Clockwork Meka</v>
      </c>
      <c r="C14"/>
    </row>
    <row r="15" spans="1:3">
      <c r="A15" s="148"/>
      <c r="B15" s="149"/>
      <c r="C15"/>
    </row>
    <row r="16" spans="1:3">
      <c r="A16" s="146"/>
      <c r="B16" s="147"/>
      <c r="C16"/>
    </row>
    <row r="17" spans="1:3">
      <c r="A17" s="148"/>
      <c r="B17" s="149"/>
      <c r="C17"/>
    </row>
    <row r="18" spans="1:3">
      <c r="A18" s="146"/>
      <c r="B18" s="147"/>
      <c r="C18"/>
    </row>
    <row r="19" spans="1:3">
      <c r="A19" s="148"/>
      <c r="B19" s="149"/>
      <c r="C19"/>
    </row>
    <row r="20" spans="1:3">
      <c r="A20" s="146"/>
      <c r="B20" s="147"/>
      <c r="C20"/>
    </row>
    <row r="21" spans="1:3">
      <c r="A21" s="148"/>
      <c r="B21" s="149"/>
      <c r="C21"/>
    </row>
    <row r="22" spans="1:3">
      <c r="A22" s="146"/>
      <c r="B22" s="147"/>
      <c r="C22"/>
    </row>
    <row r="23" spans="1:3">
      <c r="A23" s="148"/>
      <c r="B23" s="149"/>
      <c r="C23"/>
    </row>
    <row r="24" spans="1:3">
      <c r="A24" s="146"/>
      <c r="B24" s="147"/>
      <c r="C24"/>
    </row>
    <row r="25" spans="1:3">
      <c r="A25" s="148"/>
      <c r="B25" s="149"/>
      <c r="C25"/>
    </row>
    <row r="26" spans="1:3">
      <c r="A26" s="146"/>
      <c r="B26" s="147"/>
      <c r="C26"/>
    </row>
    <row r="27" spans="1:3">
      <c r="A27" s="148"/>
      <c r="B27" s="149"/>
      <c r="C27"/>
    </row>
    <row r="28" spans="1:3">
      <c r="A28" s="146"/>
      <c r="B28" s="147"/>
      <c r="C28"/>
    </row>
    <row r="29" spans="1:3">
      <c r="A29" s="148"/>
      <c r="B29" s="149"/>
      <c r="C29"/>
    </row>
    <row r="30" spans="1:3">
      <c r="A30" s="146"/>
      <c r="B30" s="147"/>
      <c r="C30"/>
    </row>
    <row r="31" spans="1:3">
      <c r="C31"/>
    </row>
    <row r="32" spans="1:3">
      <c r="C32"/>
    </row>
    <row r="33" spans="3:3">
      <c r="C33"/>
    </row>
    <row r="34" spans="3:3">
      <c r="C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topLeftCell="A12" workbookViewId="0">
      <selection activeCell="H16" sqref="H16"/>
    </sheetView>
    <sheetView workbookViewId="1"/>
  </sheetViews>
  <sheetFormatPr defaultRowHeight="15"/>
  <cols>
    <col min="1" max="2" width="25" customWidth="1"/>
    <col min="3" max="3" width="2.28515625" customWidth="1"/>
    <col min="4" max="5" width="25" customWidth="1"/>
    <col min="6" max="6" width="2.28515625" customWidth="1"/>
    <col min="7" max="8" width="25" customWidth="1"/>
    <col min="9" max="9" width="2.28515625" customWidth="1"/>
    <col min="11" max="11" width="22.7109375" bestFit="1" customWidth="1"/>
    <col min="12" max="12" width="19.85546875" bestFit="1" customWidth="1"/>
    <col min="13" max="13" width="2.28515625" customWidth="1"/>
  </cols>
  <sheetData>
    <row r="1" spans="1:11" ht="15.75" thickBot="1"/>
    <row r="2" spans="1:11">
      <c r="A2" s="133" t="s">
        <v>2</v>
      </c>
      <c r="B2" s="142" t="s">
        <v>3</v>
      </c>
      <c r="D2" s="133" t="s">
        <v>4</v>
      </c>
      <c r="E2" s="142" t="s">
        <v>5</v>
      </c>
      <c r="G2" s="133" t="s">
        <v>0</v>
      </c>
      <c r="H2" s="142" t="s">
        <v>6</v>
      </c>
      <c r="J2" s="303" t="s">
        <v>7</v>
      </c>
      <c r="K2" s="303"/>
    </row>
    <row r="3" spans="1:11">
      <c r="A3" s="134" t="s">
        <v>8</v>
      </c>
      <c r="B3" s="153">
        <v>5</v>
      </c>
      <c r="D3" s="134" t="s">
        <v>9</v>
      </c>
      <c r="E3" s="137" t="s">
        <v>10</v>
      </c>
      <c r="G3" s="134" t="s">
        <v>11</v>
      </c>
      <c r="H3" s="137" t="s">
        <v>12</v>
      </c>
      <c r="J3" s="303"/>
      <c r="K3" s="303"/>
    </row>
    <row r="4" spans="1:11">
      <c r="A4" s="128"/>
      <c r="B4" s="131"/>
      <c r="D4" s="134" t="s">
        <v>13</v>
      </c>
      <c r="E4" s="137" t="s">
        <v>14</v>
      </c>
      <c r="G4" s="134" t="s">
        <v>15</v>
      </c>
      <c r="H4" s="137" t="s">
        <v>16</v>
      </c>
      <c r="J4" s="303"/>
      <c r="K4" s="303"/>
    </row>
    <row r="5" spans="1:11">
      <c r="A5" s="128"/>
      <c r="B5" s="131"/>
      <c r="D5" s="134" t="s">
        <v>17</v>
      </c>
      <c r="E5" s="137" t="s">
        <v>18</v>
      </c>
      <c r="G5" s="134" t="s">
        <v>19</v>
      </c>
      <c r="H5" s="137" t="s">
        <v>20</v>
      </c>
      <c r="J5" s="303"/>
      <c r="K5" s="303"/>
    </row>
    <row r="6" spans="1:11">
      <c r="A6" s="128"/>
      <c r="B6" s="131"/>
      <c r="D6" s="134" t="s">
        <v>8</v>
      </c>
      <c r="E6" s="153">
        <v>5</v>
      </c>
      <c r="G6" s="134" t="s">
        <v>8</v>
      </c>
      <c r="H6" s="153">
        <v>5</v>
      </c>
    </row>
    <row r="7" spans="1:11">
      <c r="A7" s="128"/>
      <c r="B7" s="131"/>
      <c r="D7" s="128"/>
      <c r="E7" s="131"/>
      <c r="G7" s="128"/>
      <c r="H7" s="131"/>
    </row>
    <row r="8" spans="1:11">
      <c r="A8" s="128"/>
      <c r="B8" s="131"/>
      <c r="D8" s="128"/>
      <c r="E8" s="131"/>
      <c r="G8" s="128"/>
      <c r="H8" s="131"/>
    </row>
    <row r="9" spans="1:11">
      <c r="A9" s="128"/>
      <c r="B9" s="131"/>
      <c r="D9" s="128"/>
      <c r="E9" s="131"/>
      <c r="G9" s="128"/>
      <c r="H9" s="131"/>
    </row>
    <row r="10" spans="1:11">
      <c r="A10" s="128"/>
      <c r="B10" s="131"/>
      <c r="D10" s="128"/>
      <c r="E10" s="131"/>
      <c r="G10" s="128"/>
      <c r="H10" s="131"/>
    </row>
    <row r="11" spans="1:11" ht="15.75" thickBot="1">
      <c r="A11" s="129"/>
      <c r="B11" s="132"/>
      <c r="D11" s="129"/>
      <c r="E11" s="132"/>
      <c r="G11" s="129"/>
      <c r="H11" s="132"/>
    </row>
    <row r="14" spans="1:11" ht="15.75" thickBot="1"/>
    <row r="15" spans="1:11">
      <c r="A15" s="133" t="s">
        <v>21</v>
      </c>
      <c r="B15" s="142" t="s">
        <v>22</v>
      </c>
      <c r="D15" s="133" t="s">
        <v>23</v>
      </c>
      <c r="E15" s="142" t="s">
        <v>24</v>
      </c>
      <c r="G15" s="133" t="s">
        <v>25</v>
      </c>
      <c r="H15" s="136" t="s">
        <v>26</v>
      </c>
      <c r="J15" s="143" t="s">
        <v>27</v>
      </c>
    </row>
    <row r="16" spans="1:11">
      <c r="A16" s="127"/>
      <c r="B16" s="130"/>
      <c r="D16" s="134" t="s">
        <v>28</v>
      </c>
      <c r="E16" s="137" t="s">
        <v>29</v>
      </c>
      <c r="G16" s="134" t="s">
        <v>30</v>
      </c>
      <c r="H16" s="137" t="s">
        <v>31</v>
      </c>
      <c r="J16" s="143" t="s">
        <v>32</v>
      </c>
    </row>
    <row r="17" spans="1:12">
      <c r="A17" s="128"/>
      <c r="B17" s="131"/>
      <c r="D17" s="134" t="s">
        <v>33</v>
      </c>
      <c r="E17" s="137" t="s">
        <v>24</v>
      </c>
      <c r="G17" s="134" t="s">
        <v>8</v>
      </c>
      <c r="H17" s="153">
        <v>4.8</v>
      </c>
      <c r="J17" s="143" t="s">
        <v>34</v>
      </c>
    </row>
    <row r="18" spans="1:12">
      <c r="A18" s="128"/>
      <c r="B18" s="131"/>
      <c r="D18" s="134" t="s">
        <v>35</v>
      </c>
      <c r="E18" s="137" t="s">
        <v>36</v>
      </c>
      <c r="G18" s="134" t="s">
        <v>2</v>
      </c>
      <c r="H18" s="137" t="s">
        <v>37</v>
      </c>
      <c r="J18" s="143" t="s">
        <v>32</v>
      </c>
    </row>
    <row r="19" spans="1:12">
      <c r="A19" s="128"/>
      <c r="B19" s="131"/>
      <c r="D19" s="134" t="s">
        <v>8</v>
      </c>
      <c r="E19" s="153">
        <v>5</v>
      </c>
      <c r="G19" s="134" t="s">
        <v>38</v>
      </c>
      <c r="H19" s="137" t="s">
        <v>39</v>
      </c>
      <c r="J19" s="143" t="s">
        <v>32</v>
      </c>
    </row>
    <row r="20" spans="1:12">
      <c r="A20" s="128"/>
      <c r="B20" s="131"/>
      <c r="D20" s="128"/>
      <c r="E20" s="131"/>
      <c r="G20" s="134" t="s">
        <v>0</v>
      </c>
      <c r="H20" s="137" t="s">
        <v>40</v>
      </c>
      <c r="J20" s="143" t="s">
        <v>32</v>
      </c>
    </row>
    <row r="21" spans="1:12">
      <c r="A21" s="128"/>
      <c r="B21" s="131"/>
      <c r="D21" s="128"/>
      <c r="E21" s="131"/>
      <c r="G21" s="134" t="s">
        <v>41</v>
      </c>
      <c r="H21" s="137" t="s">
        <v>42</v>
      </c>
      <c r="J21" s="143" t="s">
        <v>32</v>
      </c>
    </row>
    <row r="22" spans="1:12">
      <c r="A22" s="128"/>
      <c r="B22" s="131"/>
      <c r="D22" s="128"/>
      <c r="E22" s="131"/>
      <c r="G22" s="134" t="s">
        <v>21</v>
      </c>
      <c r="H22" s="137" t="s">
        <v>43</v>
      </c>
      <c r="J22" s="143" t="s">
        <v>32</v>
      </c>
    </row>
    <row r="23" spans="1:12">
      <c r="A23" s="128"/>
      <c r="B23" s="131"/>
      <c r="D23" s="128"/>
      <c r="E23" s="131"/>
      <c r="G23" s="134" t="s">
        <v>44</v>
      </c>
      <c r="H23" s="137" t="str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Vajrada Amethyst (Electro)</v>
      </c>
      <c r="J23" s="143" t="s">
        <v>45</v>
      </c>
    </row>
    <row r="24" spans="1:12" ht="15.75" thickBot="1">
      <c r="A24" s="129"/>
      <c r="B24" s="132"/>
      <c r="D24" s="129"/>
      <c r="E24" s="132"/>
      <c r="G24" s="135" t="s">
        <v>23</v>
      </c>
      <c r="H24" s="138" t="s">
        <v>46</v>
      </c>
      <c r="J24" s="143" t="s">
        <v>32</v>
      </c>
    </row>
    <row r="26" spans="1:12">
      <c r="J26" s="143" t="s">
        <v>47</v>
      </c>
    </row>
    <row r="27" spans="1:12">
      <c r="J27" s="143" t="s">
        <v>48</v>
      </c>
    </row>
    <row r="28" spans="1:12">
      <c r="J28" s="143" t="s">
        <v>49</v>
      </c>
    </row>
    <row r="29" spans="1:12">
      <c r="J29" s="143" t="s">
        <v>50</v>
      </c>
      <c r="L29" s="144"/>
    </row>
  </sheetData>
  <mergeCells count="1">
    <mergeCell ref="J2:K5"/>
  </mergeCells>
  <dataValidations count="2">
    <dataValidation type="list" allowBlank="1" showInputMessage="1" showErrorMessage="1" sqref="H16" xr:uid="{82E8B1BF-36D7-489B-8177-0DE7ACF8211F}">
      <formula1>"Anemo, Geo, Electro, Dendro, Hydro, Pyro, Cryo"</formula1>
    </dataValidation>
    <dataValidation type="list" allowBlank="1" showInputMessage="1" showErrorMessage="1" sqref="H18" xr:uid="{52A2168F-B676-42DF-B1E9-1B2060767213}">
      <formula1>INDIRECT("World_Boss[World Boss]")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14" name="SummeryTable">
          <controlPr defaultSize="0" autoFill="0" autoLine="0" r:id="rId1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14" name="SummeryTable"/>
      </mc:Fallback>
    </mc:AlternateContent>
    <mc:AlternateContent xmlns:mc="http://schemas.openxmlformats.org/markup-compatibility/2006">
      <mc:Choice Requires="x14">
        <control shapeId="3090" r:id="rId12" name="AscensionMob">
          <controlPr defaultSize="0" autoFill="0" autoLine="0" r:id="rId16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12" name="AscensionMob"/>
      </mc:Fallback>
    </mc:AlternateContent>
    <mc:AlternateContent xmlns:mc="http://schemas.openxmlformats.org/markup-compatibility/2006">
      <mc:Choice Requires="x14">
        <control shapeId="3091" r:id="rId10" name="AscensionFlower">
          <controlPr defaultSize="0" autoFill="0" autoLine="0" r:id="rId17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10" name="AscensionFlower"/>
      </mc:Fallback>
    </mc:AlternateContent>
    <mc:AlternateContent xmlns:mc="http://schemas.openxmlformats.org/markup-compatibility/2006">
      <mc:Choice Requires="x14">
        <control shapeId="3102" r:id="rId8" name="WeeklyBoss">
          <controlPr defaultSize="0" autoFill="0" autoLine="0" r:id="rId18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8" name="WeeklyBoss"/>
      </mc:Fallback>
    </mc:AlternateContent>
    <mc:AlternateContent xmlns:mc="http://schemas.openxmlformats.org/markup-compatibility/2006">
      <mc:Choice Requires="x14">
        <control shapeId="3103" r:id="rId6" name="TalentBook">
          <controlPr defaultSize="0" autoFill="0" autoLine="0" r:id="rId19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6" name="TalentBook"/>
      </mc:Fallback>
    </mc:AlternateContent>
    <mc:AlternateContent xmlns:mc="http://schemas.openxmlformats.org/markup-compatibility/2006">
      <mc:Choice Requires="x14">
        <control shapeId="3104" r:id="rId4" name="WorldBoss">
          <controlPr defaultSize="0" autoFill="0" autoLine="0" r:id="rId20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4" name="WorldBos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79BBDA-3691-4808-B900-1277549F7212}">
          <x14:formula1>
            <xm:f>UniqueNames!$A$2:$A$20</xm:f>
          </x14:formula1>
          <xm:sqref>H20</xm:sqref>
        </x14:dataValidation>
        <x14:dataValidation type="list" allowBlank="1" showInputMessage="1" showErrorMessage="1" xr:uid="{8C6FA2C4-D16A-4C72-B904-725C16B2A7F9}">
          <x14:formula1>
            <xm:f>UniqueNames!$B$2:$B$30</xm:f>
          </x14:formula1>
          <xm:sqref>H24</xm:sqref>
        </x14:dataValidation>
        <x14:dataValidation type="list" allowBlank="1" showInputMessage="1" showErrorMessage="1" xr:uid="{5AD1D6E0-97F2-4FF3-B71C-5FA3C7F990A1}">
          <x14:formula1>
            <xm:f>'Weekly Boss'!$C2:$C31</xm:f>
          </x14:formula1>
          <xm:sqref>H21</xm:sqref>
        </x14:dataValidation>
        <x14:dataValidation type="list" allowBlank="1" showInputMessage="1" showErrorMessage="1" xr:uid="{65243138-E743-4B96-845A-A93C44F96748}">
          <x14:formula1>
            <xm:f>'Talent Books'!$C5:$C19</xm:f>
          </x14:formula1>
          <xm:sqref>H19</xm:sqref>
        </x14:dataValidation>
        <x14:dataValidation type="list" allowBlank="1" showInputMessage="1" showErrorMessage="1" xr:uid="{5A75AB17-40C9-406D-AC03-954B470DCF08}">
          <x14:formula1>
            <xm:f>'Ascension Materials'!$B3:$B4645</xm:f>
          </x14:formula1>
          <xm:sqref>H22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topLeftCell="A46" workbookViewId="0">
      <selection activeCell="G26" sqref="A22:G26"/>
    </sheetView>
    <sheetView workbookViewId="1">
      <selection activeCell="F13" sqref="F13"/>
    </sheetView>
  </sheetViews>
  <sheetFormatPr defaultRowHeight="1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N1" t="s">
        <v>63</v>
      </c>
      <c r="O1" t="s">
        <v>52</v>
      </c>
      <c r="P1" t="s">
        <v>64</v>
      </c>
      <c r="Q1" t="s">
        <v>65</v>
      </c>
      <c r="R1" t="s">
        <v>66</v>
      </c>
      <c r="S1" t="s">
        <v>59</v>
      </c>
      <c r="T1" t="s">
        <v>60</v>
      </c>
      <c r="U1" t="s">
        <v>61</v>
      </c>
      <c r="V1" t="s">
        <v>41</v>
      </c>
      <c r="W1" t="s">
        <v>67</v>
      </c>
    </row>
    <row r="2" spans="1:23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>
      <c r="A20">
        <v>19</v>
      </c>
      <c r="B20" s="172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>
      <c r="A21">
        <v>20</v>
      </c>
      <c r="B21" s="172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>
      <c r="A22">
        <v>21</v>
      </c>
      <c r="B22" s="172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>
      <c r="A23">
        <v>22</v>
      </c>
      <c r="B23" s="172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>
      <c r="A24">
        <v>23</v>
      </c>
      <c r="B24" s="172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>
      <c r="A25">
        <v>24</v>
      </c>
      <c r="B25" s="172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>
      <c r="A26">
        <v>25</v>
      </c>
      <c r="B26" s="172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>
      <c r="A27">
        <v>26</v>
      </c>
      <c r="B27" s="172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>
      <c r="A28">
        <v>27</v>
      </c>
      <c r="B28" s="172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>
      <c r="A29">
        <v>28</v>
      </c>
      <c r="B29" s="172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>
      <c r="A30">
        <v>29</v>
      </c>
      <c r="B30" s="172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>
      <c r="A31">
        <v>30</v>
      </c>
      <c r="B31" s="172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AP91"/>
  <sheetViews>
    <sheetView topLeftCell="U1" zoomScale="85" zoomScaleNormal="85" workbookViewId="0">
      <selection activeCell="D6" sqref="D6"/>
    </sheetView>
    <sheetView tabSelected="1" workbookViewId="1">
      <selection activeCell="J4" sqref="J4"/>
    </sheetView>
  </sheetViews>
  <sheetFormatPr defaultColWidth="9.140625" defaultRowHeight="15"/>
  <cols>
    <col min="1" max="1" width="9.140625" style="2"/>
    <col min="2" max="2" width="16.5703125" style="3" customWidth="1"/>
    <col min="3" max="3" width="1.42578125" style="2" customWidth="1"/>
    <col min="4" max="4" width="9.140625" style="2"/>
    <col min="5" max="5" width="16.5703125" style="3" customWidth="1"/>
    <col min="6" max="13" width="9.140625" style="2"/>
    <col min="14" max="14" width="1.42578125" style="2" customWidth="1"/>
    <col min="15" max="15" width="9.140625" style="2"/>
    <col min="16" max="16" width="21.7109375" style="3" customWidth="1"/>
    <col min="17" max="17" width="16.5703125" style="3" customWidth="1"/>
    <col min="18" max="18" width="1.42578125" style="2" customWidth="1"/>
    <col min="19" max="19" width="9.140625" style="2"/>
    <col min="20" max="20" width="14.85546875" style="3" customWidth="1"/>
    <col min="21" max="21" width="16.5703125" style="3" customWidth="1"/>
    <col min="22" max="22" width="1.42578125" style="2" customWidth="1"/>
    <col min="23" max="23" width="9.140625" style="2"/>
    <col min="24" max="24" width="13.42578125" style="3" customWidth="1"/>
    <col min="25" max="25" width="16.5703125" style="3" customWidth="1"/>
    <col min="26" max="26" width="1.42578125" style="2" customWidth="1"/>
    <col min="27" max="27" width="9.140625" style="2"/>
    <col min="28" max="28" width="16.5703125" style="3" customWidth="1"/>
    <col min="29" max="29" width="1.42578125" style="2" customWidth="1"/>
    <col min="30" max="30" width="9.140625" style="2"/>
    <col min="31" max="31" width="16.5703125" style="3" customWidth="1"/>
    <col min="32" max="32" width="1.42578125" style="2" customWidth="1"/>
    <col min="33" max="33" width="9.140625" style="2"/>
    <col min="34" max="34" width="16.5703125" style="3" customWidth="1"/>
    <col min="35" max="35" width="1.42578125" style="2" customWidth="1"/>
    <col min="36" max="36" width="9.140625" style="2"/>
    <col min="37" max="37" width="16.5703125" style="3" customWidth="1"/>
    <col min="38" max="38" width="1.42578125" style="2" customWidth="1"/>
    <col min="39" max="42" width="8.5703125" customWidth="1"/>
    <col min="43" max="16384" width="9.140625" style="2"/>
  </cols>
  <sheetData>
    <row r="1" spans="1:37">
      <c r="A1" s="304" t="s">
        <v>68</v>
      </c>
      <c r="B1" s="304"/>
      <c r="D1" s="304" t="s">
        <v>69</v>
      </c>
      <c r="E1" s="304"/>
      <c r="O1" s="304" t="s">
        <v>70</v>
      </c>
      <c r="P1" s="304"/>
      <c r="Q1" s="304"/>
      <c r="S1" s="304" t="s">
        <v>71</v>
      </c>
      <c r="T1" s="304"/>
      <c r="U1" s="304"/>
      <c r="W1" s="304" t="s">
        <v>72</v>
      </c>
      <c r="X1" s="304"/>
      <c r="Y1" s="304"/>
      <c r="AA1" s="304" t="s">
        <v>73</v>
      </c>
      <c r="AB1" s="304"/>
      <c r="AD1" s="304" t="s">
        <v>74</v>
      </c>
      <c r="AE1" s="304"/>
      <c r="AG1" s="304" t="s">
        <v>75</v>
      </c>
      <c r="AH1" s="304"/>
      <c r="AJ1" s="304" t="s">
        <v>76</v>
      </c>
      <c r="AK1" s="304"/>
    </row>
    <row r="2" spans="1:37">
      <c r="A2" s="2" t="s">
        <v>77</v>
      </c>
      <c r="B2" s="3" t="s">
        <v>25</v>
      </c>
      <c r="D2" s="2" t="s">
        <v>77</v>
      </c>
      <c r="E2" s="3" t="s">
        <v>25</v>
      </c>
      <c r="F2" s="2" t="s">
        <v>78</v>
      </c>
      <c r="G2" s="2" t="s">
        <v>30</v>
      </c>
      <c r="H2" s="2" t="s">
        <v>8</v>
      </c>
      <c r="I2" s="2" t="s">
        <v>2</v>
      </c>
      <c r="J2" s="2" t="s">
        <v>0</v>
      </c>
      <c r="K2" s="2" t="s">
        <v>79</v>
      </c>
      <c r="L2" s="2" t="s">
        <v>80</v>
      </c>
      <c r="M2" s="2" t="s">
        <v>54</v>
      </c>
      <c r="O2" s="2" t="s">
        <v>77</v>
      </c>
      <c r="P2" s="3" t="s">
        <v>81</v>
      </c>
      <c r="Q2" s="3" t="s">
        <v>25</v>
      </c>
      <c r="S2" s="2" t="s">
        <v>77</v>
      </c>
      <c r="T2" s="3" t="s">
        <v>81</v>
      </c>
      <c r="U2" s="3" t="s">
        <v>25</v>
      </c>
      <c r="W2" s="2" t="s">
        <v>77</v>
      </c>
      <c r="X2" s="3" t="s">
        <v>82</v>
      </c>
      <c r="Y2" s="3" t="s">
        <v>25</v>
      </c>
      <c r="AA2" s="2" t="s">
        <v>77</v>
      </c>
      <c r="AB2" s="3" t="s">
        <v>25</v>
      </c>
      <c r="AD2" s="2" t="s">
        <v>77</v>
      </c>
      <c r="AE2" s="3" t="s">
        <v>25</v>
      </c>
      <c r="AG2" s="2" t="s">
        <v>77</v>
      </c>
      <c r="AH2" s="3" t="s">
        <v>25</v>
      </c>
      <c r="AJ2" s="2" t="s">
        <v>77</v>
      </c>
      <c r="AK2" s="3" t="s">
        <v>25</v>
      </c>
    </row>
    <row r="3" spans="1:37" ht="30" customHeight="1">
      <c r="A3" s="2" t="e" vm="1">
        <v>#VALUE!</v>
      </c>
      <c r="B3" s="3" t="s">
        <v>83</v>
      </c>
      <c r="D3" s="2" t="e" vm="2">
        <v>#VALUE!</v>
      </c>
      <c r="E3" s="3" t="s">
        <v>84</v>
      </c>
      <c r="F3" s="2" t="e" vm="3">
        <f>$AJ$10</f>
        <v>#VALUE!</v>
      </c>
      <c r="G3" s="2" t="e" vm="4">
        <f>$AJ$16</f>
        <v>#VALUE!</v>
      </c>
      <c r="H3" s="2">
        <v>1.2</v>
      </c>
      <c r="I3" s="2" t="e" vm="5">
        <f>$O$6</f>
        <v>#VALUE!</v>
      </c>
      <c r="J3" s="2" t="e" vm="6">
        <f>$S$11</f>
        <v>#VALUE!</v>
      </c>
      <c r="K3" s="2" t="e" vm="7">
        <f>$AA$5</f>
        <v>#VALUE!</v>
      </c>
      <c r="L3" s="2" t="e" vm="8">
        <f>$W$11</f>
        <v>#VALUE!</v>
      </c>
      <c r="M3" s="2" t="e" vm="9">
        <f>$AD$6</f>
        <v>#VALUE!</v>
      </c>
      <c r="O3" s="2" t="e" vm="10">
        <v>#VALUE!</v>
      </c>
      <c r="P3" s="3" t="s">
        <v>85</v>
      </c>
      <c r="Q3" s="3" t="s">
        <v>86</v>
      </c>
      <c r="S3" s="2" t="e" vm="11">
        <v>#VALUE!</v>
      </c>
      <c r="T3" s="3" t="s">
        <v>87</v>
      </c>
      <c r="U3" s="3" t="s">
        <v>88</v>
      </c>
      <c r="W3" s="2" t="e" vm="12">
        <v>#VALUE!</v>
      </c>
      <c r="X3" s="3" t="s">
        <v>89</v>
      </c>
      <c r="Y3" s="3" t="s">
        <v>90</v>
      </c>
      <c r="AA3" s="2" t="e" vm="13">
        <v>#VALUE!</v>
      </c>
      <c r="AB3" s="3" t="s">
        <v>91</v>
      </c>
      <c r="AD3" s="2" t="e" vm="14">
        <v>#VALUE!</v>
      </c>
      <c r="AE3" s="3" t="s">
        <v>92</v>
      </c>
      <c r="AG3" s="2" t="e" vm="15">
        <v>#VALUE!</v>
      </c>
      <c r="AH3" s="3" t="s">
        <v>93</v>
      </c>
      <c r="AJ3" s="2" t="e" vm="16">
        <v>#VALUE!</v>
      </c>
      <c r="AK3" s="3" t="s">
        <v>52</v>
      </c>
    </row>
    <row r="4" spans="1:37" ht="30" customHeight="1">
      <c r="A4" s="2" t="e" vm="17">
        <v>#VALUE!</v>
      </c>
      <c r="B4" s="3" t="s">
        <v>94</v>
      </c>
      <c r="D4" s="2" t="e" vm="18">
        <v>#VALUE!</v>
      </c>
      <c r="E4" s="3" t="s">
        <v>95</v>
      </c>
      <c r="F4" s="2" t="e" vm="3">
        <f>$AJ$10</f>
        <v>#VALUE!</v>
      </c>
      <c r="G4" s="2" t="e" vm="19">
        <f>$AJ$18</f>
        <v>#VALUE!</v>
      </c>
      <c r="H4" s="2">
        <v>3.4</v>
      </c>
      <c r="I4" s="2" t="e" vm="20">
        <f>$O$24</f>
        <v>#VALUE!</v>
      </c>
      <c r="J4" s="2" t="e" vm="21">
        <f>_xlfn.IMAGE("C:\Users\Cryp7iC\OneDrive\GenshinItemIcons/weapons.png")</f>
        <v>#VALUE!</v>
      </c>
      <c r="O4" s="2" t="e" vm="22">
        <v>#VALUE!</v>
      </c>
      <c r="P4" s="3" t="s">
        <v>96</v>
      </c>
      <c r="Q4" s="3" t="s">
        <v>97</v>
      </c>
      <c r="S4" s="2" t="e" vm="23">
        <v>#VALUE!</v>
      </c>
      <c r="T4" s="3" t="s">
        <v>87</v>
      </c>
      <c r="U4" s="3" t="s">
        <v>98</v>
      </c>
      <c r="W4" s="2" t="e" vm="24">
        <v>#VALUE!</v>
      </c>
      <c r="X4" s="3" t="s">
        <v>89</v>
      </c>
      <c r="Y4" s="3" t="s">
        <v>99</v>
      </c>
      <c r="AA4" s="2" t="e" vm="25">
        <v>#VALUE!</v>
      </c>
      <c r="AB4" s="3" t="s">
        <v>100</v>
      </c>
      <c r="AD4" s="2" t="e" vm="26">
        <v>#VALUE!</v>
      </c>
      <c r="AE4" s="3" t="s">
        <v>101</v>
      </c>
      <c r="AG4" s="2" t="e" vm="27">
        <v>#VALUE!</v>
      </c>
      <c r="AH4" s="3" t="s">
        <v>102</v>
      </c>
      <c r="AJ4" s="2" t="e" vm="28">
        <v>#VALUE!</v>
      </c>
      <c r="AK4" s="3" t="s">
        <v>103</v>
      </c>
    </row>
    <row r="5" spans="1:37" ht="30" customHeight="1">
      <c r="A5" s="2" t="e" vm="29">
        <v>#VALUE!</v>
      </c>
      <c r="B5" s="3" t="s">
        <v>104</v>
      </c>
      <c r="D5" s="2" t="e" vm="30">
        <v>#VALUE!</v>
      </c>
      <c r="E5" s="3" t="s">
        <v>105</v>
      </c>
      <c r="F5" s="2" t="e" vm="3">
        <f>$AJ$10</f>
        <v>#VALUE!</v>
      </c>
      <c r="G5" s="2" t="e" vm="31">
        <f>$AJ$20</f>
        <v>#VALUE!</v>
      </c>
      <c r="H5" s="2">
        <v>1</v>
      </c>
      <c r="O5" s="2" t="e" vm="32">
        <v>#VALUE!</v>
      </c>
      <c r="P5" s="3" t="s">
        <v>106</v>
      </c>
      <c r="Q5" s="3" t="s">
        <v>107</v>
      </c>
      <c r="S5" s="2" t="e" vm="33">
        <v>#VALUE!</v>
      </c>
      <c r="T5" s="3" t="s">
        <v>87</v>
      </c>
      <c r="U5" s="3" t="s">
        <v>108</v>
      </c>
      <c r="W5" s="2" t="e" vm="34">
        <v>#VALUE!</v>
      </c>
      <c r="X5" s="3" t="s">
        <v>89</v>
      </c>
      <c r="Y5" s="3" t="s">
        <v>109</v>
      </c>
      <c r="AA5" s="2" t="e" vm="35">
        <v>#VALUE!</v>
      </c>
      <c r="AB5" s="3" t="s">
        <v>110</v>
      </c>
      <c r="AD5" s="2" t="e" vm="36">
        <v>#VALUE!</v>
      </c>
      <c r="AE5" s="3" t="s">
        <v>111</v>
      </c>
      <c r="AG5" s="2" t="e" vm="37">
        <v>#VALUE!</v>
      </c>
      <c r="AH5" s="3" t="s">
        <v>112</v>
      </c>
      <c r="AJ5" s="2" t="e" vm="38">
        <v>#VALUE!</v>
      </c>
      <c r="AK5" s="3" t="s">
        <v>113</v>
      </c>
    </row>
    <row r="6" spans="1:37" ht="30" customHeight="1">
      <c r="A6" s="2" t="e" vm="39">
        <v>#VALUE!</v>
      </c>
      <c r="B6" s="3" t="s">
        <v>114</v>
      </c>
      <c r="D6" s="2" t="e" vm="40">
        <v>#VALUE!</v>
      </c>
      <c r="E6" s="3" t="s">
        <v>115</v>
      </c>
      <c r="F6" s="2" t="e" vm="3">
        <f>$AJ$10</f>
        <v>#VALUE!</v>
      </c>
      <c r="G6" s="2" t="e" vm="4">
        <f>$AJ$16</f>
        <v>#VALUE!</v>
      </c>
      <c r="H6" s="2">
        <v>4.5</v>
      </c>
      <c r="O6" s="2" t="e" vm="41">
        <v>#VALUE!</v>
      </c>
      <c r="P6" s="3" t="s">
        <v>116</v>
      </c>
      <c r="Q6" s="3" t="s">
        <v>117</v>
      </c>
      <c r="S6" s="2" t="e" vm="42">
        <v>#VALUE!</v>
      </c>
      <c r="T6" s="3" t="s">
        <v>118</v>
      </c>
      <c r="U6" s="3" t="s">
        <v>119</v>
      </c>
      <c r="W6" s="2" t="e" vm="43">
        <v>#VALUE!</v>
      </c>
      <c r="X6" s="3" t="s">
        <v>120</v>
      </c>
      <c r="Y6" s="3" t="s">
        <v>121</v>
      </c>
      <c r="AA6" s="2" t="e" vm="44">
        <v>#VALUE!</v>
      </c>
      <c r="AB6" s="3" t="s">
        <v>122</v>
      </c>
      <c r="AD6" s="2" t="e" vm="45">
        <v>#VALUE!</v>
      </c>
      <c r="AE6" s="3" t="s">
        <v>123</v>
      </c>
      <c r="AG6" s="2" t="e" vm="46">
        <v>#VALUE!</v>
      </c>
      <c r="AH6" s="3" t="s">
        <v>124</v>
      </c>
      <c r="AJ6" s="2" t="e" vm="47">
        <v>#VALUE!</v>
      </c>
      <c r="AK6" s="3" t="s">
        <v>125</v>
      </c>
    </row>
    <row r="7" spans="1:37" ht="30" customHeight="1">
      <c r="D7" s="2" t="e" vm="48">
        <v>#VALUE!</v>
      </c>
      <c r="E7" s="3" t="s">
        <v>126</v>
      </c>
      <c r="F7" s="2" t="e" vm="3">
        <f>$AJ$10</f>
        <v>#VALUE!</v>
      </c>
      <c r="G7" s="2" t="e" vm="49">
        <f>$AJ$17</f>
        <v>#VALUE!</v>
      </c>
      <c r="H7" s="2">
        <v>4.8</v>
      </c>
      <c r="O7" s="2" t="e" vm="50">
        <v>#VALUE!</v>
      </c>
      <c r="P7" s="3" t="s">
        <v>127</v>
      </c>
      <c r="Q7" s="3" t="s">
        <v>128</v>
      </c>
      <c r="S7" s="2" t="e" vm="51">
        <v>#VALUE!</v>
      </c>
      <c r="T7" s="3" t="s">
        <v>118</v>
      </c>
      <c r="U7" s="3" t="s">
        <v>129</v>
      </c>
      <c r="W7" s="2" t="e" vm="52">
        <v>#VALUE!</v>
      </c>
      <c r="X7" s="3" t="s">
        <v>120</v>
      </c>
      <c r="Y7" s="3" t="s">
        <v>130</v>
      </c>
      <c r="AA7" s="2" t="e" vm="53">
        <v>#VALUE!</v>
      </c>
      <c r="AB7" s="3" t="s">
        <v>131</v>
      </c>
      <c r="AD7" s="2" t="e" vm="54">
        <v>#VALUE!</v>
      </c>
      <c r="AE7" s="3" t="s">
        <v>132</v>
      </c>
      <c r="AG7" s="2" t="e" vm="55">
        <v>#VALUE!</v>
      </c>
      <c r="AH7" s="3" t="s">
        <v>133</v>
      </c>
      <c r="AJ7" s="2" t="e" vm="56">
        <v>#VALUE!</v>
      </c>
      <c r="AK7" s="3" t="s">
        <v>134</v>
      </c>
    </row>
    <row r="8" spans="1:37" ht="30" customHeight="1">
      <c r="D8" s="2" t="e" vm="57">
        <v>#VALUE!</v>
      </c>
      <c r="E8" s="3" t="s">
        <v>135</v>
      </c>
      <c r="F8" s="2" t="e" vm="3">
        <f>$AJ$10</f>
        <v>#VALUE!</v>
      </c>
      <c r="G8" s="2" t="e" vm="58">
        <f>$AJ$19</f>
        <v>#VALUE!</v>
      </c>
      <c r="H8" s="2">
        <v>4.2</v>
      </c>
      <c r="O8" s="2" t="e" vm="59">
        <v>#VALUE!</v>
      </c>
      <c r="P8" s="3" t="s">
        <v>136</v>
      </c>
      <c r="Q8" s="3" t="s">
        <v>137</v>
      </c>
      <c r="S8" s="2" t="e" vm="60">
        <v>#VALUE!</v>
      </c>
      <c r="T8" s="3" t="s">
        <v>118</v>
      </c>
      <c r="U8" s="3" t="s">
        <v>138</v>
      </c>
      <c r="W8" s="2" t="e" vm="61">
        <v>#VALUE!</v>
      </c>
      <c r="X8" s="3" t="s">
        <v>120</v>
      </c>
      <c r="Y8" s="3" t="s">
        <v>139</v>
      </c>
      <c r="AA8" s="2" t="e" vm="62">
        <v>#VALUE!</v>
      </c>
      <c r="AB8" s="3" t="s">
        <v>140</v>
      </c>
      <c r="AD8" s="2" t="e" vm="63">
        <v>#VALUE!</v>
      </c>
      <c r="AE8" s="3" t="s">
        <v>141</v>
      </c>
      <c r="AG8" s="2" t="e" vm="64">
        <v>#VALUE!</v>
      </c>
      <c r="AH8" s="3" t="s">
        <v>142</v>
      </c>
      <c r="AJ8" s="2" t="e" vm="65">
        <v>#VALUE!</v>
      </c>
      <c r="AK8" s="3" t="s">
        <v>143</v>
      </c>
    </row>
    <row r="9" spans="1:37" ht="30" customHeight="1">
      <c r="D9" s="2" t="e" vm="66">
        <v>#VALUE!</v>
      </c>
      <c r="E9" s="3" t="s">
        <v>144</v>
      </c>
      <c r="F9" s="2" t="e" vm="3">
        <f>$AJ$10</f>
        <v>#VALUE!</v>
      </c>
      <c r="G9" s="2" t="e" vm="67">
        <f>$AJ$15</f>
        <v>#VALUE!</v>
      </c>
      <c r="H9" s="2">
        <v>1</v>
      </c>
      <c r="O9" s="2" t="e" vm="68">
        <v>#VALUE!</v>
      </c>
      <c r="P9" s="3" t="s">
        <v>145</v>
      </c>
      <c r="Q9" s="3" t="s">
        <v>146</v>
      </c>
      <c r="S9" s="2" t="e" vm="69">
        <v>#VALUE!</v>
      </c>
      <c r="T9" s="3" t="s">
        <v>147</v>
      </c>
      <c r="U9" s="3" t="s">
        <v>148</v>
      </c>
      <c r="W9" s="2" t="e" vm="70">
        <v>#VALUE!</v>
      </c>
      <c r="X9" s="3" t="s">
        <v>149</v>
      </c>
      <c r="Y9" s="3" t="s">
        <v>150</v>
      </c>
      <c r="AA9" s="2" t="e" vm="71">
        <v>#VALUE!</v>
      </c>
      <c r="AB9" s="3" t="s">
        <v>151</v>
      </c>
      <c r="AD9" s="2" t="e" vm="72">
        <v>#VALUE!</v>
      </c>
      <c r="AE9" s="3" t="s">
        <v>152</v>
      </c>
      <c r="AG9" s="2" t="e" vm="73">
        <v>#VALUE!</v>
      </c>
      <c r="AH9" s="3" t="s">
        <v>153</v>
      </c>
      <c r="AJ9" s="2" t="e" vm="74">
        <v>#VALUE!</v>
      </c>
      <c r="AK9" s="3" t="s">
        <v>154</v>
      </c>
    </row>
    <row r="10" spans="1:37" ht="30" customHeight="1">
      <c r="D10" s="2" t="e" vm="75">
        <v>#VALUE!</v>
      </c>
      <c r="E10" s="3" t="s">
        <v>155</v>
      </c>
      <c r="F10" s="2" t="e" vm="3">
        <f>$AJ$10</f>
        <v>#VALUE!</v>
      </c>
      <c r="G10" s="2" t="e" vm="67">
        <f>$AJ$15</f>
        <v>#VALUE!</v>
      </c>
      <c r="H10" s="2">
        <v>1</v>
      </c>
      <c r="O10" s="2" t="e" vm="76">
        <v>#VALUE!</v>
      </c>
      <c r="P10" s="3" t="s">
        <v>156</v>
      </c>
      <c r="Q10" s="3" t="s">
        <v>157</v>
      </c>
      <c r="S10" s="2" t="e" vm="77">
        <v>#VALUE!</v>
      </c>
      <c r="T10" s="3" t="s">
        <v>147</v>
      </c>
      <c r="U10" s="3" t="s">
        <v>158</v>
      </c>
      <c r="W10" s="2" t="e" vm="78">
        <v>#VALUE!</v>
      </c>
      <c r="X10" s="3" t="s">
        <v>149</v>
      </c>
      <c r="Y10" s="3" t="s">
        <v>159</v>
      </c>
      <c r="AA10" s="2" t="e" vm="79">
        <v>#VALUE!</v>
      </c>
      <c r="AB10" s="3" t="s">
        <v>160</v>
      </c>
      <c r="AD10" s="2" t="e" vm="80">
        <v>#VALUE!</v>
      </c>
      <c r="AE10" s="3" t="s">
        <v>161</v>
      </c>
      <c r="AG10" s="2" t="e" vm="81">
        <v>#VALUE!</v>
      </c>
      <c r="AH10" s="3" t="s">
        <v>162</v>
      </c>
      <c r="AJ10" s="2" t="e" vm="82">
        <v>#VALUE!</v>
      </c>
      <c r="AK10" s="3" t="s">
        <v>163</v>
      </c>
    </row>
    <row r="11" spans="1:37" ht="30" customHeight="1">
      <c r="D11" s="2" t="e" vm="83">
        <v>#VALUE!</v>
      </c>
      <c r="E11" s="3" t="s">
        <v>164</v>
      </c>
      <c r="F11" s="2" t="e" vm="3">
        <f>$AJ$10</f>
        <v>#VALUE!</v>
      </c>
      <c r="G11" s="2" t="e" vm="84">
        <f>$AJ$21</f>
        <v>#VALUE!</v>
      </c>
      <c r="H11" s="2">
        <v>2</v>
      </c>
      <c r="O11" s="2" t="e" vm="85">
        <v>#VALUE!</v>
      </c>
      <c r="P11" s="3" t="s">
        <v>165</v>
      </c>
      <c r="Q11" s="3" t="s">
        <v>166</v>
      </c>
      <c r="S11" s="2" t="e" vm="86">
        <v>#VALUE!</v>
      </c>
      <c r="T11" s="3" t="s">
        <v>147</v>
      </c>
      <c r="U11" s="3" t="s">
        <v>167</v>
      </c>
      <c r="W11" s="2" t="e" vm="87">
        <v>#VALUE!</v>
      </c>
      <c r="X11" s="3" t="s">
        <v>149</v>
      </c>
      <c r="Y11" s="3" t="s">
        <v>168</v>
      </c>
      <c r="AA11" s="2" t="e" vm="88">
        <v>#VALUE!</v>
      </c>
      <c r="AB11" s="3" t="s">
        <v>169</v>
      </c>
      <c r="AD11" s="2" t="e" vm="89">
        <v>#VALUE!</v>
      </c>
      <c r="AE11" s="3" t="s">
        <v>170</v>
      </c>
      <c r="AG11" s="2" t="e" vm="90">
        <v>#VALUE!</v>
      </c>
      <c r="AH11" s="3" t="s">
        <v>171</v>
      </c>
      <c r="AJ11" s="2" t="e" vm="91">
        <v>#VALUE!</v>
      </c>
      <c r="AK11" s="3" t="s">
        <v>172</v>
      </c>
    </row>
    <row r="12" spans="1:37" ht="30" customHeight="1">
      <c r="D12" s="2" t="e" vm="92">
        <v>#VALUE!</v>
      </c>
      <c r="E12" s="3" t="s">
        <v>173</v>
      </c>
      <c r="F12" s="2" t="e" vm="3">
        <f>$AJ$10</f>
        <v>#VALUE!</v>
      </c>
      <c r="G12" s="2" t="e" vm="84">
        <f>$AJ$21</f>
        <v>#VALUE!</v>
      </c>
      <c r="H12" s="2">
        <v>2.6</v>
      </c>
      <c r="O12" s="2" t="e" vm="93">
        <v>#VALUE!</v>
      </c>
      <c r="P12" s="3" t="s">
        <v>174</v>
      </c>
      <c r="Q12" s="3" t="s">
        <v>175</v>
      </c>
      <c r="S12" s="2" t="e" vm="94">
        <v>#VALUE!</v>
      </c>
      <c r="T12" s="3" t="s">
        <v>176</v>
      </c>
      <c r="U12" s="3" t="s">
        <v>177</v>
      </c>
      <c r="W12" s="2" t="e" vm="95">
        <v>#VALUE!</v>
      </c>
      <c r="X12" s="3" t="s">
        <v>178</v>
      </c>
      <c r="Y12" s="3" t="s">
        <v>179</v>
      </c>
      <c r="AA12" s="2" t="e" vm="96">
        <v>#VALUE!</v>
      </c>
      <c r="AB12" s="3" t="s">
        <v>180</v>
      </c>
      <c r="AD12" s="2" t="e" vm="97">
        <v>#VALUE!</v>
      </c>
      <c r="AE12" s="3" t="s">
        <v>181</v>
      </c>
      <c r="AG12" s="2" t="e" vm="98">
        <v>#VALUE!</v>
      </c>
      <c r="AH12" s="3" t="s">
        <v>182</v>
      </c>
      <c r="AJ12" s="2" t="e" vm="99">
        <v>#VALUE!</v>
      </c>
      <c r="AK12" s="3" t="s">
        <v>183</v>
      </c>
    </row>
    <row r="13" spans="1:37" ht="30" customHeight="1">
      <c r="D13" s="2" t="e" vm="100">
        <v>#VALUE!</v>
      </c>
      <c r="E13" s="3" t="s">
        <v>184</v>
      </c>
      <c r="F13" s="2" t="e" vm="3">
        <f>$AJ$10</f>
        <v>#VALUE!</v>
      </c>
      <c r="G13" s="2" t="e" vm="58">
        <f>$AJ$19</f>
        <v>#VALUE!</v>
      </c>
      <c r="H13" s="2">
        <v>3.6</v>
      </c>
      <c r="O13" s="2" t="e" vm="101">
        <v>#VALUE!</v>
      </c>
      <c r="P13" s="3" t="s">
        <v>185</v>
      </c>
      <c r="Q13" s="3" t="s">
        <v>186</v>
      </c>
      <c r="S13" s="2" t="e" vm="102">
        <v>#VALUE!</v>
      </c>
      <c r="T13" s="3" t="s">
        <v>176</v>
      </c>
      <c r="U13" s="3" t="s">
        <v>187</v>
      </c>
      <c r="W13" s="2" t="e" vm="103">
        <v>#VALUE!</v>
      </c>
      <c r="X13" s="3" t="s">
        <v>178</v>
      </c>
      <c r="Y13" s="3" t="s">
        <v>188</v>
      </c>
      <c r="AA13" s="2" t="e" vm="104">
        <v>#VALUE!</v>
      </c>
      <c r="AB13" s="3" t="s">
        <v>189</v>
      </c>
      <c r="AD13" s="2" t="e" vm="105">
        <v>#VALUE!</v>
      </c>
      <c r="AE13" s="3" t="s">
        <v>190</v>
      </c>
      <c r="AG13" s="2" t="e" vm="106">
        <v>#VALUE!</v>
      </c>
      <c r="AH13" s="3" t="s">
        <v>191</v>
      </c>
      <c r="AJ13" s="2" t="e" vm="107">
        <v>#VALUE!</v>
      </c>
      <c r="AK13" s="3" t="s">
        <v>192</v>
      </c>
    </row>
    <row r="14" spans="1:37" ht="30" customHeight="1">
      <c r="D14" s="2" t="e" vm="108">
        <v>#VALUE!</v>
      </c>
      <c r="E14" s="3" t="s">
        <v>193</v>
      </c>
      <c r="F14" s="2" t="e" vm="3">
        <f>$AJ$10</f>
        <v>#VALUE!</v>
      </c>
      <c r="G14" s="2" t="e" vm="49">
        <f>$AJ$17</f>
        <v>#VALUE!</v>
      </c>
      <c r="H14" s="2">
        <v>1</v>
      </c>
      <c r="O14" s="2" t="e" vm="109">
        <v>#VALUE!</v>
      </c>
      <c r="P14" s="3" t="s">
        <v>194</v>
      </c>
      <c r="Q14" s="3" t="s">
        <v>195</v>
      </c>
      <c r="S14" s="2" t="e" vm="110">
        <v>#VALUE!</v>
      </c>
      <c r="T14" s="3" t="s">
        <v>176</v>
      </c>
      <c r="U14" s="3" t="s">
        <v>196</v>
      </c>
      <c r="W14" s="2" t="e" vm="111">
        <v>#VALUE!</v>
      </c>
      <c r="X14" s="3" t="s">
        <v>178</v>
      </c>
      <c r="Y14" s="3" t="s">
        <v>197</v>
      </c>
      <c r="AA14" s="2" t="e" vm="112">
        <v>#VALUE!</v>
      </c>
      <c r="AB14" s="3" t="s">
        <v>198</v>
      </c>
      <c r="AD14" s="2" t="e" vm="113">
        <v>#VALUE!</v>
      </c>
      <c r="AE14" s="3" t="s">
        <v>199</v>
      </c>
      <c r="AG14" s="2" t="e" vm="114">
        <v>#VALUE!</v>
      </c>
      <c r="AH14" s="3" t="s">
        <v>200</v>
      </c>
      <c r="AJ14" s="2" t="e" vm="115">
        <v>#VALUE!</v>
      </c>
      <c r="AK14" s="3" t="s">
        <v>201</v>
      </c>
    </row>
    <row r="15" spans="1:37" ht="30" customHeight="1">
      <c r="D15" s="2" t="e" vm="116">
        <v>#VALUE!</v>
      </c>
      <c r="E15" s="3" t="s">
        <v>202</v>
      </c>
      <c r="F15" s="2" t="e" vm="3">
        <f>$AJ$10</f>
        <v>#VALUE!</v>
      </c>
      <c r="G15" s="2" t="e" vm="19">
        <f>$AJ$18</f>
        <v>#VALUE!</v>
      </c>
      <c r="H15" s="2">
        <v>3.7</v>
      </c>
      <c r="O15" s="2" t="e" vm="117">
        <v>#VALUE!</v>
      </c>
      <c r="P15" s="3" t="s">
        <v>203</v>
      </c>
      <c r="Q15" s="3" t="s">
        <v>204</v>
      </c>
      <c r="S15" s="2" t="e" vm="118">
        <v>#VALUE!</v>
      </c>
      <c r="T15" s="3" t="s">
        <v>205</v>
      </c>
      <c r="U15" s="3" t="s">
        <v>206</v>
      </c>
      <c r="W15" s="2" t="e" vm="119">
        <v>#VALUE!</v>
      </c>
      <c r="X15" s="3" t="s">
        <v>207</v>
      </c>
      <c r="Y15" s="3" t="s">
        <v>208</v>
      </c>
      <c r="AA15" s="2" t="e" vm="120">
        <v>#VALUE!</v>
      </c>
      <c r="AB15" s="3" t="s">
        <v>209</v>
      </c>
      <c r="AD15" s="2" t="e" vm="121">
        <v>#VALUE!</v>
      </c>
      <c r="AE15" s="3" t="s">
        <v>210</v>
      </c>
      <c r="AG15" s="2" t="e" vm="122">
        <v>#VALUE!</v>
      </c>
      <c r="AH15" s="3" t="s">
        <v>211</v>
      </c>
      <c r="AJ15" s="2" t="e" vm="123">
        <v>#VALUE!</v>
      </c>
      <c r="AK15" s="3" t="s">
        <v>212</v>
      </c>
    </row>
    <row r="16" spans="1:37" ht="30" customHeight="1">
      <c r="D16" s="2" t="e" vm="124">
        <v>#VALUE!</v>
      </c>
      <c r="E16" s="3" t="s">
        <v>213</v>
      </c>
      <c r="F16" s="2" t="e" vm="3">
        <f>$AJ$10</f>
        <v>#VALUE!</v>
      </c>
      <c r="G16" s="2" t="e" vm="49">
        <f>$AJ$17</f>
        <v>#VALUE!</v>
      </c>
      <c r="H16" s="2">
        <v>2.7</v>
      </c>
      <c r="O16" s="2" t="e" vm="125">
        <v>#VALUE!</v>
      </c>
      <c r="P16" s="3" t="s">
        <v>214</v>
      </c>
      <c r="Q16" s="3" t="s">
        <v>215</v>
      </c>
      <c r="S16" s="2" t="e" vm="126">
        <v>#VALUE!</v>
      </c>
      <c r="T16" s="3" t="s">
        <v>205</v>
      </c>
      <c r="U16" s="3" t="s">
        <v>216</v>
      </c>
      <c r="W16" s="2" t="e" vm="127">
        <v>#VALUE!</v>
      </c>
      <c r="X16" s="3" t="s">
        <v>207</v>
      </c>
      <c r="Y16" s="3" t="s">
        <v>217</v>
      </c>
      <c r="AA16" s="2" t="e" vm="128">
        <v>#VALUE!</v>
      </c>
      <c r="AB16" s="3" t="s">
        <v>218</v>
      </c>
      <c r="AD16" s="2" t="e" vm="129">
        <v>#VALUE!</v>
      </c>
      <c r="AE16" s="3" t="s">
        <v>219</v>
      </c>
      <c r="AG16" s="2" t="e" vm="130">
        <v>#VALUE!</v>
      </c>
      <c r="AH16" s="3" t="s">
        <v>220</v>
      </c>
      <c r="AJ16" s="2" t="e" vm="131">
        <v>#VALUE!</v>
      </c>
      <c r="AK16" s="3" t="s">
        <v>221</v>
      </c>
    </row>
    <row r="17" spans="4:37" ht="30" customHeight="1">
      <c r="D17" s="2" t="e" vm="132">
        <v>#VALUE!</v>
      </c>
      <c r="E17" s="3" t="s">
        <v>222</v>
      </c>
      <c r="F17" s="2" t="e" vm="3">
        <f>$AJ$10</f>
        <v>#VALUE!</v>
      </c>
      <c r="G17" s="2" t="e" vm="84">
        <f>$AJ$21</f>
        <v>#VALUE!</v>
      </c>
      <c r="H17" s="2">
        <v>3.2</v>
      </c>
      <c r="O17" s="2" t="e" vm="133">
        <v>#VALUE!</v>
      </c>
      <c r="P17" s="3" t="s">
        <v>223</v>
      </c>
      <c r="Q17" s="3" t="s">
        <v>224</v>
      </c>
      <c r="S17" s="2" t="e" vm="134">
        <v>#VALUE!</v>
      </c>
      <c r="T17" s="3" t="s">
        <v>205</v>
      </c>
      <c r="U17" s="3" t="s">
        <v>225</v>
      </c>
      <c r="W17" s="2" t="e" vm="135">
        <v>#VALUE!</v>
      </c>
      <c r="X17" s="3" t="s">
        <v>207</v>
      </c>
      <c r="Y17" s="3" t="s">
        <v>226</v>
      </c>
      <c r="AA17" s="2" t="e" vm="136">
        <v>#VALUE!</v>
      </c>
      <c r="AB17" s="3" t="s">
        <v>227</v>
      </c>
      <c r="AD17" s="2" t="e" vm="137">
        <v>#VALUE!</v>
      </c>
      <c r="AE17" s="3" t="s">
        <v>228</v>
      </c>
      <c r="AG17" s="2" t="e" vm="138">
        <v>#VALUE!</v>
      </c>
      <c r="AH17" s="3" t="s">
        <v>229</v>
      </c>
      <c r="AJ17" s="2" t="e" vm="139">
        <v>#VALUE!</v>
      </c>
      <c r="AK17" s="3" t="s">
        <v>230</v>
      </c>
    </row>
    <row r="18" spans="4:37" ht="30" customHeight="1">
      <c r="D18" s="2" t="e" vm="140">
        <v>#VALUE!</v>
      </c>
      <c r="E18" s="3" t="s">
        <v>231</v>
      </c>
      <c r="F18" s="2" t="e" vm="3">
        <f>$AJ$10</f>
        <v>#VALUE!</v>
      </c>
      <c r="G18" s="2" t="e" vm="67">
        <f>$AJ$15</f>
        <v>#VALUE!</v>
      </c>
      <c r="H18" s="2">
        <v>4</v>
      </c>
      <c r="O18" s="2" t="e" vm="141">
        <v>#VALUE!</v>
      </c>
      <c r="P18" s="3" t="s">
        <v>232</v>
      </c>
      <c r="Q18" s="3" t="s">
        <v>233</v>
      </c>
      <c r="S18" s="2" t="e" vm="142">
        <v>#VALUE!</v>
      </c>
      <c r="T18" s="3" t="s">
        <v>234</v>
      </c>
      <c r="U18" s="3" t="s">
        <v>235</v>
      </c>
      <c r="W18" s="2" t="e" vm="143">
        <v>#VALUE!</v>
      </c>
      <c r="X18" s="3" t="s">
        <v>236</v>
      </c>
      <c r="Y18" s="3" t="s">
        <v>237</v>
      </c>
      <c r="AA18" s="2" t="e" vm="144">
        <v>#VALUE!</v>
      </c>
      <c r="AB18" s="3" t="s">
        <v>238</v>
      </c>
      <c r="AD18" s="2" t="e" vm="145">
        <v>#VALUE!</v>
      </c>
      <c r="AE18" s="3" t="s">
        <v>239</v>
      </c>
      <c r="AG18" s="2" t="e" vm="146">
        <v>#VALUE!</v>
      </c>
      <c r="AH18" s="3" t="s">
        <v>240</v>
      </c>
      <c r="AJ18" s="2" t="e" vm="147">
        <v>#VALUE!</v>
      </c>
      <c r="AK18" s="3" t="s">
        <v>241</v>
      </c>
    </row>
    <row r="19" spans="4:37" ht="30" customHeight="1">
      <c r="D19" s="2" t="e" vm="148">
        <v>#VALUE!</v>
      </c>
      <c r="E19" s="3" t="s">
        <v>242</v>
      </c>
      <c r="F19" s="2" t="e" vm="3">
        <f>$AJ$10</f>
        <v>#VALUE!</v>
      </c>
      <c r="G19" s="2" t="e" vm="58">
        <f>$AJ$19</f>
        <v>#VALUE!</v>
      </c>
      <c r="H19" s="2">
        <v>3.1</v>
      </c>
      <c r="O19" s="2" t="e" vm="149">
        <v>#VALUE!</v>
      </c>
      <c r="P19" s="3" t="s">
        <v>243</v>
      </c>
      <c r="Q19" s="3" t="s">
        <v>244</v>
      </c>
      <c r="S19" s="2" t="e" vm="150">
        <v>#VALUE!</v>
      </c>
      <c r="T19" s="3" t="s">
        <v>234</v>
      </c>
      <c r="U19" s="3" t="s">
        <v>245</v>
      </c>
      <c r="W19" s="2" t="e" vm="151">
        <v>#VALUE!</v>
      </c>
      <c r="X19" s="3" t="s">
        <v>236</v>
      </c>
      <c r="Y19" s="3" t="s">
        <v>246</v>
      </c>
      <c r="AA19" s="2" t="e" vm="152">
        <v>#VALUE!</v>
      </c>
      <c r="AB19" s="3" t="s">
        <v>247</v>
      </c>
      <c r="AD19" s="2" t="e" vm="153">
        <v>#VALUE!</v>
      </c>
      <c r="AE19" s="3" t="s">
        <v>248</v>
      </c>
      <c r="AG19" s="2" t="e" vm="154">
        <v>#VALUE!</v>
      </c>
      <c r="AH19" s="3" t="s">
        <v>249</v>
      </c>
      <c r="AJ19" s="2" t="e" vm="155">
        <v>#VALUE!</v>
      </c>
      <c r="AK19" s="3" t="s">
        <v>250</v>
      </c>
    </row>
    <row r="20" spans="4:37" ht="30" customHeight="1">
      <c r="D20" s="2" t="e" vm="156">
        <v>#VALUE!</v>
      </c>
      <c r="E20" s="3" t="s">
        <v>251</v>
      </c>
      <c r="F20" s="2" t="e" vm="3">
        <f>$AJ$10</f>
        <v>#VALUE!</v>
      </c>
      <c r="G20" s="2" t="e" vm="84">
        <f>$AJ$21</f>
        <v>#VALUE!</v>
      </c>
      <c r="H20" s="2">
        <v>1</v>
      </c>
      <c r="O20" s="2" t="e" vm="157">
        <v>#VALUE!</v>
      </c>
      <c r="P20" s="3" t="s">
        <v>252</v>
      </c>
      <c r="Q20" s="3" t="s">
        <v>253</v>
      </c>
      <c r="S20" s="2" t="e" vm="158">
        <v>#VALUE!</v>
      </c>
      <c r="T20" s="3" t="s">
        <v>234</v>
      </c>
      <c r="U20" s="3" t="s">
        <v>254</v>
      </c>
      <c r="W20" s="2" t="e" vm="159">
        <v>#VALUE!</v>
      </c>
      <c r="X20" s="3" t="s">
        <v>236</v>
      </c>
      <c r="Y20" s="3" t="s">
        <v>255</v>
      </c>
      <c r="AA20" s="2" t="e" vm="160">
        <v>#VALUE!</v>
      </c>
      <c r="AB20" s="3" t="s">
        <v>256</v>
      </c>
      <c r="AD20" s="2" t="e" vm="161">
        <v>#VALUE!</v>
      </c>
      <c r="AE20" s="3" t="s">
        <v>257</v>
      </c>
      <c r="AG20" s="2" t="e" vm="162">
        <v>#VALUE!</v>
      </c>
      <c r="AH20" s="3" t="s">
        <v>258</v>
      </c>
      <c r="AJ20" s="2" t="e" vm="163">
        <v>#VALUE!</v>
      </c>
      <c r="AK20" s="3" t="s">
        <v>259</v>
      </c>
    </row>
    <row r="21" spans="4:37" ht="30" customHeight="1">
      <c r="D21" s="2" t="e" vm="164">
        <v>#VALUE!</v>
      </c>
      <c r="E21" s="3" t="s">
        <v>260</v>
      </c>
      <c r="F21" s="2" t="e" vm="3">
        <f>$AJ$10</f>
        <v>#VALUE!</v>
      </c>
      <c r="G21" s="2" t="e" vm="67">
        <f>$AJ$15</f>
        <v>#VALUE!</v>
      </c>
      <c r="H21" s="2">
        <v>1</v>
      </c>
      <c r="O21" s="2" t="e" vm="165">
        <v>#VALUE!</v>
      </c>
      <c r="P21" s="3" t="s">
        <v>261</v>
      </c>
      <c r="Q21" s="3" t="s">
        <v>262</v>
      </c>
      <c r="S21" s="2" t="e" vm="166">
        <v>#VALUE!</v>
      </c>
      <c r="T21" s="3" t="s">
        <v>40</v>
      </c>
      <c r="U21" s="3" t="s">
        <v>263</v>
      </c>
      <c r="W21" s="2" t="e" vm="167">
        <v>#VALUE!</v>
      </c>
      <c r="X21" s="3" t="s">
        <v>264</v>
      </c>
      <c r="Y21" s="3" t="s">
        <v>265</v>
      </c>
      <c r="AA21" s="2" t="e" vm="168">
        <v>#VALUE!</v>
      </c>
      <c r="AB21" s="3" t="s">
        <v>266</v>
      </c>
      <c r="AD21" s="2" t="e" vm="169">
        <v>#VALUE!</v>
      </c>
      <c r="AE21" s="3" t="s">
        <v>267</v>
      </c>
      <c r="AG21" s="2" t="e" vm="170">
        <v>#VALUE!</v>
      </c>
      <c r="AH21" s="3" t="s">
        <v>268</v>
      </c>
      <c r="AJ21" s="2" t="e" vm="171">
        <v>#VALUE!</v>
      </c>
      <c r="AK21" s="3" t="s">
        <v>269</v>
      </c>
    </row>
    <row r="22" spans="4:37" ht="30" customHeight="1">
      <c r="D22" s="2" t="e" vm="164">
        <v>#VALUE!</v>
      </c>
      <c r="E22" s="3" t="s">
        <v>260</v>
      </c>
      <c r="F22" s="2" t="e" vm="3">
        <f>$AJ$10</f>
        <v>#VALUE!</v>
      </c>
      <c r="G22" s="2" t="e" vm="4">
        <f>$AJ$16</f>
        <v>#VALUE!</v>
      </c>
      <c r="H22" s="2">
        <v>1</v>
      </c>
      <c r="O22" s="2" t="e" vm="172">
        <v>#VALUE!</v>
      </c>
      <c r="P22" s="3" t="s">
        <v>270</v>
      </c>
      <c r="Q22" s="3" t="s">
        <v>271</v>
      </c>
      <c r="S22" s="2" t="e" vm="173">
        <v>#VALUE!</v>
      </c>
      <c r="T22" s="3" t="s">
        <v>40</v>
      </c>
      <c r="U22" s="3" t="s">
        <v>272</v>
      </c>
      <c r="W22" s="2" t="e" vm="174">
        <v>#VALUE!</v>
      </c>
      <c r="X22" s="3" t="s">
        <v>264</v>
      </c>
      <c r="Y22" s="3" t="s">
        <v>273</v>
      </c>
      <c r="AA22" s="2" t="e" vm="175">
        <v>#VALUE!</v>
      </c>
      <c r="AB22" s="3" t="s">
        <v>274</v>
      </c>
      <c r="AD22" s="2" t="e" vm="176">
        <v>#VALUE!</v>
      </c>
      <c r="AE22" s="3" t="s">
        <v>275</v>
      </c>
      <c r="AG22" s="2" t="e" vm="177">
        <v>#VALUE!</v>
      </c>
      <c r="AH22" s="3" t="s">
        <v>276</v>
      </c>
    </row>
    <row r="23" spans="4:37" ht="30" customHeight="1">
      <c r="D23" s="2" t="e" vm="164">
        <v>#VALUE!</v>
      </c>
      <c r="E23" s="3" t="s">
        <v>260</v>
      </c>
      <c r="F23" s="2" t="e" vm="3">
        <f>$AJ$10</f>
        <v>#VALUE!</v>
      </c>
      <c r="G23" s="2" t="e" vm="49">
        <f>$AJ$17</f>
        <v>#VALUE!</v>
      </c>
      <c r="H23" s="2">
        <v>1</v>
      </c>
      <c r="O23" s="2" t="e" vm="178">
        <v>#VALUE!</v>
      </c>
      <c r="P23" s="3" t="s">
        <v>277</v>
      </c>
      <c r="Q23" s="3" t="s">
        <v>278</v>
      </c>
      <c r="S23" s="2" t="e" vm="179">
        <v>#VALUE!</v>
      </c>
      <c r="T23" s="3" t="s">
        <v>40</v>
      </c>
      <c r="U23" s="3" t="s">
        <v>279</v>
      </c>
      <c r="W23" s="2" t="e" vm="180">
        <v>#VALUE!</v>
      </c>
      <c r="X23" s="3" t="s">
        <v>264</v>
      </c>
      <c r="Y23" s="3" t="s">
        <v>280</v>
      </c>
      <c r="AA23" s="2" t="e" vm="181">
        <v>#VALUE!</v>
      </c>
      <c r="AB23" s="3" t="s">
        <v>281</v>
      </c>
      <c r="AD23" s="2" t="e" vm="182">
        <v>#VALUE!</v>
      </c>
      <c r="AE23" s="3" t="s">
        <v>282</v>
      </c>
      <c r="AG23" s="2" t="e" vm="183">
        <v>#VALUE!</v>
      </c>
      <c r="AH23" s="3" t="s">
        <v>283</v>
      </c>
    </row>
    <row r="24" spans="4:37" ht="30" customHeight="1">
      <c r="D24" s="2" t="e" vm="164">
        <v>#VALUE!</v>
      </c>
      <c r="E24" s="3" t="s">
        <v>260</v>
      </c>
      <c r="F24" s="2" t="e" vm="3">
        <f>$AJ$10</f>
        <v>#VALUE!</v>
      </c>
      <c r="G24" s="2" t="e" vm="19">
        <f>$AJ$18</f>
        <v>#VALUE!</v>
      </c>
      <c r="H24" s="2">
        <v>1</v>
      </c>
      <c r="O24" s="2" t="e" vm="184">
        <v>#VALUE!</v>
      </c>
      <c r="P24" s="3" t="s">
        <v>284</v>
      </c>
      <c r="Q24" s="3" t="s">
        <v>285</v>
      </c>
      <c r="S24" s="2" t="e" vm="185">
        <v>#VALUE!</v>
      </c>
      <c r="T24" s="3" t="s">
        <v>286</v>
      </c>
      <c r="U24" s="3" t="s">
        <v>287</v>
      </c>
      <c r="W24" s="2" t="e" vm="186">
        <v>#VALUE!</v>
      </c>
      <c r="X24" s="3" t="s">
        <v>288</v>
      </c>
      <c r="Y24" s="3" t="s">
        <v>289</v>
      </c>
      <c r="AA24" s="2" t="e" vm="187">
        <v>#VALUE!</v>
      </c>
      <c r="AB24" s="3" t="s">
        <v>290</v>
      </c>
      <c r="AD24" s="2" t="e" vm="188">
        <v>#VALUE!</v>
      </c>
      <c r="AE24" s="3" t="s">
        <v>291</v>
      </c>
      <c r="AG24" s="2" t="e" vm="189">
        <v>#VALUE!</v>
      </c>
      <c r="AH24" s="3" t="s">
        <v>292</v>
      </c>
    </row>
    <row r="25" spans="4:37" ht="30" customHeight="1">
      <c r="D25" s="2" t="e" vm="164">
        <v>#VALUE!</v>
      </c>
      <c r="E25" s="3" t="s">
        <v>260</v>
      </c>
      <c r="F25" s="2" t="e" vm="3">
        <f>$AJ$10</f>
        <v>#VALUE!</v>
      </c>
      <c r="G25" s="2" t="e" vm="58">
        <f>$AJ$19</f>
        <v>#VALUE!</v>
      </c>
      <c r="H25" s="2">
        <v>1</v>
      </c>
      <c r="O25" s="2" t="e" vm="190">
        <v>#VALUE!</v>
      </c>
      <c r="P25" s="3" t="s">
        <v>293</v>
      </c>
      <c r="Q25" s="3" t="s">
        <v>294</v>
      </c>
      <c r="S25" s="2" t="e" vm="191">
        <v>#VALUE!</v>
      </c>
      <c r="T25" s="3" t="s">
        <v>286</v>
      </c>
      <c r="U25" s="3" t="s">
        <v>295</v>
      </c>
      <c r="W25" s="2" t="e" vm="192">
        <v>#VALUE!</v>
      </c>
      <c r="X25" s="3" t="s">
        <v>288</v>
      </c>
      <c r="Y25" s="3" t="s">
        <v>296</v>
      </c>
      <c r="AA25" s="2" t="e" vm="193">
        <v>#VALUE!</v>
      </c>
      <c r="AB25" s="3" t="s">
        <v>297</v>
      </c>
      <c r="AD25" s="2" t="e" vm="194">
        <v>#VALUE!</v>
      </c>
      <c r="AE25" s="3" t="s">
        <v>298</v>
      </c>
      <c r="AG25" s="2" t="e" vm="195">
        <v>#VALUE!</v>
      </c>
      <c r="AH25" s="3" t="s">
        <v>299</v>
      </c>
    </row>
    <row r="26" spans="4:37" ht="30" customHeight="1">
      <c r="D26" s="2" t="e" vm="164">
        <v>#VALUE!</v>
      </c>
      <c r="E26" s="3" t="s">
        <v>260</v>
      </c>
      <c r="F26" s="2" t="e" vm="3">
        <f>$AJ$10</f>
        <v>#VALUE!</v>
      </c>
      <c r="G26" s="2" t="e" vm="31">
        <f>$AJ$20</f>
        <v>#VALUE!</v>
      </c>
      <c r="H26" s="2">
        <v>1</v>
      </c>
      <c r="O26" s="2" t="e" vm="196">
        <v>#VALUE!</v>
      </c>
      <c r="P26" s="3" t="s">
        <v>300</v>
      </c>
      <c r="Q26" s="3" t="s">
        <v>301</v>
      </c>
      <c r="S26" s="2" t="e" vm="197">
        <v>#VALUE!</v>
      </c>
      <c r="T26" s="3" t="s">
        <v>286</v>
      </c>
      <c r="U26" s="3" t="s">
        <v>302</v>
      </c>
      <c r="W26" s="2" t="e" vm="198">
        <v>#VALUE!</v>
      </c>
      <c r="X26" s="3" t="s">
        <v>288</v>
      </c>
      <c r="Y26" s="3" t="s">
        <v>303</v>
      </c>
      <c r="AA26" s="2" t="e" vm="199">
        <v>#VALUE!</v>
      </c>
      <c r="AB26" s="3" t="s">
        <v>304</v>
      </c>
      <c r="AD26" s="2" t="e" vm="200">
        <v>#VALUE!</v>
      </c>
      <c r="AE26" s="3" t="s">
        <v>305</v>
      </c>
      <c r="AG26" s="2" t="e" vm="201">
        <v>#VALUE!</v>
      </c>
      <c r="AH26" s="3" t="s">
        <v>306</v>
      </c>
    </row>
    <row r="27" spans="4:37" ht="30" customHeight="1">
      <c r="D27" s="2" t="e" vm="164">
        <v>#VALUE!</v>
      </c>
      <c r="E27" s="3" t="s">
        <v>260</v>
      </c>
      <c r="F27" s="2" t="e" vm="3">
        <f>$AJ$10</f>
        <v>#VALUE!</v>
      </c>
      <c r="G27" s="2" t="e" vm="84">
        <f>$AJ$21</f>
        <v>#VALUE!</v>
      </c>
      <c r="H27" s="2">
        <v>1</v>
      </c>
      <c r="O27" s="2" t="e" vm="202">
        <v>#VALUE!</v>
      </c>
      <c r="P27" s="3" t="s">
        <v>307</v>
      </c>
      <c r="Q27" s="3" t="s">
        <v>308</v>
      </c>
      <c r="S27" s="2" t="e" vm="203">
        <v>#VALUE!</v>
      </c>
      <c r="T27" s="3" t="s">
        <v>309</v>
      </c>
      <c r="U27" s="3" t="s">
        <v>310</v>
      </c>
      <c r="W27" s="2" t="e" vm="204">
        <v>#VALUE!</v>
      </c>
      <c r="X27" s="3" t="s">
        <v>311</v>
      </c>
      <c r="Y27" s="3" t="s">
        <v>312</v>
      </c>
      <c r="AA27" s="2" t="e" vm="205">
        <v>#VALUE!</v>
      </c>
      <c r="AB27" s="3" t="s">
        <v>313</v>
      </c>
      <c r="AD27" s="2" t="e" vm="206">
        <v>#VALUE!</v>
      </c>
      <c r="AE27" s="3" t="s">
        <v>314</v>
      </c>
      <c r="AG27" s="2" t="e" vm="207">
        <v>#VALUE!</v>
      </c>
      <c r="AH27" s="3" t="s">
        <v>315</v>
      </c>
    </row>
    <row r="28" spans="4:37" ht="30" customHeight="1">
      <c r="D28" s="2" t="e" vm="208">
        <v>#VALUE!</v>
      </c>
      <c r="E28" s="3" t="s">
        <v>316</v>
      </c>
      <c r="F28" s="2" t="e" vm="3">
        <f>$AJ$10</f>
        <v>#VALUE!</v>
      </c>
      <c r="G28" s="2" t="e" vm="58">
        <f>$AJ$19</f>
        <v>#VALUE!</v>
      </c>
      <c r="H28" s="2">
        <v>1</v>
      </c>
      <c r="O28" s="2" t="e" vm="209">
        <v>#VALUE!</v>
      </c>
      <c r="P28" s="3" t="s">
        <v>317</v>
      </c>
      <c r="Q28" s="3" t="s">
        <v>318</v>
      </c>
      <c r="S28" s="2" t="e" vm="210">
        <v>#VALUE!</v>
      </c>
      <c r="T28" s="3" t="s">
        <v>309</v>
      </c>
      <c r="U28" s="3" t="s">
        <v>319</v>
      </c>
      <c r="W28" s="2" t="e" vm="211">
        <v>#VALUE!</v>
      </c>
      <c r="X28" s="3" t="s">
        <v>311</v>
      </c>
      <c r="Y28" s="3" t="s">
        <v>320</v>
      </c>
      <c r="AA28" s="2" t="e" vm="212">
        <v>#VALUE!</v>
      </c>
      <c r="AB28" s="3" t="s">
        <v>321</v>
      </c>
      <c r="AD28" s="2" t="e" vm="213">
        <v>#VALUE!</v>
      </c>
      <c r="AE28" s="3" t="s">
        <v>322</v>
      </c>
      <c r="AG28" s="2" t="e" vm="214">
        <v>#VALUE!</v>
      </c>
      <c r="AH28" s="3" t="s">
        <v>323</v>
      </c>
    </row>
    <row r="29" spans="4:37" ht="30" customHeight="1">
      <c r="D29" s="2" t="e" vm="215">
        <v>#VALUE!</v>
      </c>
      <c r="E29" s="3" t="s">
        <v>324</v>
      </c>
      <c r="F29" s="2" t="e" vm="216">
        <f>$AJ$13</f>
        <v>#VALUE!</v>
      </c>
      <c r="G29" s="2" t="e" vm="84">
        <f>$AJ$21</f>
        <v>#VALUE!</v>
      </c>
      <c r="H29" s="2">
        <v>2.1</v>
      </c>
      <c r="O29" s="2" t="e" vm="217">
        <v>#VALUE!</v>
      </c>
      <c r="P29" s="3" t="s">
        <v>325</v>
      </c>
      <c r="Q29" s="3" t="s">
        <v>326</v>
      </c>
      <c r="S29" s="2" t="e" vm="218">
        <v>#VALUE!</v>
      </c>
      <c r="T29" s="3" t="s">
        <v>309</v>
      </c>
      <c r="U29" s="3" t="s">
        <v>327</v>
      </c>
      <c r="W29" s="2" t="e" vm="219">
        <v>#VALUE!</v>
      </c>
      <c r="X29" s="3" t="s">
        <v>311</v>
      </c>
      <c r="Y29" s="3" t="s">
        <v>328</v>
      </c>
      <c r="AA29" s="2" t="e" vm="220">
        <v>#VALUE!</v>
      </c>
      <c r="AB29" s="3" t="s">
        <v>329</v>
      </c>
      <c r="AD29" s="2" t="e" vm="221">
        <v>#VALUE!</v>
      </c>
      <c r="AE29" s="3" t="s">
        <v>330</v>
      </c>
      <c r="AG29" s="2" t="e" vm="222">
        <v>#VALUE!</v>
      </c>
      <c r="AH29" s="3" t="s">
        <v>331</v>
      </c>
    </row>
    <row r="30" spans="4:37" ht="30" customHeight="1">
      <c r="D30" s="2" t="e" vm="223">
        <v>#VALUE!</v>
      </c>
      <c r="E30" s="3" t="s">
        <v>332</v>
      </c>
      <c r="F30" s="2" t="e" vm="216">
        <f>$AJ$13</f>
        <v>#VALUE!</v>
      </c>
      <c r="G30" s="2" t="e" vm="31">
        <f>$AJ$20</f>
        <v>#VALUE!</v>
      </c>
      <c r="H30" s="2">
        <v>1</v>
      </c>
      <c r="O30" s="2" t="e" vm="224">
        <v>#VALUE!</v>
      </c>
      <c r="P30" s="3" t="s">
        <v>333</v>
      </c>
      <c r="Q30" s="3" t="s">
        <v>334</v>
      </c>
      <c r="S30" s="2" t="e" vm="134">
        <v>#VALUE!</v>
      </c>
      <c r="T30" s="3" t="s">
        <v>335</v>
      </c>
      <c r="U30" s="3" t="s">
        <v>225</v>
      </c>
      <c r="W30" s="2" t="e" vm="225">
        <v>#VALUE!</v>
      </c>
      <c r="X30" s="3" t="s">
        <v>336</v>
      </c>
      <c r="Y30" s="3" t="s">
        <v>337</v>
      </c>
      <c r="AA30" s="2" t="e" vm="226">
        <v>#VALUE!</v>
      </c>
      <c r="AB30" s="3" t="s">
        <v>338</v>
      </c>
      <c r="AD30" s="2" t="e" vm="227">
        <v>#VALUE!</v>
      </c>
      <c r="AE30" s="3" t="s">
        <v>339</v>
      </c>
      <c r="AG30" s="2" t="e" vm="228">
        <v>#VALUE!</v>
      </c>
      <c r="AH30" s="3" t="s">
        <v>340</v>
      </c>
    </row>
    <row r="31" spans="4:37" ht="30" customHeight="1">
      <c r="D31" s="2" t="e" vm="229">
        <v>#VALUE!</v>
      </c>
      <c r="E31" s="3" t="s">
        <v>341</v>
      </c>
      <c r="F31" s="2" t="e" vm="216">
        <f>$AJ$13</f>
        <v>#VALUE!</v>
      </c>
      <c r="G31" s="2" t="e" vm="19">
        <f>$AJ$18</f>
        <v>#VALUE!</v>
      </c>
      <c r="H31" s="2">
        <v>3</v>
      </c>
      <c r="O31" s="2" t="e" vm="230">
        <v>#VALUE!</v>
      </c>
      <c r="P31" s="3" t="s">
        <v>342</v>
      </c>
      <c r="Q31" s="3" t="s">
        <v>343</v>
      </c>
      <c r="S31" s="2" t="e" vm="231">
        <v>#VALUE!</v>
      </c>
      <c r="T31" s="3" t="s">
        <v>335</v>
      </c>
      <c r="U31" s="3" t="s">
        <v>344</v>
      </c>
      <c r="W31" s="2" t="e" vm="232">
        <v>#VALUE!</v>
      </c>
      <c r="X31" s="3" t="s">
        <v>336</v>
      </c>
      <c r="Y31" s="3" t="s">
        <v>345</v>
      </c>
      <c r="AA31" s="2" t="e" vm="233">
        <v>#VALUE!</v>
      </c>
      <c r="AB31" s="3" t="s">
        <v>346</v>
      </c>
      <c r="AD31" s="2" t="e" vm="234">
        <v>#VALUE!</v>
      </c>
      <c r="AE31" s="3" t="s">
        <v>347</v>
      </c>
      <c r="AG31" s="2" t="e" vm="235">
        <v>#VALUE!</v>
      </c>
      <c r="AH31" s="3" t="s">
        <v>348</v>
      </c>
    </row>
    <row r="32" spans="4:37" ht="30" customHeight="1">
      <c r="D32" s="2" t="e" vm="236">
        <v>#VALUE!</v>
      </c>
      <c r="E32" s="3" t="s">
        <v>349</v>
      </c>
      <c r="F32" s="2" t="e" vm="216">
        <f>$AJ$13</f>
        <v>#VALUE!</v>
      </c>
      <c r="G32" s="2" t="e" vm="84">
        <f>$AJ$21</f>
        <v>#VALUE!</v>
      </c>
      <c r="H32" s="2">
        <v>1.1000000000000001</v>
      </c>
      <c r="O32" s="2" t="e" vm="237">
        <v>#VALUE!</v>
      </c>
      <c r="P32" s="3" t="s">
        <v>37</v>
      </c>
      <c r="Q32" s="3" t="s">
        <v>350</v>
      </c>
      <c r="S32" s="2" t="e" vm="238">
        <v>#VALUE!</v>
      </c>
      <c r="T32" s="3" t="s">
        <v>335</v>
      </c>
      <c r="U32" s="3" t="s">
        <v>351</v>
      </c>
      <c r="W32" s="2" t="e" vm="239">
        <v>#VALUE!</v>
      </c>
      <c r="X32" s="3" t="s">
        <v>336</v>
      </c>
      <c r="Y32" s="3" t="s">
        <v>352</v>
      </c>
      <c r="AA32" s="2" t="e" vm="240">
        <v>#VALUE!</v>
      </c>
      <c r="AB32" s="3" t="s">
        <v>353</v>
      </c>
      <c r="AD32" s="2" t="e" vm="241">
        <v>#VALUE!</v>
      </c>
      <c r="AE32" s="3" t="s">
        <v>354</v>
      </c>
      <c r="AG32" s="2" t="e" vm="242">
        <v>#VALUE!</v>
      </c>
      <c r="AH32" s="3" t="s">
        <v>355</v>
      </c>
    </row>
    <row r="33" spans="4:34" ht="30" customHeight="1">
      <c r="D33" s="2" t="e" vm="243">
        <v>#VALUE!</v>
      </c>
      <c r="E33" s="3" t="s">
        <v>356</v>
      </c>
      <c r="F33" s="2" t="e" vm="216">
        <f>$AJ$13</f>
        <v>#VALUE!</v>
      </c>
      <c r="G33" s="2" t="e" vm="67">
        <f>$AJ$15</f>
        <v>#VALUE!</v>
      </c>
      <c r="H33" s="2">
        <v>3.3</v>
      </c>
      <c r="O33" s="2" t="e" vm="244">
        <v>#VALUE!</v>
      </c>
      <c r="P33" s="3" t="s">
        <v>357</v>
      </c>
      <c r="Q33" s="3" t="s">
        <v>358</v>
      </c>
      <c r="W33" s="2" t="e" vm="245">
        <v>#VALUE!</v>
      </c>
      <c r="X33" s="3" t="s">
        <v>46</v>
      </c>
      <c r="Y33" s="3" t="s">
        <v>359</v>
      </c>
      <c r="AA33" s="2" t="e" vm="246">
        <v>#VALUE!</v>
      </c>
      <c r="AB33" s="3" t="s">
        <v>360</v>
      </c>
      <c r="AD33" s="2" t="e" vm="247">
        <v>#VALUE!</v>
      </c>
      <c r="AE33" s="3" t="s">
        <v>361</v>
      </c>
      <c r="AG33" s="2" t="e" vm="248">
        <v>#VALUE!</v>
      </c>
      <c r="AH33" s="3" t="s">
        <v>362</v>
      </c>
    </row>
    <row r="34" spans="4:34" ht="30" customHeight="1">
      <c r="D34" s="2" t="e" vm="249">
        <v>#VALUE!</v>
      </c>
      <c r="E34" s="3" t="s">
        <v>363</v>
      </c>
      <c r="F34" s="2" t="e" vm="216">
        <f>$AJ$13</f>
        <v>#VALUE!</v>
      </c>
      <c r="G34" s="2" t="e" vm="49">
        <f>$AJ$17</f>
        <v>#VALUE!</v>
      </c>
      <c r="H34" s="2">
        <v>1</v>
      </c>
      <c r="W34" s="2" t="e" vm="250">
        <v>#VALUE!</v>
      </c>
      <c r="X34" s="3" t="s">
        <v>46</v>
      </c>
      <c r="Y34" s="3" t="s">
        <v>364</v>
      </c>
      <c r="AA34" s="2" t="e" vm="251">
        <v>#VALUE!</v>
      </c>
      <c r="AB34" s="3" t="s">
        <v>365</v>
      </c>
      <c r="AD34" s="2" t="e" vm="252">
        <v>#VALUE!</v>
      </c>
      <c r="AE34" s="3" t="s">
        <v>366</v>
      </c>
      <c r="AG34" s="2" t="e" vm="253">
        <v>#VALUE!</v>
      </c>
      <c r="AH34" s="3" t="s">
        <v>367</v>
      </c>
    </row>
    <row r="35" spans="4:34" ht="30" customHeight="1">
      <c r="D35" s="2" t="e" vm="254">
        <v>#VALUE!</v>
      </c>
      <c r="E35" s="3" t="s">
        <v>368</v>
      </c>
      <c r="F35" s="2" t="e" vm="216">
        <f>$AJ$13</f>
        <v>#VALUE!</v>
      </c>
      <c r="G35" s="2" t="e" vm="84">
        <f>$AJ$21</f>
        <v>#VALUE!</v>
      </c>
      <c r="H35" s="2">
        <v>1.2</v>
      </c>
      <c r="W35" s="2" t="e" vm="255">
        <v>#VALUE!</v>
      </c>
      <c r="X35" s="3" t="s">
        <v>46</v>
      </c>
      <c r="Y35" s="3" t="s">
        <v>369</v>
      </c>
      <c r="AA35" s="2" t="e" vm="256">
        <v>#VALUE!</v>
      </c>
      <c r="AB35" s="3" t="s">
        <v>370</v>
      </c>
      <c r="AD35" s="2" t="e" vm="257">
        <v>#VALUE!</v>
      </c>
      <c r="AE35" s="3" t="s">
        <v>371</v>
      </c>
    </row>
    <row r="36" spans="4:34" ht="30" customHeight="1">
      <c r="D36" s="2" t="e" vm="258">
        <v>#VALUE!</v>
      </c>
      <c r="E36" s="3" t="s">
        <v>372</v>
      </c>
      <c r="F36" s="2" t="e" vm="216">
        <f>$AJ$13</f>
        <v>#VALUE!</v>
      </c>
      <c r="G36" s="2" t="e" vm="4">
        <f>$AJ$16</f>
        <v>#VALUE!</v>
      </c>
      <c r="H36" s="2">
        <v>2.2999999999999998</v>
      </c>
      <c r="W36" s="2" t="e" vm="259">
        <v>#VALUE!</v>
      </c>
      <c r="X36" s="3" t="s">
        <v>373</v>
      </c>
      <c r="Y36" s="3" t="s">
        <v>374</v>
      </c>
      <c r="AA36" s="2" t="e" vm="260">
        <v>#VALUE!</v>
      </c>
      <c r="AB36" s="3" t="s">
        <v>375</v>
      </c>
      <c r="AD36" s="2" t="e" vm="261">
        <v>#VALUE!</v>
      </c>
      <c r="AE36" s="3" t="s">
        <v>376</v>
      </c>
    </row>
    <row r="37" spans="4:34" ht="30" customHeight="1">
      <c r="D37" s="2" t="e" vm="262">
        <v>#VALUE!</v>
      </c>
      <c r="E37" s="3" t="s">
        <v>377</v>
      </c>
      <c r="F37" s="2" t="e" vm="216">
        <f>$AJ$13</f>
        <v>#VALUE!</v>
      </c>
      <c r="G37" s="2" t="e" vm="49">
        <f>$AJ$17</f>
        <v>#VALUE!</v>
      </c>
      <c r="H37" s="2">
        <v>2.1</v>
      </c>
      <c r="W37" s="2" t="e" vm="263">
        <v>#VALUE!</v>
      </c>
      <c r="X37" s="3" t="s">
        <v>373</v>
      </c>
      <c r="Y37" s="3" t="s">
        <v>378</v>
      </c>
      <c r="AA37" s="2" t="e" vm="264">
        <v>#VALUE!</v>
      </c>
      <c r="AB37" s="3" t="s">
        <v>379</v>
      </c>
      <c r="AD37" s="2" t="e" vm="265">
        <v>#VALUE!</v>
      </c>
      <c r="AE37" s="3" t="s">
        <v>380</v>
      </c>
    </row>
    <row r="38" spans="4:34" ht="30" customHeight="1">
      <c r="D38" s="2" t="e" vm="266">
        <v>#VALUE!</v>
      </c>
      <c r="E38" s="3" t="s">
        <v>381</v>
      </c>
      <c r="F38" s="2" t="e" vm="216">
        <f>$AJ$13</f>
        <v>#VALUE!</v>
      </c>
      <c r="G38" s="2" t="e" vm="31">
        <f>$AJ$20</f>
        <v>#VALUE!</v>
      </c>
      <c r="H38" s="2">
        <v>4</v>
      </c>
      <c r="W38" s="2" t="e" vm="267">
        <v>#VALUE!</v>
      </c>
      <c r="X38" s="3" t="s">
        <v>373</v>
      </c>
      <c r="Y38" s="3" t="s">
        <v>382</v>
      </c>
      <c r="AA38" s="2" t="e" vm="268">
        <v>#VALUE!</v>
      </c>
      <c r="AB38" s="3" t="s">
        <v>383</v>
      </c>
      <c r="AD38" s="2" t="e" vm="269">
        <v>#VALUE!</v>
      </c>
      <c r="AE38" s="3" t="s">
        <v>384</v>
      </c>
    </row>
    <row r="39" spans="4:34" ht="30" customHeight="1">
      <c r="D39" s="2" t="e" vm="270">
        <v>#VALUE!</v>
      </c>
      <c r="E39" s="3" t="s">
        <v>26</v>
      </c>
      <c r="F39" s="2" t="e" vm="216">
        <f>$AJ$13</f>
        <v>#VALUE!</v>
      </c>
      <c r="G39" s="2" t="e" vm="49">
        <f>$AJ$17</f>
        <v>#VALUE!</v>
      </c>
      <c r="H39" s="2">
        <v>4.8</v>
      </c>
      <c r="W39" s="2" t="e" vm="271">
        <v>#VALUE!</v>
      </c>
      <c r="X39" s="3" t="s">
        <v>385</v>
      </c>
      <c r="Y39" s="3" t="s">
        <v>386</v>
      </c>
      <c r="AA39" s="2" t="e" vm="272">
        <v>#VALUE!</v>
      </c>
      <c r="AB39" s="3" t="s">
        <v>387</v>
      </c>
      <c r="AD39" s="2" t="e" vm="273">
        <v>#VALUE!</v>
      </c>
      <c r="AE39" s="3" t="s">
        <v>388</v>
      </c>
    </row>
    <row r="40" spans="4:34" ht="30" customHeight="1">
      <c r="D40" s="2" t="e" vm="274">
        <v>#VALUE!</v>
      </c>
      <c r="E40" s="3" t="s">
        <v>389</v>
      </c>
      <c r="F40" s="2" t="e" vm="216">
        <f>$AJ$13</f>
        <v>#VALUE!</v>
      </c>
      <c r="G40" s="2" t="e" vm="58">
        <f>$AJ$19</f>
        <v>#VALUE!</v>
      </c>
      <c r="H40" s="2">
        <v>1.1000000000000001</v>
      </c>
      <c r="W40" s="2" t="e" vm="275">
        <v>#VALUE!</v>
      </c>
      <c r="X40" s="3" t="s">
        <v>385</v>
      </c>
      <c r="Y40" s="3" t="s">
        <v>390</v>
      </c>
      <c r="AA40" s="2" t="e" vm="276">
        <v>#VALUE!</v>
      </c>
      <c r="AB40" s="3" t="s">
        <v>391</v>
      </c>
      <c r="AD40" s="2" t="e" vm="277">
        <v>#VALUE!</v>
      </c>
      <c r="AE40" s="3" t="s">
        <v>392</v>
      </c>
    </row>
    <row r="41" spans="4:34" ht="30" customHeight="1">
      <c r="D41" s="2" t="e" vm="278">
        <v>#VALUE!</v>
      </c>
      <c r="E41" s="3" t="s">
        <v>393</v>
      </c>
      <c r="F41" s="2" t="e" vm="216">
        <f>$AJ$13</f>
        <v>#VALUE!</v>
      </c>
      <c r="G41" s="2" t="e" vm="19">
        <f>$AJ$18</f>
        <v>#VALUE!</v>
      </c>
      <c r="H41" s="2">
        <v>3</v>
      </c>
      <c r="W41" s="2" t="e" vm="279">
        <v>#VALUE!</v>
      </c>
      <c r="X41" s="3" t="s">
        <v>385</v>
      </c>
      <c r="Y41" s="3" t="s">
        <v>394</v>
      </c>
      <c r="AA41" s="2" t="e" vm="280">
        <v>#VALUE!</v>
      </c>
      <c r="AB41" s="3" t="s">
        <v>395</v>
      </c>
      <c r="AD41" s="2" t="e" vm="281">
        <v>#VALUE!</v>
      </c>
      <c r="AE41" s="3" t="s">
        <v>43</v>
      </c>
    </row>
    <row r="42" spans="4:34" ht="30" customHeight="1">
      <c r="D42" s="2" t="e" vm="282">
        <v>#VALUE!</v>
      </c>
      <c r="E42" s="3" t="s">
        <v>396</v>
      </c>
      <c r="F42" s="2" t="e" vm="216">
        <f>$AJ$13</f>
        <v>#VALUE!</v>
      </c>
      <c r="G42" s="2" t="e" vm="67">
        <f>$AJ$15</f>
        <v>#VALUE!</v>
      </c>
      <c r="H42" s="2">
        <v>1</v>
      </c>
      <c r="AA42" s="2" t="e" vm="283">
        <v>#VALUE!</v>
      </c>
      <c r="AB42" s="3" t="s">
        <v>397</v>
      </c>
      <c r="AD42" s="2" t="e" vm="284">
        <v>#VALUE!</v>
      </c>
      <c r="AE42" s="3" t="s">
        <v>398</v>
      </c>
    </row>
    <row r="43" spans="4:34" ht="30" customHeight="1">
      <c r="D43" s="2" t="e" vm="285">
        <v>#VALUE!</v>
      </c>
      <c r="E43" s="3" t="s">
        <v>399</v>
      </c>
      <c r="F43" s="2" t="e" vm="216">
        <f>$AJ$13</f>
        <v>#VALUE!</v>
      </c>
      <c r="G43" s="2" t="e" vm="58">
        <f>$AJ$19</f>
        <v>#VALUE!</v>
      </c>
      <c r="H43" s="2">
        <v>2.7</v>
      </c>
      <c r="AA43" s="2" t="e" vm="286">
        <v>#VALUE!</v>
      </c>
      <c r="AB43" s="3" t="s">
        <v>400</v>
      </c>
      <c r="AD43" s="2" t="e" vm="287">
        <v>#VALUE!</v>
      </c>
      <c r="AE43" s="3" t="s">
        <v>401</v>
      </c>
    </row>
    <row r="44" spans="4:34" ht="30" customHeight="1">
      <c r="D44" s="2" t="e" vm="288">
        <v>#VALUE!</v>
      </c>
      <c r="E44" s="3" t="s">
        <v>402</v>
      </c>
      <c r="F44" s="2" t="e" vm="216">
        <f>$AJ$13</f>
        <v>#VALUE!</v>
      </c>
      <c r="G44" s="2" t="e" vm="31">
        <f>$AJ$20</f>
        <v>#VALUE!</v>
      </c>
      <c r="H44" s="2">
        <v>2</v>
      </c>
      <c r="AA44" s="2" t="e" vm="289">
        <v>#VALUE!</v>
      </c>
      <c r="AB44" s="3" t="s">
        <v>403</v>
      </c>
      <c r="AD44" s="2" t="e" vm="290">
        <v>#VALUE!</v>
      </c>
      <c r="AE44" s="3" t="s">
        <v>404</v>
      </c>
    </row>
    <row r="45" spans="4:34" ht="30" customHeight="1">
      <c r="D45" s="2" t="e" vm="291">
        <v>#VALUE!</v>
      </c>
      <c r="E45" s="3" t="s">
        <v>405</v>
      </c>
      <c r="F45" s="2" t="e" vm="292">
        <f>$AJ$11</f>
        <v>#VALUE!</v>
      </c>
      <c r="G45" s="2" t="e" vm="4">
        <f>$AJ$16</f>
        <v>#VALUE!</v>
      </c>
      <c r="H45" s="2">
        <v>2.2999999999999998</v>
      </c>
      <c r="AA45" s="2" t="e" vm="293">
        <v>#VALUE!</v>
      </c>
      <c r="AB45" s="3" t="s">
        <v>406</v>
      </c>
      <c r="AD45" s="2" t="e" vm="294">
        <v>#VALUE!</v>
      </c>
      <c r="AE45" s="3" t="s">
        <v>407</v>
      </c>
    </row>
    <row r="46" spans="4:34" ht="30" customHeight="1">
      <c r="D46" s="2" t="e" vm="295">
        <v>#VALUE!</v>
      </c>
      <c r="E46" s="3" t="s">
        <v>408</v>
      </c>
      <c r="F46" s="2" t="e" vm="292">
        <f>$AJ$11</f>
        <v>#VALUE!</v>
      </c>
      <c r="G46" s="2" t="e" vm="49">
        <f>$AJ$17</f>
        <v>#VALUE!</v>
      </c>
      <c r="H46" s="2">
        <v>1</v>
      </c>
      <c r="AA46" s="2" t="e" vm="296">
        <v>#VALUE!</v>
      </c>
      <c r="AB46" s="3" t="s">
        <v>409</v>
      </c>
    </row>
    <row r="47" spans="4:34" ht="30" customHeight="1">
      <c r="D47" s="2" t="e" vm="297">
        <v>#VALUE!</v>
      </c>
      <c r="E47" s="3" t="s">
        <v>410</v>
      </c>
      <c r="F47" s="2" t="e" vm="292">
        <f>$AJ$11</f>
        <v>#VALUE!</v>
      </c>
      <c r="G47" s="2" t="e" vm="84">
        <f>$AJ$21</f>
        <v>#VALUE!</v>
      </c>
      <c r="H47" s="2">
        <v>1</v>
      </c>
      <c r="AA47" s="2" t="e" vm="298">
        <v>#VALUE!</v>
      </c>
      <c r="AB47" s="3" t="s">
        <v>411</v>
      </c>
    </row>
    <row r="48" spans="4:34" ht="30" customHeight="1">
      <c r="D48" s="2" t="e" vm="299">
        <v>#VALUE!</v>
      </c>
      <c r="E48" s="3" t="s">
        <v>412</v>
      </c>
      <c r="F48" s="2" t="e" vm="292">
        <f>$AJ$11</f>
        <v>#VALUE!</v>
      </c>
      <c r="G48" s="2" t="e" vm="31">
        <f>$AJ$20</f>
        <v>#VALUE!</v>
      </c>
      <c r="H48" s="2">
        <v>3.5</v>
      </c>
    </row>
    <row r="49" spans="4:8" ht="30" customHeight="1">
      <c r="D49" s="2" t="e" vm="300">
        <v>#VALUE!</v>
      </c>
      <c r="E49" s="3" t="s">
        <v>413</v>
      </c>
      <c r="F49" s="2" t="e" vm="292">
        <f>$AJ$11</f>
        <v>#VALUE!</v>
      </c>
      <c r="G49" s="2" t="e" vm="31">
        <f>$AJ$20</f>
        <v>#VALUE!</v>
      </c>
      <c r="H49" s="2">
        <v>1</v>
      </c>
    </row>
    <row r="50" spans="4:8" ht="30" customHeight="1">
      <c r="D50" s="2" t="e" vm="301">
        <v>#VALUE!</v>
      </c>
      <c r="E50" s="3" t="s">
        <v>414</v>
      </c>
      <c r="F50" s="2" t="e" vm="292">
        <f>$AJ$11</f>
        <v>#VALUE!</v>
      </c>
      <c r="G50" s="2" t="e" vm="49">
        <f>$AJ$17</f>
        <v>#VALUE!</v>
      </c>
      <c r="H50" s="2">
        <v>3</v>
      </c>
    </row>
    <row r="51" spans="4:8" ht="30" customHeight="1">
      <c r="D51" s="2" t="e" vm="302">
        <v>#VALUE!</v>
      </c>
      <c r="E51" s="3" t="s">
        <v>415</v>
      </c>
      <c r="F51" s="2" t="e" vm="292">
        <f>$AJ$11</f>
        <v>#VALUE!</v>
      </c>
      <c r="G51" s="2" t="e" vm="84">
        <f>$AJ$21</f>
        <v>#VALUE!</v>
      </c>
      <c r="H51" s="2">
        <v>1.5</v>
      </c>
    </row>
    <row r="52" spans="4:8" ht="30" customHeight="1">
      <c r="D52" s="2" t="e" vm="303">
        <v>#VALUE!</v>
      </c>
      <c r="E52" s="3" t="s">
        <v>416</v>
      </c>
      <c r="F52" s="2" t="e" vm="292">
        <f>$AJ$11</f>
        <v>#VALUE!</v>
      </c>
      <c r="G52" s="2" t="e" vm="84">
        <f>$AJ$21</f>
        <v>#VALUE!</v>
      </c>
      <c r="H52" s="2">
        <v>4</v>
      </c>
    </row>
    <row r="53" spans="4:8" ht="30" customHeight="1">
      <c r="D53" s="2" t="e" vm="304">
        <v>#VALUE!</v>
      </c>
      <c r="E53" s="3" t="s">
        <v>417</v>
      </c>
      <c r="F53" s="2" t="e" vm="292">
        <f>$AJ$11</f>
        <v>#VALUE!</v>
      </c>
      <c r="G53" s="2" t="e" vm="31">
        <f>$AJ$20</f>
        <v>#VALUE!</v>
      </c>
      <c r="H53" s="2">
        <v>4.4000000000000004</v>
      </c>
    </row>
    <row r="54" spans="4:8" ht="30" customHeight="1">
      <c r="D54" s="2" t="e" vm="305">
        <v>#VALUE!</v>
      </c>
      <c r="E54" s="3" t="s">
        <v>418</v>
      </c>
      <c r="F54" s="2" t="e" vm="292">
        <f>$AJ$11</f>
        <v>#VALUE!</v>
      </c>
      <c r="G54" s="2" t="e" vm="19">
        <f>$AJ$18</f>
        <v>#VALUE!</v>
      </c>
      <c r="H54" s="2">
        <v>1.6</v>
      </c>
    </row>
    <row r="55" spans="4:8" ht="30" customHeight="1">
      <c r="D55" s="2" t="e" vm="306">
        <v>#VALUE!</v>
      </c>
      <c r="E55" s="3" t="s">
        <v>419</v>
      </c>
      <c r="F55" s="2" t="e" vm="292">
        <f>$AJ$11</f>
        <v>#VALUE!</v>
      </c>
      <c r="G55" s="2" t="e" vm="4">
        <f>$AJ$16</f>
        <v>#VALUE!</v>
      </c>
      <c r="H55" s="2">
        <v>4.3</v>
      </c>
    </row>
    <row r="56" spans="4:8" ht="30" customHeight="1">
      <c r="D56" s="2" t="e" vm="307">
        <v>#VALUE!</v>
      </c>
      <c r="E56" s="3" t="s">
        <v>420</v>
      </c>
      <c r="F56" s="2" t="e" vm="292">
        <f>$AJ$11</f>
        <v>#VALUE!</v>
      </c>
      <c r="G56" s="2" t="e" vm="4">
        <f>$AJ$16</f>
        <v>#VALUE!</v>
      </c>
      <c r="H56" s="2">
        <v>1</v>
      </c>
    </row>
    <row r="57" spans="4:8" ht="30" customHeight="1">
      <c r="D57" s="2" t="e" vm="308">
        <v>#VALUE!</v>
      </c>
      <c r="E57" s="3" t="s">
        <v>421</v>
      </c>
      <c r="F57" s="2" t="e" vm="292">
        <f>$AJ$11</f>
        <v>#VALUE!</v>
      </c>
      <c r="G57" s="2" t="e" vm="49">
        <f>$AJ$17</f>
        <v>#VALUE!</v>
      </c>
      <c r="H57" s="2">
        <v>1</v>
      </c>
    </row>
    <row r="58" spans="4:8" ht="30" customHeight="1">
      <c r="D58" s="2" t="e" vm="309">
        <v>#VALUE!</v>
      </c>
      <c r="E58" s="3" t="s">
        <v>422</v>
      </c>
      <c r="F58" s="2" t="e" vm="292">
        <f>$AJ$11</f>
        <v>#VALUE!</v>
      </c>
      <c r="G58" s="2" t="e" vm="67">
        <f>$AJ$15</f>
        <v>#VALUE!</v>
      </c>
      <c r="H58" s="2">
        <v>2</v>
      </c>
    </row>
    <row r="59" spans="4:8" ht="30" customHeight="1">
      <c r="D59" s="2" t="e" vm="310">
        <v>#VALUE!</v>
      </c>
      <c r="E59" s="3" t="s">
        <v>423</v>
      </c>
      <c r="F59" s="2" t="e" vm="292">
        <f>$AJ$11</f>
        <v>#VALUE!</v>
      </c>
      <c r="G59" s="2" t="e" vm="31">
        <f>$AJ$20</f>
        <v>#VALUE!</v>
      </c>
      <c r="H59" s="2">
        <v>1.1000000000000001</v>
      </c>
    </row>
    <row r="60" spans="4:8" ht="30" customHeight="1">
      <c r="D60" s="2" t="e" vm="311">
        <v>#VALUE!</v>
      </c>
      <c r="E60" s="3" t="s">
        <v>424</v>
      </c>
      <c r="F60" s="2" t="e" vm="312">
        <f>$AJ$14</f>
        <v>#VALUE!</v>
      </c>
      <c r="G60" s="2" t="e" vm="31">
        <f>$AJ$20</f>
        <v>#VALUE!</v>
      </c>
      <c r="H60" s="2">
        <v>4.5999999999999996</v>
      </c>
    </row>
    <row r="61" spans="4:8" ht="30" customHeight="1">
      <c r="D61" s="2" t="e" vm="313">
        <v>#VALUE!</v>
      </c>
      <c r="E61" s="3" t="s">
        <v>425</v>
      </c>
      <c r="F61" s="2" t="e" vm="312">
        <f>$AJ$14</f>
        <v>#VALUE!</v>
      </c>
      <c r="G61" s="2" t="e" vm="19">
        <f>$AJ$18</f>
        <v>#VALUE!</v>
      </c>
      <c r="H61" s="2">
        <v>3.6</v>
      </c>
    </row>
    <row r="62" spans="4:8" ht="30" customHeight="1">
      <c r="D62" s="2" t="e" vm="314">
        <v>#VALUE!</v>
      </c>
      <c r="E62" s="3" t="s">
        <v>426</v>
      </c>
      <c r="F62" s="2" t="e" vm="312">
        <f>$AJ$14</f>
        <v>#VALUE!</v>
      </c>
      <c r="G62" s="2" t="e" vm="58">
        <f>$AJ$19</f>
        <v>#VALUE!</v>
      </c>
      <c r="H62" s="2">
        <v>1</v>
      </c>
    </row>
    <row r="63" spans="4:8" ht="30" customHeight="1">
      <c r="D63" s="2" t="e" vm="315">
        <v>#VALUE!</v>
      </c>
      <c r="E63" s="3" t="s">
        <v>427</v>
      </c>
      <c r="F63" s="2" t="e" vm="312">
        <f>$AJ$14</f>
        <v>#VALUE!</v>
      </c>
      <c r="G63" s="2" t="e" vm="84">
        <f>$AJ$21</f>
        <v>#VALUE!</v>
      </c>
      <c r="H63" s="2">
        <v>4.2</v>
      </c>
    </row>
    <row r="64" spans="4:8" ht="30" customHeight="1">
      <c r="D64" s="2" t="e" vm="316">
        <v>#VALUE!</v>
      </c>
      <c r="E64" s="3" t="s">
        <v>428</v>
      </c>
      <c r="F64" s="2" t="e" vm="312">
        <f>$AJ$14</f>
        <v>#VALUE!</v>
      </c>
      <c r="G64" s="2" t="e" vm="31">
        <f>$AJ$20</f>
        <v>#VALUE!</v>
      </c>
      <c r="H64" s="2">
        <v>1</v>
      </c>
    </row>
    <row r="65" spans="4:8" ht="30" customHeight="1">
      <c r="D65" s="2" t="e" vm="317">
        <v>#VALUE!</v>
      </c>
      <c r="E65" s="3" t="s">
        <v>429</v>
      </c>
      <c r="F65" s="2" t="e" vm="312">
        <f>$AJ$14</f>
        <v>#VALUE!</v>
      </c>
      <c r="G65" s="2" t="e" vm="49">
        <f>$AJ$17</f>
        <v>#VALUE!</v>
      </c>
      <c r="H65" s="2">
        <v>1</v>
      </c>
    </row>
    <row r="66" spans="4:8" ht="30" customHeight="1">
      <c r="D66" s="2" t="e" vm="318">
        <v>#VALUE!</v>
      </c>
      <c r="E66" s="3" t="s">
        <v>430</v>
      </c>
      <c r="F66" s="2" t="e" vm="312">
        <f>$AJ$14</f>
        <v>#VALUE!</v>
      </c>
      <c r="G66" s="2" t="e" vm="58">
        <f>$AJ$19</f>
        <v>#VALUE!</v>
      </c>
      <c r="H66" s="2">
        <v>1</v>
      </c>
    </row>
    <row r="67" spans="4:8" ht="30" customHeight="1">
      <c r="D67" s="2" t="e" vm="319">
        <v>#VALUE!</v>
      </c>
      <c r="E67" s="3" t="s">
        <v>431</v>
      </c>
      <c r="F67" s="2" t="e" vm="312">
        <f>$AJ$14</f>
        <v>#VALUE!</v>
      </c>
      <c r="G67" s="2" t="e" vm="19">
        <f>$AJ$18</f>
        <v>#VALUE!</v>
      </c>
      <c r="H67" s="2">
        <v>3.2</v>
      </c>
    </row>
    <row r="68" spans="4:8" ht="30" customHeight="1">
      <c r="D68" s="2" t="e" vm="320">
        <v>#VALUE!</v>
      </c>
      <c r="E68" s="3" t="s">
        <v>432</v>
      </c>
      <c r="F68" s="2" t="e" vm="312">
        <f>$AJ$14</f>
        <v>#VALUE!</v>
      </c>
      <c r="G68" s="2" t="e" vm="58">
        <f>$AJ$19</f>
        <v>#VALUE!</v>
      </c>
      <c r="H68" s="2">
        <v>4.0999999999999996</v>
      </c>
    </row>
    <row r="69" spans="4:8" ht="30" customHeight="1">
      <c r="D69" s="2" t="e" vm="321">
        <v>#VALUE!</v>
      </c>
      <c r="E69" s="3" t="s">
        <v>433</v>
      </c>
      <c r="F69" s="2" t="e" vm="312">
        <f>$AJ$14</f>
        <v>#VALUE!</v>
      </c>
      <c r="G69" s="2" t="e" vm="4">
        <f>$AJ$16</f>
        <v>#VALUE!</v>
      </c>
      <c r="H69" s="2">
        <v>1</v>
      </c>
    </row>
    <row r="70" spans="4:8" ht="30" customHeight="1">
      <c r="D70" s="2" t="e" vm="322">
        <v>#VALUE!</v>
      </c>
      <c r="E70" s="3" t="s">
        <v>434</v>
      </c>
      <c r="F70" s="2" t="e" vm="312">
        <f>$AJ$14</f>
        <v>#VALUE!</v>
      </c>
      <c r="G70" s="2" t="e" vm="58">
        <f>$AJ$19</f>
        <v>#VALUE!</v>
      </c>
      <c r="H70" s="2">
        <v>2.1</v>
      </c>
    </row>
    <row r="71" spans="4:8" ht="30" customHeight="1">
      <c r="D71" s="2" t="e" vm="323">
        <v>#VALUE!</v>
      </c>
      <c r="E71" s="3" t="s">
        <v>435</v>
      </c>
      <c r="F71" s="2" t="e" vm="312">
        <f>$AJ$14</f>
        <v>#VALUE!</v>
      </c>
      <c r="G71" s="2" t="e" vm="67">
        <f>$AJ$15</f>
        <v>#VALUE!</v>
      </c>
      <c r="H71" s="2">
        <v>2.8</v>
      </c>
    </row>
    <row r="72" spans="4:8" ht="30" customHeight="1">
      <c r="D72" s="2" t="e" vm="324">
        <v>#VALUE!</v>
      </c>
      <c r="E72" s="3" t="s">
        <v>436</v>
      </c>
      <c r="F72" s="2" t="e" vm="312">
        <f>$AJ$14</f>
        <v>#VALUE!</v>
      </c>
      <c r="G72" s="2" t="e" vm="67">
        <f>$AJ$15</f>
        <v>#VALUE!</v>
      </c>
      <c r="H72" s="2">
        <v>1</v>
      </c>
    </row>
    <row r="73" spans="4:8" ht="30" customHeight="1">
      <c r="D73" s="2" t="e" vm="325">
        <v>#VALUE!</v>
      </c>
      <c r="E73" s="3" t="s">
        <v>437</v>
      </c>
      <c r="F73" s="2" t="e" vm="312">
        <f>$AJ$14</f>
        <v>#VALUE!</v>
      </c>
      <c r="G73" s="2" t="e" vm="67">
        <f>$AJ$15</f>
        <v>#VALUE!</v>
      </c>
      <c r="H73" s="2">
        <v>3.3</v>
      </c>
    </row>
    <row r="74" spans="4:8" ht="30" customHeight="1">
      <c r="D74" s="2" t="e" vm="326">
        <v>#VALUE!</v>
      </c>
      <c r="E74" s="3" t="s">
        <v>438</v>
      </c>
      <c r="F74" s="2" t="e" vm="312">
        <f>$AJ$14</f>
        <v>#VALUE!</v>
      </c>
      <c r="G74" s="2" t="e" vm="84">
        <f>$AJ$21</f>
        <v>#VALUE!</v>
      </c>
      <c r="H74" s="2">
        <v>4.0999999999999996</v>
      </c>
    </row>
    <row r="75" spans="4:8" ht="30" customHeight="1">
      <c r="D75" s="2" t="e" vm="327">
        <v>#VALUE!</v>
      </c>
      <c r="E75" s="3" t="s">
        <v>439</v>
      </c>
      <c r="F75" s="2" t="e" vm="312">
        <f>$AJ$14</f>
        <v>#VALUE!</v>
      </c>
      <c r="G75" s="2" t="e" vm="67">
        <f>$AJ$15</f>
        <v>#VALUE!</v>
      </c>
      <c r="H75" s="2">
        <v>4.4000000000000004</v>
      </c>
    </row>
    <row r="76" spans="4:8" ht="30" customHeight="1">
      <c r="D76" s="2" t="e" vm="328">
        <v>#VALUE!</v>
      </c>
      <c r="E76" s="3" t="s">
        <v>440</v>
      </c>
      <c r="F76" s="2" t="e" vm="312">
        <f>$AJ$14</f>
        <v>#VALUE!</v>
      </c>
      <c r="G76" s="2" t="e" vm="49">
        <f>$AJ$17</f>
        <v>#VALUE!</v>
      </c>
      <c r="H76" s="2">
        <v>2.5</v>
      </c>
    </row>
    <row r="77" spans="4:8" ht="30" customHeight="1">
      <c r="D77" s="2" t="e" vm="329">
        <v>#VALUE!</v>
      </c>
      <c r="E77" s="3" t="s">
        <v>441</v>
      </c>
      <c r="F77" s="2" t="e" vm="312">
        <f>$AJ$14</f>
        <v>#VALUE!</v>
      </c>
      <c r="G77" s="2" t="e" vm="31">
        <f>$AJ$20</f>
        <v>#VALUE!</v>
      </c>
      <c r="H77" s="2">
        <v>1.5</v>
      </c>
    </row>
    <row r="78" spans="4:8" ht="30" customHeight="1">
      <c r="D78" s="2" t="e" vm="330">
        <v>#VALUE!</v>
      </c>
      <c r="E78" s="3" t="s">
        <v>442</v>
      </c>
      <c r="F78" s="2" t="e" vm="331">
        <f>$AJ$12</f>
        <v>#VALUE!</v>
      </c>
      <c r="G78" s="2" t="e" vm="58">
        <f>$AJ$19</f>
        <v>#VALUE!</v>
      </c>
      <c r="H78" s="2">
        <v>3.1</v>
      </c>
    </row>
    <row r="79" spans="4:8" ht="30" customHeight="1">
      <c r="D79" s="2" t="e" vm="332">
        <v>#VALUE!</v>
      </c>
      <c r="E79" s="3" t="s">
        <v>443</v>
      </c>
      <c r="F79" s="2" t="e" vm="331">
        <f>$AJ$12</f>
        <v>#VALUE!</v>
      </c>
      <c r="G79" s="2" t="e" vm="31">
        <f>$AJ$20</f>
        <v>#VALUE!</v>
      </c>
      <c r="H79" s="2">
        <v>4.3</v>
      </c>
    </row>
    <row r="80" spans="4:8" ht="30" customHeight="1">
      <c r="D80" s="2" t="e" vm="333">
        <v>#VALUE!</v>
      </c>
      <c r="E80" s="3" t="s">
        <v>444</v>
      </c>
      <c r="F80" s="2" t="e" vm="331">
        <f>$AJ$12</f>
        <v>#VALUE!</v>
      </c>
      <c r="G80" s="2" t="e" vm="49">
        <f>$AJ$17</f>
        <v>#VALUE!</v>
      </c>
      <c r="H80" s="2">
        <v>3.1</v>
      </c>
    </row>
    <row r="81" spans="4:8" ht="30" customHeight="1">
      <c r="D81" s="2" t="e" vm="334">
        <v>#VALUE!</v>
      </c>
      <c r="E81" s="3" t="s">
        <v>445</v>
      </c>
      <c r="F81" s="2" t="e" vm="331">
        <f>$AJ$12</f>
        <v>#VALUE!</v>
      </c>
      <c r="G81" s="2" t="e" vm="31">
        <f>$AJ$20</f>
        <v>#VALUE!</v>
      </c>
      <c r="H81" s="2">
        <v>1.3</v>
      </c>
    </row>
    <row r="82" spans="4:8" ht="30" customHeight="1">
      <c r="D82" s="2" t="e" vm="335">
        <v>#VALUE!</v>
      </c>
      <c r="E82" s="3" t="s">
        <v>446</v>
      </c>
      <c r="F82" s="2" t="e" vm="331">
        <f>$AJ$12</f>
        <v>#VALUE!</v>
      </c>
      <c r="G82" s="2" t="e" vm="84">
        <f>$AJ$21</f>
        <v>#VALUE!</v>
      </c>
      <c r="H82" s="2">
        <v>3.5</v>
      </c>
    </row>
    <row r="83" spans="4:8" ht="30" customHeight="1">
      <c r="D83" s="2" t="e" vm="336">
        <v>#VALUE!</v>
      </c>
      <c r="E83" s="3" t="s">
        <v>447</v>
      </c>
      <c r="F83" s="2" t="e" vm="331">
        <f>$AJ$12</f>
        <v>#VALUE!</v>
      </c>
      <c r="G83" s="2" t="e" vm="49">
        <f>$AJ$17</f>
        <v>#VALUE!</v>
      </c>
      <c r="H83" s="2">
        <v>2.1</v>
      </c>
    </row>
    <row r="84" spans="4:8" ht="30" customHeight="1">
      <c r="D84" s="2" t="e" vm="337">
        <v>#VALUE!</v>
      </c>
      <c r="E84" s="3" t="s">
        <v>448</v>
      </c>
      <c r="F84" s="2" t="e" vm="331">
        <f>$AJ$12</f>
        <v>#VALUE!</v>
      </c>
      <c r="G84" s="2" t="e" vm="84">
        <f>$AJ$21</f>
        <v>#VALUE!</v>
      </c>
      <c r="H84" s="2">
        <v>1.4</v>
      </c>
    </row>
    <row r="85" spans="4:8" ht="30" customHeight="1">
      <c r="D85" s="2" t="e" vm="338">
        <v>#VALUE!</v>
      </c>
      <c r="E85" s="3" t="s">
        <v>449</v>
      </c>
      <c r="F85" s="2" t="e" vm="331">
        <f>$AJ$12</f>
        <v>#VALUE!</v>
      </c>
      <c r="G85" s="2" t="e" vm="84">
        <f>$AJ$21</f>
        <v>#VALUE!</v>
      </c>
      <c r="H85" s="2">
        <v>2.4</v>
      </c>
    </row>
    <row r="86" spans="4:8" ht="30" customHeight="1">
      <c r="D86" s="2" t="e" vm="339">
        <v>#VALUE!</v>
      </c>
      <c r="E86" s="3" t="s">
        <v>450</v>
      </c>
      <c r="F86" s="2" t="e" vm="331">
        <f>$AJ$12</f>
        <v>#VALUE!</v>
      </c>
      <c r="G86" s="2" t="e" vm="31">
        <f>$AJ$20</f>
        <v>#VALUE!</v>
      </c>
      <c r="H86" s="2">
        <v>2.2000000000000002</v>
      </c>
    </row>
    <row r="87" spans="4:8" ht="30" customHeight="1">
      <c r="D87" s="2" t="e" vm="340">
        <v>#VALUE!</v>
      </c>
      <c r="E87" s="3" t="s">
        <v>451</v>
      </c>
      <c r="F87" s="2" t="e" vm="331">
        <f>$AJ$12</f>
        <v>#VALUE!</v>
      </c>
      <c r="G87" s="2" t="e" vm="31">
        <f>$AJ$20</f>
        <v>#VALUE!</v>
      </c>
      <c r="H87" s="2">
        <v>1</v>
      </c>
    </row>
    <row r="88" spans="4:8" ht="30" customHeight="1">
      <c r="D88" s="2" t="e" vm="341">
        <v>#VALUE!</v>
      </c>
      <c r="E88" s="3" t="s">
        <v>452</v>
      </c>
      <c r="F88" s="2" t="e" vm="331">
        <f>$AJ$12</f>
        <v>#VALUE!</v>
      </c>
      <c r="G88" s="2" t="e" vm="67">
        <f>$AJ$15</f>
        <v>#VALUE!</v>
      </c>
      <c r="H88" s="2">
        <v>1.3</v>
      </c>
    </row>
    <row r="89" spans="4:8" ht="30" customHeight="1">
      <c r="D89" s="2" t="e" vm="342">
        <v>#VALUE!</v>
      </c>
      <c r="E89" s="3" t="s">
        <v>453</v>
      </c>
      <c r="F89" s="2" t="e" vm="331">
        <f>$AJ$12</f>
        <v>#VALUE!</v>
      </c>
      <c r="G89" s="2" t="e" vm="19">
        <f>$AJ$18</f>
        <v>#VALUE!</v>
      </c>
      <c r="H89" s="2">
        <v>3.4</v>
      </c>
    </row>
    <row r="90" spans="4:8" ht="30" customHeight="1">
      <c r="D90" s="2" t="e" vm="343">
        <v>#VALUE!</v>
      </c>
      <c r="E90" s="3" t="s">
        <v>454</v>
      </c>
      <c r="F90" s="2" t="e" vm="331">
        <f>$AJ$12</f>
        <v>#VALUE!</v>
      </c>
      <c r="G90" s="2" t="e" vm="4">
        <f>$AJ$16</f>
        <v>#VALUE!</v>
      </c>
      <c r="H90" s="2">
        <v>2.4</v>
      </c>
    </row>
    <row r="91" spans="4:8" ht="30" customHeight="1">
      <c r="D91" s="2" t="e" vm="344">
        <v>#VALUE!</v>
      </c>
      <c r="E91" s="3" t="s">
        <v>455</v>
      </c>
      <c r="F91" s="2" t="e" vm="331">
        <f>$AJ$12</f>
        <v>#VALUE!</v>
      </c>
      <c r="G91" s="2" t="e" vm="4">
        <f>$AJ$16</f>
        <v>#VALUE!</v>
      </c>
      <c r="H91" s="2">
        <v>1.1000000000000001</v>
      </c>
    </row>
  </sheetData>
  <mergeCells count="9">
    <mergeCell ref="D1:E1"/>
    <mergeCell ref="AG1:AH1"/>
    <mergeCell ref="AJ1:AK1"/>
    <mergeCell ref="A1:B1"/>
    <mergeCell ref="O1:Q1"/>
    <mergeCell ref="S1:U1"/>
    <mergeCell ref="W1:Y1"/>
    <mergeCell ref="AA1:AB1"/>
    <mergeCell ref="AD1:AE1"/>
  </mergeCells>
  <phoneticPr fontId="6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/>
  <dimension ref="A1:AH69"/>
  <sheetViews>
    <sheetView workbookViewId="0">
      <selection activeCell="H10" sqref="H10"/>
    </sheetView>
    <sheetView workbookViewId="1">
      <selection activeCell="L8" sqref="L8"/>
    </sheetView>
  </sheetViews>
  <sheetFormatPr defaultColWidth="9.140625" defaultRowHeight="15"/>
  <cols>
    <col min="1" max="1" width="9.140625" style="2"/>
    <col min="2" max="2" width="14" style="176" customWidth="1"/>
    <col min="3" max="3" width="10.85546875" style="2" customWidth="1"/>
    <col min="4" max="4" width="0.7109375" style="2" customWidth="1"/>
    <col min="5" max="5" width="9.140625" style="2"/>
    <col min="6" max="6" width="9.140625" style="176"/>
    <col min="7" max="7" width="16.7109375" style="176" customWidth="1"/>
    <col min="8" max="8" width="9.140625" style="2"/>
    <col min="9" max="9" width="0.7109375" style="2" customWidth="1"/>
    <col min="10" max="10" width="9.140625" style="2"/>
    <col min="11" max="12" width="9.140625" style="176"/>
    <col min="13" max="13" width="9.140625" style="2"/>
    <col min="14" max="14" width="0.7109375" style="2" customWidth="1"/>
    <col min="15" max="16" width="9.140625" style="2"/>
    <col min="17" max="17" width="9.140625" style="3"/>
    <col min="18" max="18" width="9.140625" style="2"/>
    <col min="19" max="19" width="0.7109375" style="2" customWidth="1"/>
    <col min="20" max="20" width="9.140625" style="2"/>
    <col min="21" max="21" width="9.140625" style="176"/>
    <col min="22" max="22" width="9.140625" style="2"/>
    <col min="23" max="23" width="0.7109375" style="2" customWidth="1"/>
    <col min="24" max="24" width="9.140625" style="2"/>
    <col min="25" max="25" width="9.140625" style="3"/>
    <col min="26" max="26" width="9.140625" style="2"/>
    <col min="27" max="27" width="0.7109375" style="2" customWidth="1"/>
    <col min="28" max="28" width="9.140625" style="9"/>
    <col min="29" max="29" width="9.140625" style="3"/>
    <col min="30" max="30" width="9.140625" style="10"/>
    <col min="31" max="31" width="0.7109375" style="2" customWidth="1"/>
    <col min="32" max="32" width="9.140625" style="2"/>
    <col min="33" max="33" width="9.140625" style="176"/>
    <col min="34" max="16384" width="9.140625" style="2"/>
  </cols>
  <sheetData>
    <row r="1" spans="1:34" ht="33">
      <c r="A1" s="305" t="s">
        <v>456</v>
      </c>
      <c r="B1" s="305"/>
      <c r="C1" s="305"/>
      <c r="D1" s="306"/>
      <c r="E1" s="305"/>
      <c r="F1" s="305"/>
      <c r="G1" s="305"/>
      <c r="H1" s="305"/>
      <c r="I1" s="306"/>
      <c r="J1" s="305"/>
      <c r="K1" s="305"/>
      <c r="L1" s="305"/>
      <c r="M1" s="305"/>
      <c r="N1" s="306"/>
      <c r="O1" s="305"/>
      <c r="P1" s="305"/>
      <c r="Q1" s="305"/>
      <c r="R1" s="305"/>
      <c r="S1" s="306"/>
      <c r="T1" s="305"/>
      <c r="U1" s="305"/>
      <c r="V1" s="305"/>
      <c r="W1" s="306"/>
      <c r="X1" s="305"/>
      <c r="Y1" s="305"/>
      <c r="Z1" s="305"/>
      <c r="AA1" s="306"/>
      <c r="AB1" s="305"/>
      <c r="AC1" s="305"/>
      <c r="AD1" s="305"/>
      <c r="AE1" s="306"/>
      <c r="AF1" s="305"/>
      <c r="AG1" s="305"/>
      <c r="AH1" s="305"/>
    </row>
    <row r="2" spans="1:34">
      <c r="A2" s="308" t="s">
        <v>68</v>
      </c>
      <c r="B2" s="308"/>
      <c r="C2" s="309"/>
      <c r="D2" s="182"/>
      <c r="E2" s="307" t="s">
        <v>70</v>
      </c>
      <c r="F2" s="308"/>
      <c r="G2" s="308"/>
      <c r="H2" s="309"/>
      <c r="I2" s="182"/>
      <c r="J2" s="307" t="s">
        <v>71</v>
      </c>
      <c r="K2" s="308"/>
      <c r="L2" s="308"/>
      <c r="M2" s="309"/>
      <c r="N2" s="182"/>
      <c r="O2" s="307" t="s">
        <v>72</v>
      </c>
      <c r="P2" s="308"/>
      <c r="Q2" s="308"/>
      <c r="R2" s="309"/>
      <c r="S2" s="182"/>
      <c r="T2" s="307" t="s">
        <v>73</v>
      </c>
      <c r="U2" s="308"/>
      <c r="V2" s="309"/>
      <c r="W2" s="182"/>
      <c r="X2" s="307" t="s">
        <v>74</v>
      </c>
      <c r="Y2" s="308"/>
      <c r="Z2" s="309"/>
      <c r="AA2" s="182"/>
      <c r="AB2" s="307" t="s">
        <v>75</v>
      </c>
      <c r="AC2" s="308"/>
      <c r="AD2" s="309"/>
      <c r="AE2" s="182"/>
      <c r="AF2" s="307" t="s">
        <v>76</v>
      </c>
      <c r="AG2" s="308"/>
      <c r="AH2" s="308"/>
    </row>
    <row r="3" spans="1:34" ht="27.75">
      <c r="A3" s="30" t="s">
        <v>77</v>
      </c>
      <c r="B3" s="169" t="s">
        <v>25</v>
      </c>
      <c r="C3" s="32" t="s">
        <v>457</v>
      </c>
      <c r="E3" s="30" t="s">
        <v>77</v>
      </c>
      <c r="F3" s="169" t="s">
        <v>81</v>
      </c>
      <c r="G3" s="169" t="s">
        <v>458</v>
      </c>
      <c r="H3" s="32" t="s">
        <v>457</v>
      </c>
      <c r="J3" s="30" t="s">
        <v>77</v>
      </c>
      <c r="K3" s="169" t="s">
        <v>81</v>
      </c>
      <c r="L3" s="169" t="s">
        <v>458</v>
      </c>
      <c r="M3" s="32" t="s">
        <v>457</v>
      </c>
      <c r="O3" s="30" t="s">
        <v>77</v>
      </c>
      <c r="P3" s="169" t="s">
        <v>82</v>
      </c>
      <c r="Q3" s="169" t="s">
        <v>458</v>
      </c>
      <c r="R3" s="32" t="s">
        <v>457</v>
      </c>
      <c r="T3" s="30" t="s">
        <v>77</v>
      </c>
      <c r="U3" s="169" t="s">
        <v>25</v>
      </c>
      <c r="V3" s="32" t="s">
        <v>457</v>
      </c>
      <c r="X3" s="30" t="s">
        <v>77</v>
      </c>
      <c r="Y3" s="31" t="s">
        <v>25</v>
      </c>
      <c r="Z3" s="32" t="s">
        <v>457</v>
      </c>
      <c r="AB3" s="30" t="s">
        <v>77</v>
      </c>
      <c r="AC3" s="31" t="s">
        <v>25</v>
      </c>
      <c r="AD3" s="32" t="s">
        <v>457</v>
      </c>
      <c r="AF3" s="30" t="s">
        <v>77</v>
      </c>
      <c r="AG3" s="169" t="s">
        <v>25</v>
      </c>
      <c r="AH3" s="32" t="s">
        <v>457</v>
      </c>
    </row>
    <row r="4" spans="1:34" ht="30" customHeight="1">
      <c r="A4" s="177" t="e" vm="345">
        <f>ImgDatabase!A3</f>
        <v>#VALUE!</v>
      </c>
      <c r="B4" s="178" t="str">
        <f>LOOKUP(ImgDatabase!A3,Experience[[#This Row],[Icon]],ImgDatabase!B3)</f>
        <v>HerosWit</v>
      </c>
      <c r="C4" s="179"/>
      <c r="E4" s="177" t="e" vm="346">
        <f>ImgDatabase!O3</f>
        <v>#VALUE!</v>
      </c>
      <c r="F4" s="178" t="str">
        <f>LOOKUP(ImgDatabase!O3,WorldBossMaterials[[#This Row],[Icon]],ImgDatabase!P3)</f>
        <v>Anemo Hypostases</v>
      </c>
      <c r="G4" s="178" t="str">
        <f>LOOKUP(ImgDatabase!P3,WorldBossMaterials[[#This Row],[Boss Name]],ImgDatabase!Q3)</f>
        <v>HurricaneSeed</v>
      </c>
      <c r="H4" s="179"/>
      <c r="J4" s="177" t="e" vm="347">
        <f>ImgDatabase!S3</f>
        <v>#VALUE!</v>
      </c>
      <c r="K4" s="178" t="str">
        <f>LOOKUP(ImgDatabase!S3,WeeklyBossMaterials[[#This Row],[Icon]],ImgDatabase!T3)</f>
        <v>[Dvalin] Stormterror</v>
      </c>
      <c r="L4" s="178" t="str">
        <f>LOOKUP(ImgDatabase!T3,WeeklyBossMaterials[[#This Row],[Boss Name]],ImgDatabase!U3)</f>
        <v>DvalinsPlume</v>
      </c>
      <c r="M4" s="179"/>
      <c r="O4" s="177" t="e" vm="348">
        <f>ImgDatabase!W3</f>
        <v>#VALUE!</v>
      </c>
      <c r="P4" s="175" t="str">
        <f>LOOKUP(ImgDatabase!W3,MonsterMaterials[[#This Row],[Icon]],ImgDatabase!X3)</f>
        <v>Hilichurl</v>
      </c>
      <c r="Q4" s="175" t="str">
        <f>LOOKUP(ImgDatabase!X3,MonsterMaterials[[#This Row],[Mob Name]],ImgDatabase!Y3)</f>
        <v>DamagedMask</v>
      </c>
      <c r="R4" s="179"/>
      <c r="T4" s="177" t="e" vm="349">
        <f>ImgDatabase!AA3</f>
        <v>#VALUE!</v>
      </c>
      <c r="U4" s="178" t="str">
        <f>LOOKUP(ImgDatabase!AA3,TalentBooks[[#This Row],[Icon]],ImgDatabase!AB3)</f>
        <v>TeachingsofBallad</v>
      </c>
      <c r="V4" s="179"/>
      <c r="X4" s="177" t="e" vm="350">
        <f>ImgDatabase!AD3</f>
        <v>#VALUE!</v>
      </c>
      <c r="Y4" s="178" t="str">
        <f>LOOKUP(ImgDatabase!AD3,LocalSpecialties[[#This Row],[Icon]],ImgDatabase!AE3)</f>
        <v>AmakumoFruit</v>
      </c>
      <c r="Z4" s="179"/>
      <c r="AB4" s="9" t="e" vm="351">
        <f>ImgDatabase!AG3</f>
        <v>#VALUE!</v>
      </c>
      <c r="AC4" s="176" t="str">
        <f>LOOKUP(ImgDatabase!AG3,Gems[[#This Row],[Icon]],ImgDatabase!AH3)</f>
        <v>BrilliantDiamondSliver</v>
      </c>
      <c r="AF4" s="177" t="e" vm="352">
        <f>ImgDatabase!AJ3</f>
        <v>#VALUE!</v>
      </c>
      <c r="AG4" s="178" t="str">
        <f>LOOKUP(ImgDatabase!AJ3,Misc[[#This Row],[Icon]],ImgDatabase!AK3)</f>
        <v>Mora</v>
      </c>
      <c r="AH4" s="179"/>
    </row>
    <row r="5" spans="1:34" ht="30" customHeight="1">
      <c r="A5" s="9" t="e" vm="353">
        <f>ImgDatabase!A4</f>
        <v>#VALUE!</v>
      </c>
      <c r="B5" s="176" t="str">
        <f>LOOKUP(ImgDatabase!A4,Experience[[#This Row],[Icon]],ImgDatabase!B4)</f>
        <v>MysticEnhancementOre</v>
      </c>
      <c r="C5" s="10"/>
      <c r="E5" s="9" t="e" vm="354">
        <f>ImgDatabase!O4</f>
        <v>#VALUE!</v>
      </c>
      <c r="F5" s="176" t="str">
        <f>LOOKUP(ImgDatabase!O4,WorldBossMaterials[[#This Row],[Icon]],ImgDatabase!P4)</f>
        <v>Cryo Regisvines</v>
      </c>
      <c r="G5" s="176" t="str">
        <f>LOOKUP(ImgDatabase!P4,WorldBossMaterials[[#This Row],[Boss Name]],ImgDatabase!Q4)</f>
        <v>HoarfrostCore</v>
      </c>
      <c r="H5" s="10"/>
      <c r="J5" s="9" t="e" vm="355">
        <f>ImgDatabase!S4</f>
        <v>#VALUE!</v>
      </c>
      <c r="K5" s="176" t="str">
        <f>LOOKUP(ImgDatabase!S4,WeeklyBossMaterials[[#This Row],[Icon]],ImgDatabase!T4)</f>
        <v>[Dvalin] Stormterror</v>
      </c>
      <c r="L5" s="176" t="str">
        <f>LOOKUP(ImgDatabase!T4,WeeklyBossMaterials[[#This Row],[Boss Name]],ImgDatabase!U4)</f>
        <v>DvalinsClaw</v>
      </c>
      <c r="M5" s="10"/>
      <c r="O5" s="9" t="e" vm="356">
        <f>ImgDatabase!W4</f>
        <v>#VALUE!</v>
      </c>
      <c r="P5" s="41" t="str">
        <f>LOOKUP(ImgDatabase!W4,MonsterMaterials[[#This Row],[Icon]],ImgDatabase!X4)</f>
        <v>Hilichurl</v>
      </c>
      <c r="Q5" s="41" t="str">
        <f>LOOKUP(ImgDatabase!X4,MonsterMaterials[[#This Row],[Mob Name]],ImgDatabase!Y4)</f>
        <v>StainedMask</v>
      </c>
      <c r="R5" s="10"/>
      <c r="T5" s="9" t="e" vm="357">
        <f>ImgDatabase!AA4</f>
        <v>#VALUE!</v>
      </c>
      <c r="U5" s="176" t="str">
        <f>LOOKUP(ImgDatabase!AA4,TalentBooks[[#This Row],[Icon]],ImgDatabase!AB4)</f>
        <v>GuidetoBallad</v>
      </c>
      <c r="V5" s="10"/>
      <c r="X5" s="9" t="e" vm="358">
        <f>ImgDatabase!AD4</f>
        <v>#VALUE!</v>
      </c>
      <c r="Y5" s="176" t="str">
        <f>LOOKUP(ImgDatabase!AD4,LocalSpecialties[[#This Row],[Icon]],ImgDatabase!AE4)</f>
        <v>BerylConch</v>
      </c>
      <c r="Z5" s="10"/>
      <c r="AB5" s="9" t="e" vm="359">
        <f>ImgDatabase!AG4</f>
        <v>#VALUE!</v>
      </c>
      <c r="AC5" s="176" t="str">
        <f>LOOKUP(ImgDatabase!AG4,Gems[[#This Row],[Icon]],ImgDatabase!AH4)</f>
        <v>BrilliantDiamondFragment</v>
      </c>
      <c r="AF5" s="9" t="e" vm="360">
        <f>ImgDatabase!AJ4</f>
        <v>#VALUE!</v>
      </c>
      <c r="AG5" s="176" t="str">
        <f>LOOKUP(ImgDatabase!AJ4,Misc[[#This Row],[Icon]],ImgDatabase!AK4)</f>
        <v>CrownofInsight</v>
      </c>
      <c r="AH5" s="10"/>
    </row>
    <row r="6" spans="1:34" ht="30" customHeight="1">
      <c r="A6" s="9" t="e" vm="361">
        <f>ImgDatabase!A5</f>
        <v>#VALUE!</v>
      </c>
      <c r="B6" s="176" t="str">
        <f>LOOKUP(ImgDatabase!A5,Experience[[#This Row],[Icon]],ImgDatabase!B5)</f>
        <v>FineEnhancementOre</v>
      </c>
      <c r="C6" s="10"/>
      <c r="E6" s="9" t="e" vm="362">
        <f>ImgDatabase!O5</f>
        <v>#VALUE!</v>
      </c>
      <c r="F6" s="176" t="str">
        <f>LOOKUP(ImgDatabase!O5,WorldBossMaterials[[#This Row],[Icon]],ImgDatabase!P5)</f>
        <v>Electro Hypostases</v>
      </c>
      <c r="G6" s="176" t="str">
        <f>LOOKUP(ImgDatabase!P5,WorldBossMaterials[[#This Row],[Boss Name]],ImgDatabase!Q5)</f>
        <v>LightningPrism</v>
      </c>
      <c r="H6" s="10"/>
      <c r="J6" s="9" t="e" vm="363">
        <f>ImgDatabase!S5</f>
        <v>#VALUE!</v>
      </c>
      <c r="K6" s="176" t="str">
        <f>LOOKUP(ImgDatabase!S5,WeeklyBossMaterials[[#This Row],[Icon]],ImgDatabase!T5)</f>
        <v>[Dvalin] Stormterror</v>
      </c>
      <c r="L6" s="176" t="str">
        <f>LOOKUP(ImgDatabase!T5,WeeklyBossMaterials[[#This Row],[Boss Name]],ImgDatabase!U5)</f>
        <v>DvalinsSigh</v>
      </c>
      <c r="M6" s="10"/>
      <c r="O6" s="9" t="e" vm="364">
        <f>ImgDatabase!W5</f>
        <v>#VALUE!</v>
      </c>
      <c r="P6" s="41" t="str">
        <f>LOOKUP(ImgDatabase!W5,MonsterMaterials[[#This Row],[Icon]],ImgDatabase!X5)</f>
        <v>Hilichurl</v>
      </c>
      <c r="Q6" s="41" t="str">
        <f>LOOKUP(ImgDatabase!X5,MonsterMaterials[[#This Row],[Mob Name]],ImgDatabase!Y5)</f>
        <v>OminousMask</v>
      </c>
      <c r="R6" s="10"/>
      <c r="T6" s="9" t="e" vm="7">
        <f>ImgDatabase!AA5</f>
        <v>#VALUE!</v>
      </c>
      <c r="U6" s="176" t="str">
        <f>LOOKUP(ImgDatabase!AA5,TalentBooks[[#This Row],[Icon]],ImgDatabase!AB5)</f>
        <v>PhilosophiesofBallad</v>
      </c>
      <c r="V6" s="10"/>
      <c r="X6" s="9" t="e" vm="365">
        <f>ImgDatabase!AD5</f>
        <v>#VALUE!</v>
      </c>
      <c r="Y6" s="176" t="str">
        <f>LOOKUP(ImgDatabase!AD5,LocalSpecialties[[#This Row],[Icon]],ImgDatabase!AE5)</f>
        <v>CallaLily</v>
      </c>
      <c r="Z6" s="10"/>
      <c r="AB6" s="9" t="e" vm="366">
        <f>ImgDatabase!AG5</f>
        <v>#VALUE!</v>
      </c>
      <c r="AC6" s="176" t="str">
        <f>LOOKUP(ImgDatabase!AG5,Gems[[#This Row],[Icon]],ImgDatabase!AH5)</f>
        <v>BrilliantDiamondChunk</v>
      </c>
      <c r="AF6" s="9" t="e" vm="367">
        <f>ImgDatabase!AJ5</f>
        <v>#VALUE!</v>
      </c>
      <c r="AG6" s="176" t="str">
        <f>LOOKUP(ImgDatabase!AJ5,Misc[[#This Row],[Icon]],ImgDatabase!AK5)</f>
        <v>resin</v>
      </c>
      <c r="AH6" s="10"/>
    </row>
    <row r="7" spans="1:34" ht="30" customHeight="1">
      <c r="A7" s="11" t="e" vm="368">
        <f>ImgDatabase!A6</f>
        <v>#VALUE!</v>
      </c>
      <c r="B7" s="180" t="str">
        <f>LOOKUP(ImgDatabase!A6,Experience[[#This Row],[Icon]],ImgDatabase!B6)</f>
        <v>EnhancementOre</v>
      </c>
      <c r="C7" s="13"/>
      <c r="E7" s="9" t="e" vm="5">
        <f>ImgDatabase!O6</f>
        <v>#VALUE!</v>
      </c>
      <c r="F7" s="176" t="str">
        <f>LOOKUP(ImgDatabase!O6,WorldBossMaterials[[#This Row],[Icon]],ImgDatabase!P6)</f>
        <v>Geo Hypostases</v>
      </c>
      <c r="G7" s="176" t="str">
        <f>LOOKUP(ImgDatabase!P6,WorldBossMaterials[[#This Row],[Boss Name]],ImgDatabase!Q6)</f>
        <v>BasaltPillar</v>
      </c>
      <c r="H7" s="10"/>
      <c r="J7" s="9" t="e" vm="369">
        <f>ImgDatabase!S6</f>
        <v>#VALUE!</v>
      </c>
      <c r="K7" s="176" t="str">
        <f>LOOKUP(ImgDatabase!S6,WeeklyBossMaterials[[#This Row],[Icon]],ImgDatabase!T6)</f>
        <v>[Boreas] Wolf of the North</v>
      </c>
      <c r="L7" s="176" t="str">
        <f>LOOKUP(ImgDatabase!T6,WeeklyBossMaterials[[#This Row],[Boss Name]],ImgDatabase!U6)</f>
        <v>TailofBoreas</v>
      </c>
      <c r="M7" s="10"/>
      <c r="O7" s="9" t="e" vm="370">
        <f>ImgDatabase!W6</f>
        <v>#VALUE!</v>
      </c>
      <c r="P7" s="41" t="str">
        <f>LOOKUP(ImgDatabase!W6,MonsterMaterials[[#This Row],[Icon]],ImgDatabase!X6)</f>
        <v>Hilichurl Shooter</v>
      </c>
      <c r="Q7" s="41" t="str">
        <f>LOOKUP(ImgDatabase!X6,MonsterMaterials[[#This Row],[Mob Name]],ImgDatabase!Y6)</f>
        <v>FirmArrowhead</v>
      </c>
      <c r="R7" s="10"/>
      <c r="T7" s="9" t="e" vm="371">
        <f>ImgDatabase!AA6</f>
        <v>#VALUE!</v>
      </c>
      <c r="U7" s="176" t="str">
        <f>LOOKUP(ImgDatabase!AA6,TalentBooks[[#This Row],[Icon]],ImgDatabase!AB6)</f>
        <v>TeachingsofResistance</v>
      </c>
      <c r="V7" s="10"/>
      <c r="X7" s="9" t="e" vm="9">
        <f>ImgDatabase!AD6</f>
        <v>#VALUE!</v>
      </c>
      <c r="Y7" s="176" t="str">
        <f>LOOKUP(ImgDatabase!AD6,LocalSpecialties[[#This Row],[Icon]],ImgDatabase!AE6)</f>
        <v>Cecilia</v>
      </c>
      <c r="Z7" s="10"/>
      <c r="AB7" s="9" t="e" vm="372">
        <f>ImgDatabase!AG6</f>
        <v>#VALUE!</v>
      </c>
      <c r="AC7" s="176" t="str">
        <f>LOOKUP(ImgDatabase!AG6,Gems[[#This Row],[Icon]],ImgDatabase!AH6)</f>
        <v>BrilliantDiamondGemstone</v>
      </c>
      <c r="AF7" s="9" t="e" vm="373">
        <f>ImgDatabase!AJ6</f>
        <v>#VALUE!</v>
      </c>
      <c r="AG7" s="176" t="str">
        <f>LOOKUP(ImgDatabase!AJ6,Misc[[#This Row],[Icon]],ImgDatabase!AK6)</f>
        <v>characters</v>
      </c>
      <c r="AH7" s="10"/>
    </row>
    <row r="8" spans="1:34" ht="30" customHeight="1">
      <c r="E8" s="9" t="e" vm="374">
        <f>ImgDatabase!O7</f>
        <v>#VALUE!</v>
      </c>
      <c r="F8" s="176" t="str">
        <f>LOOKUP(ImgDatabase!O7,WorldBossMaterials[[#This Row],[Icon]],ImgDatabase!P7)</f>
        <v>Oceanid</v>
      </c>
      <c r="G8" s="176" t="str">
        <f>LOOKUP(ImgDatabase!P7,WorldBossMaterials[[#This Row],[Boss Name]],ImgDatabase!Q7)</f>
        <v>CleansingHeart</v>
      </c>
      <c r="H8" s="10"/>
      <c r="J8" s="9" t="e" vm="375">
        <f>ImgDatabase!S7</f>
        <v>#VALUE!</v>
      </c>
      <c r="K8" s="176" t="str">
        <f>LOOKUP(ImgDatabase!S7,WeeklyBossMaterials[[#This Row],[Icon]],ImgDatabase!T7)</f>
        <v>[Boreas] Wolf of the North</v>
      </c>
      <c r="L8" s="176" t="str">
        <f>LOOKUP(ImgDatabase!T7,WeeklyBossMaterials[[#This Row],[Boss Name]],ImgDatabase!U7)</f>
        <v>SpiritLocketofBoreas</v>
      </c>
      <c r="M8" s="10"/>
      <c r="O8" s="9" t="e" vm="376">
        <f>ImgDatabase!W7</f>
        <v>#VALUE!</v>
      </c>
      <c r="P8" s="41" t="str">
        <f>LOOKUP(ImgDatabase!W7,MonsterMaterials[[#This Row],[Icon]],ImgDatabase!X7)</f>
        <v>Hilichurl Shooter</v>
      </c>
      <c r="Q8" s="41" t="str">
        <f>LOOKUP(ImgDatabase!X7,MonsterMaterials[[#This Row],[Mob Name]],ImgDatabase!Y7)</f>
        <v>SharpArrowhead</v>
      </c>
      <c r="R8" s="10"/>
      <c r="T8" s="9" t="e" vm="377">
        <f>ImgDatabase!AA7</f>
        <v>#VALUE!</v>
      </c>
      <c r="U8" s="176" t="str">
        <f>LOOKUP(ImgDatabase!AA7,TalentBooks[[#This Row],[Icon]],ImgDatabase!AB7)</f>
        <v>GuidetoResistance</v>
      </c>
      <c r="V8" s="10"/>
      <c r="X8" s="9" t="e" vm="378">
        <f>ImgDatabase!AD7</f>
        <v>#VALUE!</v>
      </c>
      <c r="Y8" s="176" t="str">
        <f>LOOKUP(ImgDatabase!AD7,LocalSpecialties[[#This Row],[Icon]],ImgDatabase!AE7)</f>
        <v>ClearwaterJade</v>
      </c>
      <c r="Z8" s="10"/>
      <c r="AB8" s="9" t="e" vm="379">
        <f>ImgDatabase!AG7</f>
        <v>#VALUE!</v>
      </c>
      <c r="AC8" s="176" t="str">
        <f>LOOKUP(ImgDatabase!AG7,Gems[[#This Row],[Icon]],ImgDatabase!AH7)</f>
        <v>AgnidusAgateSliver</v>
      </c>
      <c r="AF8" s="9" t="e" vm="380">
        <f>ImgDatabase!AJ7</f>
        <v>#VALUE!</v>
      </c>
      <c r="AG8" s="176" t="str">
        <f>LOOKUP(ImgDatabase!AJ7,Misc[[#This Row],[Icon]],ImgDatabase!AK7)</f>
        <v>inventory</v>
      </c>
      <c r="AH8" s="10"/>
    </row>
    <row r="9" spans="1:34" ht="30" customHeight="1">
      <c r="E9" s="9" t="e" vm="381">
        <f>ImgDatabase!O8</f>
        <v>#VALUE!</v>
      </c>
      <c r="F9" s="176" t="str">
        <f>LOOKUP(ImgDatabase!O8,WorldBossMaterials[[#This Row],[Icon]],ImgDatabase!P8)</f>
        <v>Pyro Regisvines</v>
      </c>
      <c r="G9" s="176" t="str">
        <f>LOOKUP(ImgDatabase!P8,WorldBossMaterials[[#This Row],[Boss Name]],ImgDatabase!Q8)</f>
        <v>EverflameSeed</v>
      </c>
      <c r="H9" s="10"/>
      <c r="J9" s="9" t="e" vm="382">
        <f>ImgDatabase!S8</f>
        <v>#VALUE!</v>
      </c>
      <c r="K9" s="176" t="str">
        <f>LOOKUP(ImgDatabase!S8,WeeklyBossMaterials[[#This Row],[Icon]],ImgDatabase!T8)</f>
        <v>[Boreas] Wolf of the North</v>
      </c>
      <c r="L9" s="176" t="str">
        <f>LOOKUP(ImgDatabase!T8,WeeklyBossMaterials[[#This Row],[Boss Name]],ImgDatabase!U8)</f>
        <v>RingofBoreas</v>
      </c>
      <c r="M9" s="10"/>
      <c r="O9" s="9" t="e" vm="383">
        <f>ImgDatabase!W8</f>
        <v>#VALUE!</v>
      </c>
      <c r="P9" s="41" t="str">
        <f>LOOKUP(ImgDatabase!W8,MonsterMaterials[[#This Row],[Icon]],ImgDatabase!X8)</f>
        <v>Hilichurl Shooter</v>
      </c>
      <c r="Q9" s="41" t="str">
        <f>LOOKUP(ImgDatabase!X8,MonsterMaterials[[#This Row],[Mob Name]],ImgDatabase!Y8)</f>
        <v>WeatheredArrowhead</v>
      </c>
      <c r="R9" s="10"/>
      <c r="T9" s="9" t="e" vm="384">
        <f>ImgDatabase!AA8</f>
        <v>#VALUE!</v>
      </c>
      <c r="U9" s="176" t="str">
        <f>LOOKUP(ImgDatabase!AA8,TalentBooks[[#This Row],[Icon]],ImgDatabase!AB8)</f>
        <v>PhilosophiesofResistance</v>
      </c>
      <c r="V9" s="10"/>
      <c r="X9" s="9" t="e" vm="385">
        <f>ImgDatabase!AD8</f>
        <v>#VALUE!</v>
      </c>
      <c r="Y9" s="176" t="str">
        <f>LOOKUP(ImgDatabase!AD8,LocalSpecialties[[#This Row],[Icon]],ImgDatabase!AE8)</f>
        <v>CorLapis</v>
      </c>
      <c r="Z9" s="10"/>
      <c r="AB9" s="9" t="e" vm="386">
        <f>ImgDatabase!AG8</f>
        <v>#VALUE!</v>
      </c>
      <c r="AC9" s="176" t="str">
        <f>LOOKUP(ImgDatabase!AG8,Gems[[#This Row],[Icon]],ImgDatabase!AH8)</f>
        <v>AgnidusAgateFragment</v>
      </c>
      <c r="AF9" s="9" t="e" vm="387">
        <f>ImgDatabase!AJ8</f>
        <v>#VALUE!</v>
      </c>
      <c r="AG9" s="176" t="str">
        <f>LOOKUP(ImgDatabase!AJ8,Misc[[#This Row],[Icon]],ImgDatabase!AK8)</f>
        <v>options</v>
      </c>
      <c r="AH9" s="10"/>
    </row>
    <row r="10" spans="1:34" ht="30" customHeight="1">
      <c r="E10" s="9" t="e" vm="388">
        <f>ImgDatabase!O9</f>
        <v>#VALUE!</v>
      </c>
      <c r="F10" s="176" t="str">
        <f>LOOKUP(ImgDatabase!O9,WorldBossMaterials[[#This Row],[Icon]],ImgDatabase!P9)</f>
        <v>Primo Geovishaps</v>
      </c>
      <c r="G10" s="176" t="str">
        <f>LOOKUP(ImgDatabase!P9,WorldBossMaterials[[#This Row],[Boss Name]],ImgDatabase!Q9)</f>
        <v>JuvenileJade</v>
      </c>
      <c r="H10" s="10"/>
      <c r="J10" s="9" t="e" vm="389">
        <f>ImgDatabase!S9</f>
        <v>#VALUE!</v>
      </c>
      <c r="K10" s="176" t="str">
        <f>LOOKUP(ImgDatabase!S9,WeeklyBossMaterials[[#This Row],[Icon]],ImgDatabase!T9)</f>
        <v>[Childe] Golden House</v>
      </c>
      <c r="L10" s="176" t="str">
        <f>LOOKUP(ImgDatabase!T9,WeeklyBossMaterials[[#This Row],[Boss Name]],ImgDatabase!U9)</f>
        <v>ShardofaFoulLegacy</v>
      </c>
      <c r="M10" s="10"/>
      <c r="O10" s="9" t="e" vm="390">
        <f>ImgDatabase!W9</f>
        <v>#VALUE!</v>
      </c>
      <c r="P10" s="41" t="str">
        <f>LOOKUP(ImgDatabase!W9,MonsterMaterials[[#This Row],[Icon]],ImgDatabase!X9)</f>
        <v>Samachurl</v>
      </c>
      <c r="Q10" s="41" t="str">
        <f>LOOKUP(ImgDatabase!X9,MonsterMaterials[[#This Row],[Mob Name]],ImgDatabase!Y9)</f>
        <v>DiviningScroll</v>
      </c>
      <c r="R10" s="10"/>
      <c r="T10" s="9" t="e" vm="391">
        <f>ImgDatabase!AA9</f>
        <v>#VALUE!</v>
      </c>
      <c r="U10" s="176" t="str">
        <f>LOOKUP(ImgDatabase!AA9,TalentBooks[[#This Row],[Icon]],ImgDatabase!AB9)</f>
        <v>TeachingsofFreedom</v>
      </c>
      <c r="V10" s="10"/>
      <c r="X10" s="9" t="e" vm="392">
        <f>ImgDatabase!AD9</f>
        <v>#VALUE!</v>
      </c>
      <c r="Y10" s="176" t="str">
        <f>LOOKUP(ImgDatabase!AD9,LocalSpecialties[[#This Row],[Icon]],ImgDatabase!AE9)</f>
        <v>CrystalMarrow</v>
      </c>
      <c r="Z10" s="10"/>
      <c r="AB10" s="9" t="e" vm="393">
        <f>ImgDatabase!AG9</f>
        <v>#VALUE!</v>
      </c>
      <c r="AC10" s="176" t="str">
        <f>LOOKUP(ImgDatabase!AG9,Gems[[#This Row],[Icon]],ImgDatabase!AH9)</f>
        <v>AgnidusAgateChunk</v>
      </c>
      <c r="AF10" s="9" t="e" vm="394">
        <f>ImgDatabase!AJ9</f>
        <v>#VALUE!</v>
      </c>
      <c r="AG10" s="176" t="str">
        <f>LOOKUP(ImgDatabase!AJ9,Misc[[#This Row],[Icon]],ImgDatabase!AK9)</f>
        <v>weapons</v>
      </c>
      <c r="AH10" s="10"/>
    </row>
    <row r="11" spans="1:34" ht="30" customHeight="1">
      <c r="E11" s="9" t="e" vm="395">
        <f>ImgDatabase!O10</f>
        <v>#VALUE!</v>
      </c>
      <c r="F11" s="176" t="str">
        <f>LOOKUP(ImgDatabase!O10,WorldBossMaterials[[#This Row],[Icon]],ImgDatabase!P10)</f>
        <v>Cryo Hypostases</v>
      </c>
      <c r="G11" s="176" t="str">
        <f>LOOKUP(ImgDatabase!P10,WorldBossMaterials[[#This Row],[Boss Name]],ImgDatabase!Q10)</f>
        <v>CrystallineBloom</v>
      </c>
      <c r="H11" s="10"/>
      <c r="J11" s="9" t="e" vm="396">
        <f>ImgDatabase!S10</f>
        <v>#VALUE!</v>
      </c>
      <c r="K11" s="176" t="str">
        <f>LOOKUP(ImgDatabase!S10,WeeklyBossMaterials[[#This Row],[Icon]],ImgDatabase!T10)</f>
        <v>[Childe] Golden House</v>
      </c>
      <c r="L11" s="176" t="str">
        <f>LOOKUP(ImgDatabase!T10,WeeklyBossMaterials[[#This Row],[Boss Name]],ImgDatabase!U10)</f>
        <v>ShadowoftheWarrior</v>
      </c>
      <c r="M11" s="10"/>
      <c r="O11" s="9" t="e" vm="397">
        <f>ImgDatabase!W10</f>
        <v>#VALUE!</v>
      </c>
      <c r="P11" s="41" t="str">
        <f>LOOKUP(ImgDatabase!W10,MonsterMaterials[[#This Row],[Icon]],ImgDatabase!X10)</f>
        <v>Samachurl</v>
      </c>
      <c r="Q11" s="41" t="str">
        <f>LOOKUP(ImgDatabase!X10,MonsterMaterials[[#This Row],[Mob Name]],ImgDatabase!Y10)</f>
        <v>SealedScroll</v>
      </c>
      <c r="R11" s="10"/>
      <c r="T11" s="9" t="e" vm="398">
        <f>ImgDatabase!AA10</f>
        <v>#VALUE!</v>
      </c>
      <c r="U11" s="176" t="str">
        <f>LOOKUP(ImgDatabase!AA10,TalentBooks[[#This Row],[Icon]],ImgDatabase!AB10)</f>
        <v>GuidetoFreedom</v>
      </c>
      <c r="V11" s="10"/>
      <c r="X11" s="9" t="e" vm="399">
        <f>ImgDatabase!AD10</f>
        <v>#VALUE!</v>
      </c>
      <c r="Y11" s="176" t="str">
        <f>LOOKUP(ImgDatabase!AD10,LocalSpecialties[[#This Row],[Icon]],ImgDatabase!AE10)</f>
        <v>DandelionSeed</v>
      </c>
      <c r="Z11" s="10"/>
      <c r="AB11" s="9" t="e" vm="400">
        <f>ImgDatabase!AG10</f>
        <v>#VALUE!</v>
      </c>
      <c r="AC11" s="176" t="str">
        <f>LOOKUP(ImgDatabase!AG10,Gems[[#This Row],[Icon]],ImgDatabase!AH10)</f>
        <v>AgnidusAgateGemstone</v>
      </c>
      <c r="AF11" s="11"/>
      <c r="AG11" s="180"/>
      <c r="AH11" s="13"/>
    </row>
    <row r="12" spans="1:34" ht="30" customHeight="1">
      <c r="E12" s="9" t="e" vm="401">
        <f>ImgDatabase!O11</f>
        <v>#VALUE!</v>
      </c>
      <c r="F12" s="176" t="str">
        <f>LOOKUP(ImgDatabase!O11,WorldBossMaterials[[#This Row],[Icon]],ImgDatabase!P11)</f>
        <v>Maguu Kenki</v>
      </c>
      <c r="G12" s="176" t="str">
        <f>LOOKUP(ImgDatabase!P11,WorldBossMaterials[[#This Row],[Boss Name]],ImgDatabase!Q11)</f>
        <v>MarionetteCore</v>
      </c>
      <c r="H12" s="10"/>
      <c r="J12" s="9" t="e" vm="6">
        <f>ImgDatabase!S11</f>
        <v>#VALUE!</v>
      </c>
      <c r="K12" s="176" t="str">
        <f>LOOKUP(ImgDatabase!S11,WeeklyBossMaterials[[#This Row],[Icon]],ImgDatabase!T11)</f>
        <v>[Childe] Golden House</v>
      </c>
      <c r="L12" s="176" t="str">
        <f>LOOKUP(ImgDatabase!T11,WeeklyBossMaterials[[#This Row],[Boss Name]],ImgDatabase!U11)</f>
        <v>TuskofMonocerosCaeli</v>
      </c>
      <c r="M12" s="10"/>
      <c r="O12" s="9" t="e" vm="8">
        <f>ImgDatabase!W11</f>
        <v>#VALUE!</v>
      </c>
      <c r="P12" s="41" t="str">
        <f>LOOKUP(ImgDatabase!W11,MonsterMaterials[[#This Row],[Icon]],ImgDatabase!X11)</f>
        <v>Samachurl</v>
      </c>
      <c r="Q12" s="41" t="str">
        <f>LOOKUP(ImgDatabase!X11,MonsterMaterials[[#This Row],[Mob Name]],ImgDatabase!Y11)</f>
        <v>ForbiddenCurseScroll</v>
      </c>
      <c r="R12" s="10"/>
      <c r="T12" s="9" t="e" vm="402">
        <f>ImgDatabase!AA11</f>
        <v>#VALUE!</v>
      </c>
      <c r="U12" s="176" t="str">
        <f>LOOKUP(ImgDatabase!AA11,TalentBooks[[#This Row],[Icon]],ImgDatabase!AB11)</f>
        <v>PhilosophiesofFreedom</v>
      </c>
      <c r="V12" s="10"/>
      <c r="X12" s="9" t="e" vm="403">
        <f>ImgDatabase!AD11</f>
        <v>#VALUE!</v>
      </c>
      <c r="Y12" s="176" t="str">
        <f>LOOKUP(ImgDatabase!AD11,LocalSpecialties[[#This Row],[Icon]],ImgDatabase!AE11)</f>
        <v>Dendrobium</v>
      </c>
      <c r="Z12" s="10"/>
      <c r="AB12" s="9" t="e" vm="404">
        <f>ImgDatabase!AG11</f>
        <v>#VALUE!</v>
      </c>
      <c r="AC12" s="176" t="str">
        <f>LOOKUP(ImgDatabase!AG11,Gems[[#This Row],[Icon]],ImgDatabase!AH11)</f>
        <v>VarunadaLazuriteSliver</v>
      </c>
    </row>
    <row r="13" spans="1:34" ht="30" customHeight="1">
      <c r="E13" s="9" t="e" vm="405">
        <f>ImgDatabase!O12</f>
        <v>#VALUE!</v>
      </c>
      <c r="F13" s="176" t="str">
        <f>LOOKUP(ImgDatabase!O12,WorldBossMaterials[[#This Row],[Icon]],ImgDatabase!P12)</f>
        <v>Perpetual Mecha. Arrays</v>
      </c>
      <c r="G13" s="176" t="str">
        <f>LOOKUP(ImgDatabase!P12,WorldBossMaterials[[#This Row],[Boss Name]],ImgDatabase!Q12)</f>
        <v>PerpetualHeart</v>
      </c>
      <c r="H13" s="10"/>
      <c r="J13" s="9" t="e" vm="406">
        <f>ImgDatabase!S12</f>
        <v>#VALUE!</v>
      </c>
      <c r="K13" s="176" t="str">
        <f>LOOKUP(ImgDatabase!S12,WeeklyBossMaterials[[#This Row],[Icon]],ImgDatabase!T12)</f>
        <v>Azhdaha</v>
      </c>
      <c r="L13" s="176" t="str">
        <f>LOOKUP(ImgDatabase!T12,WeeklyBossMaterials[[#This Row],[Boss Name]],ImgDatabase!U12)</f>
        <v>DragonLordsCrown</v>
      </c>
      <c r="M13" s="10"/>
      <c r="O13" s="9" t="e" vm="407">
        <f>ImgDatabase!W12</f>
        <v>#VALUE!</v>
      </c>
      <c r="P13" s="41" t="str">
        <f>LOOKUP(ImgDatabase!W12,MonsterMaterials[[#This Row],[Icon]],ImgDatabase!X12)</f>
        <v>Slime</v>
      </c>
      <c r="Q13" s="41" t="str">
        <f>LOOKUP(ImgDatabase!X12,MonsterMaterials[[#This Row],[Mob Name]],ImgDatabase!Y12)</f>
        <v>SlimeCondensate</v>
      </c>
      <c r="R13" s="10"/>
      <c r="T13" s="9" t="e" vm="408">
        <f>ImgDatabase!AA12</f>
        <v>#VALUE!</v>
      </c>
      <c r="U13" s="176" t="str">
        <f>LOOKUP(ImgDatabase!AA12,TalentBooks[[#This Row],[Icon]],ImgDatabase!AB12)</f>
        <v>TeachingsofGold</v>
      </c>
      <c r="V13" s="10"/>
      <c r="X13" s="9" t="e" vm="409">
        <f>ImgDatabase!AD12</f>
        <v>#VALUE!</v>
      </c>
      <c r="Y13" s="176" t="str">
        <f>LOOKUP(ImgDatabase!AD12,LocalSpecialties[[#This Row],[Icon]],ImgDatabase!AE12)</f>
        <v>FluorescentFungus</v>
      </c>
      <c r="Z13" s="10"/>
      <c r="AB13" s="9" t="e" vm="410">
        <f>ImgDatabase!AG12</f>
        <v>#VALUE!</v>
      </c>
      <c r="AC13" s="176" t="str">
        <f>LOOKUP(ImgDatabase!AG12,Gems[[#This Row],[Icon]],ImgDatabase!AH12)</f>
        <v>VarunadaLazuriteFragment</v>
      </c>
    </row>
    <row r="14" spans="1:34" ht="30" customHeight="1">
      <c r="E14" s="9" t="e" vm="411">
        <f>ImgDatabase!O13</f>
        <v>#VALUE!</v>
      </c>
      <c r="F14" s="176" t="str">
        <f>LOOKUP(ImgDatabase!O13,WorldBossMaterials[[#This Row],[Icon]],ImgDatabase!P13)</f>
        <v>Pyro Hypostases</v>
      </c>
      <c r="G14" s="176" t="str">
        <f>LOOKUP(ImgDatabase!P13,WorldBossMaterials[[#This Row],[Boss Name]],ImgDatabase!Q13)</f>
        <v>SmolderingPearl</v>
      </c>
      <c r="H14" s="10"/>
      <c r="J14" s="9" t="e" vm="412">
        <f>ImgDatabase!S13</f>
        <v>#VALUE!</v>
      </c>
      <c r="K14" s="176" t="str">
        <f>LOOKUP(ImgDatabase!S13,WeeklyBossMaterials[[#This Row],[Icon]],ImgDatabase!T13)</f>
        <v>Azhdaha</v>
      </c>
      <c r="L14" s="176" t="str">
        <f>LOOKUP(ImgDatabase!T13,WeeklyBossMaterials[[#This Row],[Boss Name]],ImgDatabase!U13)</f>
        <v>GildedScale</v>
      </c>
      <c r="M14" s="10"/>
      <c r="O14" s="9" t="e" vm="413">
        <f>ImgDatabase!W13</f>
        <v>#VALUE!</v>
      </c>
      <c r="P14" s="41" t="str">
        <f>LOOKUP(ImgDatabase!W13,MonsterMaterials[[#This Row],[Icon]],ImgDatabase!X13)</f>
        <v>Slime</v>
      </c>
      <c r="Q14" s="41" t="str">
        <f>LOOKUP(ImgDatabase!X13,MonsterMaterials[[#This Row],[Mob Name]],ImgDatabase!Y13)</f>
        <v>SlimeSecretions</v>
      </c>
      <c r="R14" s="10"/>
      <c r="T14" s="9" t="e" vm="414">
        <f>ImgDatabase!AA13</f>
        <v>#VALUE!</v>
      </c>
      <c r="U14" s="176" t="str">
        <f>LOOKUP(ImgDatabase!AA13,TalentBooks[[#This Row],[Icon]],ImgDatabase!AB13)</f>
        <v>GuidetoGold</v>
      </c>
      <c r="V14" s="10"/>
      <c r="X14" s="9" t="e" vm="415">
        <f>ImgDatabase!AD13</f>
        <v>#VALUE!</v>
      </c>
      <c r="Y14" s="176" t="str">
        <f>LOOKUP(ImgDatabase!AD13,LocalSpecialties[[#This Row],[Icon]],ImgDatabase!AE13)</f>
        <v>GlazeLily</v>
      </c>
      <c r="Z14" s="10"/>
      <c r="AB14" s="9" t="e" vm="416">
        <f>ImgDatabase!AG13</f>
        <v>#VALUE!</v>
      </c>
      <c r="AC14" s="176" t="str">
        <f>LOOKUP(ImgDatabase!AG13,Gems[[#This Row],[Icon]],ImgDatabase!AH13)</f>
        <v>VarunadaLazuriteChunk</v>
      </c>
    </row>
    <row r="15" spans="1:34" ht="30" customHeight="1">
      <c r="E15" s="9" t="e" vm="417">
        <f>ImgDatabase!O14</f>
        <v>#VALUE!</v>
      </c>
      <c r="F15" s="176" t="str">
        <f>LOOKUP(ImgDatabase!O14,WorldBossMaterials[[#This Row],[Icon]],ImgDatabase!P14)</f>
        <v>Hydro Hypostases</v>
      </c>
      <c r="G15" s="176" t="str">
        <f>LOOKUP(ImgDatabase!P14,WorldBossMaterials[[#This Row],[Boss Name]],ImgDatabase!Q14)</f>
        <v>DewofRepudiation</v>
      </c>
      <c r="H15" s="10"/>
      <c r="J15" s="9" t="e" vm="418">
        <f>ImgDatabase!S14</f>
        <v>#VALUE!</v>
      </c>
      <c r="K15" s="176" t="str">
        <f>LOOKUP(ImgDatabase!S14,WeeklyBossMaterials[[#This Row],[Icon]],ImgDatabase!T14)</f>
        <v>Azhdaha</v>
      </c>
      <c r="L15" s="176" t="str">
        <f>LOOKUP(ImgDatabase!T14,WeeklyBossMaterials[[#This Row],[Boss Name]],ImgDatabase!U14)</f>
        <v>BloodjadeBranch</v>
      </c>
      <c r="M15" s="10"/>
      <c r="O15" s="9" t="e" vm="419">
        <f>ImgDatabase!W14</f>
        <v>#VALUE!</v>
      </c>
      <c r="P15" s="41" t="str">
        <f>LOOKUP(ImgDatabase!W14,MonsterMaterials[[#This Row],[Icon]],ImgDatabase!X14)</f>
        <v>Slime</v>
      </c>
      <c r="Q15" s="41" t="str">
        <f>LOOKUP(ImgDatabase!X14,MonsterMaterials[[#This Row],[Mob Name]],ImgDatabase!Y14)</f>
        <v>SlimeConcentrate</v>
      </c>
      <c r="R15" s="10"/>
      <c r="T15" s="9" t="e" vm="420">
        <f>ImgDatabase!AA14</f>
        <v>#VALUE!</v>
      </c>
      <c r="U15" s="176" t="str">
        <f>LOOKUP(ImgDatabase!AA14,TalentBooks[[#This Row],[Icon]],ImgDatabase!AB14)</f>
        <v>PhilosophiesofGold</v>
      </c>
      <c r="V15" s="10"/>
      <c r="X15" s="9" t="e" vm="421">
        <f>ImgDatabase!AD14</f>
        <v>#VALUE!</v>
      </c>
      <c r="Y15" s="176" t="str">
        <f>LOOKUP(ImgDatabase!AD14,LocalSpecialties[[#This Row],[Icon]],ImgDatabase!AE14)</f>
        <v>HennaBerry</v>
      </c>
      <c r="Z15" s="10"/>
      <c r="AB15" s="9" t="e" vm="422">
        <f>ImgDatabase!AG14</f>
        <v>#VALUE!</v>
      </c>
      <c r="AC15" s="176" t="str">
        <f>LOOKUP(ImgDatabase!AG14,Gems[[#This Row],[Icon]],ImgDatabase!AH14)</f>
        <v>VarunadaLazuriteGemstone</v>
      </c>
    </row>
    <row r="16" spans="1:34" ht="30" customHeight="1">
      <c r="E16" s="9" t="e" vm="423">
        <f>ImgDatabase!O15</f>
        <v>#VALUE!</v>
      </c>
      <c r="F16" s="176" t="str">
        <f>LOOKUP(ImgDatabase!O15,WorldBossMaterials[[#This Row],[Icon]],ImgDatabase!P15)</f>
        <v>Thunder Manif.</v>
      </c>
      <c r="G16" s="176" t="str">
        <f>LOOKUP(ImgDatabase!P15,WorldBossMaterials[[#This Row],[Boss Name]],ImgDatabase!Q15)</f>
        <v>StormBeads</v>
      </c>
      <c r="H16" s="10"/>
      <c r="J16" s="9" t="e" vm="424">
        <f>ImgDatabase!S15</f>
        <v>#VALUE!</v>
      </c>
      <c r="K16" s="176" t="str">
        <f>LOOKUP(ImgDatabase!S15,WeeklyBossMaterials[[#This Row],[Icon]],ImgDatabase!T15)</f>
        <v>Signora</v>
      </c>
      <c r="L16" s="176" t="str">
        <f>LOOKUP(ImgDatabase!T15,WeeklyBossMaterials[[#This Row],[Boss Name]],ImgDatabase!U15)</f>
        <v>HellfireButterfly</v>
      </c>
      <c r="M16" s="10"/>
      <c r="O16" s="9" t="e" vm="425">
        <f>ImgDatabase!W15</f>
        <v>#VALUE!</v>
      </c>
      <c r="P16" s="41" t="str">
        <f>LOOKUP(ImgDatabase!W15,MonsterMaterials[[#This Row],[Icon]],ImgDatabase!X15)</f>
        <v>Treasure Hoarder</v>
      </c>
      <c r="Q16" s="41" t="str">
        <f>LOOKUP(ImgDatabase!X15,MonsterMaterials[[#This Row],[Mob Name]],ImgDatabase!Y15)</f>
        <v>TreasureHoarderInsignia</v>
      </c>
      <c r="R16" s="10"/>
      <c r="T16" s="9" t="e" vm="426">
        <f>ImgDatabase!AA15</f>
        <v>#VALUE!</v>
      </c>
      <c r="U16" s="176" t="str">
        <f>LOOKUP(ImgDatabase!AA15,TalentBooks[[#This Row],[Icon]],ImgDatabase!AB15)</f>
        <v>TeachingsofProsperity</v>
      </c>
      <c r="V16" s="10"/>
      <c r="X16" s="9" t="e" vm="427">
        <f>ImgDatabase!AD15</f>
        <v>#VALUE!</v>
      </c>
      <c r="Y16" s="176" t="str">
        <f>LOOKUP(ImgDatabase!AD15,LocalSpecialties[[#This Row],[Icon]],ImgDatabase!AE15)</f>
        <v>JueyunChili</v>
      </c>
      <c r="Z16" s="10"/>
      <c r="AB16" s="9" t="e" vm="428">
        <f>ImgDatabase!AG15</f>
        <v>#VALUE!</v>
      </c>
      <c r="AC16" s="176" t="str">
        <f>LOOKUP(ImgDatabase!AG15,Gems[[#This Row],[Icon]],ImgDatabase!AH15)</f>
        <v>NagadusEmeraldSliver</v>
      </c>
    </row>
    <row r="17" spans="5:29" ht="30" customHeight="1">
      <c r="E17" s="9" t="e" vm="429">
        <f>ImgDatabase!O16</f>
        <v>#VALUE!</v>
      </c>
      <c r="F17" s="176" t="str">
        <f>LOOKUP(ImgDatabase!O16,WorldBossMaterials[[#This Row],[Icon]],ImgDatabase!P16)</f>
        <v>Golden Wolflords</v>
      </c>
      <c r="G17" s="176" t="str">
        <f>LOOKUP(ImgDatabase!P16,WorldBossMaterials[[#This Row],[Boss Name]],ImgDatabase!Q16)</f>
        <v>RiftbornRegalia</v>
      </c>
      <c r="H17" s="10"/>
      <c r="J17" s="9" t="e" vm="430">
        <f>ImgDatabase!S16</f>
        <v>#VALUE!</v>
      </c>
      <c r="K17" s="176" t="str">
        <f>LOOKUP(ImgDatabase!S16,WeeklyBossMaterials[[#This Row],[Icon]],ImgDatabase!T16)</f>
        <v>Signora</v>
      </c>
      <c r="L17" s="176" t="str">
        <f>LOOKUP(ImgDatabase!T16,WeeklyBossMaterials[[#This Row],[Boss Name]],ImgDatabase!U16)</f>
        <v>AshenHeart</v>
      </c>
      <c r="M17" s="10"/>
      <c r="O17" s="9" t="e" vm="431">
        <f>ImgDatabase!W16</f>
        <v>#VALUE!</v>
      </c>
      <c r="P17" s="41" t="str">
        <f>LOOKUP(ImgDatabase!W16,MonsterMaterials[[#This Row],[Icon]],ImgDatabase!X16)</f>
        <v>Treasure Hoarder</v>
      </c>
      <c r="Q17" s="41" t="str">
        <f>LOOKUP(ImgDatabase!X16,MonsterMaterials[[#This Row],[Mob Name]],ImgDatabase!Y16)</f>
        <v>SilverRavenInsignia</v>
      </c>
      <c r="R17" s="10"/>
      <c r="T17" s="9" t="e" vm="432">
        <f>ImgDatabase!AA16</f>
        <v>#VALUE!</v>
      </c>
      <c r="U17" s="176" t="str">
        <f>LOOKUP(ImgDatabase!AA16,TalentBooks[[#This Row],[Icon]],ImgDatabase!AB16)</f>
        <v>GuidetoProsperity</v>
      </c>
      <c r="V17" s="10"/>
      <c r="X17" s="9" t="e" vm="433">
        <f>ImgDatabase!AD16</f>
        <v>#VALUE!</v>
      </c>
      <c r="Y17" s="176" t="str">
        <f>LOOKUP(ImgDatabase!AD16,LocalSpecialties[[#This Row],[Icon]],ImgDatabase!AE16)</f>
        <v>KalpalataLotus</v>
      </c>
      <c r="Z17" s="10"/>
      <c r="AB17" s="9" t="e" vm="434">
        <f>ImgDatabase!AG16</f>
        <v>#VALUE!</v>
      </c>
      <c r="AC17" s="176" t="str">
        <f>LOOKUP(ImgDatabase!AG16,Gems[[#This Row],[Icon]],ImgDatabase!AH16)</f>
        <v>NagadusEmeraldFragment</v>
      </c>
    </row>
    <row r="18" spans="5:29" ht="30" customHeight="1">
      <c r="E18" s="9" t="e" vm="435">
        <f>ImgDatabase!O17</f>
        <v>#VALUE!</v>
      </c>
      <c r="F18" s="176" t="str">
        <f>LOOKUP(ImgDatabase!O17,WorldBossMaterials[[#This Row],[Icon]],ImgDatabase!P17)</f>
        <v>Bathysmal Vishap Herds</v>
      </c>
      <c r="G18" s="176" t="str">
        <f>LOOKUP(ImgDatabase!P17,WorldBossMaterials[[#This Row],[Boss Name]],ImgDatabase!Q17)</f>
        <v>DragonheirsFalseFin</v>
      </c>
      <c r="H18" s="10"/>
      <c r="J18" s="9" t="e" vm="436">
        <f>ImgDatabase!S17</f>
        <v>#VALUE!</v>
      </c>
      <c r="K18" s="176" t="str">
        <f>LOOKUP(ImgDatabase!S17,WeeklyBossMaterials[[#This Row],[Icon]],ImgDatabase!T17)</f>
        <v>Signora</v>
      </c>
      <c r="L18" s="176" t="str">
        <f>LOOKUP(ImgDatabase!T17,WeeklyBossMaterials[[#This Row],[Boss Name]],ImgDatabase!U17)</f>
        <v>SilkenFeather</v>
      </c>
      <c r="M18" s="10"/>
      <c r="O18" s="9" t="e" vm="437">
        <f>ImgDatabase!W17</f>
        <v>#VALUE!</v>
      </c>
      <c r="P18" s="41" t="str">
        <f>LOOKUP(ImgDatabase!W17,MonsterMaterials[[#This Row],[Icon]],ImgDatabase!X17)</f>
        <v>Treasure Hoarder</v>
      </c>
      <c r="Q18" s="41" t="str">
        <f>LOOKUP(ImgDatabase!X17,MonsterMaterials[[#This Row],[Mob Name]],ImgDatabase!Y17)</f>
        <v>GoldenRavenInsignia</v>
      </c>
      <c r="R18" s="10"/>
      <c r="T18" s="9" t="e" vm="438">
        <f>ImgDatabase!AA17</f>
        <v>#VALUE!</v>
      </c>
      <c r="U18" s="176" t="str">
        <f>LOOKUP(ImgDatabase!AA17,TalentBooks[[#This Row],[Icon]],ImgDatabase!AB17)</f>
        <v>PhilosophiesofProsperity</v>
      </c>
      <c r="V18" s="10"/>
      <c r="X18" s="9" t="e" vm="439">
        <f>ImgDatabase!AD17</f>
        <v>#VALUE!</v>
      </c>
      <c r="Y18" s="176" t="str">
        <f>LOOKUP(ImgDatabase!AD17,LocalSpecialties[[#This Row],[Icon]],ImgDatabase!AE17)</f>
        <v>LakelightLily</v>
      </c>
      <c r="Z18" s="10"/>
      <c r="AB18" s="9" t="e" vm="440">
        <f>ImgDatabase!AG17</f>
        <v>#VALUE!</v>
      </c>
      <c r="AC18" s="176" t="str">
        <f>LOOKUP(ImgDatabase!AG17,Gems[[#This Row],[Icon]],ImgDatabase!AH17)</f>
        <v>NagadusEmeraldChunk</v>
      </c>
    </row>
    <row r="19" spans="5:29" ht="30" customHeight="1">
      <c r="E19" s="9" t="e" vm="441">
        <f>ImgDatabase!O18</f>
        <v>#VALUE!</v>
      </c>
      <c r="F19" s="176" t="str">
        <f>LOOKUP(ImgDatabase!O18,WorldBossMaterials[[#This Row],[Icon]],ImgDatabase!P18)</f>
        <v>Ruin Serpents</v>
      </c>
      <c r="G19" s="176" t="str">
        <f>LOOKUP(ImgDatabase!P18,WorldBossMaterials[[#This Row],[Boss Name]],ImgDatabase!Q18)</f>
        <v>RunicFang</v>
      </c>
      <c r="H19" s="10"/>
      <c r="J19" s="9" t="e" vm="442">
        <f>ImgDatabase!S18</f>
        <v>#VALUE!</v>
      </c>
      <c r="K19" s="176" t="str">
        <f>LOOKUP(ImgDatabase!S18,WeeklyBossMaterials[[#This Row],[Icon]],ImgDatabase!T18)</f>
        <v>[Raiden] Guardian of Eternity</v>
      </c>
      <c r="L19" s="176" t="str">
        <f>LOOKUP(ImgDatabase!T18,WeeklyBossMaterials[[#This Row],[Boss Name]],ImgDatabase!U18)</f>
        <v>MudraoftheMaleficGeneral</v>
      </c>
      <c r="M19" s="10"/>
      <c r="O19" s="9" t="e" vm="443">
        <f>ImgDatabase!W18</f>
        <v>#VALUE!</v>
      </c>
      <c r="P19" s="41" t="str">
        <f>LOOKUP(ImgDatabase!W18,MonsterMaterials[[#This Row],[Icon]],ImgDatabase!X18)</f>
        <v>Fatui</v>
      </c>
      <c r="Q19" s="41" t="str">
        <f>LOOKUP(ImgDatabase!X18,MonsterMaterials[[#This Row],[Mob Name]],ImgDatabase!Y18)</f>
        <v>RecruitsInsignia</v>
      </c>
      <c r="R19" s="10"/>
      <c r="T19" s="9" t="e" vm="444">
        <f>ImgDatabase!AA18</f>
        <v>#VALUE!</v>
      </c>
      <c r="U19" s="176" t="str">
        <f>LOOKUP(ImgDatabase!AA18,TalentBooks[[#This Row],[Icon]],ImgDatabase!AB18)</f>
        <v>TeachingsofDiligence</v>
      </c>
      <c r="V19" s="10"/>
      <c r="X19" s="9" t="e" vm="445">
        <f>ImgDatabase!AD18</f>
        <v>#VALUE!</v>
      </c>
      <c r="Y19" s="176" t="str">
        <f>LOOKUP(ImgDatabase!AD18,LocalSpecialties[[#This Row],[Icon]],ImgDatabase!AE18)</f>
        <v>LumidouceBell</v>
      </c>
      <c r="Z19" s="10"/>
      <c r="AB19" s="9" t="e" vm="446">
        <f>ImgDatabase!AG18</f>
        <v>#VALUE!</v>
      </c>
      <c r="AC19" s="176" t="str">
        <f>LOOKUP(ImgDatabase!AG18,Gems[[#This Row],[Icon]],ImgDatabase!AH18)</f>
        <v>NagadusEmeraldGemstone</v>
      </c>
    </row>
    <row r="20" spans="5:29" ht="30" customHeight="1">
      <c r="E20" s="9" t="e" vm="447">
        <f>ImgDatabase!O19</f>
        <v>#VALUE!</v>
      </c>
      <c r="F20" s="176" t="str">
        <f>LOOKUP(ImgDatabase!O19,WorldBossMaterials[[#This Row],[Icon]],ImgDatabase!P19)</f>
        <v>Electro Regisvines</v>
      </c>
      <c r="G20" s="176" t="str">
        <f>LOOKUP(ImgDatabase!P19,WorldBossMaterials[[#This Row],[Boss Name]],ImgDatabase!Q19)</f>
        <v>ThunderclapFruitcore</v>
      </c>
      <c r="H20" s="10"/>
      <c r="J20" s="9" t="e" vm="448">
        <f>ImgDatabase!S19</f>
        <v>#VALUE!</v>
      </c>
      <c r="K20" s="176" t="str">
        <f>LOOKUP(ImgDatabase!S19,WeeklyBossMaterials[[#This Row],[Icon]],ImgDatabase!T19)</f>
        <v>[Raiden] Guardian of Eternity</v>
      </c>
      <c r="L20" s="176" t="str">
        <f>LOOKUP(ImgDatabase!T19,WeeklyBossMaterials[[#This Row],[Boss Name]],ImgDatabase!U19)</f>
        <v>TheMeaningofAeons</v>
      </c>
      <c r="M20" s="10"/>
      <c r="O20" s="9" t="e" vm="449">
        <f>ImgDatabase!W19</f>
        <v>#VALUE!</v>
      </c>
      <c r="P20" s="41" t="str">
        <f>LOOKUP(ImgDatabase!W19,MonsterMaterials[[#This Row],[Icon]],ImgDatabase!X19)</f>
        <v>Fatui</v>
      </c>
      <c r="Q20" s="41" t="str">
        <f>LOOKUP(ImgDatabase!X19,MonsterMaterials[[#This Row],[Mob Name]],ImgDatabase!Y19)</f>
        <v>SergeantsInsignia</v>
      </c>
      <c r="R20" s="10"/>
      <c r="T20" s="9" t="e" vm="450">
        <f>ImgDatabase!AA19</f>
        <v>#VALUE!</v>
      </c>
      <c r="U20" s="176" t="str">
        <f>LOOKUP(ImgDatabase!AA19,TalentBooks[[#This Row],[Icon]],ImgDatabase!AB19)</f>
        <v>GuidetoDiligence</v>
      </c>
      <c r="V20" s="10"/>
      <c r="X20" s="9" t="e" vm="451">
        <f>ImgDatabase!AD19</f>
        <v>#VALUE!</v>
      </c>
      <c r="Y20" s="176" t="str">
        <f>LOOKUP(ImgDatabase!AD19,LocalSpecialties[[#This Row],[Icon]],ImgDatabase!AE19)</f>
        <v>Lumitoile</v>
      </c>
      <c r="Z20" s="10"/>
      <c r="AB20" s="9" t="e" vm="452">
        <f>ImgDatabase!AG19</f>
        <v>#VALUE!</v>
      </c>
      <c r="AC20" s="176" t="str">
        <f>LOOKUP(ImgDatabase!AG19,Gems[[#This Row],[Icon]],ImgDatabase!AH19)</f>
        <v>VajradaAmethystSliver</v>
      </c>
    </row>
    <row r="21" spans="5:29" ht="30" customHeight="1">
      <c r="E21" s="9" t="e" vm="453">
        <f>ImgDatabase!O20</f>
        <v>#VALUE!</v>
      </c>
      <c r="F21" s="176" t="str">
        <f>LOOKUP(ImgDatabase!O20,WorldBossMaterials[[#This Row],[Icon]],ImgDatabase!P20)</f>
        <v>Jadeplume Terrorshroom</v>
      </c>
      <c r="G21" s="176" t="str">
        <f>LOOKUP(ImgDatabase!P20,WorldBossMaterials[[#This Row],[Boss Name]],ImgDatabase!Q20)</f>
        <v>MajesticHookedBeak</v>
      </c>
      <c r="H21" s="10"/>
      <c r="J21" s="9" t="e" vm="454">
        <f>ImgDatabase!S20</f>
        <v>#VALUE!</v>
      </c>
      <c r="K21" s="176" t="str">
        <f>LOOKUP(ImgDatabase!S20,WeeklyBossMaterials[[#This Row],[Icon]],ImgDatabase!T20)</f>
        <v>[Raiden] Guardian of Eternity</v>
      </c>
      <c r="L21" s="176" t="str">
        <f>LOOKUP(ImgDatabase!T20,WeeklyBossMaterials[[#This Row],[Boss Name]],ImgDatabase!U20)</f>
        <v>TearsoftheCalamitousGod</v>
      </c>
      <c r="M21" s="10"/>
      <c r="O21" s="9" t="e" vm="455">
        <f>ImgDatabase!W20</f>
        <v>#VALUE!</v>
      </c>
      <c r="P21" s="41" t="str">
        <f>LOOKUP(ImgDatabase!W20,MonsterMaterials[[#This Row],[Icon]],ImgDatabase!X20)</f>
        <v>Fatui</v>
      </c>
      <c r="Q21" s="41" t="str">
        <f>LOOKUP(ImgDatabase!X20,MonsterMaterials[[#This Row],[Mob Name]],ImgDatabase!Y20)</f>
        <v>LieutenantsInsignia</v>
      </c>
      <c r="R21" s="10"/>
      <c r="T21" s="9" t="e" vm="456">
        <f>ImgDatabase!AA20</f>
        <v>#VALUE!</v>
      </c>
      <c r="U21" s="176" t="str">
        <f>LOOKUP(ImgDatabase!AA20,TalentBooks[[#This Row],[Icon]],ImgDatabase!AB20)</f>
        <v>PhilosophiesofDiligence</v>
      </c>
      <c r="V21" s="10"/>
      <c r="X21" s="9" t="e" vm="457">
        <f>ImgDatabase!AD20</f>
        <v>#VALUE!</v>
      </c>
      <c r="Y21" s="176" t="str">
        <f>LOOKUP(ImgDatabase!AD20,LocalSpecialties[[#This Row],[Icon]],ImgDatabase!AE20)</f>
        <v>MourningFlower</v>
      </c>
      <c r="Z21" s="10"/>
      <c r="AB21" s="9" t="e" vm="458">
        <f>ImgDatabase!AG20</f>
        <v>#VALUE!</v>
      </c>
      <c r="AC21" s="176" t="str">
        <f>LOOKUP(ImgDatabase!AG20,Gems[[#This Row],[Icon]],ImgDatabase!AH20)</f>
        <v>VajradaAmethystFragment</v>
      </c>
    </row>
    <row r="22" spans="5:29" ht="30" customHeight="1">
      <c r="E22" s="9" t="e" vm="459">
        <f>ImgDatabase!O21</f>
        <v>#VALUE!</v>
      </c>
      <c r="F22" s="176" t="str">
        <f>LOOKUP(ImgDatabase!O21,WorldBossMaterials[[#This Row],[Icon]],ImgDatabase!P21)</f>
        <v>Aeonblight Drakes</v>
      </c>
      <c r="G22" s="176" t="str">
        <f>LOOKUP(ImgDatabase!P21,WorldBossMaterials[[#This Row],[Boss Name]],ImgDatabase!Q21)</f>
        <v>PerpetualCaliber</v>
      </c>
      <c r="H22" s="10"/>
      <c r="J22" s="9" t="e" vm="460">
        <f>ImgDatabase!S21</f>
        <v>#VALUE!</v>
      </c>
      <c r="K22" s="176" t="str">
        <f>LOOKUP(ImgDatabase!S21,WeeklyBossMaterials[[#This Row],[Icon]],ImgDatabase!T21)</f>
        <v>[Scaramouche] Shouki no Kami</v>
      </c>
      <c r="L22" s="176" t="str">
        <f>LOOKUP(ImgDatabase!T21,WeeklyBossMaterials[[#This Row],[Boss Name]],ImgDatabase!U21)</f>
        <v>PuppetStrings</v>
      </c>
      <c r="M22" s="10"/>
      <c r="O22" s="9" t="e" vm="461">
        <f>ImgDatabase!W21</f>
        <v>#VALUE!</v>
      </c>
      <c r="P22" s="41" t="str">
        <f>LOOKUP(ImgDatabase!W21,MonsterMaterials[[#This Row],[Icon]],ImgDatabase!X21)</f>
        <v>Whopper­flower</v>
      </c>
      <c r="Q22" s="41" t="str">
        <f>LOOKUP(ImgDatabase!X21,MonsterMaterials[[#This Row],[Mob Name]],ImgDatabase!Y21)</f>
        <v>WhopperflowerNectar</v>
      </c>
      <c r="R22" s="10"/>
      <c r="T22" s="9" t="e" vm="462">
        <f>ImgDatabase!AA21</f>
        <v>#VALUE!</v>
      </c>
      <c r="U22" s="176" t="str">
        <f>LOOKUP(ImgDatabase!AA21,TalentBooks[[#This Row],[Icon]],ImgDatabase!AB21)</f>
        <v>TeachingsofTransience</v>
      </c>
      <c r="V22" s="10"/>
      <c r="X22" s="9" t="e" vm="463">
        <f>ImgDatabase!AD21</f>
        <v>#VALUE!</v>
      </c>
      <c r="Y22" s="176" t="str">
        <f>LOOKUP(ImgDatabase!AD21,LocalSpecialties[[#This Row],[Icon]],ImgDatabase!AE21)</f>
        <v>NakuWeed</v>
      </c>
      <c r="Z22" s="10"/>
      <c r="AB22" s="9" t="e" vm="464">
        <f>ImgDatabase!AG21</f>
        <v>#VALUE!</v>
      </c>
      <c r="AC22" s="176" t="str">
        <f>LOOKUP(ImgDatabase!AG21,Gems[[#This Row],[Icon]],ImgDatabase!AH21)</f>
        <v>VajradaAmethystChunk</v>
      </c>
    </row>
    <row r="23" spans="5:29" ht="30" customHeight="1">
      <c r="E23" s="9" t="e" vm="465">
        <f>ImgDatabase!O22</f>
        <v>#VALUE!</v>
      </c>
      <c r="F23" s="176" t="str">
        <f>LOOKUP(ImgDatabase!O22,WorldBossMaterials[[#This Row],[Icon]],ImgDatabase!P22)</f>
        <v>ASIMON</v>
      </c>
      <c r="G23" s="176" t="str">
        <f>LOOKUP(ImgDatabase!P22,WorldBossMaterials[[#This Row],[Boss Name]],ImgDatabase!Q22)</f>
        <v>LightGuidingTetrahedron</v>
      </c>
      <c r="H23" s="10"/>
      <c r="J23" s="9" t="e" vm="466">
        <f>ImgDatabase!S22</f>
        <v>#VALUE!</v>
      </c>
      <c r="K23" s="176" t="str">
        <f>LOOKUP(ImgDatabase!S22,WeeklyBossMaterials[[#This Row],[Icon]],ImgDatabase!T22)</f>
        <v>[Scaramouche] Shouki no Kami</v>
      </c>
      <c r="L23" s="176" t="str">
        <f>LOOKUP(ImgDatabase!T22,WeeklyBossMaterials[[#This Row],[Boss Name]],ImgDatabase!U22)</f>
        <v>DakasBell</v>
      </c>
      <c r="M23" s="10"/>
      <c r="O23" s="9" t="e" vm="467">
        <f>ImgDatabase!W22</f>
        <v>#VALUE!</v>
      </c>
      <c r="P23" s="41" t="str">
        <f>LOOKUP(ImgDatabase!W22,MonsterMaterials[[#This Row],[Icon]],ImgDatabase!X22)</f>
        <v>Whopper­flower</v>
      </c>
      <c r="Q23" s="41" t="str">
        <f>LOOKUP(ImgDatabase!X22,MonsterMaterials[[#This Row],[Mob Name]],ImgDatabase!Y22)</f>
        <v>ShimmeringNectar</v>
      </c>
      <c r="R23" s="10"/>
      <c r="T23" s="9" t="e" vm="468">
        <f>ImgDatabase!AA22</f>
        <v>#VALUE!</v>
      </c>
      <c r="U23" s="176" t="str">
        <f>LOOKUP(ImgDatabase!AA22,TalentBooks[[#This Row],[Icon]],ImgDatabase!AB22)</f>
        <v>GuidetoTransience</v>
      </c>
      <c r="V23" s="10"/>
      <c r="X23" s="9" t="e" vm="469">
        <f>ImgDatabase!AD22</f>
        <v>#VALUE!</v>
      </c>
      <c r="Y23" s="176" t="str">
        <f>LOOKUP(ImgDatabase!AD22,LocalSpecialties[[#This Row],[Icon]],ImgDatabase!AE22)</f>
        <v>NilotpalaLotus</v>
      </c>
      <c r="Z23" s="10"/>
      <c r="AB23" s="9" t="e" vm="470">
        <f>ImgDatabase!AG22</f>
        <v>#VALUE!</v>
      </c>
      <c r="AC23" s="176" t="str">
        <f>LOOKUP(ImgDatabase!AG22,Gems[[#This Row],[Icon]],ImgDatabase!AH22)</f>
        <v>VajradaAmethystGemstone</v>
      </c>
    </row>
    <row r="24" spans="5:29" ht="30" customHeight="1">
      <c r="E24" s="9" t="e" vm="471">
        <f>ImgDatabase!O23</f>
        <v>#VALUE!</v>
      </c>
      <c r="F24" s="176" t="str">
        <f>LOOKUP(ImgDatabase!O23,WorldBossMaterials[[#This Row],[Icon]],ImgDatabase!P23)</f>
        <v>Dendro Hypostases</v>
      </c>
      <c r="G24" s="176" t="str">
        <f>LOOKUP(ImgDatabase!P23,WorldBossMaterials[[#This Row],[Boss Name]],ImgDatabase!Q23)</f>
        <v>QuelledCreeper</v>
      </c>
      <c r="H24" s="10"/>
      <c r="J24" s="9" t="e" vm="472">
        <f>ImgDatabase!S23</f>
        <v>#VALUE!</v>
      </c>
      <c r="K24" s="176" t="str">
        <f>LOOKUP(ImgDatabase!S23,WeeklyBossMaterials[[#This Row],[Icon]],ImgDatabase!T23)</f>
        <v>[Scaramouche] Shouki no Kami</v>
      </c>
      <c r="L24" s="176" t="str">
        <f>LOOKUP(ImgDatabase!T23,WeeklyBossMaterials[[#This Row],[Boss Name]],ImgDatabase!U23)</f>
        <v>MirrorofMushin</v>
      </c>
      <c r="M24" s="10"/>
      <c r="O24" s="9" t="e" vm="473">
        <f>ImgDatabase!W23</f>
        <v>#VALUE!</v>
      </c>
      <c r="P24" s="41" t="str">
        <f>LOOKUP(ImgDatabase!W23,MonsterMaterials[[#This Row],[Icon]],ImgDatabase!X23)</f>
        <v>Whopper­flower</v>
      </c>
      <c r="Q24" s="41" t="str">
        <f>LOOKUP(ImgDatabase!X23,MonsterMaterials[[#This Row],[Mob Name]],ImgDatabase!Y23)</f>
        <v>EnergyNectar</v>
      </c>
      <c r="R24" s="10"/>
      <c r="T24" s="9" t="e" vm="474">
        <f>ImgDatabase!AA23</f>
        <v>#VALUE!</v>
      </c>
      <c r="U24" s="176" t="str">
        <f>LOOKUP(ImgDatabase!AA23,TalentBooks[[#This Row],[Icon]],ImgDatabase!AB23)</f>
        <v>PhilosophiesofTransience</v>
      </c>
      <c r="V24" s="10"/>
      <c r="X24" s="9" t="e" vm="475">
        <f>ImgDatabase!AD23</f>
        <v>#VALUE!</v>
      </c>
      <c r="Y24" s="176" t="str">
        <f>LOOKUP(ImgDatabase!AD23,LocalSpecialties[[#This Row],[Icon]],ImgDatabase!AE23)</f>
        <v>NoctilucousJade</v>
      </c>
      <c r="Z24" s="10"/>
      <c r="AB24" s="9" t="e" vm="476">
        <f>ImgDatabase!AG23</f>
        <v>#VALUE!</v>
      </c>
      <c r="AC24" s="176" t="str">
        <f>LOOKUP(ImgDatabase!AG23,Gems[[#This Row],[Icon]],ImgDatabase!AH23)</f>
        <v>VayudaTurquoiseSliver</v>
      </c>
    </row>
    <row r="25" spans="5:29" ht="30" customHeight="1">
      <c r="E25" s="9" t="e" vm="20">
        <f>ImgDatabase!O24</f>
        <v>#VALUE!</v>
      </c>
      <c r="F25" s="176" t="str">
        <f>LOOKUP(ImgDatabase!O24,WorldBossMaterials[[#This Row],[Icon]],ImgDatabase!P24)</f>
        <v>Setekh Wenut</v>
      </c>
      <c r="G25" s="176" t="str">
        <f>LOOKUP(ImgDatabase!P24,WorldBossMaterials[[#This Row],[Boss Name]],ImgDatabase!Q24)</f>
        <v>PseudoStamens</v>
      </c>
      <c r="H25" s="10"/>
      <c r="J25" s="9" t="e" vm="477">
        <f>ImgDatabase!S24</f>
        <v>#VALUE!</v>
      </c>
      <c r="K25" s="176" t="str">
        <f>LOOKUP(ImgDatabase!S24,WeeklyBossMaterials[[#This Row],[Icon]],ImgDatabase!T24)</f>
        <v>Guardian of Apep's Oasis</v>
      </c>
      <c r="L25" s="176" t="str">
        <f>LOOKUP(ImgDatabase!T24,WeeklyBossMaterials[[#This Row],[Boss Name]],ImgDatabase!U24)</f>
        <v>PrimordialGreenbloom</v>
      </c>
      <c r="M25" s="10"/>
      <c r="O25" s="9" t="e" vm="478">
        <f>ImgDatabase!W24</f>
        <v>#VALUE!</v>
      </c>
      <c r="P25" s="41" t="str">
        <f>LOOKUP(ImgDatabase!W24,MonsterMaterials[[#This Row],[Icon]],ImgDatabase!X24)</f>
        <v>Nobushi</v>
      </c>
      <c r="Q25" s="41" t="str">
        <f>LOOKUP(ImgDatabase!X24,MonsterMaterials[[#This Row],[Mob Name]],ImgDatabase!Y24)</f>
        <v>OldHandguard</v>
      </c>
      <c r="R25" s="10"/>
      <c r="T25" s="9" t="e" vm="479">
        <f>ImgDatabase!AA24</f>
        <v>#VALUE!</v>
      </c>
      <c r="U25" s="176" t="str">
        <f>LOOKUP(ImgDatabase!AA24,TalentBooks[[#This Row],[Icon]],ImgDatabase!AB24)</f>
        <v>TeachingsofLight</v>
      </c>
      <c r="V25" s="10"/>
      <c r="X25" s="9" t="e" vm="480">
        <f>ImgDatabase!AD24</f>
        <v>#VALUE!</v>
      </c>
      <c r="Y25" s="176" t="str">
        <f>LOOKUP(ImgDatabase!AD24,LocalSpecialties[[#This Row],[Icon]],ImgDatabase!AE24)</f>
        <v>Onikabuto</v>
      </c>
      <c r="Z25" s="10"/>
      <c r="AB25" s="9" t="e" vm="481">
        <f>ImgDatabase!AG24</f>
        <v>#VALUE!</v>
      </c>
      <c r="AC25" s="176" t="str">
        <f>LOOKUP(ImgDatabase!AG24,Gems[[#This Row],[Icon]],ImgDatabase!AH24)</f>
        <v>VayudaTurquoiseFragment</v>
      </c>
    </row>
    <row r="26" spans="5:29" ht="30" customHeight="1">
      <c r="E26" s="9" t="e" vm="482">
        <f>ImgDatabase!O25</f>
        <v>#VALUE!</v>
      </c>
      <c r="F26" s="176" t="str">
        <f>LOOKUP(ImgDatabase!O25,WorldBossMaterials[[#This Row],[Icon]],ImgDatabase!P25)</f>
        <v>Iniquitous Baptists</v>
      </c>
      <c r="G26" s="176" t="str">
        <f>LOOKUP(ImgDatabase!P25,WorldBossMaterials[[#This Row],[Boss Name]],ImgDatabase!Q25)</f>
        <v>EvergloomRing</v>
      </c>
      <c r="H26" s="10"/>
      <c r="J26" s="9" t="e" vm="483">
        <f>ImgDatabase!S25</f>
        <v>#VALUE!</v>
      </c>
      <c r="K26" s="176" t="str">
        <f>LOOKUP(ImgDatabase!S25,WeeklyBossMaterials[[#This Row],[Icon]],ImgDatabase!T25)</f>
        <v>Guardian of Apep's Oasis</v>
      </c>
      <c r="L26" s="176" t="str">
        <f>LOOKUP(ImgDatabase!T25,WeeklyBossMaterials[[#This Row],[Boss Name]],ImgDatabase!U25)</f>
        <v>Everamber</v>
      </c>
      <c r="M26" s="10"/>
      <c r="O26" s="9" t="e" vm="484">
        <f>ImgDatabase!W25</f>
        <v>#VALUE!</v>
      </c>
      <c r="P26" s="41" t="str">
        <f>LOOKUP(ImgDatabase!W25,MonsterMaterials[[#This Row],[Icon]],ImgDatabase!X25)</f>
        <v>Nobushi</v>
      </c>
      <c r="Q26" s="41" t="str">
        <f>LOOKUP(ImgDatabase!X25,MonsterMaterials[[#This Row],[Mob Name]],ImgDatabase!Y25)</f>
        <v>KageuchiHandguard</v>
      </c>
      <c r="R26" s="10"/>
      <c r="T26" s="9" t="e" vm="485">
        <f>ImgDatabase!AA25</f>
        <v>#VALUE!</v>
      </c>
      <c r="U26" s="176" t="str">
        <f>LOOKUP(ImgDatabase!AA25,TalentBooks[[#This Row],[Icon]],ImgDatabase!AB25)</f>
        <v>GuidetoLight</v>
      </c>
      <c r="V26" s="10"/>
      <c r="X26" s="9" t="e" vm="486">
        <f>ImgDatabase!AD25</f>
        <v>#VALUE!</v>
      </c>
      <c r="Y26" s="176" t="str">
        <f>LOOKUP(ImgDatabase!AD25,LocalSpecialties[[#This Row],[Icon]],ImgDatabase!AE25)</f>
        <v>Padisarah</v>
      </c>
      <c r="Z26" s="10"/>
      <c r="AB26" s="9" t="e" vm="487">
        <f>ImgDatabase!AG25</f>
        <v>#VALUE!</v>
      </c>
      <c r="AC26" s="176" t="str">
        <f>LOOKUP(ImgDatabase!AG25,Gems[[#This Row],[Icon]],ImgDatabase!AH25)</f>
        <v>VayudaTurquoiseChunk</v>
      </c>
    </row>
    <row r="27" spans="5:29" ht="30" customHeight="1">
      <c r="E27" s="9" t="e" vm="488">
        <f>ImgDatabase!O26</f>
        <v>#VALUE!</v>
      </c>
      <c r="F27" s="176" t="str">
        <f>LOOKUP(ImgDatabase!O26,WorldBossMaterials[[#This Row],[Icon]],ImgDatabase!P26)</f>
        <v>Coppelia</v>
      </c>
      <c r="G27" s="176" t="str">
        <f>LOOKUP(ImgDatabase!P26,WorldBossMaterials[[#This Row],[Boss Name]],ImgDatabase!Q26)</f>
        <v>ArtificedSpareClockworkComponentCoppelia</v>
      </c>
      <c r="H27" s="10"/>
      <c r="J27" s="9" t="e" vm="489">
        <f>ImgDatabase!S26</f>
        <v>#VALUE!</v>
      </c>
      <c r="K27" s="176" t="str">
        <f>LOOKUP(ImgDatabase!S26,WeeklyBossMaterials[[#This Row],[Icon]],ImgDatabase!T26)</f>
        <v>Guardian of Apep's Oasis</v>
      </c>
      <c r="L27" s="176" t="str">
        <f>LOOKUP(ImgDatabase!T26,WeeklyBossMaterials[[#This Row],[Boss Name]],ImgDatabase!U26)</f>
        <v>WorldspanFern</v>
      </c>
      <c r="M27" s="10"/>
      <c r="O27" s="9" t="e" vm="490">
        <f>ImgDatabase!W26</f>
        <v>#VALUE!</v>
      </c>
      <c r="P27" s="41" t="str">
        <f>LOOKUP(ImgDatabase!W26,MonsterMaterials[[#This Row],[Icon]],ImgDatabase!X26)</f>
        <v>Nobushi</v>
      </c>
      <c r="Q27" s="41" t="str">
        <f>LOOKUP(ImgDatabase!X26,MonsterMaterials[[#This Row],[Mob Name]],ImgDatabase!Y26)</f>
        <v>FamedHandguard</v>
      </c>
      <c r="R27" s="10"/>
      <c r="T27" s="9" t="e" vm="491">
        <f>ImgDatabase!AA26</f>
        <v>#VALUE!</v>
      </c>
      <c r="U27" s="176" t="str">
        <f>LOOKUP(ImgDatabase!AA26,TalentBooks[[#This Row],[Icon]],ImgDatabase!AB26)</f>
        <v>PhilosophiesofLight</v>
      </c>
      <c r="V27" s="10"/>
      <c r="X27" s="9" t="e" vm="492">
        <f>ImgDatabase!AD26</f>
        <v>#VALUE!</v>
      </c>
      <c r="Y27" s="176" t="str">
        <f>LOOKUP(ImgDatabase!AD26,LocalSpecialties[[#This Row],[Icon]],ImgDatabase!AE26)</f>
        <v>PhilanemoMushroom</v>
      </c>
      <c r="Z27" s="10"/>
      <c r="AB27" s="9" t="e" vm="493">
        <f>ImgDatabase!AG26</f>
        <v>#VALUE!</v>
      </c>
      <c r="AC27" s="176" t="str">
        <f>LOOKUP(ImgDatabase!AG26,Gems[[#This Row],[Icon]],ImgDatabase!AH26)</f>
        <v>VayudaTurquoiseGemstone</v>
      </c>
    </row>
    <row r="28" spans="5:29" ht="30" customHeight="1">
      <c r="E28" s="9" t="e" vm="494">
        <f>ImgDatabase!O27</f>
        <v>#VALUE!</v>
      </c>
      <c r="F28" s="176" t="str">
        <f>LOOKUP(ImgDatabase!O27,WorldBossMaterials[[#This Row],[Icon]],ImgDatabase!P27)</f>
        <v>Coppelius</v>
      </c>
      <c r="G28" s="176" t="str">
        <f>LOOKUP(ImgDatabase!P27,WorldBossMaterials[[#This Row],[Boss Name]],ImgDatabase!Q27)</f>
        <v>ArtificedSpareClockworkComponentCoppelius</v>
      </c>
      <c r="H28" s="10"/>
      <c r="J28" s="9" t="e" vm="495">
        <f>ImgDatabase!S27</f>
        <v>#VALUE!</v>
      </c>
      <c r="K28" s="176" t="str">
        <f>LOOKUP(ImgDatabase!S27,WeeklyBossMaterials[[#This Row],[Icon]],ImgDatabase!T27)</f>
        <v>All-Devouring Narwhal</v>
      </c>
      <c r="L28" s="176" t="str">
        <f>LOOKUP(ImgDatabase!T27,WeeklyBossMaterials[[#This Row],[Boss Name]],ImgDatabase!U27)</f>
        <v>LightlessSilkString</v>
      </c>
      <c r="M28" s="10"/>
      <c r="O28" s="9" t="e" vm="496">
        <f>ImgDatabase!W27</f>
        <v>#VALUE!</v>
      </c>
      <c r="P28" s="41" t="str">
        <f>LOOKUP(ImgDatabase!W27,MonsterMaterials[[#This Row],[Icon]],ImgDatabase!X27)</f>
        <v>Specters</v>
      </c>
      <c r="Q28" s="41" t="str">
        <f>LOOKUP(ImgDatabase!X27,MonsterMaterials[[#This Row],[Mob Name]],ImgDatabase!Y27)</f>
        <v>SpectralHusk</v>
      </c>
      <c r="R28" s="10"/>
      <c r="T28" s="9" t="e" vm="497">
        <f>ImgDatabase!AA27</f>
        <v>#VALUE!</v>
      </c>
      <c r="U28" s="176" t="str">
        <f>LOOKUP(ImgDatabase!AA27,TalentBooks[[#This Row],[Icon]],ImgDatabase!AB27)</f>
        <v>TeachingsofElegance</v>
      </c>
      <c r="V28" s="10"/>
      <c r="X28" s="9" t="e" vm="498">
        <f>ImgDatabase!AD27</f>
        <v>#VALUE!</v>
      </c>
      <c r="Y28" s="176" t="str">
        <f>LOOKUP(ImgDatabase!AD27,LocalSpecialties[[#This Row],[Icon]],ImgDatabase!AE27)</f>
        <v>Qingxin</v>
      </c>
      <c r="Z28" s="10"/>
      <c r="AB28" s="9" t="e" vm="499">
        <f>ImgDatabase!AG27</f>
        <v>#VALUE!</v>
      </c>
      <c r="AC28" s="176" t="str">
        <f>LOOKUP(ImgDatabase!AG27,Gems[[#This Row],[Icon]],ImgDatabase!AH27)</f>
        <v>ShivadaJadeSliver</v>
      </c>
    </row>
    <row r="29" spans="5:29" ht="30" customHeight="1">
      <c r="E29" s="9" t="e" vm="500">
        <f>ImgDatabase!O28</f>
        <v>#VALUE!</v>
      </c>
      <c r="F29" s="176" t="str">
        <f>LOOKUP(ImgDatabase!O28,WorldBossMaterials[[#This Row],[Icon]],ImgDatabase!P28)</f>
        <v>Emperor of Fire and Iron</v>
      </c>
      <c r="G29" s="176" t="str">
        <f>LOOKUP(ImgDatabase!P28,WorldBossMaterials[[#This Row],[Boss Name]],ImgDatabase!Q28)</f>
        <v>EmperorsResolution</v>
      </c>
      <c r="H29" s="10"/>
      <c r="J29" s="9" t="e" vm="501">
        <f>ImgDatabase!S28</f>
        <v>#VALUE!</v>
      </c>
      <c r="K29" s="176" t="str">
        <f>LOOKUP(ImgDatabase!S28,WeeklyBossMaterials[[#This Row],[Icon]],ImgDatabase!T28)</f>
        <v>All-Devouring Narwhal</v>
      </c>
      <c r="L29" s="176" t="str">
        <f>LOOKUP(ImgDatabase!T28,WeeklyBossMaterials[[#This Row],[Boss Name]],ImgDatabase!U28)</f>
        <v>LightlessEyeoftheMaelstrom</v>
      </c>
      <c r="M29" s="10"/>
      <c r="O29" s="9" t="e" vm="502">
        <f>ImgDatabase!W28</f>
        <v>#VALUE!</v>
      </c>
      <c r="P29" s="41" t="str">
        <f>LOOKUP(ImgDatabase!W28,MonsterMaterials[[#This Row],[Icon]],ImgDatabase!X28)</f>
        <v>Specters</v>
      </c>
      <c r="Q29" s="41" t="str">
        <f>LOOKUP(ImgDatabase!X28,MonsterMaterials[[#This Row],[Mob Name]],ImgDatabase!Y28)</f>
        <v>SpectralHeart</v>
      </c>
      <c r="R29" s="10"/>
      <c r="T29" s="9" t="e" vm="503">
        <f>ImgDatabase!AA28</f>
        <v>#VALUE!</v>
      </c>
      <c r="U29" s="176" t="str">
        <f>LOOKUP(ImgDatabase!AA28,TalentBooks[[#This Row],[Icon]],ImgDatabase!AB28)</f>
        <v>GuidetoElegance</v>
      </c>
      <c r="V29" s="10"/>
      <c r="X29" s="9" t="e" vm="504">
        <f>ImgDatabase!AD28</f>
        <v>#VALUE!</v>
      </c>
      <c r="Y29" s="176" t="str">
        <f>LOOKUP(ImgDatabase!AD28,LocalSpecialties[[#This Row],[Icon]],ImgDatabase!AE28)</f>
        <v>RainbowRose</v>
      </c>
      <c r="Z29" s="10"/>
      <c r="AB29" s="9" t="e" vm="505">
        <f>ImgDatabase!AG28</f>
        <v>#VALUE!</v>
      </c>
      <c r="AC29" s="176" t="str">
        <f>LOOKUP(ImgDatabase!AG28,Gems[[#This Row],[Icon]],ImgDatabase!AH28)</f>
        <v>ShivadaJadeFragment</v>
      </c>
    </row>
    <row r="30" spans="5:29" ht="30" customHeight="1">
      <c r="E30" s="9" t="e" vm="506">
        <f>ImgDatabase!O29</f>
        <v>#VALUE!</v>
      </c>
      <c r="F30" s="176" t="str">
        <f>LOOKUP(ImgDatabase!O29,WorldBossMaterials[[#This Row],[Icon]],ImgDatabase!P29)</f>
        <v>Experimental Field Generators</v>
      </c>
      <c r="G30" s="176" t="str">
        <f>LOOKUP(ImgDatabase!P29,WorldBossMaterials[[#This Row],[Boss Name]],ImgDatabase!Q29)</f>
        <v>TourbillonDevice</v>
      </c>
      <c r="H30" s="10"/>
      <c r="J30" s="9" t="e" vm="507">
        <f>ImgDatabase!S29</f>
        <v>#VALUE!</v>
      </c>
      <c r="K30" s="176" t="str">
        <f>LOOKUP(ImgDatabase!S29,WeeklyBossMaterials[[#This Row],[Icon]],ImgDatabase!T29)</f>
        <v>All-Devouring Narwhal</v>
      </c>
      <c r="L30" s="176" t="str">
        <f>LOOKUP(ImgDatabase!T29,WeeklyBossMaterials[[#This Row],[Boss Name]],ImgDatabase!U29)</f>
        <v>LightlessMass</v>
      </c>
      <c r="M30" s="10"/>
      <c r="O30" s="9" t="e" vm="508">
        <f>ImgDatabase!W29</f>
        <v>#VALUE!</v>
      </c>
      <c r="P30" s="41" t="str">
        <f>LOOKUP(ImgDatabase!W29,MonsterMaterials[[#This Row],[Icon]],ImgDatabase!X29)</f>
        <v>Specters</v>
      </c>
      <c r="Q30" s="41" t="str">
        <f>LOOKUP(ImgDatabase!X29,MonsterMaterials[[#This Row],[Mob Name]],ImgDatabase!Y29)</f>
        <v>SpectralNucleus</v>
      </c>
      <c r="R30" s="10"/>
      <c r="T30" s="9" t="e" vm="509">
        <f>ImgDatabase!AA29</f>
        <v>#VALUE!</v>
      </c>
      <c r="U30" s="176" t="str">
        <f>LOOKUP(ImgDatabase!AA29,TalentBooks[[#This Row],[Icon]],ImgDatabase!AB29)</f>
        <v>PhilosophiesofElegance</v>
      </c>
      <c r="V30" s="10"/>
      <c r="X30" s="9" t="e" vm="510">
        <f>ImgDatabase!AD29</f>
        <v>#VALUE!</v>
      </c>
      <c r="Y30" s="176" t="str">
        <f>LOOKUP(ImgDatabase!AD29,LocalSpecialties[[#This Row],[Icon]],ImgDatabase!AE29)</f>
        <v>RomaritimeFlower</v>
      </c>
      <c r="Z30" s="10"/>
      <c r="AB30" s="9" t="e" vm="511">
        <f>ImgDatabase!AG29</f>
        <v>#VALUE!</v>
      </c>
      <c r="AC30" s="176" t="str">
        <f>LOOKUP(ImgDatabase!AG29,Gems[[#This Row],[Icon]],ImgDatabase!AH29)</f>
        <v>ShivadaJadeChunk</v>
      </c>
    </row>
    <row r="31" spans="5:29" ht="30" customHeight="1">
      <c r="E31" s="9" t="e" vm="512">
        <f>ImgDatabase!O30</f>
        <v>#VALUE!</v>
      </c>
      <c r="F31" s="176" t="str">
        <f>LOOKUP(ImgDatabase!O30,WorldBossMaterials[[#This Row],[Icon]],ImgDatabase!P30)</f>
        <v>Millennial Pearl Seahorses</v>
      </c>
      <c r="G31" s="176" t="str">
        <f>LOOKUP(ImgDatabase!P30,WorldBossMaterials[[#This Row],[Boss Name]],ImgDatabase!Q30)</f>
        <v>FontemerUnihorn</v>
      </c>
      <c r="H31" s="10"/>
      <c r="J31" s="9" t="e" vm="436">
        <f>ImgDatabase!S30</f>
        <v>#VALUE!</v>
      </c>
      <c r="K31" s="176" t="str">
        <f>LOOKUP(ImgDatabase!S30,WeeklyBossMaterials[[#This Row],[Icon]],ImgDatabase!T30)</f>
        <v>The Knave</v>
      </c>
      <c r="L31" s="176" t="str">
        <f>LOOKUP(ImgDatabase!T30,WeeklyBossMaterials[[#This Row],[Boss Name]],ImgDatabase!U30)</f>
        <v>SilkenFeather</v>
      </c>
      <c r="M31" s="10"/>
      <c r="O31" s="9" t="e" vm="513">
        <f>ImgDatabase!W30</f>
        <v>#VALUE!</v>
      </c>
      <c r="P31" s="41" t="str">
        <f>LOOKUP(ImgDatabase!W30,MonsterMaterials[[#This Row],[Icon]],ImgDatabase!X30)</f>
        <v>Fungi</v>
      </c>
      <c r="Q31" s="41" t="str">
        <f>LOOKUP(ImgDatabase!X30,MonsterMaterials[[#This Row],[Mob Name]],ImgDatabase!Y30)</f>
        <v>FungalSpores</v>
      </c>
      <c r="R31" s="10"/>
      <c r="T31" s="9" t="e" vm="514">
        <f>ImgDatabase!AA30</f>
        <v>#VALUE!</v>
      </c>
      <c r="U31" s="176" t="str">
        <f>LOOKUP(ImgDatabase!AA30,TalentBooks[[#This Row],[Icon]],ImgDatabase!AB30)</f>
        <v>TeachingsofIngenuity</v>
      </c>
      <c r="V31" s="10"/>
      <c r="X31" s="9" t="e" vm="515">
        <f>ImgDatabase!AD30</f>
        <v>#VALUE!</v>
      </c>
      <c r="Y31" s="176" t="str">
        <f>LOOKUP(ImgDatabase!AD30,LocalSpecialties[[#This Row],[Icon]],ImgDatabase!AE30)</f>
        <v>RukkhashavaMushrooms</v>
      </c>
      <c r="Z31" s="10"/>
      <c r="AB31" s="9" t="e" vm="516">
        <f>ImgDatabase!AG30</f>
        <v>#VALUE!</v>
      </c>
      <c r="AC31" s="176" t="str">
        <f>LOOKUP(ImgDatabase!AG30,Gems[[#This Row],[Icon]],ImgDatabase!AH30)</f>
        <v>ShivadaJadeGemstone</v>
      </c>
    </row>
    <row r="32" spans="5:29" ht="30" customHeight="1">
      <c r="E32" s="9" t="e" vm="517">
        <f>ImgDatabase!O31</f>
        <v>#VALUE!</v>
      </c>
      <c r="F32" s="176" t="str">
        <f>LOOKUP(ImgDatabase!O31,WorldBossMaterials[[#This Row],[Icon]],ImgDatabase!P31)</f>
        <v>Hydro Tulpas</v>
      </c>
      <c r="G32" s="176" t="str">
        <f>LOOKUP(ImgDatabase!P31,WorldBossMaterials[[#This Row],[Boss Name]],ImgDatabase!Q31)</f>
        <v>WaterThatFailedToTranscend</v>
      </c>
      <c r="H32" s="10"/>
      <c r="J32" s="9" t="e" vm="518">
        <f>ImgDatabase!S31</f>
        <v>#VALUE!</v>
      </c>
      <c r="K32" s="176" t="str">
        <f>LOOKUP(ImgDatabase!S31,WeeklyBossMaterials[[#This Row],[Icon]],ImgDatabase!T31)</f>
        <v>The Knave</v>
      </c>
      <c r="L32" s="176" t="str">
        <f>LOOKUP(ImgDatabase!T31,WeeklyBossMaterials[[#This Row],[Boss Name]],ImgDatabase!U31)</f>
        <v>DenialandJudgment</v>
      </c>
      <c r="M32" s="10"/>
      <c r="O32" s="9" t="e" vm="519">
        <f>ImgDatabase!W31</f>
        <v>#VALUE!</v>
      </c>
      <c r="P32" s="41" t="str">
        <f>LOOKUP(ImgDatabase!W31,MonsterMaterials[[#This Row],[Icon]],ImgDatabase!X31)</f>
        <v>Fungi</v>
      </c>
      <c r="Q32" s="41" t="str">
        <f>LOOKUP(ImgDatabase!X31,MonsterMaterials[[#This Row],[Mob Name]],ImgDatabase!Y31)</f>
        <v>LuminescentPollen</v>
      </c>
      <c r="R32" s="10"/>
      <c r="T32" s="9" t="e" vm="520">
        <f>ImgDatabase!AA31</f>
        <v>#VALUE!</v>
      </c>
      <c r="U32" s="176" t="str">
        <f>LOOKUP(ImgDatabase!AA31,TalentBooks[[#This Row],[Icon]],ImgDatabase!AB31)</f>
        <v>GuidetoIngenuity</v>
      </c>
      <c r="V32" s="10"/>
      <c r="X32" s="9" t="e" vm="521">
        <f>ImgDatabase!AD31</f>
        <v>#VALUE!</v>
      </c>
      <c r="Y32" s="176" t="str">
        <f>LOOKUP(ImgDatabase!AD31,LocalSpecialties[[#This Row],[Icon]],ImgDatabase!AE31)</f>
        <v>SakuraBloom</v>
      </c>
      <c r="Z32" s="10"/>
      <c r="AB32" s="9" t="e" vm="522">
        <f>ImgDatabase!AG31</f>
        <v>#VALUE!</v>
      </c>
      <c r="AC32" s="176" t="str">
        <f>LOOKUP(ImgDatabase!AG31,Gems[[#This Row],[Icon]],ImgDatabase!AH31)</f>
        <v>PrithivaTopazSliver</v>
      </c>
    </row>
    <row r="33" spans="5:29" ht="30" customHeight="1">
      <c r="E33" s="9" t="e" vm="523">
        <f>ImgDatabase!O32</f>
        <v>#VALUE!</v>
      </c>
      <c r="F33" s="176" t="str">
        <f>LOOKUP(ImgDatabase!O32,WorldBossMaterials[[#This Row],[Icon]],ImgDatabase!P32)</f>
        <v>Solitary Suanni</v>
      </c>
      <c r="G33" s="176" t="str">
        <f>LOOKUP(ImgDatabase!P32,WorldBossMaterials[[#This Row],[Boss Name]],ImgDatabase!Q32)</f>
        <v>CloudseamScale</v>
      </c>
      <c r="H33" s="10"/>
      <c r="J33" s="11" t="e" vm="524">
        <f>ImgDatabase!S32</f>
        <v>#VALUE!</v>
      </c>
      <c r="K33" s="180" t="str">
        <f>LOOKUP(ImgDatabase!S32,WeeklyBossMaterials[[#This Row],[Icon]],ImgDatabase!T32)</f>
        <v>The Knave</v>
      </c>
      <c r="L33" s="180" t="str">
        <f>LOOKUP(ImgDatabase!T32,WeeklyBossMaterials[[#This Row],[Boss Name]],ImgDatabase!U32)</f>
        <v>FadingCandle</v>
      </c>
      <c r="M33" s="13"/>
      <c r="O33" s="9" t="e" vm="525">
        <f>ImgDatabase!W32</f>
        <v>#VALUE!</v>
      </c>
      <c r="P33" s="41" t="str">
        <f>LOOKUP(ImgDatabase!W32,MonsterMaterials[[#This Row],[Icon]],ImgDatabase!X32)</f>
        <v>Fungi</v>
      </c>
      <c r="Q33" s="41" t="str">
        <f>LOOKUP(ImgDatabase!X32,MonsterMaterials[[#This Row],[Mob Name]],ImgDatabase!Y32)</f>
        <v>CrystallineCystDust</v>
      </c>
      <c r="R33" s="10"/>
      <c r="T33" s="9" t="e" vm="526">
        <f>ImgDatabase!AA32</f>
        <v>#VALUE!</v>
      </c>
      <c r="U33" s="176" t="str">
        <f>LOOKUP(ImgDatabase!AA32,TalentBooks[[#This Row],[Icon]],ImgDatabase!AB32)</f>
        <v>PhilosophiesofIngenuity</v>
      </c>
      <c r="V33" s="10"/>
      <c r="X33" s="9" t="e" vm="527">
        <f>ImgDatabase!AD32</f>
        <v>#VALUE!</v>
      </c>
      <c r="Y33" s="176" t="str">
        <f>LOOKUP(ImgDatabase!AD32,LocalSpecialties[[#This Row],[Icon]],ImgDatabase!AE32)</f>
        <v>SandGreasePupa</v>
      </c>
      <c r="Z33" s="10"/>
      <c r="AB33" s="9" t="e" vm="528">
        <f>ImgDatabase!AG32</f>
        <v>#VALUE!</v>
      </c>
      <c r="AC33" s="176" t="str">
        <f>LOOKUP(ImgDatabase!AG32,Gems[[#This Row],[Icon]],ImgDatabase!AH32)</f>
        <v>PrithivaTopazFragment</v>
      </c>
    </row>
    <row r="34" spans="5:29" ht="30" customHeight="1">
      <c r="E34" s="11" t="e" vm="529">
        <f>ImgDatabase!O33</f>
        <v>#VALUE!</v>
      </c>
      <c r="F34" s="180" t="str">
        <f>LOOKUP(ImgDatabase!O33,WorldBossMaterials[[#This Row],[Icon]],ImgDatabase!P33)</f>
        <v>Legatus Golem</v>
      </c>
      <c r="G34" s="180" t="str">
        <f>LOOKUP(ImgDatabase!P33,WorldBossMaterials[[#This Row],[Boss Name]],ImgDatabase!Q33)</f>
        <v>FragmentofaGoldenMelody</v>
      </c>
      <c r="H34" s="13"/>
      <c r="O34" s="9" t="e" vm="530">
        <f>ImgDatabase!W33</f>
        <v>#VALUE!</v>
      </c>
      <c r="P34" s="41" t="str">
        <f>LOOKUP(ImgDatabase!W33,MonsterMaterials[[#This Row],[Icon]],ImgDatabase!X33)</f>
        <v>The Eremites</v>
      </c>
      <c r="Q34" s="41" t="str">
        <f>LOOKUP(ImgDatabase!X33,MonsterMaterials[[#This Row],[Mob Name]],ImgDatabase!Y33)</f>
        <v>FadedRedSatin</v>
      </c>
      <c r="R34" s="10"/>
      <c r="T34" s="9" t="e" vm="531">
        <f>ImgDatabase!AA33</f>
        <v>#VALUE!</v>
      </c>
      <c r="U34" s="176" t="str">
        <f>LOOKUP(ImgDatabase!AA33,TalentBooks[[#This Row],[Icon]],ImgDatabase!AB33)</f>
        <v>TeachingsofAdmonition</v>
      </c>
      <c r="V34" s="10"/>
      <c r="X34" s="9" t="e" vm="532">
        <f>ImgDatabase!AD33</f>
        <v>#VALUE!</v>
      </c>
      <c r="Y34" s="176" t="str">
        <f>LOOKUP(ImgDatabase!AD33,LocalSpecialties[[#This Row],[Icon]],ImgDatabase!AE33)</f>
        <v>SangoPearl</v>
      </c>
      <c r="Z34" s="10"/>
      <c r="AB34" s="9" t="e" vm="533">
        <f>ImgDatabase!AG33</f>
        <v>#VALUE!</v>
      </c>
      <c r="AC34" s="176" t="str">
        <f>LOOKUP(ImgDatabase!AG33,Gems[[#This Row],[Icon]],ImgDatabase!AH33)</f>
        <v>PrithivaTopazChunk</v>
      </c>
    </row>
    <row r="35" spans="5:29" ht="30" customHeight="1">
      <c r="O35" s="9" t="e" vm="534">
        <f>ImgDatabase!W34</f>
        <v>#VALUE!</v>
      </c>
      <c r="P35" s="41" t="str">
        <f>LOOKUP(ImgDatabase!W34,MonsterMaterials[[#This Row],[Icon]],ImgDatabase!X34)</f>
        <v>The Eremites</v>
      </c>
      <c r="Q35" s="41" t="str">
        <f>LOOKUP(ImgDatabase!X34,MonsterMaterials[[#This Row],[Mob Name]],ImgDatabase!Y34)</f>
        <v>TrimmedRedSilk</v>
      </c>
      <c r="R35" s="10"/>
      <c r="T35" s="9" t="e" vm="535">
        <f>ImgDatabase!AA34</f>
        <v>#VALUE!</v>
      </c>
      <c r="U35" s="176" t="str">
        <f>LOOKUP(ImgDatabase!AA34,TalentBooks[[#This Row],[Icon]],ImgDatabase!AB34)</f>
        <v>GuidetoAdmonition</v>
      </c>
      <c r="V35" s="10"/>
      <c r="X35" s="9" t="e" vm="536">
        <f>ImgDatabase!AD34</f>
        <v>#VALUE!</v>
      </c>
      <c r="Y35" s="176" t="str">
        <f>LOOKUP(ImgDatabase!AD34,LocalSpecialties[[#This Row],[Icon]],ImgDatabase!AE34)</f>
        <v>Scarab</v>
      </c>
      <c r="Z35" s="10"/>
      <c r="AB35" s="9" t="e" vm="537">
        <f>ImgDatabase!AG34</f>
        <v>#VALUE!</v>
      </c>
      <c r="AC35" s="176" t="str">
        <f>LOOKUP(ImgDatabase!AG34,Gems[[#This Row],[Icon]],ImgDatabase!AH34)</f>
        <v>PrithivaTopazGemstone</v>
      </c>
    </row>
    <row r="36" spans="5:29" ht="30" customHeight="1">
      <c r="O36" s="9" t="e" vm="538">
        <f>ImgDatabase!W35</f>
        <v>#VALUE!</v>
      </c>
      <c r="P36" s="41" t="str">
        <f>LOOKUP(ImgDatabase!W35,MonsterMaterials[[#This Row],[Icon]],ImgDatabase!X35)</f>
        <v>The Eremites</v>
      </c>
      <c r="Q36" s="41" t="str">
        <f>LOOKUP(ImgDatabase!X35,MonsterMaterials[[#This Row],[Mob Name]],ImgDatabase!Y35)</f>
        <v>RichRedBrocade</v>
      </c>
      <c r="R36" s="10"/>
      <c r="T36" s="9" t="e" vm="539">
        <f>ImgDatabase!AA35</f>
        <v>#VALUE!</v>
      </c>
      <c r="U36" s="176" t="str">
        <f>LOOKUP(ImgDatabase!AA35,TalentBooks[[#This Row],[Icon]],ImgDatabase!AB35)</f>
        <v>PhilosophiesofAdmonition</v>
      </c>
      <c r="V36" s="10"/>
      <c r="X36" s="9" t="e" vm="540">
        <f>ImgDatabase!AD35</f>
        <v>#VALUE!</v>
      </c>
      <c r="Y36" s="176" t="str">
        <f>LOOKUP(ImgDatabase!AD35,LocalSpecialties[[#This Row],[Icon]],ImgDatabase!AE35)</f>
        <v>SeaGanoderma</v>
      </c>
      <c r="Z36" s="10"/>
    </row>
    <row r="37" spans="5:29" ht="30" customHeight="1">
      <c r="O37" s="9" t="e" vm="541">
        <f>ImgDatabase!W36</f>
        <v>#VALUE!</v>
      </c>
      <c r="P37" s="41" t="str">
        <f>LOOKUP(ImgDatabase!W36,MonsterMaterials[[#This Row],[Icon]],ImgDatabase!X36)</f>
        <v>Fontemer Aberrant</v>
      </c>
      <c r="Q37" s="41" t="str">
        <f>LOOKUP(ImgDatabase!X36,MonsterMaterials[[#This Row],[Mob Name]],ImgDatabase!Y36)</f>
        <v>TransoceanicPearl</v>
      </c>
      <c r="R37" s="10"/>
      <c r="T37" s="9" t="e" vm="542">
        <f>ImgDatabase!AA36</f>
        <v>#VALUE!</v>
      </c>
      <c r="U37" s="176" t="str">
        <f>LOOKUP(ImgDatabase!AA36,TalentBooks[[#This Row],[Icon]],ImgDatabase!AB36)</f>
        <v>TeachingsofPraxis</v>
      </c>
      <c r="V37" s="10"/>
      <c r="X37" s="9" t="e" vm="543">
        <f>ImgDatabase!AD36</f>
        <v>#VALUE!</v>
      </c>
      <c r="Y37" s="176" t="str">
        <f>LOOKUP(ImgDatabase!AD36,LocalSpecialties[[#This Row],[Icon]],ImgDatabase!AE36)</f>
        <v>SilkFlower</v>
      </c>
      <c r="Z37" s="10"/>
    </row>
    <row r="38" spans="5:29" ht="30" customHeight="1">
      <c r="O38" s="9" t="e" vm="544">
        <f>ImgDatabase!W37</f>
        <v>#VALUE!</v>
      </c>
      <c r="P38" s="41" t="str">
        <f>LOOKUP(ImgDatabase!W37,MonsterMaterials[[#This Row],[Icon]],ImgDatabase!X37)</f>
        <v>Fontemer Aberrant</v>
      </c>
      <c r="Q38" s="41" t="str">
        <f>LOOKUP(ImgDatabase!X37,MonsterMaterials[[#This Row],[Mob Name]],ImgDatabase!Y37)</f>
        <v>TransoceanicChunk</v>
      </c>
      <c r="R38" s="10"/>
      <c r="T38" s="9" t="e" vm="545">
        <f>ImgDatabase!AA37</f>
        <v>#VALUE!</v>
      </c>
      <c r="U38" s="176" t="str">
        <f>LOOKUP(ImgDatabase!AA37,TalentBooks[[#This Row],[Icon]],ImgDatabase!AB37)</f>
        <v>GuidetoPraxis</v>
      </c>
      <c r="V38" s="10"/>
      <c r="X38" s="9" t="e" vm="546">
        <f>ImgDatabase!AD37</f>
        <v>#VALUE!</v>
      </c>
      <c r="Y38" s="176" t="str">
        <f>LOOKUP(ImgDatabase!AD37,LocalSpecialties[[#This Row],[Icon]],ImgDatabase!AE37)</f>
        <v>SmallLampGrass</v>
      </c>
      <c r="Z38" s="10"/>
    </row>
    <row r="39" spans="5:29" ht="30" customHeight="1">
      <c r="O39" s="9" t="e" vm="547">
        <f>ImgDatabase!W38</f>
        <v>#VALUE!</v>
      </c>
      <c r="P39" s="41" t="str">
        <f>LOOKUP(ImgDatabase!W38,MonsterMaterials[[#This Row],[Icon]],ImgDatabase!X38)</f>
        <v>Fontemer Aberrant</v>
      </c>
      <c r="Q39" s="41" t="str">
        <f>LOOKUP(ImgDatabase!X38,MonsterMaterials[[#This Row],[Mob Name]],ImgDatabase!Y38)</f>
        <v>XenochromaticCrystal</v>
      </c>
      <c r="R39" s="10"/>
      <c r="T39" s="9" t="e" vm="548">
        <f>ImgDatabase!AA38</f>
        <v>#VALUE!</v>
      </c>
      <c r="U39" s="176" t="str">
        <f>LOOKUP(ImgDatabase!AA38,TalentBooks[[#This Row],[Icon]],ImgDatabase!AB38)</f>
        <v>PhilosophiesofPraxis</v>
      </c>
      <c r="V39" s="10"/>
      <c r="X39" s="9" t="e" vm="549">
        <f>ImgDatabase!AD38</f>
        <v>#VALUE!</v>
      </c>
      <c r="Y39" s="176" t="str">
        <f>LOOKUP(ImgDatabase!AD38,LocalSpecialties[[#This Row],[Icon]],ImgDatabase!AE38)</f>
        <v>SpringoftheFirstDewdrop</v>
      </c>
      <c r="Z39" s="10"/>
    </row>
    <row r="40" spans="5:29" ht="30" customHeight="1">
      <c r="O40" s="9" t="e" vm="550">
        <f>ImgDatabase!W39</f>
        <v>#VALUE!</v>
      </c>
      <c r="P40" s="41" t="str">
        <f>LOOKUP(ImgDatabase!W39,MonsterMaterials[[#This Row],[Icon]],ImgDatabase!X39)</f>
        <v>Clockwork Meka</v>
      </c>
      <c r="Q40" s="41" t="str">
        <f>LOOKUP(ImgDatabase!X39,MonsterMaterials[[#This Row],[Mob Name]],ImgDatabase!Y39)</f>
        <v>MeshingGear</v>
      </c>
      <c r="R40" s="10"/>
      <c r="T40" s="9" t="e" vm="551">
        <f>ImgDatabase!AA39</f>
        <v>#VALUE!</v>
      </c>
      <c r="U40" s="176" t="str">
        <f>LOOKUP(ImgDatabase!AA39,TalentBooks[[#This Row],[Icon]],ImgDatabase!AB39)</f>
        <v>TeachingsofJustice</v>
      </c>
      <c r="V40" s="10"/>
      <c r="X40" s="9" t="e" vm="552">
        <f>ImgDatabase!AD39</f>
        <v>#VALUE!</v>
      </c>
      <c r="Y40" s="176" t="str">
        <f>LOOKUP(ImgDatabase!AD39,LocalSpecialties[[#This Row],[Icon]],ImgDatabase!AE39)</f>
        <v>Starconch</v>
      </c>
      <c r="Z40" s="10"/>
    </row>
    <row r="41" spans="5:29" ht="30" customHeight="1">
      <c r="O41" s="9" t="e" vm="553">
        <f>ImgDatabase!W40</f>
        <v>#VALUE!</v>
      </c>
      <c r="P41" s="41" t="str">
        <f>LOOKUP(ImgDatabase!W40,MonsterMaterials[[#This Row],[Icon]],ImgDatabase!X40)</f>
        <v>Clockwork Meka</v>
      </c>
      <c r="Q41" s="41" t="str">
        <f>LOOKUP(ImgDatabase!X40,MonsterMaterials[[#This Row],[Mob Name]],ImgDatabase!Y40)</f>
        <v>MechanicalSpurGear</v>
      </c>
      <c r="R41" s="10"/>
      <c r="T41" s="9" t="e" vm="554">
        <f>ImgDatabase!AA40</f>
        <v>#VALUE!</v>
      </c>
      <c r="U41" s="176" t="str">
        <f>LOOKUP(ImgDatabase!AA40,TalentBooks[[#This Row],[Icon]],ImgDatabase!AB40)</f>
        <v>GuidetoJustice</v>
      </c>
      <c r="V41" s="10"/>
      <c r="X41" s="9" t="e" vm="555">
        <f>ImgDatabase!AD40</f>
        <v>#VALUE!</v>
      </c>
      <c r="Y41" s="176" t="str">
        <f>LOOKUP(ImgDatabase!AD40,LocalSpecialties[[#This Row],[Icon]],ImgDatabase!AE40)</f>
        <v>SubdetectionUnit</v>
      </c>
      <c r="Z41" s="10"/>
    </row>
    <row r="42" spans="5:29" ht="30" customHeight="1">
      <c r="O42" s="11" t="e" vm="556">
        <f>ImgDatabase!W41</f>
        <v>#VALUE!</v>
      </c>
      <c r="P42" s="181" t="str">
        <f>LOOKUP(ImgDatabase!W41,MonsterMaterials[[#This Row],[Icon]],ImgDatabase!X41)</f>
        <v>Clockwork Meka</v>
      </c>
      <c r="Q42" s="181" t="str">
        <f>LOOKUP(ImgDatabase!X41,MonsterMaterials[[#This Row],[Mob Name]],ImgDatabase!Y41)</f>
        <v>ArtificedDynamicGear</v>
      </c>
      <c r="R42" s="13"/>
      <c r="T42" s="9" t="e" vm="557">
        <f>ImgDatabase!AA41</f>
        <v>#VALUE!</v>
      </c>
      <c r="U42" s="176" t="str">
        <f>LOOKUP(ImgDatabase!AA41,TalentBooks[[#This Row],[Icon]],ImgDatabase!AB41)</f>
        <v>PhilosophiesofJustice</v>
      </c>
      <c r="V42" s="10"/>
      <c r="X42" s="9" t="e" vm="558">
        <f>ImgDatabase!AD41</f>
        <v>#VALUE!</v>
      </c>
      <c r="Y42" s="176" t="str">
        <f>LOOKUP(ImgDatabase!AD41,LocalSpecialties[[#This Row],[Icon]],ImgDatabase!AE41)</f>
        <v>Trishiraite</v>
      </c>
      <c r="Z42" s="10"/>
    </row>
    <row r="43" spans="5:29" ht="30" customHeight="1">
      <c r="T43" s="9" t="e" vm="559">
        <f>ImgDatabase!AA42</f>
        <v>#VALUE!</v>
      </c>
      <c r="U43" s="176" t="str">
        <f>LOOKUP(ImgDatabase!AA42,TalentBooks[[#This Row],[Icon]],ImgDatabase!AB42)</f>
        <v>TeachingsofOrder</v>
      </c>
      <c r="V43" s="10"/>
      <c r="X43" s="9" t="e" vm="560">
        <f>ImgDatabase!AD42</f>
        <v>#VALUE!</v>
      </c>
      <c r="Y43" s="176" t="str">
        <f>LOOKUP(ImgDatabase!AD42,LocalSpecialties[[#This Row],[Icon]],ImgDatabase!AE42)</f>
        <v>Valberry</v>
      </c>
      <c r="Z43" s="10"/>
    </row>
    <row r="44" spans="5:29" ht="30" customHeight="1">
      <c r="T44" s="9" t="e" vm="561">
        <f>ImgDatabase!AA43</f>
        <v>#VALUE!</v>
      </c>
      <c r="U44" s="176" t="str">
        <f>LOOKUP(ImgDatabase!AA43,TalentBooks[[#This Row],[Icon]],ImgDatabase!AB43)</f>
        <v>GuidetoOrder</v>
      </c>
      <c r="V44" s="10"/>
      <c r="X44" s="9" t="e" vm="562">
        <f>ImgDatabase!AD43</f>
        <v>#VALUE!</v>
      </c>
      <c r="Y44" s="176" t="str">
        <f>LOOKUP(ImgDatabase!AD43,LocalSpecialties[[#This Row],[Icon]],ImgDatabase!AE43)</f>
        <v>Violetgrass</v>
      </c>
      <c r="Z44" s="10"/>
    </row>
    <row r="45" spans="5:29" ht="30" customHeight="1">
      <c r="T45" s="9" t="e" vm="563">
        <f>ImgDatabase!AA44</f>
        <v>#VALUE!</v>
      </c>
      <c r="U45" s="176" t="str">
        <f>LOOKUP(ImgDatabase!AA44,TalentBooks[[#This Row],[Icon]],ImgDatabase!AB44)</f>
        <v>PhilosophiesofOrder</v>
      </c>
      <c r="V45" s="10"/>
      <c r="X45" s="9" t="e" vm="564">
        <f>ImgDatabase!AD44</f>
        <v>#VALUE!</v>
      </c>
      <c r="Y45" s="176" t="str">
        <f>LOOKUP(ImgDatabase!AD44,LocalSpecialties[[#This Row],[Icon]],ImgDatabase!AE44)</f>
        <v>WindwheelAster</v>
      </c>
      <c r="Z45" s="10"/>
    </row>
    <row r="46" spans="5:29" ht="30" customHeight="1">
      <c r="T46" s="9" t="e" vm="565">
        <f>ImgDatabase!AA45</f>
        <v>#VALUE!</v>
      </c>
      <c r="U46" s="176" t="str">
        <f>LOOKUP(ImgDatabase!AA45,TalentBooks[[#This Row],[Icon]],ImgDatabase!AB45)</f>
        <v>TeachingsofEquity</v>
      </c>
      <c r="V46" s="10"/>
      <c r="X46" s="11" t="e" vm="566">
        <f>ImgDatabase!AD45</f>
        <v>#VALUE!</v>
      </c>
      <c r="Y46" s="180" t="str">
        <f>LOOKUP(ImgDatabase!AD45,LocalSpecialties[[#This Row],[Icon]],ImgDatabase!AE45)</f>
        <v>Wolfhook</v>
      </c>
      <c r="Z46" s="13"/>
    </row>
    <row r="47" spans="5:29" ht="30" customHeight="1">
      <c r="T47" s="9" t="e" vm="567">
        <f>ImgDatabase!AA46</f>
        <v>#VALUE!</v>
      </c>
      <c r="U47" s="176" t="str">
        <f>LOOKUP(ImgDatabase!AA46,TalentBooks[[#This Row],[Icon]],ImgDatabase!AB46)</f>
        <v>GuidetoEquity</v>
      </c>
      <c r="V47" s="10"/>
    </row>
    <row r="48" spans="5:29" ht="30" customHeight="1">
      <c r="T48" s="11" t="e" vm="568">
        <f>ImgDatabase!AA47</f>
        <v>#VALUE!</v>
      </c>
      <c r="U48" s="180" t="str">
        <f>LOOKUP(ImgDatabase!AA47,TalentBooks[[#This Row],[Icon]],ImgDatabase!AB47)</f>
        <v>PhilosophiesofEquity</v>
      </c>
      <c r="V48" s="13"/>
    </row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</sheetData>
  <mergeCells count="9">
    <mergeCell ref="A1:AH1"/>
    <mergeCell ref="AB2:AD2"/>
    <mergeCell ref="AF2:AH2"/>
    <mergeCell ref="E2:H2"/>
    <mergeCell ref="T2:V2"/>
    <mergeCell ref="J2:M2"/>
    <mergeCell ref="O2:R2"/>
    <mergeCell ref="A2:C2"/>
    <mergeCell ref="X2:Z2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BS116"/>
  <sheetViews>
    <sheetView topLeftCell="E1" workbookViewId="0">
      <selection activeCell="D4" sqref="D4"/>
    </sheetView>
    <sheetView topLeftCell="B1" zoomScale="85" zoomScaleNormal="85" workbookViewId="1">
      <selection activeCell="G18" sqref="G18"/>
    </sheetView>
  </sheetViews>
  <sheetFormatPr defaultColWidth="9.140625" defaultRowHeight="15"/>
  <cols>
    <col min="1" max="2" width="9.140625" style="4" customWidth="1"/>
    <col min="3" max="3" width="15.7109375" style="90" customWidth="1"/>
    <col min="4" max="6" width="11.85546875" style="2" customWidth="1"/>
    <col min="7" max="10" width="7.140625" style="2" customWidth="1"/>
    <col min="11" max="11" width="1.42578125" customWidth="1"/>
    <col min="12" max="15" width="7.140625" style="2" customWidth="1"/>
    <col min="16" max="16" width="1.42578125" customWidth="1"/>
    <col min="17" max="17" width="8.5703125" style="9" customWidth="1"/>
    <col min="18" max="18" width="29.85546875" style="1" hidden="1" customWidth="1"/>
    <col min="19" max="19" width="25.5703125" style="34" customWidth="1"/>
    <col min="20" max="20" width="1.42578125" customWidth="1"/>
    <col min="21" max="21" width="12.7109375" style="1" customWidth="1"/>
    <col min="22" max="22" width="14.42578125" style="1" customWidth="1"/>
    <col min="23" max="25" width="9.7109375" style="1" customWidth="1"/>
    <col min="26" max="34" width="9.5703125" style="1" customWidth="1"/>
    <col min="35" max="35" width="21.28515625" style="3" customWidth="1"/>
    <col min="36" max="36" width="28.7109375" style="1" customWidth="1"/>
    <col min="37" max="37" width="10" style="1" customWidth="1"/>
    <col min="38" max="38" width="11" style="1" customWidth="1"/>
    <col min="39" max="39" width="12.42578125" style="1" customWidth="1"/>
    <col min="40" max="40" width="12.85546875" style="2" customWidth="1"/>
    <col min="41" max="41" width="25.7109375" style="1" bestFit="1" customWidth="1"/>
    <col min="42" max="42" width="15.5703125" style="2" bestFit="1" customWidth="1"/>
    <col min="43" max="43" width="25.7109375" style="1" bestFit="1" customWidth="1"/>
    <col min="44" max="47" width="10.7109375" style="1" customWidth="1"/>
    <col min="48" max="48" width="18.28515625" style="1" bestFit="1" customWidth="1"/>
    <col min="49" max="66" width="8.7109375" style="1" customWidth="1"/>
    <col min="67" max="71" width="12" style="1" customWidth="1"/>
    <col min="72" max="16384" width="9.140625" style="1"/>
  </cols>
  <sheetData>
    <row r="1" spans="1:71" s="2" customFormat="1" ht="24" customHeight="1">
      <c r="A1" s="55" t="s">
        <v>459</v>
      </c>
      <c r="B1" s="55"/>
      <c r="C1" s="55" t="s">
        <v>25</v>
      </c>
      <c r="D1" s="55" t="s">
        <v>30</v>
      </c>
      <c r="E1" s="55"/>
      <c r="F1" s="55"/>
      <c r="G1" s="310" t="s">
        <v>460</v>
      </c>
      <c r="H1" s="311"/>
      <c r="I1" s="311"/>
      <c r="J1" s="311"/>
      <c r="K1"/>
      <c r="L1" s="313" t="s">
        <v>461</v>
      </c>
      <c r="M1" s="314"/>
      <c r="N1" s="314"/>
      <c r="O1" s="315"/>
      <c r="P1"/>
      <c r="Q1" s="310" t="s">
        <v>2</v>
      </c>
      <c r="R1" s="311"/>
      <c r="S1" s="312"/>
      <c r="T1"/>
      <c r="U1" s="163" t="s">
        <v>462</v>
      </c>
      <c r="V1" s="310" t="s">
        <v>73</v>
      </c>
      <c r="W1" s="311"/>
      <c r="X1" s="311"/>
      <c r="Y1" s="312"/>
      <c r="Z1" s="310" t="s">
        <v>463</v>
      </c>
      <c r="AA1" s="311"/>
      <c r="AB1" s="311"/>
      <c r="AC1" s="311"/>
      <c r="AD1" s="311"/>
      <c r="AE1" s="311"/>
      <c r="AF1" s="311"/>
      <c r="AG1" s="311"/>
      <c r="AH1" s="312"/>
      <c r="AI1" s="310" t="s">
        <v>41</v>
      </c>
      <c r="AJ1" s="311"/>
      <c r="AK1" s="311"/>
      <c r="AL1" s="311"/>
      <c r="AM1" s="311"/>
      <c r="AN1" s="312"/>
      <c r="AO1" s="316" t="s">
        <v>464</v>
      </c>
      <c r="AP1" s="316"/>
      <c r="AQ1" s="310" t="s">
        <v>465</v>
      </c>
      <c r="AR1" s="311"/>
      <c r="AS1" s="311"/>
      <c r="AT1" s="311"/>
      <c r="AU1" s="312"/>
      <c r="AV1" s="310" t="s">
        <v>466</v>
      </c>
      <c r="AW1" s="311"/>
      <c r="AX1" s="311"/>
      <c r="AY1" s="311"/>
      <c r="AZ1" s="310" t="s">
        <v>467</v>
      </c>
      <c r="BA1" s="311"/>
      <c r="BB1" s="311"/>
      <c r="BC1" s="310" t="s">
        <v>468</v>
      </c>
      <c r="BD1" s="311"/>
      <c r="BE1" s="311"/>
      <c r="BF1" s="311"/>
      <c r="BG1" s="311"/>
      <c r="BH1" s="311"/>
      <c r="BI1" s="311"/>
      <c r="BJ1" s="311"/>
      <c r="BK1" s="312"/>
      <c r="BL1" s="310" t="s">
        <v>469</v>
      </c>
      <c r="BM1" s="311"/>
      <c r="BN1" s="312"/>
      <c r="BO1" s="310" t="s">
        <v>470</v>
      </c>
      <c r="BP1" s="311"/>
      <c r="BQ1" s="311"/>
      <c r="BR1" s="311"/>
      <c r="BS1" s="312"/>
    </row>
    <row r="2" spans="1:71" s="169" customFormat="1" ht="45.75" customHeight="1">
      <c r="A2" s="164" t="s">
        <v>459</v>
      </c>
      <c r="B2" s="164" t="s">
        <v>77</v>
      </c>
      <c r="C2" s="164" t="s">
        <v>25</v>
      </c>
      <c r="D2" s="164" t="s">
        <v>30</v>
      </c>
      <c r="E2" s="164" t="s">
        <v>78</v>
      </c>
      <c r="F2" s="164" t="s">
        <v>471</v>
      </c>
      <c r="G2" s="183" t="s">
        <v>472</v>
      </c>
      <c r="H2" s="165" t="s">
        <v>473</v>
      </c>
      <c r="I2" s="166" t="s">
        <v>474</v>
      </c>
      <c r="J2" s="167" t="s">
        <v>475</v>
      </c>
      <c r="K2"/>
      <c r="L2" s="183" t="s">
        <v>472</v>
      </c>
      <c r="M2" s="165" t="s">
        <v>473</v>
      </c>
      <c r="N2" s="166" t="s">
        <v>474</v>
      </c>
      <c r="O2" s="167" t="s">
        <v>475</v>
      </c>
      <c r="P2"/>
      <c r="Q2" s="302" t="s">
        <v>2</v>
      </c>
      <c r="R2" s="302" t="s">
        <v>81</v>
      </c>
      <c r="S2" s="302" t="s">
        <v>476</v>
      </c>
      <c r="T2"/>
      <c r="U2" s="170" t="s">
        <v>462</v>
      </c>
      <c r="V2" s="165" t="s">
        <v>477</v>
      </c>
      <c r="W2" s="166" t="s">
        <v>478</v>
      </c>
      <c r="X2" s="166" t="s">
        <v>479</v>
      </c>
      <c r="Y2" s="167" t="s">
        <v>480</v>
      </c>
      <c r="Z2" s="58" t="s">
        <v>481</v>
      </c>
      <c r="AA2" s="58" t="s">
        <v>482</v>
      </c>
      <c r="AB2" s="58" t="s">
        <v>483</v>
      </c>
      <c r="AC2" s="58" t="s">
        <v>484</v>
      </c>
      <c r="AD2" s="58" t="s">
        <v>485</v>
      </c>
      <c r="AE2" s="58" t="s">
        <v>486</v>
      </c>
      <c r="AF2" s="58" t="s">
        <v>487</v>
      </c>
      <c r="AG2" s="58" t="s">
        <v>488</v>
      </c>
      <c r="AH2" s="58" t="s">
        <v>489</v>
      </c>
      <c r="AI2" s="165" t="s">
        <v>490</v>
      </c>
      <c r="AJ2" s="167" t="s">
        <v>491</v>
      </c>
      <c r="AK2" s="58" t="s">
        <v>492</v>
      </c>
      <c r="AL2" s="58" t="s">
        <v>493</v>
      </c>
      <c r="AM2" s="58" t="s">
        <v>494</v>
      </c>
      <c r="AN2" s="168" t="s">
        <v>495</v>
      </c>
      <c r="AO2" s="166" t="s">
        <v>496</v>
      </c>
      <c r="AP2" s="166" t="s">
        <v>497</v>
      </c>
      <c r="AQ2" s="165" t="s">
        <v>498</v>
      </c>
      <c r="AR2" s="166" t="s">
        <v>58</v>
      </c>
      <c r="AS2" s="166" t="s">
        <v>57</v>
      </c>
      <c r="AT2" s="166" t="s">
        <v>56</v>
      </c>
      <c r="AU2" s="167" t="s">
        <v>55</v>
      </c>
      <c r="AV2" s="165" t="s">
        <v>82</v>
      </c>
      <c r="AW2" s="166" t="s">
        <v>499</v>
      </c>
      <c r="AX2" s="166" t="s">
        <v>500</v>
      </c>
      <c r="AY2" s="166" t="s">
        <v>501</v>
      </c>
      <c r="AZ2" s="165" t="s">
        <v>502</v>
      </c>
      <c r="BA2" s="166" t="s">
        <v>503</v>
      </c>
      <c r="BB2" s="167" t="s">
        <v>504</v>
      </c>
      <c r="BC2" s="58" t="s">
        <v>505</v>
      </c>
      <c r="BD2" s="58" t="s">
        <v>506</v>
      </c>
      <c r="BE2" s="58" t="s">
        <v>507</v>
      </c>
      <c r="BF2" s="59" t="s">
        <v>508</v>
      </c>
      <c r="BG2" s="58" t="s">
        <v>509</v>
      </c>
      <c r="BH2" s="58" t="s">
        <v>510</v>
      </c>
      <c r="BI2" s="59" t="s">
        <v>511</v>
      </c>
      <c r="BJ2" s="58" t="s">
        <v>512</v>
      </c>
      <c r="BK2" s="58" t="s">
        <v>513</v>
      </c>
      <c r="BL2" s="165" t="s">
        <v>61</v>
      </c>
      <c r="BM2" s="166" t="s">
        <v>60</v>
      </c>
      <c r="BN2" s="167" t="s">
        <v>59</v>
      </c>
      <c r="BO2" s="165" t="s">
        <v>514</v>
      </c>
      <c r="BP2" s="166" t="s">
        <v>515</v>
      </c>
      <c r="BQ2" s="166" t="s">
        <v>516</v>
      </c>
      <c r="BR2" s="166" t="s">
        <v>517</v>
      </c>
      <c r="BS2" s="167" t="s">
        <v>518</v>
      </c>
    </row>
    <row r="3" spans="1:71" s="81" customFormat="1" ht="30" customHeight="1">
      <c r="A3" s="192">
        <f ca="1">SUBTOTAL(3,$C$3:Character[[#This Row],[Name]])</f>
        <v>1</v>
      </c>
      <c r="B3" s="192" t="e" vm="569">
        <f>ImgDatabase!D3</f>
        <v>#VALUE!</v>
      </c>
      <c r="C3" s="193" t="s">
        <v>84</v>
      </c>
      <c r="D3" s="194" t="e" vm="4">
        <f>IFERROR(INDEX(CharacterDetailss[Element], MATCH(Character[[#This Row],[Name]], CharacterDetailss[Name], 0)), "")</f>
        <v>#VALUE!</v>
      </c>
      <c r="E3" s="194" t="e" vm="3">
        <f>IFERROR(INDEX(CharacterDetailss[Weapon Type], MATCH(Character[[#This Row],[Name]], CharacterDetailss[Name], 0)), "")</f>
        <v>#VALUE!</v>
      </c>
      <c r="F3" s="195">
        <v>1.2</v>
      </c>
      <c r="G3" s="190">
        <v>90</v>
      </c>
      <c r="H3" s="184">
        <v>1</v>
      </c>
      <c r="I3" s="185">
        <v>9</v>
      </c>
      <c r="J3" s="186">
        <v>9</v>
      </c>
      <c r="K3"/>
      <c r="L3" s="75">
        <v>81</v>
      </c>
      <c r="M3" s="73">
        <v>1</v>
      </c>
      <c r="N3" s="74">
        <v>9</v>
      </c>
      <c r="O3" s="74">
        <v>9</v>
      </c>
      <c r="P3"/>
      <c r="Q3" s="210" t="e" vm="5">
        <f>IFERROR(INDEX(ImgDatabase!$O:$O, MATCH(WorldBoss[[#This Row],[Boss Name]], ImgDatabase!$P:$P, 0)), "")</f>
        <v>#VALUE!</v>
      </c>
      <c r="R3" s="208" t="s">
        <v>116</v>
      </c>
      <c r="S3" s="299" t="e">
        <f>(IF($E3&lt;=0,"0",IF($E3&lt;=40,"46",IF($E3&lt;=50,"44",IF($E3&lt;=60,"40",IF($E3&lt;=70,"32",IF($E3&lt;=80,"20","0")))))))+0</f>
        <v>#VALUE!</v>
      </c>
      <c r="T3"/>
      <c r="U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3" s="202" t="s">
        <v>519</v>
      </c>
      <c r="W3" s="203">
        <f>Z3+AC3+AF3</f>
        <v>44</v>
      </c>
      <c r="X3" s="203">
        <f>AA3+AD3+AG3</f>
        <v>42</v>
      </c>
      <c r="Y3" s="201">
        <f>AB3+AE3+AH3</f>
        <v>3</v>
      </c>
      <c r="Z3" s="204">
        <f>(IF($F3&lt;=0,"0",IF($F3&lt;=6,"22",IF($F3&lt;=7,"18",IF($F3&lt;=8,"12",0)))))+0</f>
        <v>22</v>
      </c>
      <c r="AA3" s="205">
        <f>(IF($F3&lt;=0,"0",IF($F3&lt;=2,"21",IF($F3&lt;=3,"19",IF($F3&lt;=4,"15",IF($F3&lt;=5,"9",0))))))+0</f>
        <v>21</v>
      </c>
      <c r="AB3" s="205">
        <f>(IF($F3&lt;=0,"0",IF($F3&lt;=1,"3",0)))+0</f>
        <v>0</v>
      </c>
      <c r="AC3" s="205">
        <f>(IF($G3&lt;=0,"0",IF($G3&lt;=6,"22",IF($G3&lt;=7,"18",IF($G3&lt;=8,"12",0)))))+0</f>
        <v>0</v>
      </c>
      <c r="AD3" s="205">
        <f>(IF($G3&lt;=0,"0",IF($G3&lt;=2,"21",IF($G3&lt;=3,"19",IF($G3&lt;=4,"15",IF($G3&lt;=5,"9",0))))))+0</f>
        <v>0</v>
      </c>
      <c r="AE3" s="205">
        <f>(IF($G3&lt;=0,"0",IF($G3&lt;=1,"3",0)))+0</f>
        <v>0</v>
      </c>
      <c r="AF3" s="205">
        <f>(IF($H3&lt;=0,"0",IF($H3&lt;=6,"22",IF($H3&lt;=7,"18",IF($H3&lt;=8,"12",0)))))+0</f>
        <v>22</v>
      </c>
      <c r="AG3" s="205">
        <f>(IF($H3&lt;=0,"0",IF($H3&lt;=2,"21",IF($H3&lt;=3,"19",IF($H3&lt;=4,"15",IF($H3&lt;=5,"9",0))))))+0</f>
        <v>21</v>
      </c>
      <c r="AH3" s="206">
        <f>(IF($H3&lt;=0,"0",IF($H3&lt;=1,"3",0)))+0</f>
        <v>3</v>
      </c>
      <c r="AI3" s="207" t="s">
        <v>389</v>
      </c>
      <c r="AJ3" s="208" t="s">
        <v>520</v>
      </c>
      <c r="AK3" s="209">
        <f>(IF($F3&lt;=0,"0",IF($F3&lt;=6,"4",IF($F3&lt;=7,"3",IF($F3&lt;=8,"2","0")))))+0</f>
        <v>4</v>
      </c>
      <c r="AL3" s="209">
        <f>(IF($G3&lt;=0,"0",IF($G3&lt;=6,"4",IF($G3&lt;=7,"3",IF($G3&lt;=8,"2","0")))))+0</f>
        <v>0</v>
      </c>
      <c r="AM3" s="209">
        <f>(IF($H3&lt;=0,"0",IF($H3&lt;=6,"4",IF($H3&lt;=7,"3",IF($H3&lt;=8,"2","0")))))+0</f>
        <v>4</v>
      </c>
      <c r="AN3" s="200">
        <f>SUM(AK3:AM3)</f>
        <v>8</v>
      </c>
      <c r="AO3" s="208" t="s">
        <v>123</v>
      </c>
      <c r="AP3" s="210" t="e">
        <f>(IF($E3&lt;=0,"0",IF($E3&lt;=20,"168",IF($E3&lt;=30,"165",IF($E3&lt;=50,"155",IF($E3&lt;=60,"135",IF($E3&lt;=70,"105",IF($E3&lt;=80,"60","0"))))))))+0</f>
        <v>#VALUE!</v>
      </c>
      <c r="AQ3" s="199" t="s">
        <v>521</v>
      </c>
      <c r="AR3" s="208" t="e">
        <f>(IF($E3&lt;=0,"0",IF($E3&lt;=80,"6","0")))+0</f>
        <v>#VALUE!</v>
      </c>
      <c r="AS3" s="208" t="e">
        <f>(IF($E3&lt;=0,"0",IF($E3&lt;=60,"9",IF($E3&lt;=70,"6","0"))))+0</f>
        <v>#VALUE!</v>
      </c>
      <c r="AT3" s="208" t="e">
        <f>(IF($E3&lt;=0,"0",IF($E3&lt;=40,"9",IF($E3&lt;=50,"6","0"))))+0</f>
        <v>#VALUE!</v>
      </c>
      <c r="AU3" s="211" t="e">
        <f>(IF($E3&lt;=0,"0",IF($E3&lt;=20,"1","0")))+0</f>
        <v>#VALUE!</v>
      </c>
      <c r="AV3" s="199" t="s">
        <v>149</v>
      </c>
      <c r="AW3" s="208" t="e">
        <f>(IF($E3&lt;=0,"0",IF($E3&lt;=70,"36",IF($E3&lt;=80,"24","0"))))+0</f>
        <v>#VALUE!</v>
      </c>
      <c r="AX3" s="208" t="e">
        <f>(IF($E3&lt;=0,"0",IF($E3&lt;=50,"30",IF($E3&lt;=60,"18","0"))))+0</f>
        <v>#VALUE!</v>
      </c>
      <c r="AY3" s="208" t="e">
        <f>(IF($E3&lt;=0,"0",IF($E3&lt;=20,"18",IF($E3&lt;=40,"15","0"))))+0</f>
        <v>#VALUE!</v>
      </c>
      <c r="AZ3" s="212">
        <f>Summary2831[[#This Row],[3*2]]+Summary2831[[#This Row],[3*22]]+Summary2831[[#This Row],[3*23]]</f>
        <v>19</v>
      </c>
      <c r="BA3" s="213">
        <f>Summary2831[[#This Row],[2*2]]+Summary2831[[#This Row],[2*23]]+Summary2831[[#This Row],[2*24]]</f>
        <v>22</v>
      </c>
      <c r="BB3" s="213">
        <f>Summary2831[[#This Row],[1*2]]+Summary2831[[#This Row],[1*24]]+Summary2831[[#This Row],[1*25]]</f>
        <v>6</v>
      </c>
      <c r="BC3" s="214">
        <f>IF($F3&lt;=0,"0",IF($F3&lt;=6,"19",IF($F3&lt;=7,"18",IF($F3&lt;=8,"9",0))))+0</f>
        <v>19</v>
      </c>
      <c r="BD3" s="215">
        <f>IF($F3&lt;=0,"0",IF($F3&lt;=2,"22",IF($F3&lt;=3,"19",IF($F3&lt;=4,"15",IF($F3&lt;=5,"9",0)))))+0</f>
        <v>22</v>
      </c>
      <c r="BE3" s="215">
        <f>IF($F3&lt;=0,"0",IF($F3&lt;=1,"6",0))+0</f>
        <v>0</v>
      </c>
      <c r="BF3" s="214">
        <f>IF($G3&lt;=0,"0",IF($G3&lt;=6,"19",IF($G3&lt;=7,"18",IF($G3&lt;=8,"9",0))))+0</f>
        <v>0</v>
      </c>
      <c r="BG3" s="215">
        <f>IF($G3&lt;=0,"0",IF($G3&lt;=2,"22",IF($G3&lt;=3,"19",IF($G3&lt;=4,"15",IF($G3&lt;=5,"9",0)))))+0</f>
        <v>0</v>
      </c>
      <c r="BH3" s="215">
        <f>IF($G3&lt;=0,"0",IF($G3&lt;=1,"6",0))+0</f>
        <v>0</v>
      </c>
      <c r="BI3" s="214">
        <f>IF($H3&lt;=0,"0",IF($H3&lt;=6,"19",IF($H3&lt;=7,"18",IF($H3&lt;=8,"9",0))))+0</f>
        <v>19</v>
      </c>
      <c r="BJ3" s="215">
        <f>IF($H3&lt;=0,"0",IF($H3&lt;=2,"22",IF($H3&lt;=3,"19",IF($H3&lt;=4,"15",IF($H3&lt;=5,"9",0)))))+0</f>
        <v>22</v>
      </c>
      <c r="BK3" s="215">
        <f>IF($H3&lt;=0,"0",IF($H3&lt;=1,"6",0))+0</f>
        <v>6</v>
      </c>
      <c r="BL3" s="199">
        <f>SUM(Summary2831[[#This Row],[3*
(Tal)]],Summary2831[[#This Row],[3*
(Asc)]])</f>
        <v>19</v>
      </c>
      <c r="BM3" s="208">
        <f>SUM(Summary2831[[#This Row],[2*
(Tal)]],Summary2831[[#This Row],[2*
(Asc)]])</f>
        <v>22</v>
      </c>
      <c r="BN3" s="211">
        <f>SUM(Summary2831[[#This Row],[1*
(Tal)]],Summary2831[[#This Row],[1*
(Asc)]])</f>
        <v>6</v>
      </c>
      <c r="BO3" s="216" t="e">
        <f>(IF($E3&lt;=0,"0",IF($E3&lt;=1,"2092530",IF($E3&lt;=10,"2087525",IF($E3&lt;=20,"2068495",IF($E3&lt;=30,"2005910",IF($E3&lt;=40,"1932830",IF($E3&lt;=50,"1777010",IF($E3&lt;=60,"1546185",IF($E3&lt;=70,"1227000",IF($E3&lt;=80,"804625",IF($E3&lt;=81,"647990",IF($E3&lt;=90,"0",0)))))))))))))+0</f>
        <v>#VALUE!</v>
      </c>
      <c r="BP3" s="217">
        <f>(IF($F3&lt;=0,"0",IF($F3&lt;=1,"952500",IF($F3&lt;=2,"940000",IF($F3&lt;=3,"922500",IF($F3&lt;=4,"897500",IF($F3&lt;=5,"867500",IF($F3&lt;=6,"830000",IF($F3&lt;=7,"710000",IF($F3&lt;=8,"450000",0))))))))))+0</f>
        <v>940000</v>
      </c>
      <c r="BQ3" s="217">
        <f>(IF($G3&lt;=0,"0",IF($G3&lt;=1,"952500",IF($G3&lt;=2,"940000",IF($G3&lt;=3,"922500",IF($G3&lt;=4,"897500",IF($G3&lt;=5,"867500",IF($G3&lt;=6,"830000",IF($G3&lt;=7,"710000",IF($G3&lt;=8,"450000",0))))))))))+0</f>
        <v>0</v>
      </c>
      <c r="BR3" s="217">
        <f>(IF($H3&lt;=0,"0",IF($H3&lt;=1,"952500",IF($H3&lt;=2,"940000",IF($H3&lt;=3,"922500",IF($H3&lt;=4,"897500",IF($H3&lt;=5,"867500",IF($H3&lt;=6,"830000",IF($H3&lt;=7,"710000",IF($H3&lt;=8,"450000",0))))))))))+0</f>
        <v>952500</v>
      </c>
      <c r="BS3" s="218" t="e">
        <f>SUM(BO3,BP3,BQ3,BR3)</f>
        <v>#VALUE!</v>
      </c>
    </row>
    <row r="4" spans="1:71" s="81" customFormat="1" ht="30" customHeight="1">
      <c r="A4" s="192">
        <f ca="1">SUBTOTAL(3,$C$3:Character[[#This Row],[Name]])</f>
        <v>2</v>
      </c>
      <c r="B4" s="192" t="e" vm="570">
        <f>ImgDatabase!D4</f>
        <v>#VALUE!</v>
      </c>
      <c r="C4" s="193" t="s">
        <v>95</v>
      </c>
      <c r="D4" s="194" t="e" vm="19">
        <f>IFERROR(INDEX(CharacterDetailss[Element], MATCH(Character[[#This Row],[Name]], CharacterDetailss[Name], 0)), "")</f>
        <v>#VALUE!</v>
      </c>
      <c r="E4" s="194" t="e" vm="3">
        <f>IFERROR(INDEX(CharacterDetailss[Weapon Type], MATCH(Character[[#This Row],[Name]], CharacterDetailss[Name], 0)), "")</f>
        <v>#VALUE!</v>
      </c>
      <c r="F4" s="195">
        <v>3.4</v>
      </c>
      <c r="G4" s="72">
        <v>0</v>
      </c>
      <c r="H4" s="73">
        <v>0</v>
      </c>
      <c r="I4" s="74">
        <v>0</v>
      </c>
      <c r="J4" s="75">
        <v>0</v>
      </c>
      <c r="K4"/>
      <c r="L4" s="75">
        <v>81</v>
      </c>
      <c r="M4" s="73">
        <v>1</v>
      </c>
      <c r="N4" s="74">
        <v>9</v>
      </c>
      <c r="O4" s="74">
        <v>9</v>
      </c>
      <c r="P4"/>
      <c r="Q4" s="230" t="e" vm="20">
        <f>IFERROR(INDEX(ImgDatabase!$O:$O, MATCH(WorldBoss[[#This Row],[Boss Name]], ImgDatabase!$P:$P, 0)), "")</f>
        <v>#VALUE!</v>
      </c>
      <c r="R4" s="228" t="s">
        <v>284</v>
      </c>
      <c r="S4" s="297" t="e">
        <f>(IF($E4&lt;=0,"0",IF($E4&lt;=40,"46",IF($E4&lt;=50,"44",IF($E4&lt;=60,"40",IF($E4&lt;=70,"32",IF($E4&lt;=80,"20","0")))))))+0</f>
        <v>#VALUE!</v>
      </c>
      <c r="T4"/>
      <c r="U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" s="222" t="s">
        <v>522</v>
      </c>
      <c r="W4" s="223">
        <f>Z4+AC4+AF4</f>
        <v>22</v>
      </c>
      <c r="X4" s="223">
        <f>AA4+AD4+AG4</f>
        <v>15</v>
      </c>
      <c r="Y4" s="221">
        <f>AB4+AE4+AH4</f>
        <v>0</v>
      </c>
      <c r="Z4" s="224">
        <f>(IF($F4&lt;=0,"0",IF($F4&lt;=6,"22",IF($F4&lt;=7,"18",IF($F4&lt;=8,"12",0)))))+0</f>
        <v>22</v>
      </c>
      <c r="AA4" s="225">
        <f>(IF($F4&lt;=0,"0",IF($F4&lt;=2,"21",IF($F4&lt;=3,"19",IF($F4&lt;=4,"15",IF($F4&lt;=5,"9",0))))))+0</f>
        <v>15</v>
      </c>
      <c r="AB4" s="225">
        <f>(IF($F4&lt;=0,"0",IF($F4&lt;=1,"3",0)))+0</f>
        <v>0</v>
      </c>
      <c r="AC4" s="225">
        <f>(IF($G4&lt;=0,"0",IF($G4&lt;=6,"22",IF($G4&lt;=7,"18",IF($G4&lt;=8,"12",0)))))+0</f>
        <v>0</v>
      </c>
      <c r="AD4" s="225">
        <f>(IF($G4&lt;=0,"0",IF($G4&lt;=2,"21",IF($G4&lt;=3,"19",IF($G4&lt;=4,"15",IF($G4&lt;=5,"9",0))))))+0</f>
        <v>0</v>
      </c>
      <c r="AE4" s="225">
        <f>(IF($G4&lt;=0,"0",IF($G4&lt;=1,"3",0)))+0</f>
        <v>0</v>
      </c>
      <c r="AF4" s="225">
        <f>(IF($H4&lt;=0,"0",IF($H4&lt;=6,"22",IF($H4&lt;=7,"18",IF($H4&lt;=8,"12",0)))))+0</f>
        <v>0</v>
      </c>
      <c r="AG4" s="225">
        <f>(IF($H4&lt;=0,"0",IF($H4&lt;=2,"21",IF($H4&lt;=3,"19",IF($H4&lt;=4,"15",IF($H4&lt;=5,"9",0))))))+0</f>
        <v>0</v>
      </c>
      <c r="AH4" s="226">
        <f>(IF($H4&lt;=0,"0",IF($H4&lt;=1,"3",0)))+0</f>
        <v>0</v>
      </c>
      <c r="AI4" s="227" t="s">
        <v>523</v>
      </c>
      <c r="AJ4" s="228" t="s">
        <v>524</v>
      </c>
      <c r="AK4" s="229">
        <f>(IF($F4&lt;=0,"0",IF($F4&lt;=6,"4",IF($F4&lt;=7,"3",IF($F4&lt;=8,"2","0")))))+0</f>
        <v>4</v>
      </c>
      <c r="AL4" s="229">
        <f>(IF($G4&lt;=0,"0",IF($G4&lt;=6,"4",IF($G4&lt;=7,"3",IF($G4&lt;=8,"2","0")))))+0</f>
        <v>0</v>
      </c>
      <c r="AM4" s="229">
        <f>(IF($H4&lt;=0,"0",IF($H4&lt;=6,"4",IF($H4&lt;=7,"3",IF($H4&lt;=8,"2","0")))))+0</f>
        <v>0</v>
      </c>
      <c r="AN4" s="220">
        <f>SUM(AK4:AM4)</f>
        <v>4</v>
      </c>
      <c r="AO4" s="228" t="s">
        <v>525</v>
      </c>
      <c r="AP4" s="230" t="e">
        <f>(IF($E4&lt;=0,"0",IF($E4&lt;=20,"168",IF($E4&lt;=30,"165",IF($E4&lt;=50,"155",IF($E4&lt;=60,"135",IF($E4&lt;=70,"105",IF($E4&lt;=80,"60","0"))))))))+0</f>
        <v>#VALUE!</v>
      </c>
      <c r="AQ4" s="219" t="s">
        <v>526</v>
      </c>
      <c r="AR4" s="228" t="e">
        <f>(IF($E4&lt;=0,"0",IF($E4&lt;=80,"6","0")))+0</f>
        <v>#VALUE!</v>
      </c>
      <c r="AS4" s="228" t="e">
        <f>(IF($E4&lt;=0,"0",IF($E4&lt;=60,"9",IF($E4&lt;=70,"6","0"))))+0</f>
        <v>#VALUE!</v>
      </c>
      <c r="AT4" s="228" t="e">
        <f>(IF($E4&lt;=0,"0",IF($E4&lt;=40,"9",IF($E4&lt;=50,"6","0"))))+0</f>
        <v>#VALUE!</v>
      </c>
      <c r="AU4" s="231" t="e">
        <f>(IF($E4&lt;=0,"0",IF($E4&lt;=20,"1","0")))+0</f>
        <v>#VALUE!</v>
      </c>
      <c r="AV4" s="219" t="s">
        <v>46</v>
      </c>
      <c r="AW4" s="228" t="e">
        <f>(IF($E4&lt;=0,"0",IF($E4&lt;=70,"36",IF($E4&lt;=80,"24","0"))))+0</f>
        <v>#VALUE!</v>
      </c>
      <c r="AX4" s="228" t="e">
        <f>(IF($E4&lt;=0,"0",IF($E4&lt;=50,"30",IF($E4&lt;=60,"18","0"))))+0</f>
        <v>#VALUE!</v>
      </c>
      <c r="AY4" s="228" t="e">
        <f>(IF($E4&lt;=0,"0",IF($E4&lt;=20,"18",IF($E4&lt;=40,"15","0"))))+0</f>
        <v>#VALUE!</v>
      </c>
      <c r="AZ4" s="232">
        <f>Summary2831[[#This Row],[3*2]]+Summary2831[[#This Row],[3*22]]+Summary2831[[#This Row],[3*23]]</f>
        <v>0</v>
      </c>
      <c r="BA4" s="233">
        <f>Summary2831[[#This Row],[2*2]]+Summary2831[[#This Row],[2*23]]+Summary2831[[#This Row],[2*24]]</f>
        <v>0</v>
      </c>
      <c r="BB4" s="233">
        <f>Summary2831[[#This Row],[1*2]]+Summary2831[[#This Row],[1*24]]+Summary2831[[#This Row],[1*25]]</f>
        <v>0</v>
      </c>
      <c r="BC4" s="234">
        <f>IF($F4&lt;=0,"0",IF($F4&lt;=6,"19",IF($F4&lt;=7,"18",IF($F4&lt;=8,"9",0))))+0</f>
        <v>19</v>
      </c>
      <c r="BD4" s="234">
        <f>IF($F4&lt;=0,"0",IF($F4&lt;=2,"22",IF($F4&lt;=3,"19",IF($F4&lt;=4,"15",IF($F4&lt;=5,"9",0)))))+0</f>
        <v>15</v>
      </c>
      <c r="BE4" s="234">
        <f>IF($F4&lt;=0,"0",IF($F4&lt;=1,"6",0))+0</f>
        <v>0</v>
      </c>
      <c r="BF4" s="234">
        <f>IF($G4&lt;=0,"0",IF($G4&lt;=6,"19",IF($G4&lt;=7,"18",IF($G4&lt;=8,"9",0))))+0</f>
        <v>0</v>
      </c>
      <c r="BG4" s="234">
        <f>IF($G4&lt;=0,"0",IF($G4&lt;=2,"22",IF($G4&lt;=3,"19",IF($G4&lt;=4,"15",IF($G4&lt;=5,"9",0)))))+0</f>
        <v>0</v>
      </c>
      <c r="BH4" s="234">
        <f>IF($G4&lt;=0,"0",IF($G4&lt;=1,"6",0))+0</f>
        <v>0</v>
      </c>
      <c r="BI4" s="234">
        <f>IF($H4&lt;=0,"0",IF($H4&lt;=6,"19",IF($H4&lt;=7,"18",IF($H4&lt;=8,"9",0))))+0</f>
        <v>0</v>
      </c>
      <c r="BJ4" s="234">
        <f>IF($H4&lt;=0,"0",IF($H4&lt;=2,"22",IF($H4&lt;=3,"19",IF($H4&lt;=4,"15",IF($H4&lt;=5,"9",0)))))+0</f>
        <v>0</v>
      </c>
      <c r="BK4" s="234">
        <f>IF($H4&lt;=0,"0",IF($H4&lt;=1,"6",0))+0</f>
        <v>0</v>
      </c>
      <c r="BL4" s="219">
        <f>SUM(Summary2831[[#This Row],[3*
(Tal)]],Summary2831[[#This Row],[3*
(Asc)]])</f>
        <v>0</v>
      </c>
      <c r="BM4" s="228">
        <f>SUM(Summary2831[[#This Row],[2*
(Tal)]],Summary2831[[#This Row],[2*
(Asc)]])</f>
        <v>0</v>
      </c>
      <c r="BN4" s="231">
        <f>SUM(Summary2831[[#This Row],[1*
(Tal)]],Summary2831[[#This Row],[1*
(Asc)]])</f>
        <v>0</v>
      </c>
      <c r="BO4" s="235" t="e">
        <f>(IF($E4&lt;=0,"0",IF($E4&lt;=1,"2092530",IF($E4&lt;=10,"2087525",IF($E4&lt;=20,"2068495",IF($E4&lt;=30,"2005910",IF($E4&lt;=40,"1932830",IF($E4&lt;=50,"1777010",IF($E4&lt;=60,"1546185",IF($E4&lt;=70,"1227000",IF($E4&lt;=80,"804625",IF($E4&lt;=81,"647990",IF($E4&lt;=90,"0",0)))))))))))))+0</f>
        <v>#VALUE!</v>
      </c>
      <c r="BP4" s="236">
        <f>(IF($F4&lt;=0,"0",IF($F4&lt;=1,"952500",IF($F4&lt;=2,"940000",IF($F4&lt;=3,"922500",IF($F4&lt;=4,"897500",IF($F4&lt;=5,"867500",IF($F4&lt;=6,"830000",IF($F4&lt;=7,"710000",IF($F4&lt;=8,"450000",0))))))))))+0</f>
        <v>897500</v>
      </c>
      <c r="BQ4" s="236">
        <f>(IF($G4&lt;=0,"0",IF($G4&lt;=1,"952500",IF($G4&lt;=2,"940000",IF($G4&lt;=3,"922500",IF($G4&lt;=4,"897500",IF($G4&lt;=5,"867500",IF($G4&lt;=6,"830000",IF($G4&lt;=7,"710000",IF($G4&lt;=8,"450000",0))))))))))+0</f>
        <v>0</v>
      </c>
      <c r="BR4" s="236">
        <f>(IF($H4&lt;=0,"0",IF($H4&lt;=1,"952500",IF($H4&lt;=2,"940000",IF($H4&lt;=3,"922500",IF($H4&lt;=4,"897500",IF($H4&lt;=5,"867500",IF($H4&lt;=6,"830000",IF($H4&lt;=7,"710000",IF($H4&lt;=8,"450000",0))))))))))+0</f>
        <v>0</v>
      </c>
      <c r="BS4" s="237" t="e">
        <f>SUM(BO4,BP4,BQ4,BR4)</f>
        <v>#VALUE!</v>
      </c>
    </row>
    <row r="5" spans="1:71" s="81" customFormat="1" ht="30" customHeight="1">
      <c r="A5" s="196">
        <f ca="1">SUBTOTAL(3,$C$3:Character[[#This Row],[Name]])</f>
        <v>3</v>
      </c>
      <c r="B5" s="192" t="e" vm="571">
        <f>ImgDatabase!D5</f>
        <v>#VALUE!</v>
      </c>
      <c r="C5" s="197" t="s">
        <v>324</v>
      </c>
      <c r="D5" s="194" t="e" vm="84">
        <f>IFERROR(INDEX(CharacterDetailss[Element], MATCH(Character[[#This Row],[Name]], CharacterDetailss[Name], 0)), "")</f>
        <v>#VALUE!</v>
      </c>
      <c r="E5" s="194" t="e" vm="216">
        <f>IFERROR(INDEX(CharacterDetailss[Weapon Type], MATCH(Character[[#This Row],[Name]], CharacterDetailss[Name], 0)), "")</f>
        <v>#VALUE!</v>
      </c>
      <c r="F5" s="195">
        <v>2.1</v>
      </c>
      <c r="G5" s="14">
        <v>21</v>
      </c>
      <c r="H5" s="9">
        <v>1</v>
      </c>
      <c r="I5" s="2">
        <v>1</v>
      </c>
      <c r="J5" s="10">
        <v>1</v>
      </c>
      <c r="K5"/>
      <c r="L5" s="75">
        <v>81</v>
      </c>
      <c r="M5" s="73">
        <v>1</v>
      </c>
      <c r="N5" s="74">
        <v>9</v>
      </c>
      <c r="O5" s="74">
        <v>9</v>
      </c>
      <c r="P5"/>
      <c r="Q5" s="245" t="e" vm="395">
        <f>IFERROR(INDEX(ImgDatabase!$O:$O, MATCH(WorldBoss[[#This Row],[Boss Name]], ImgDatabase!$P:$P, 0)), "")</f>
        <v>#VALUE!</v>
      </c>
      <c r="R5" s="244" t="s">
        <v>156</v>
      </c>
      <c r="S5" s="300" t="e">
        <f>(IF($E5&lt;=0,"0",IF($E5&lt;=40,"46",IF($E5&lt;=50,"44",IF($E5&lt;=60,"40",IF($E5&lt;=70,"32",IF($E5&lt;=80,"20","0")))))))+0</f>
        <v>#VALUE!</v>
      </c>
      <c r="T5"/>
      <c r="U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5" s="240" t="s">
        <v>527</v>
      </c>
      <c r="W5" s="241">
        <f>Z5+AC5+AF5</f>
        <v>44</v>
      </c>
      <c r="X5" s="241">
        <f>AA5+AD5+AG5</f>
        <v>40</v>
      </c>
      <c r="Y5" s="242">
        <f>AB5+AE5+AH5</f>
        <v>3</v>
      </c>
      <c r="Z5" s="204">
        <f>(IF($F5&lt;=0,"0",IF($F5&lt;=6,"22",IF($F5&lt;=7,"18",IF($F5&lt;=8,"12",0)))))+0</f>
        <v>22</v>
      </c>
      <c r="AA5" s="205">
        <f>(IF($F5&lt;=0,"0",IF($F5&lt;=2,"21",IF($F5&lt;=3,"19",IF($F5&lt;=4,"15",IF($F5&lt;=5,"9",0))))))+0</f>
        <v>19</v>
      </c>
      <c r="AB5" s="205">
        <f>(IF($F5&lt;=0,"0",IF($F5&lt;=1,"3",0)))+0</f>
        <v>0</v>
      </c>
      <c r="AC5" s="205">
        <f>(IF($G5&lt;=0,"0",IF($G5&lt;=6,"22",IF($G5&lt;=7,"18",IF($G5&lt;=8,"12",0)))))+0</f>
        <v>0</v>
      </c>
      <c r="AD5" s="205">
        <f>(IF($G5&lt;=0,"0",IF($G5&lt;=2,"21",IF($G5&lt;=3,"19",IF($G5&lt;=4,"15",IF($G5&lt;=5,"9",0))))))+0</f>
        <v>0</v>
      </c>
      <c r="AE5" s="205">
        <f>(IF($G5&lt;=0,"0",IF($G5&lt;=1,"3",0)))+0</f>
        <v>0</v>
      </c>
      <c r="AF5" s="205">
        <f>(IF($H5&lt;=0,"0",IF($H5&lt;=6,"22",IF($H5&lt;=7,"18",IF($H5&lt;=8,"12",0)))))+0</f>
        <v>22</v>
      </c>
      <c r="AG5" s="205">
        <f>(IF($H5&lt;=0,"0",IF($H5&lt;=2,"21",IF($H5&lt;=3,"19",IF($H5&lt;=4,"15",IF($H5&lt;=5,"9",0))))))+0</f>
        <v>21</v>
      </c>
      <c r="AH5" s="206">
        <f>(IF($H5&lt;=0,"0",IF($H5&lt;=1,"3",0)))+0</f>
        <v>3</v>
      </c>
      <c r="AI5" s="243" t="s">
        <v>205</v>
      </c>
      <c r="AJ5" s="244" t="s">
        <v>528</v>
      </c>
      <c r="AK5" s="209">
        <f>(IF($F5&lt;=0,"0",IF($F5&lt;=6,"4",IF($F5&lt;=7,"3",IF($F5&lt;=8,"2","0")))))+0</f>
        <v>4</v>
      </c>
      <c r="AL5" s="209">
        <f>(IF($G5&lt;=0,"0",IF($G5&lt;=6,"4",IF($G5&lt;=7,"3",IF($G5&lt;=8,"2","0")))))+0</f>
        <v>0</v>
      </c>
      <c r="AM5" s="209">
        <f>(IF($H5&lt;=0,"0",IF($H5&lt;=6,"4",IF($H5&lt;=7,"3",IF($H5&lt;=8,"2","0")))))+0</f>
        <v>4</v>
      </c>
      <c r="AN5" s="239">
        <f>SUM(AK5:AM5)</f>
        <v>8</v>
      </c>
      <c r="AO5" s="244" t="s">
        <v>529</v>
      </c>
      <c r="AP5" s="245" t="e">
        <f>(IF($E5&lt;=0,"0",IF($E5&lt;=20,"168",IF($E5&lt;=30,"165",IF($E5&lt;=50,"155",IF($E5&lt;=60,"135",IF($E5&lt;=70,"105",IF($E5&lt;=80,"60","0"))))))))+0</f>
        <v>#VALUE!</v>
      </c>
      <c r="AQ5" s="238" t="s">
        <v>530</v>
      </c>
      <c r="AR5" s="244" t="e">
        <f>(IF($E5&lt;=0,"0",IF($E5&lt;=80,"6","0")))+0</f>
        <v>#VALUE!</v>
      </c>
      <c r="AS5" s="244" t="e">
        <f>(IF($E5&lt;=0,"0",IF($E5&lt;=60,"9",IF($E5&lt;=70,"6","0"))))+0</f>
        <v>#VALUE!</v>
      </c>
      <c r="AT5" s="244" t="e">
        <f>(IF($E5&lt;=0,"0",IF($E5&lt;=40,"9",IF($E5&lt;=50,"6","0"))))+0</f>
        <v>#VALUE!</v>
      </c>
      <c r="AU5" s="246" t="e">
        <f>(IF($E5&lt;=0,"0",IF($E5&lt;=20,"1","0")))+0</f>
        <v>#VALUE!</v>
      </c>
      <c r="AV5" s="238" t="s">
        <v>311</v>
      </c>
      <c r="AW5" s="244" t="e">
        <f>(IF($E5&lt;=0,"0",IF($E5&lt;=70,"36",IF($E5&lt;=80,"24","0"))))+0</f>
        <v>#VALUE!</v>
      </c>
      <c r="AX5" s="244" t="e">
        <f>(IF($E5&lt;=0,"0",IF($E5&lt;=50,"30",IF($E5&lt;=60,"18","0"))))+0</f>
        <v>#VALUE!</v>
      </c>
      <c r="AY5" s="244" t="e">
        <f>(IF($E5&lt;=0,"0",IF($E5&lt;=20,"18",IF($E5&lt;=40,"15","0"))))+0</f>
        <v>#VALUE!</v>
      </c>
      <c r="AZ5" s="247">
        <f>Summary2831[[#This Row],[3*2]]+Summary2831[[#This Row],[3*22]]+Summary2831[[#This Row],[3*23]]</f>
        <v>57</v>
      </c>
      <c r="BA5" s="248">
        <f>Summary2831[[#This Row],[2*2]]+Summary2831[[#This Row],[2*23]]+Summary2831[[#This Row],[2*24]]</f>
        <v>66</v>
      </c>
      <c r="BB5" s="248">
        <f>Summary2831[[#This Row],[1*2]]+Summary2831[[#This Row],[1*24]]+Summary2831[[#This Row],[1*25]]</f>
        <v>18</v>
      </c>
      <c r="BC5" s="248">
        <f>IF($F5&lt;=0,"0",IF($F5&lt;=6,"19",IF($F5&lt;=7,"18",IF($F5&lt;=8,"9",0))))+0</f>
        <v>19</v>
      </c>
      <c r="BD5" s="248">
        <f>IF($F5&lt;=0,"0",IF($F5&lt;=2,"22",IF($F5&lt;=3,"19",IF($F5&lt;=4,"15",IF($F5&lt;=5,"9",0)))))+0</f>
        <v>19</v>
      </c>
      <c r="BE5" s="248">
        <f>IF($F5&lt;=0,"0",IF($F5&lt;=1,"6",0))+0</f>
        <v>0</v>
      </c>
      <c r="BF5" s="248">
        <f>IF($G5&lt;=0,"0",IF($G5&lt;=6,"19",IF($G5&lt;=7,"18",IF($G5&lt;=8,"9",0))))+0</f>
        <v>0</v>
      </c>
      <c r="BG5" s="248">
        <f>IF($G5&lt;=0,"0",IF($G5&lt;=2,"22",IF($G5&lt;=3,"19",IF($G5&lt;=4,"15",IF($G5&lt;=5,"9",0)))))+0</f>
        <v>0</v>
      </c>
      <c r="BH5" s="248">
        <f>IF($G5&lt;=0,"0",IF($G5&lt;=1,"6",0))+0</f>
        <v>0</v>
      </c>
      <c r="BI5" s="248">
        <f>IF($H5&lt;=0,"0",IF($H5&lt;=6,"19",IF($H5&lt;=7,"18",IF($H5&lt;=8,"9",0))))+0</f>
        <v>19</v>
      </c>
      <c r="BJ5" s="248">
        <f>IF($H5&lt;=0,"0",IF($H5&lt;=2,"22",IF($H5&lt;=3,"19",IF($H5&lt;=4,"15",IF($H5&lt;=5,"9",0)))))+0</f>
        <v>22</v>
      </c>
      <c r="BK5" s="248">
        <f>IF($H5&lt;=0,"0",IF($H5&lt;=1,"6",0))+0</f>
        <v>6</v>
      </c>
      <c r="BL5" s="238">
        <f>SUM(Summary2831[[#This Row],[3*
(Tal)]],Summary2831[[#This Row],[3*
(Asc)]])</f>
        <v>93</v>
      </c>
      <c r="BM5" s="244">
        <f>SUM(Summary2831[[#This Row],[2*
(Tal)]],Summary2831[[#This Row],[2*
(Asc)]])</f>
        <v>96</v>
      </c>
      <c r="BN5" s="246">
        <f>SUM(Summary2831[[#This Row],[1*
(Tal)]],Summary2831[[#This Row],[1*
(Asc)]])</f>
        <v>33</v>
      </c>
      <c r="BO5" s="216" t="e">
        <f>(IF($E5&lt;=0,"0",IF($E5&lt;=1,"2092530",IF($E5&lt;=10,"2087525",IF($E5&lt;=20,"2068495",IF($E5&lt;=30,"2005910",IF($E5&lt;=40,"1932830",IF($E5&lt;=50,"1777010",IF($E5&lt;=60,"1546185",IF($E5&lt;=70,"1227000",IF($E5&lt;=80,"804625",IF($E5&lt;=81,"647990",IF($E5&lt;=90,"0",0)))))))))))))+0</f>
        <v>#VALUE!</v>
      </c>
      <c r="BP5" s="249">
        <f>(IF($F5&lt;=0,"0",IF($F5&lt;=1,"952500",IF($F5&lt;=2,"940000",IF($F5&lt;=3,"922500",IF($F5&lt;=4,"897500",IF($F5&lt;=5,"867500",IF($F5&lt;=6,"830000",IF($F5&lt;=7,"710000",IF($F5&lt;=8,"450000",0))))))))))+0</f>
        <v>922500</v>
      </c>
      <c r="BQ5" s="249">
        <f>(IF($G5&lt;=0,"0",IF($G5&lt;=1,"952500",IF($G5&lt;=2,"940000",IF($G5&lt;=3,"922500",IF($G5&lt;=4,"897500",IF($G5&lt;=5,"867500",IF($G5&lt;=6,"830000",IF($G5&lt;=7,"710000",IF($G5&lt;=8,"450000",0))))))))))+0</f>
        <v>0</v>
      </c>
      <c r="BR5" s="249">
        <f>(IF($H5&lt;=0,"0",IF($H5&lt;=1,"952500",IF($H5&lt;=2,"940000",IF($H5&lt;=3,"922500",IF($H5&lt;=4,"897500",IF($H5&lt;=5,"867500",IF($H5&lt;=6,"830000",IF($H5&lt;=7,"710000",IF($H5&lt;=8,"450000",0))))))))))+0</f>
        <v>952500</v>
      </c>
      <c r="BS5" s="250" t="e">
        <f>SUM(BO5,BP5,BQ5,BR5)</f>
        <v>#VALUE!</v>
      </c>
    </row>
    <row r="6" spans="1:71" s="81" customFormat="1" ht="30" customHeight="1">
      <c r="A6" s="196">
        <f ca="1">SUBTOTAL(3,$C$3:Character[[#This Row],[Name]])</f>
        <v>4</v>
      </c>
      <c r="B6" s="192" t="e" vm="572">
        <f>ImgDatabase!D6</f>
        <v>#VALUE!</v>
      </c>
      <c r="C6" s="197" t="s">
        <v>332</v>
      </c>
      <c r="D6" s="194" t="e" vm="31">
        <f>IFERROR(INDEX(CharacterDetailss[Element], MATCH(Character[[#This Row],[Name]], CharacterDetailss[Name], 0)), "")</f>
        <v>#VALUE!</v>
      </c>
      <c r="E6" s="194" t="e" vm="216">
        <f>IFERROR(INDEX(CharacterDetailss[Weapon Type], MATCH(Character[[#This Row],[Name]], CharacterDetailss[Name], 0)), "")</f>
        <v>#VALUE!</v>
      </c>
      <c r="F6" s="198">
        <v>1</v>
      </c>
      <c r="G6" s="14">
        <v>60</v>
      </c>
      <c r="H6" s="9">
        <v>1</v>
      </c>
      <c r="I6" s="2">
        <v>1</v>
      </c>
      <c r="J6" s="10">
        <v>1</v>
      </c>
      <c r="K6"/>
      <c r="L6" s="75">
        <v>81</v>
      </c>
      <c r="M6" s="73">
        <v>1</v>
      </c>
      <c r="N6" s="74">
        <v>9</v>
      </c>
      <c r="O6" s="74">
        <v>9</v>
      </c>
      <c r="P6"/>
      <c r="Q6" s="258" t="e" vm="381">
        <f>IFERROR(INDEX(ImgDatabase!$O:$O, MATCH(WorldBoss[[#This Row],[Boss Name]], ImgDatabase!$P:$P, 0)), "")</f>
        <v>#VALUE!</v>
      </c>
      <c r="R6" s="257" t="s">
        <v>136</v>
      </c>
      <c r="S6" s="301" t="e">
        <f>(IF($E6&lt;=0,"0",IF($E6&lt;=40,"46",IF($E6&lt;=50,"44",IF($E6&lt;=60,"40",IF($E6&lt;=70,"32",IF($E6&lt;=80,"20","0")))))))+0</f>
        <v>#VALUE!</v>
      </c>
      <c r="T6"/>
      <c r="U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V6" s="253" t="s">
        <v>527</v>
      </c>
      <c r="W6" s="254">
        <f>Z6+AC6+AF6</f>
        <v>44</v>
      </c>
      <c r="X6" s="254">
        <f>AA6+AD6+AG6</f>
        <v>42</v>
      </c>
      <c r="Y6" s="255">
        <f>AB6+AE6+AH6</f>
        <v>6</v>
      </c>
      <c r="Z6" s="224">
        <f>(IF($F6&lt;=0,"0",IF($F6&lt;=6,"22",IF($F6&lt;=7,"18",IF($F6&lt;=8,"12",0)))))+0</f>
        <v>22</v>
      </c>
      <c r="AA6" s="225">
        <f>(IF($F6&lt;=0,"0",IF($F6&lt;=2,"21",IF($F6&lt;=3,"19",IF($F6&lt;=4,"15",IF($F6&lt;=5,"9",0))))))+0</f>
        <v>21</v>
      </c>
      <c r="AB6" s="225">
        <f>(IF($F6&lt;=0,"0",IF($F6&lt;=1,"3",0)))+0</f>
        <v>3</v>
      </c>
      <c r="AC6" s="225">
        <f>(IF($G6&lt;=0,"0",IF($G6&lt;=6,"22",IF($G6&lt;=7,"18",IF($G6&lt;=8,"12",0)))))+0</f>
        <v>0</v>
      </c>
      <c r="AD6" s="225">
        <f>(IF($G6&lt;=0,"0",IF($G6&lt;=2,"21",IF($G6&lt;=3,"19",IF($G6&lt;=4,"15",IF($G6&lt;=5,"9",0))))))+0</f>
        <v>0</v>
      </c>
      <c r="AE6" s="225">
        <f>(IF($G6&lt;=0,"0",IF($G6&lt;=1,"3",0)))+0</f>
        <v>0</v>
      </c>
      <c r="AF6" s="225">
        <f>(IF($H6&lt;=0,"0",IF($H6&lt;=6,"22",IF($H6&lt;=7,"18",IF($H6&lt;=8,"12",0)))))+0</f>
        <v>22</v>
      </c>
      <c r="AG6" s="225">
        <f>(IF($H6&lt;=0,"0",IF($H6&lt;=2,"21",IF($H6&lt;=3,"19",IF($H6&lt;=4,"15",IF($H6&lt;=5,"9",0))))))+0</f>
        <v>21</v>
      </c>
      <c r="AH6" s="226">
        <f>(IF($H6&lt;=0,"0",IF($H6&lt;=1,"3",0)))+0</f>
        <v>3</v>
      </c>
      <c r="AI6" s="256" t="s">
        <v>531</v>
      </c>
      <c r="AJ6" s="257" t="s">
        <v>532</v>
      </c>
      <c r="AK6" s="229">
        <f>(IF($F6&lt;=0,"0",IF($F6&lt;=6,"4",IF($F6&lt;=7,"3",IF($F6&lt;=8,"2","0")))))+0</f>
        <v>4</v>
      </c>
      <c r="AL6" s="229">
        <f>(IF($G6&lt;=0,"0",IF($G6&lt;=6,"4",IF($G6&lt;=7,"3",IF($G6&lt;=8,"2","0")))))+0</f>
        <v>0</v>
      </c>
      <c r="AM6" s="229">
        <f>(IF($H6&lt;=0,"0",IF($H6&lt;=6,"4",IF($H6&lt;=7,"3",IF($H6&lt;=8,"2","0")))))+0</f>
        <v>4</v>
      </c>
      <c r="AN6" s="252">
        <f>SUM(AK6:AM6)</f>
        <v>8</v>
      </c>
      <c r="AO6" s="257" t="s">
        <v>533</v>
      </c>
      <c r="AP6" s="258" t="e">
        <f>(IF($E6&lt;=0,"0",IF($E6&lt;=20,"168",IF($E6&lt;=30,"165",IF($E6&lt;=50,"155",IF($E6&lt;=60,"135",IF($E6&lt;=70,"105",IF($E6&lt;=80,"60","0"))))))))+0</f>
        <v>#VALUE!</v>
      </c>
      <c r="AQ6" s="251" t="s">
        <v>534</v>
      </c>
      <c r="AR6" s="257" t="e">
        <f>(IF($E6&lt;=0,"0",IF($E6&lt;=80,"6","0")))+0</f>
        <v>#VALUE!</v>
      </c>
      <c r="AS6" s="257" t="e">
        <f>(IF($E6&lt;=0,"0",IF($E6&lt;=60,"9",IF($E6&lt;=70,"6","0"))))+0</f>
        <v>#VALUE!</v>
      </c>
      <c r="AT6" s="257" t="e">
        <f>(IF($E6&lt;=0,"0",IF($E6&lt;=40,"9",IF($E6&lt;=50,"6","0"))))+0</f>
        <v>#VALUE!</v>
      </c>
      <c r="AU6" s="259" t="e">
        <f>(IF($E6&lt;=0,"0",IF($E6&lt;=20,"1","0")))+0</f>
        <v>#VALUE!</v>
      </c>
      <c r="AV6" s="251" t="s">
        <v>120</v>
      </c>
      <c r="AW6" s="257" t="e">
        <f>(IF($E6&lt;=0,"0",IF($E6&lt;=70,"36",IF($E6&lt;=80,"24","0"))))+0</f>
        <v>#VALUE!</v>
      </c>
      <c r="AX6" s="257" t="e">
        <f>(IF($E6&lt;=0,"0",IF($E6&lt;=50,"30",IF($E6&lt;=60,"18","0"))))+0</f>
        <v>#VALUE!</v>
      </c>
      <c r="AY6" s="257" t="e">
        <f>(IF($E6&lt;=0,"0",IF($E6&lt;=20,"18",IF($E6&lt;=40,"15","0"))))+0</f>
        <v>#VALUE!</v>
      </c>
      <c r="AZ6" s="260">
        <f>Summary2831[[#This Row],[3*2]]+Summary2831[[#This Row],[3*22]]+Summary2831[[#This Row],[3*23]]</f>
        <v>57</v>
      </c>
      <c r="BA6" s="261">
        <f>Summary2831[[#This Row],[2*2]]+Summary2831[[#This Row],[2*23]]+Summary2831[[#This Row],[2*24]]</f>
        <v>66</v>
      </c>
      <c r="BB6" s="261">
        <f>Summary2831[[#This Row],[1*2]]+Summary2831[[#This Row],[1*24]]+Summary2831[[#This Row],[1*25]]</f>
        <v>18</v>
      </c>
      <c r="BC6" s="261">
        <f>IF($F6&lt;=0,"0",IF($F6&lt;=6,"19",IF($F6&lt;=7,"18",IF($F6&lt;=8,"9",0))))+0</f>
        <v>19</v>
      </c>
      <c r="BD6" s="261">
        <f>IF($F6&lt;=0,"0",IF($F6&lt;=2,"22",IF($F6&lt;=3,"19",IF($F6&lt;=4,"15",IF($F6&lt;=5,"9",0)))))+0</f>
        <v>22</v>
      </c>
      <c r="BE6" s="261">
        <f>IF($F6&lt;=0,"0",IF($F6&lt;=1,"6",0))+0</f>
        <v>6</v>
      </c>
      <c r="BF6" s="261">
        <f>IF($G6&lt;=0,"0",IF($G6&lt;=6,"19",IF($G6&lt;=7,"18",IF($G6&lt;=8,"9",0))))+0</f>
        <v>0</v>
      </c>
      <c r="BG6" s="261">
        <f>IF($G6&lt;=0,"0",IF($G6&lt;=2,"22",IF($G6&lt;=3,"19",IF($G6&lt;=4,"15",IF($G6&lt;=5,"9",0)))))+0</f>
        <v>0</v>
      </c>
      <c r="BH6" s="261">
        <f>IF($G6&lt;=0,"0",IF($G6&lt;=1,"6",0))+0</f>
        <v>0</v>
      </c>
      <c r="BI6" s="261">
        <f>IF($H6&lt;=0,"0",IF($H6&lt;=6,"19",IF($H6&lt;=7,"18",IF($H6&lt;=8,"9",0))))+0</f>
        <v>19</v>
      </c>
      <c r="BJ6" s="261">
        <f>IF($H6&lt;=0,"0",IF($H6&lt;=2,"22",IF($H6&lt;=3,"19",IF($H6&lt;=4,"15",IF($H6&lt;=5,"9",0)))))+0</f>
        <v>22</v>
      </c>
      <c r="BK6" s="261">
        <f>IF($H6&lt;=0,"0",IF($H6&lt;=1,"6",0))+0</f>
        <v>6</v>
      </c>
      <c r="BL6" s="251">
        <f>SUM(Summary2831[[#This Row],[3*
(Tal)]],Summary2831[[#This Row],[3*
(Asc)]])</f>
        <v>93</v>
      </c>
      <c r="BM6" s="257">
        <f>SUM(Summary2831[[#This Row],[2*
(Tal)]],Summary2831[[#This Row],[2*
(Asc)]])</f>
        <v>84</v>
      </c>
      <c r="BN6" s="259">
        <f>SUM(Summary2831[[#This Row],[1*
(Tal)]],Summary2831[[#This Row],[1*
(Asc)]])</f>
        <v>18</v>
      </c>
      <c r="BO6" s="235" t="e">
        <f>(IF($E6&lt;=0,"0",IF($E6&lt;=1,"2092530",IF($E6&lt;=10,"2087525",IF($E6&lt;=20,"2068495",IF($E6&lt;=30,"2005910",IF($E6&lt;=40,"1932830",IF($E6&lt;=50,"1777010",IF($E6&lt;=60,"1546185",IF($E6&lt;=70,"1227000",IF($E6&lt;=80,"804625",IF($E6&lt;=81,"647990",IF($E6&lt;=90,"0",0)))))))))))))+0</f>
        <v>#VALUE!</v>
      </c>
      <c r="BP6" s="262">
        <f>(IF($F6&lt;=0,"0",IF($F6&lt;=1,"952500",IF($F6&lt;=2,"940000",IF($F6&lt;=3,"922500",IF($F6&lt;=4,"897500",IF($F6&lt;=5,"867500",IF($F6&lt;=6,"830000",IF($F6&lt;=7,"710000",IF($F6&lt;=8,"450000",0))))))))))+0</f>
        <v>952500</v>
      </c>
      <c r="BQ6" s="262">
        <f>(IF($G6&lt;=0,"0",IF($G6&lt;=1,"952500",IF($G6&lt;=2,"940000",IF($G6&lt;=3,"922500",IF($G6&lt;=4,"897500",IF($G6&lt;=5,"867500",IF($G6&lt;=6,"830000",IF($G6&lt;=7,"710000",IF($G6&lt;=8,"450000",0))))))))))+0</f>
        <v>0</v>
      </c>
      <c r="BR6" s="262">
        <f>(IF($H6&lt;=0,"0",IF($H6&lt;=1,"952500",IF($H6&lt;=2,"940000",IF($H6&lt;=3,"922500",IF($H6&lt;=4,"897500",IF($H6&lt;=5,"867500",IF($H6&lt;=6,"830000",IF($H6&lt;=7,"710000",IF($H6&lt;=8,"450000",0))))))))))+0</f>
        <v>952500</v>
      </c>
      <c r="BS6" s="263" t="e">
        <f>SUM(BO6,BP6,BQ6,BR6)</f>
        <v>#VALUE!</v>
      </c>
    </row>
    <row r="7" spans="1:71" s="81" customFormat="1" ht="30" customHeight="1">
      <c r="A7" s="192">
        <f ca="1">SUBTOTAL(3,$C$3:Character[[#This Row],[Name]])</f>
        <v>5</v>
      </c>
      <c r="B7" s="192" t="e" vm="573">
        <f>ImgDatabase!D7</f>
        <v>#VALUE!</v>
      </c>
      <c r="C7" s="193" t="s">
        <v>405</v>
      </c>
      <c r="D7" s="194" t="e" vm="4">
        <f>IFERROR(INDEX(CharacterDetailss[Element], MATCH(Character[[#This Row],[Name]], CharacterDetailss[Name], 0)), "")</f>
        <v>#VALUE!</v>
      </c>
      <c r="E7" s="194" t="e" vm="292">
        <f>IFERROR(INDEX(CharacterDetailss[Weapon Type], MATCH(Character[[#This Row],[Name]], CharacterDetailss[Name], 0)), "")</f>
        <v>#VALUE!</v>
      </c>
      <c r="F7" s="195">
        <v>2.2999999999999998</v>
      </c>
      <c r="G7" s="72">
        <v>0</v>
      </c>
      <c r="H7" s="73">
        <v>0</v>
      </c>
      <c r="I7" s="74">
        <v>0</v>
      </c>
      <c r="J7" s="75">
        <v>0</v>
      </c>
      <c r="K7"/>
      <c r="L7" s="75">
        <v>81</v>
      </c>
      <c r="M7" s="73">
        <v>1</v>
      </c>
      <c r="N7" s="74">
        <v>9</v>
      </c>
      <c r="O7" s="74">
        <v>9</v>
      </c>
      <c r="P7"/>
      <c r="Q7" s="210" t="e" vm="429">
        <f>IFERROR(INDEX(ImgDatabase!$O:$O, MATCH(WorldBoss[[#This Row],[Boss Name]], ImgDatabase!$P:$P, 0)), "")</f>
        <v>#VALUE!</v>
      </c>
      <c r="R7" s="208" t="s">
        <v>214</v>
      </c>
      <c r="S7" s="298" t="e">
        <f>(IF($E7&lt;=0,"0",IF($E7&lt;=40,"46",IF($E7&lt;=50,"44",IF($E7&lt;=60,"40",IF($E7&lt;=70,"32",IF($E7&lt;=80,"20","0")))))))+0</f>
        <v>#VALUE!</v>
      </c>
      <c r="T7"/>
      <c r="U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" s="202" t="s">
        <v>535</v>
      </c>
      <c r="W7" s="203">
        <f>Z7+AC7+AF7</f>
        <v>22</v>
      </c>
      <c r="X7" s="203">
        <f>AA7+AD7+AG7</f>
        <v>19</v>
      </c>
      <c r="Y7" s="201">
        <f>AB7+AE7+AH7</f>
        <v>0</v>
      </c>
      <c r="Z7" s="204">
        <f>(IF($F7&lt;=0,"0",IF($F7&lt;=6,"22",IF($F7&lt;=7,"18",IF($F7&lt;=8,"12",0)))))+0</f>
        <v>22</v>
      </c>
      <c r="AA7" s="205">
        <f>(IF($F7&lt;=0,"0",IF($F7&lt;=2,"21",IF($F7&lt;=3,"19",IF($F7&lt;=4,"15",IF($F7&lt;=5,"9",0))))))+0</f>
        <v>19</v>
      </c>
      <c r="AB7" s="205">
        <f>(IF($F7&lt;=0,"0",IF($F7&lt;=1,"3",0)))+0</f>
        <v>0</v>
      </c>
      <c r="AC7" s="205">
        <f>(IF($G7&lt;=0,"0",IF($G7&lt;=6,"22",IF($G7&lt;=7,"18",IF($G7&lt;=8,"12",0)))))+0</f>
        <v>0</v>
      </c>
      <c r="AD7" s="205">
        <f>(IF($G7&lt;=0,"0",IF($G7&lt;=2,"21",IF($G7&lt;=3,"19",IF($G7&lt;=4,"15",IF($G7&lt;=5,"9",0))))))+0</f>
        <v>0</v>
      </c>
      <c r="AE7" s="205">
        <f>(IF($G7&lt;=0,"0",IF($G7&lt;=1,"3",0)))+0</f>
        <v>0</v>
      </c>
      <c r="AF7" s="205">
        <f>(IF($H7&lt;=0,"0",IF($H7&lt;=6,"22",IF($H7&lt;=7,"18",IF($H7&lt;=8,"12",0)))))+0</f>
        <v>0</v>
      </c>
      <c r="AG7" s="205">
        <f>(IF($H7&lt;=0,"0",IF($H7&lt;=2,"21",IF($H7&lt;=3,"19",IF($H7&lt;=4,"15",IF($H7&lt;=5,"9",0))))))+0</f>
        <v>0</v>
      </c>
      <c r="AH7" s="206">
        <f>(IF($H7&lt;=0,"0",IF($H7&lt;=1,"3",0)))+0</f>
        <v>0</v>
      </c>
      <c r="AI7" s="207" t="s">
        <v>205</v>
      </c>
      <c r="AJ7" s="208" t="s">
        <v>536</v>
      </c>
      <c r="AK7" s="209">
        <f>(IF($F7&lt;=0,"0",IF($F7&lt;=6,"4",IF($F7&lt;=7,"3",IF($F7&lt;=8,"2","0")))))+0</f>
        <v>4</v>
      </c>
      <c r="AL7" s="209">
        <f>(IF($G7&lt;=0,"0",IF($G7&lt;=6,"4",IF($G7&lt;=7,"3",IF($G7&lt;=8,"2","0")))))+0</f>
        <v>0</v>
      </c>
      <c r="AM7" s="209">
        <f>(IF($H7&lt;=0,"0",IF($H7&lt;=6,"4",IF($H7&lt;=7,"3",IF($H7&lt;=8,"2","0")))))+0</f>
        <v>0</v>
      </c>
      <c r="AN7" s="200">
        <f>SUM(AK7:AM7)</f>
        <v>4</v>
      </c>
      <c r="AO7" s="208" t="s">
        <v>291</v>
      </c>
      <c r="AP7" s="210" t="e">
        <f>(IF($E7&lt;=0,"0",IF($E7&lt;=20,"168",IF($E7&lt;=30,"165",IF($E7&lt;=50,"155",IF($E7&lt;=60,"135",IF($E7&lt;=70,"105",IF($E7&lt;=80,"60","0"))))))))+0</f>
        <v>#VALUE!</v>
      </c>
      <c r="AQ7" s="199" t="s">
        <v>521</v>
      </c>
      <c r="AR7" s="208" t="e">
        <f>(IF($E7&lt;=0,"0",IF($E7&lt;=80,"6","0")))+0</f>
        <v>#VALUE!</v>
      </c>
      <c r="AS7" s="208" t="e">
        <f>(IF($E7&lt;=0,"0",IF($E7&lt;=60,"9",IF($E7&lt;=70,"6","0"))))+0</f>
        <v>#VALUE!</v>
      </c>
      <c r="AT7" s="208" t="e">
        <f>(IF($E7&lt;=0,"0",IF($E7&lt;=40,"9",IF($E7&lt;=50,"6","0"))))+0</f>
        <v>#VALUE!</v>
      </c>
      <c r="AU7" s="211" t="e">
        <f>(IF($E7&lt;=0,"0",IF($E7&lt;=20,"1","0")))+0</f>
        <v>#VALUE!</v>
      </c>
      <c r="AV7" s="199" t="s">
        <v>178</v>
      </c>
      <c r="AW7" s="208" t="e">
        <f>(IF($E7&lt;=0,"0",IF($E7&lt;=70,"36",IF($E7&lt;=80,"24","0"))))+0</f>
        <v>#VALUE!</v>
      </c>
      <c r="AX7" s="208" t="e">
        <f>(IF($E7&lt;=0,"0",IF($E7&lt;=50,"30",IF($E7&lt;=60,"18","0"))))+0</f>
        <v>#VALUE!</v>
      </c>
      <c r="AY7" s="208" t="e">
        <f>(IF($E7&lt;=0,"0",IF($E7&lt;=20,"18",IF($E7&lt;=40,"15","0"))))+0</f>
        <v>#VALUE!</v>
      </c>
      <c r="AZ7" s="212">
        <f>Summary2831[[#This Row],[3*2]]+Summary2831[[#This Row],[3*22]]+Summary2831[[#This Row],[3*23]]</f>
        <v>0</v>
      </c>
      <c r="BA7" s="213">
        <f>Summary2831[[#This Row],[2*2]]+Summary2831[[#This Row],[2*23]]+Summary2831[[#This Row],[2*24]]</f>
        <v>0</v>
      </c>
      <c r="BB7" s="213">
        <f>Summary2831[[#This Row],[1*2]]+Summary2831[[#This Row],[1*24]]+Summary2831[[#This Row],[1*25]]</f>
        <v>0</v>
      </c>
      <c r="BC7" s="215">
        <f>IF($F7&lt;=0,"0",IF($F7&lt;=6,"19",IF($F7&lt;=7,"18",IF($F7&lt;=8,"9",0))))+0</f>
        <v>19</v>
      </c>
      <c r="BD7" s="215">
        <f>IF($F7&lt;=0,"0",IF($F7&lt;=2,"22",IF($F7&lt;=3,"19",IF($F7&lt;=4,"15",IF($F7&lt;=5,"9",0)))))+0</f>
        <v>19</v>
      </c>
      <c r="BE7" s="215">
        <f>IF($F7&lt;=0,"0",IF($F7&lt;=1,"6",0))+0</f>
        <v>0</v>
      </c>
      <c r="BF7" s="215">
        <f>IF($G7&lt;=0,"0",IF($G7&lt;=6,"19",IF($G7&lt;=7,"18",IF($G7&lt;=8,"9",0))))+0</f>
        <v>0</v>
      </c>
      <c r="BG7" s="215">
        <f>IF($G7&lt;=0,"0",IF($G7&lt;=2,"22",IF($G7&lt;=3,"19",IF($G7&lt;=4,"15",IF($G7&lt;=5,"9",0)))))+0</f>
        <v>0</v>
      </c>
      <c r="BH7" s="215">
        <f>IF($G7&lt;=0,"0",IF($G7&lt;=1,"6",0))+0</f>
        <v>0</v>
      </c>
      <c r="BI7" s="215">
        <f>IF($H7&lt;=0,"0",IF($H7&lt;=6,"19",IF($H7&lt;=7,"18",IF($H7&lt;=8,"9",0))))+0</f>
        <v>0</v>
      </c>
      <c r="BJ7" s="215">
        <f>IF($H7&lt;=0,"0",IF($H7&lt;=2,"22",IF($H7&lt;=3,"19",IF($H7&lt;=4,"15",IF($H7&lt;=5,"9",0)))))+0</f>
        <v>0</v>
      </c>
      <c r="BK7" s="215">
        <f>IF($H7&lt;=0,"0",IF($H7&lt;=1,"6",0))+0</f>
        <v>0</v>
      </c>
      <c r="BL7" s="199">
        <f>SUM(Summary2831[[#This Row],[3*
(Tal)]],Summary2831[[#This Row],[3*
(Asc)]])</f>
        <v>0</v>
      </c>
      <c r="BM7" s="208">
        <f>SUM(Summary2831[[#This Row],[2*
(Tal)]],Summary2831[[#This Row],[2*
(Asc)]])</f>
        <v>0</v>
      </c>
      <c r="BN7" s="211">
        <f>SUM(Summary2831[[#This Row],[1*
(Tal)]],Summary2831[[#This Row],[1*
(Asc)]])</f>
        <v>0</v>
      </c>
      <c r="BO7" s="216" t="e">
        <f>(IF($E7&lt;=0,"0",IF($E7&lt;=1,"2092530",IF($E7&lt;=10,"2087525",IF($E7&lt;=20,"2068495",IF($E7&lt;=30,"2005910",IF($E7&lt;=40,"1932830",IF($E7&lt;=50,"1777010",IF($E7&lt;=60,"1546185",IF($E7&lt;=70,"1227000",IF($E7&lt;=80,"804625",IF($E7&lt;=81,"647990",IF($E7&lt;=90,"0",0)))))))))))))+0</f>
        <v>#VALUE!</v>
      </c>
      <c r="BP7" s="217">
        <f>(IF($F7&lt;=0,"0",IF($F7&lt;=1,"952500",IF($F7&lt;=2,"940000",IF($F7&lt;=3,"922500",IF($F7&lt;=4,"897500",IF($F7&lt;=5,"867500",IF($F7&lt;=6,"830000",IF($F7&lt;=7,"710000",IF($F7&lt;=8,"450000",0))))))))))+0</f>
        <v>922500</v>
      </c>
      <c r="BQ7" s="217">
        <f>(IF($G7&lt;=0,"0",IF($G7&lt;=1,"952500",IF($G7&lt;=2,"940000",IF($G7&lt;=3,"922500",IF($G7&lt;=4,"897500",IF($G7&lt;=5,"867500",IF($G7&lt;=6,"830000",IF($G7&lt;=7,"710000",IF($G7&lt;=8,"450000",0))))))))))+0</f>
        <v>0</v>
      </c>
      <c r="BR7" s="217">
        <f>(IF($H7&lt;=0,"0",IF($H7&lt;=1,"952500",IF($H7&lt;=2,"940000",IF($H7&lt;=3,"922500",IF($H7&lt;=4,"897500",IF($H7&lt;=5,"867500",IF($H7&lt;=6,"830000",IF($H7&lt;=7,"710000",IF($H7&lt;=8,"450000",0))))))))))+0</f>
        <v>0</v>
      </c>
      <c r="BS7" s="218" t="e">
        <f>SUM(BO7,BP7,BQ7,BR7)</f>
        <v>#VALUE!</v>
      </c>
    </row>
    <row r="8" spans="1:71" s="81" customFormat="1" ht="30" customHeight="1">
      <c r="A8" s="196">
        <f ca="1">SUBTOTAL(3,$C$3:Character[[#This Row],[Name]])</f>
        <v>6</v>
      </c>
      <c r="B8" s="192" t="e" vm="574">
        <f>ImgDatabase!D8</f>
        <v>#VALUE!</v>
      </c>
      <c r="C8" s="197" t="s">
        <v>424</v>
      </c>
      <c r="D8" s="194" t="e" vm="31">
        <f>IFERROR(INDEX(CharacterDetailss[Element], MATCH(Character[[#This Row],[Name]], CharacterDetailss[Name], 0)), "")</f>
        <v>#VALUE!</v>
      </c>
      <c r="E8" s="194" t="e" vm="312">
        <f>IFERROR(INDEX(CharacterDetailss[Weapon Type], MATCH(Character[[#This Row],[Name]], CharacterDetailss[Name], 0)), "")</f>
        <v>#VALUE!</v>
      </c>
      <c r="F8" s="195">
        <v>4.5999999999999996</v>
      </c>
      <c r="G8" s="72">
        <v>90</v>
      </c>
      <c r="H8" s="73">
        <v>10</v>
      </c>
      <c r="I8" s="74">
        <v>10</v>
      </c>
      <c r="J8" s="75">
        <v>8</v>
      </c>
      <c r="K8"/>
      <c r="L8" s="75">
        <v>81</v>
      </c>
      <c r="M8" s="73">
        <v>1</v>
      </c>
      <c r="N8" s="74">
        <v>9</v>
      </c>
      <c r="O8" s="74">
        <v>9</v>
      </c>
      <c r="P8"/>
      <c r="Q8" s="230" t="e" vm="529">
        <f>IFERROR(INDEX(ImgDatabase!$O:$O, MATCH(WorldBoss[[#This Row],[Boss Name]], ImgDatabase!$P:$P, 0)), "")</f>
        <v>#VALUE!</v>
      </c>
      <c r="R8" s="228" t="s">
        <v>357</v>
      </c>
      <c r="S8" s="297" t="e">
        <f>(IF($E8&lt;=0,"0",IF($E8&lt;=40,"46",IF($E8&lt;=50,"44",IF($E8&lt;=60,"40",IF($E8&lt;=70,"32",IF($E8&lt;=80,"20","0")))))))+0</f>
        <v>#VALUE!</v>
      </c>
      <c r="T8"/>
      <c r="U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" s="222" t="s">
        <v>537</v>
      </c>
      <c r="W8" s="223">
        <f>Z8+AC8+AF8</f>
        <v>22</v>
      </c>
      <c r="X8" s="223">
        <f>AA8+AD8+AG8</f>
        <v>9</v>
      </c>
      <c r="Y8" s="221">
        <f>AB8+AE8+AH8</f>
        <v>0</v>
      </c>
      <c r="Z8" s="224">
        <f>(IF($F8&lt;=0,"0",IF($F8&lt;=6,"22",IF($F8&lt;=7,"18",IF($F8&lt;=8,"12",0)))))+0</f>
        <v>22</v>
      </c>
      <c r="AA8" s="225">
        <f>(IF($F8&lt;=0,"0",IF($F8&lt;=2,"21",IF($F8&lt;=3,"19",IF($F8&lt;=4,"15",IF($F8&lt;=5,"9",0))))))+0</f>
        <v>9</v>
      </c>
      <c r="AB8" s="225">
        <f>(IF($F8&lt;=0,"0",IF($F8&lt;=1,"3",0)))+0</f>
        <v>0</v>
      </c>
      <c r="AC8" s="225">
        <f>(IF($G8&lt;=0,"0",IF($G8&lt;=6,"22",IF($G8&lt;=7,"18",IF($G8&lt;=8,"12",0)))))+0</f>
        <v>0</v>
      </c>
      <c r="AD8" s="225">
        <f>(IF($G8&lt;=0,"0",IF($G8&lt;=2,"21",IF($G8&lt;=3,"19",IF($G8&lt;=4,"15",IF($G8&lt;=5,"9",0))))))+0</f>
        <v>0</v>
      </c>
      <c r="AE8" s="225">
        <f>(IF($G8&lt;=0,"0",IF($G8&lt;=1,"3",0)))+0</f>
        <v>0</v>
      </c>
      <c r="AF8" s="225">
        <f>(IF($H8&lt;=0,"0",IF($H8&lt;=6,"22",IF($H8&lt;=7,"18",IF($H8&lt;=8,"12",0)))))+0</f>
        <v>0</v>
      </c>
      <c r="AG8" s="225">
        <f>(IF($H8&lt;=0,"0",IF($H8&lt;=2,"21",IF($H8&lt;=3,"19",IF($H8&lt;=4,"15",IF($H8&lt;=5,"9",0))))))+0</f>
        <v>0</v>
      </c>
      <c r="AH8" s="226">
        <f>(IF($H8&lt;=0,"0",IF($H8&lt;=1,"3",0)))+0</f>
        <v>0</v>
      </c>
      <c r="AI8" s="227" t="s">
        <v>335</v>
      </c>
      <c r="AJ8" s="228" t="s">
        <v>538</v>
      </c>
      <c r="AK8" s="229">
        <f>(IF($F8&lt;=0,"0",IF($F8&lt;=6,"4",IF($F8&lt;=7,"3",IF($F8&lt;=8,"2","0")))))+0</f>
        <v>4</v>
      </c>
      <c r="AL8" s="229">
        <f>(IF($G8&lt;=0,"0",IF($G8&lt;=6,"4",IF($G8&lt;=7,"3",IF($G8&lt;=8,"2","0")))))+0</f>
        <v>0</v>
      </c>
      <c r="AM8" s="229">
        <f>(IF($H8&lt;=0,"0",IF($H8&lt;=6,"4",IF($H8&lt;=7,"3",IF($H8&lt;=8,"2","0")))))+0</f>
        <v>0</v>
      </c>
      <c r="AN8" s="220">
        <f>SUM(AK8:AM8)</f>
        <v>4</v>
      </c>
      <c r="AO8" s="228" t="s">
        <v>539</v>
      </c>
      <c r="AP8" s="230" t="e">
        <f>(IF($E8&lt;=0,"0",IF($E8&lt;=20,"168",IF($E8&lt;=30,"165",IF($E8&lt;=50,"155",IF($E8&lt;=60,"135",IF($E8&lt;=70,"105",IF($E8&lt;=80,"60","0"))))))))+0</f>
        <v>#VALUE!</v>
      </c>
      <c r="AQ8" s="219" t="s">
        <v>534</v>
      </c>
      <c r="AR8" s="228" t="e">
        <f>(IF($E8&lt;=0,"0",IF($E8&lt;=80,"6","0")))+0</f>
        <v>#VALUE!</v>
      </c>
      <c r="AS8" s="228" t="e">
        <f>(IF($E8&lt;=0,"0",IF($E8&lt;=60,"9",IF($E8&lt;=70,"6","0"))))+0</f>
        <v>#VALUE!</v>
      </c>
      <c r="AT8" s="228" t="e">
        <f>(IF($E8&lt;=0,"0",IF($E8&lt;=40,"9",IF($E8&lt;=50,"6","0"))))+0</f>
        <v>#VALUE!</v>
      </c>
      <c r="AU8" s="231" t="e">
        <f>(IF($E8&lt;=0,"0",IF($E8&lt;=20,"1","0")))+0</f>
        <v>#VALUE!</v>
      </c>
      <c r="AV8" s="219" t="s">
        <v>236</v>
      </c>
      <c r="AW8" s="228" t="e">
        <f>(IF($E8&lt;=0,"0",IF($E8&lt;=70,"36",IF($E8&lt;=80,"24","0"))))+0</f>
        <v>#VALUE!</v>
      </c>
      <c r="AX8" s="228" t="e">
        <f>(IF($E8&lt;=0,"0",IF($E8&lt;=50,"30",IF($E8&lt;=60,"18","0"))))+0</f>
        <v>#VALUE!</v>
      </c>
      <c r="AY8" s="228" t="e">
        <f>(IF($E8&lt;=0,"0",IF($E8&lt;=20,"18",IF($E8&lt;=40,"15","0"))))+0</f>
        <v>#VALUE!</v>
      </c>
      <c r="AZ8" s="264">
        <f>Summary2831[[#This Row],[3*2]]+Summary2831[[#This Row],[3*22]]+Summary2831[[#This Row],[3*23]]</f>
        <v>9</v>
      </c>
      <c r="BA8" s="233">
        <f>Summary2831[[#This Row],[2*2]]+Summary2831[[#This Row],[2*23]]+Summary2831[[#This Row],[2*24]]</f>
        <v>0</v>
      </c>
      <c r="BB8" s="233">
        <f>Summary2831[[#This Row],[1*2]]+Summary2831[[#This Row],[1*24]]+Summary2831[[#This Row],[1*25]]</f>
        <v>0</v>
      </c>
      <c r="BC8" s="234">
        <f>IF($F8&lt;=0,"0",IF($F8&lt;=6,"19",IF($F8&lt;=7,"18",IF($F8&lt;=8,"9",0))))+0</f>
        <v>19</v>
      </c>
      <c r="BD8" s="234">
        <f>IF($F8&lt;=0,"0",IF($F8&lt;=2,"22",IF($F8&lt;=3,"19",IF($F8&lt;=4,"15",IF($F8&lt;=5,"9",0)))))+0</f>
        <v>9</v>
      </c>
      <c r="BE8" s="234">
        <f>IF($F8&lt;=0,"0",IF($F8&lt;=1,"6",0))+0</f>
        <v>0</v>
      </c>
      <c r="BF8" s="234">
        <f>IF($G8&lt;=0,"0",IF($G8&lt;=6,"19",IF($G8&lt;=7,"18",IF($G8&lt;=8,"9",0))))+0</f>
        <v>0</v>
      </c>
      <c r="BG8" s="234">
        <f>IF($G8&lt;=0,"0",IF($G8&lt;=2,"22",IF($G8&lt;=3,"19",IF($G8&lt;=4,"15",IF($G8&lt;=5,"9",0)))))+0</f>
        <v>0</v>
      </c>
      <c r="BH8" s="234">
        <f>IF($G8&lt;=0,"0",IF($G8&lt;=1,"6",0))+0</f>
        <v>0</v>
      </c>
      <c r="BI8" s="234">
        <f>IF($H8&lt;=0,"0",IF($H8&lt;=6,"19",IF($H8&lt;=7,"18",IF($H8&lt;=8,"9",0))))+0</f>
        <v>0</v>
      </c>
      <c r="BJ8" s="234">
        <f>IF($H8&lt;=0,"0",IF($H8&lt;=2,"22",IF($H8&lt;=3,"19",IF($H8&lt;=4,"15",IF($H8&lt;=5,"9",0)))))+0</f>
        <v>0</v>
      </c>
      <c r="BK8" s="234">
        <f>IF($H8&lt;=0,"0",IF($H8&lt;=1,"6",0))+0</f>
        <v>0</v>
      </c>
      <c r="BL8" s="264">
        <f>SUM(Summary2831[[#This Row],[3*
(Tal)]],Summary2831[[#This Row],[3*
(Asc)]])</f>
        <v>9</v>
      </c>
      <c r="BM8" s="233">
        <f>SUM(Summary2831[[#This Row],[2*
(Tal)]],Summary2831[[#This Row],[2*
(Asc)]])</f>
        <v>0</v>
      </c>
      <c r="BN8" s="265">
        <f>SUM(Summary2831[[#This Row],[1*
(Tal)]],Summary2831[[#This Row],[1*
(Asc)]])</f>
        <v>0</v>
      </c>
      <c r="BO8" s="235" t="e">
        <f>(IF($E8&lt;=0,"0",IF($E8&lt;=1,"2092530",IF($E8&lt;=10,"2087525",IF($E8&lt;=20,"2068495",IF($E8&lt;=30,"2005910",IF($E8&lt;=40,"1932830",IF($E8&lt;=50,"1777010",IF($E8&lt;=60,"1546185",IF($E8&lt;=70,"1227000",IF($E8&lt;=80,"804625",IF($E8&lt;=81,"647990",IF($E8&lt;=90,"0",0)))))))))))))+0</f>
        <v>#VALUE!</v>
      </c>
      <c r="BP8" s="236">
        <f>(IF($F8&lt;=0,"0",IF($F8&lt;=1,"952500",IF($F8&lt;=2,"940000",IF($F8&lt;=3,"922500",IF($F8&lt;=4,"897500",IF($F8&lt;=5,"867500",IF($F8&lt;=6,"830000",IF($F8&lt;=7,"710000",IF($F8&lt;=8,"450000",0))))))))))+0</f>
        <v>867500</v>
      </c>
      <c r="BQ8" s="236">
        <f>(IF($G8&lt;=0,"0",IF($G8&lt;=1,"952500",IF($G8&lt;=2,"940000",IF($G8&lt;=3,"922500",IF($G8&lt;=4,"897500",IF($G8&lt;=5,"867500",IF($G8&lt;=6,"830000",IF($G8&lt;=7,"710000",IF($G8&lt;=8,"450000",0))))))))))+0</f>
        <v>0</v>
      </c>
      <c r="BR8" s="236">
        <f>(IF($H8&lt;=0,"0",IF($H8&lt;=1,"952500",IF($H8&lt;=2,"940000",IF($H8&lt;=3,"922500",IF($H8&lt;=4,"897500",IF($H8&lt;=5,"867500",IF($H8&lt;=6,"830000",IF($H8&lt;=7,"710000",IF($H8&lt;=8,"450000",0))))))))))+0</f>
        <v>0</v>
      </c>
      <c r="BS8" s="237" t="e">
        <f>SUM(BO8,BP8,BQ8,BR8)</f>
        <v>#VALUE!</v>
      </c>
    </row>
    <row r="9" spans="1:71" s="81" customFormat="1" ht="30" customHeight="1">
      <c r="A9" s="192">
        <f ca="1">SUBTOTAL(3,$C$3:Character[[#This Row],[Name]])</f>
        <v>7</v>
      </c>
      <c r="B9" s="192" t="e" vm="575">
        <f>ImgDatabase!D9</f>
        <v>#VALUE!</v>
      </c>
      <c r="C9" s="193" t="s">
        <v>425</v>
      </c>
      <c r="D9" s="194" t="e" vm="19">
        <f>IFERROR(INDEX(CharacterDetailss[Element], MATCH(Character[[#This Row],[Name]], CharacterDetailss[Name], 0)), "")</f>
        <v>#VALUE!</v>
      </c>
      <c r="E9" s="194" t="e" vm="312">
        <f>IFERROR(INDEX(CharacterDetailss[Weapon Type], MATCH(Character[[#This Row],[Name]], CharacterDetailss[Name], 0)), "")</f>
        <v>#VALUE!</v>
      </c>
      <c r="F9" s="195">
        <v>3.6</v>
      </c>
      <c r="G9" s="72">
        <v>90</v>
      </c>
      <c r="H9" s="73">
        <v>1</v>
      </c>
      <c r="I9" s="74">
        <v>9</v>
      </c>
      <c r="J9" s="75">
        <v>9</v>
      </c>
      <c r="K9"/>
      <c r="L9" s="75">
        <v>81</v>
      </c>
      <c r="M9" s="73">
        <v>1</v>
      </c>
      <c r="N9" s="74">
        <v>9</v>
      </c>
      <c r="O9" s="74">
        <v>9</v>
      </c>
      <c r="P9"/>
      <c r="Q9" s="210" t="e" vm="482">
        <f>IFERROR(INDEX(ImgDatabase!$O:$O, MATCH(WorldBoss[[#This Row],[Boss Name]], ImgDatabase!$P:$P, 0)), "")</f>
        <v>#VALUE!</v>
      </c>
      <c r="R9" s="208" t="s">
        <v>293</v>
      </c>
      <c r="S9" s="298" t="e">
        <f>(IF($E9&lt;=0,"0",IF($E9&lt;=40,"46",IF($E9&lt;=50,"44",IF($E9&lt;=60,"40",IF($E9&lt;=70,"32",IF($E9&lt;=80,"20","0")))))))+0</f>
        <v>#VALUE!</v>
      </c>
      <c r="T9"/>
      <c r="U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9" s="202" t="s">
        <v>540</v>
      </c>
      <c r="W9" s="203">
        <f>Z9+AC9+AF9</f>
        <v>44</v>
      </c>
      <c r="X9" s="203">
        <f>AA9+AD9+AG9</f>
        <v>36</v>
      </c>
      <c r="Y9" s="201">
        <f>AB9+AE9+AH9</f>
        <v>3</v>
      </c>
      <c r="Z9" s="204">
        <f>(IF($F9&lt;=0,"0",IF($F9&lt;=6,"22",IF($F9&lt;=7,"18",IF($F9&lt;=8,"12",0)))))+0</f>
        <v>22</v>
      </c>
      <c r="AA9" s="205">
        <f>(IF($F9&lt;=0,"0",IF($F9&lt;=2,"21",IF($F9&lt;=3,"19",IF($F9&lt;=4,"15",IF($F9&lt;=5,"9",0))))))+0</f>
        <v>15</v>
      </c>
      <c r="AB9" s="205">
        <f>(IF($F9&lt;=0,"0",IF($F9&lt;=1,"3",0)))+0</f>
        <v>0</v>
      </c>
      <c r="AC9" s="205">
        <f>(IF($G9&lt;=0,"0",IF($G9&lt;=6,"22",IF($G9&lt;=7,"18",IF($G9&lt;=8,"12",0)))))+0</f>
        <v>0</v>
      </c>
      <c r="AD9" s="205">
        <f>(IF($G9&lt;=0,"0",IF($G9&lt;=2,"21",IF($G9&lt;=3,"19",IF($G9&lt;=4,"15",IF($G9&lt;=5,"9",0))))))+0</f>
        <v>0</v>
      </c>
      <c r="AE9" s="205">
        <f>(IF($G9&lt;=0,"0",IF($G9&lt;=1,"3",0)))+0</f>
        <v>0</v>
      </c>
      <c r="AF9" s="205">
        <f>(IF($H9&lt;=0,"0",IF($H9&lt;=6,"22",IF($H9&lt;=7,"18",IF($H9&lt;=8,"12",0)))))+0</f>
        <v>22</v>
      </c>
      <c r="AG9" s="205">
        <f>(IF($H9&lt;=0,"0",IF($H9&lt;=2,"21",IF($H9&lt;=3,"19",IF($H9&lt;=4,"15",IF($H9&lt;=5,"9",0))))))+0</f>
        <v>21</v>
      </c>
      <c r="AH9" s="206">
        <f>(IF($H9&lt;=0,"0",IF($H9&lt;=1,"3",0)))+0</f>
        <v>3</v>
      </c>
      <c r="AI9" s="207" t="s">
        <v>541</v>
      </c>
      <c r="AJ9" s="208" t="s">
        <v>542</v>
      </c>
      <c r="AK9" s="209">
        <f>(IF($F9&lt;=0,"0",IF($F9&lt;=6,"4",IF($F9&lt;=7,"3",IF($F9&lt;=8,"2","0")))))+0</f>
        <v>4</v>
      </c>
      <c r="AL9" s="209">
        <f>(IF($G9&lt;=0,"0",IF($G9&lt;=6,"4",IF($G9&lt;=7,"3",IF($G9&lt;=8,"2","0")))))+0</f>
        <v>0</v>
      </c>
      <c r="AM9" s="209">
        <f>(IF($H9&lt;=0,"0",IF($H9&lt;=6,"4",IF($H9&lt;=7,"3",IF($H9&lt;=8,"2","0")))))+0</f>
        <v>4</v>
      </c>
      <c r="AN9" s="200">
        <f>SUM(AK9:AM9)</f>
        <v>8</v>
      </c>
      <c r="AO9" s="208" t="s">
        <v>401</v>
      </c>
      <c r="AP9" s="210" t="e">
        <f>(IF($E9&lt;=0,"0",IF($E9&lt;=20,"168",IF($E9&lt;=30,"165",IF($E9&lt;=50,"155",IF($E9&lt;=60,"135",IF($E9&lt;=70,"105",IF($E9&lt;=80,"60","0"))))))))+0</f>
        <v>#VALUE!</v>
      </c>
      <c r="AQ9" s="199" t="s">
        <v>526</v>
      </c>
      <c r="AR9" s="208" t="e">
        <f>(IF($E9&lt;=0,"0",IF($E9&lt;=80,"6","0")))+0</f>
        <v>#VALUE!</v>
      </c>
      <c r="AS9" s="208" t="e">
        <f>(IF($E9&lt;=0,"0",IF($E9&lt;=60,"9",IF($E9&lt;=70,"6","0"))))+0</f>
        <v>#VALUE!</v>
      </c>
      <c r="AT9" s="208" t="e">
        <f>(IF($E9&lt;=0,"0",IF($E9&lt;=40,"9",IF($E9&lt;=50,"6","0"))))+0</f>
        <v>#VALUE!</v>
      </c>
      <c r="AU9" s="211" t="e">
        <f>(IF($E9&lt;=0,"0",IF($E9&lt;=20,"1","0")))+0</f>
        <v>#VALUE!</v>
      </c>
      <c r="AV9" s="199" t="s">
        <v>336</v>
      </c>
      <c r="AW9" s="208" t="e">
        <f>(IF($E9&lt;=0,"0",IF($E9&lt;=70,"36",IF($E9&lt;=80,"24","0"))))+0</f>
        <v>#VALUE!</v>
      </c>
      <c r="AX9" s="208" t="e">
        <f>(IF($E9&lt;=0,"0",IF($E9&lt;=50,"30",IF($E9&lt;=60,"18","0"))))+0</f>
        <v>#VALUE!</v>
      </c>
      <c r="AY9" s="208" t="e">
        <f>(IF($E9&lt;=0,"0",IF($E9&lt;=20,"18",IF($E9&lt;=40,"15","0"))))+0</f>
        <v>#VALUE!</v>
      </c>
      <c r="AZ9" s="212">
        <f>Summary2831[[#This Row],[3*2]]+Summary2831[[#This Row],[3*22]]+Summary2831[[#This Row],[3*23]]</f>
        <v>19</v>
      </c>
      <c r="BA9" s="213">
        <f>Summary2831[[#This Row],[2*2]]+Summary2831[[#This Row],[2*23]]+Summary2831[[#This Row],[2*24]]</f>
        <v>22</v>
      </c>
      <c r="BB9" s="213">
        <f>Summary2831[[#This Row],[1*2]]+Summary2831[[#This Row],[1*24]]+Summary2831[[#This Row],[1*25]]</f>
        <v>6</v>
      </c>
      <c r="BC9" s="215">
        <f>IF($F9&lt;=0,"0",IF($F9&lt;=6,"19",IF($F9&lt;=7,"18",IF($F9&lt;=8,"9",0))))+0</f>
        <v>19</v>
      </c>
      <c r="BD9" s="215">
        <f>IF($F9&lt;=0,"0",IF($F9&lt;=2,"22",IF($F9&lt;=3,"19",IF($F9&lt;=4,"15",IF($F9&lt;=5,"9",0)))))+0</f>
        <v>15</v>
      </c>
      <c r="BE9" s="215">
        <f>IF($F9&lt;=0,"0",IF($F9&lt;=1,"6",0))+0</f>
        <v>0</v>
      </c>
      <c r="BF9" s="215">
        <f>IF($G9&lt;=0,"0",IF($G9&lt;=6,"19",IF($G9&lt;=7,"18",IF($G9&lt;=8,"9",0))))+0</f>
        <v>0</v>
      </c>
      <c r="BG9" s="215">
        <f>IF($G9&lt;=0,"0",IF($G9&lt;=2,"22",IF($G9&lt;=3,"19",IF($G9&lt;=4,"15",IF($G9&lt;=5,"9",0)))))+0</f>
        <v>0</v>
      </c>
      <c r="BH9" s="215">
        <f>IF($G9&lt;=0,"0",IF($G9&lt;=1,"6",0))+0</f>
        <v>0</v>
      </c>
      <c r="BI9" s="215">
        <f>IF($H9&lt;=0,"0",IF($H9&lt;=6,"19",IF($H9&lt;=7,"18",IF($H9&lt;=8,"9",0))))+0</f>
        <v>19</v>
      </c>
      <c r="BJ9" s="215">
        <f>IF($H9&lt;=0,"0",IF($H9&lt;=2,"22",IF($H9&lt;=3,"19",IF($H9&lt;=4,"15",IF($H9&lt;=5,"9",0)))))+0</f>
        <v>22</v>
      </c>
      <c r="BK9" s="215">
        <f>IF($H9&lt;=0,"0",IF($H9&lt;=1,"6",0))+0</f>
        <v>6</v>
      </c>
      <c r="BL9" s="199">
        <f>SUM(Summary2831[[#This Row],[3*
(Tal)]],Summary2831[[#This Row],[3*
(Asc)]])</f>
        <v>19</v>
      </c>
      <c r="BM9" s="208">
        <f>SUM(Summary2831[[#This Row],[2*
(Tal)]],Summary2831[[#This Row],[2*
(Asc)]])</f>
        <v>22</v>
      </c>
      <c r="BN9" s="211">
        <f>SUM(Summary2831[[#This Row],[1*
(Tal)]],Summary2831[[#This Row],[1*
(Asc)]])</f>
        <v>6</v>
      </c>
      <c r="BO9" s="216" t="e">
        <f>(IF($E9&lt;=0,"0",IF($E9&lt;=1,"2092530",IF($E9&lt;=10,"2087525",IF($E9&lt;=20,"2068495",IF($E9&lt;=30,"2005910",IF($E9&lt;=40,"1932830",IF($E9&lt;=50,"1777010",IF($E9&lt;=60,"1546185",IF($E9&lt;=70,"1227000",IF($E9&lt;=80,"804625",IF($E9&lt;=81,"647990",IF($E9&lt;=90,"0",0)))))))))))))+0</f>
        <v>#VALUE!</v>
      </c>
      <c r="BP9" s="217">
        <f>(IF($F9&lt;=0,"0",IF($F9&lt;=1,"952500",IF($F9&lt;=2,"940000",IF($F9&lt;=3,"922500",IF($F9&lt;=4,"897500",IF($F9&lt;=5,"867500",IF($F9&lt;=6,"830000",IF($F9&lt;=7,"710000",IF($F9&lt;=8,"450000",0))))))))))+0</f>
        <v>897500</v>
      </c>
      <c r="BQ9" s="217">
        <f>(IF($G9&lt;=0,"0",IF($G9&lt;=1,"952500",IF($G9&lt;=2,"940000",IF($G9&lt;=3,"922500",IF($G9&lt;=4,"897500",IF($G9&lt;=5,"867500",IF($G9&lt;=6,"830000",IF($G9&lt;=7,"710000",IF($G9&lt;=8,"450000",0))))))))))+0</f>
        <v>0</v>
      </c>
      <c r="BR9" s="217">
        <f>(IF($H9&lt;=0,"0",IF($H9&lt;=1,"952500",IF($H9&lt;=2,"940000",IF($H9&lt;=3,"922500",IF($H9&lt;=4,"897500",IF($H9&lt;=5,"867500",IF($H9&lt;=6,"830000",IF($H9&lt;=7,"710000",IF($H9&lt;=8,"450000",0))))))))))+0</f>
        <v>952500</v>
      </c>
      <c r="BS9" s="218" t="e">
        <f>SUM(BO9,BP9,BQ9,BR9)</f>
        <v>#VALUE!</v>
      </c>
    </row>
    <row r="10" spans="1:71" s="81" customFormat="1" ht="30" customHeight="1">
      <c r="A10" s="196">
        <f ca="1">SUBTOTAL(3,$C$3:Character[[#This Row],[Name]])</f>
        <v>8</v>
      </c>
      <c r="B10" s="192" t="e" vm="576">
        <f>ImgDatabase!D10</f>
        <v>#VALUE!</v>
      </c>
      <c r="C10" s="197" t="s">
        <v>426</v>
      </c>
      <c r="D10" s="194" t="e" vm="58">
        <f>IFERROR(INDEX(CharacterDetailss[Element], MATCH(Character[[#This Row],[Name]], CharacterDetailss[Name], 0)), "")</f>
        <v>#VALUE!</v>
      </c>
      <c r="E10" s="194" t="e" vm="312">
        <f>IFERROR(INDEX(CharacterDetailss[Weapon Type], MATCH(Character[[#This Row],[Name]], CharacterDetailss[Name], 0)), "")</f>
        <v>#VALUE!</v>
      </c>
      <c r="F10" s="198">
        <v>1</v>
      </c>
      <c r="G10" s="14">
        <v>81</v>
      </c>
      <c r="H10" s="9">
        <v>1</v>
      </c>
      <c r="I10" s="2">
        <v>5</v>
      </c>
      <c r="J10" s="10">
        <v>5</v>
      </c>
      <c r="K10"/>
      <c r="L10" s="75">
        <v>81</v>
      </c>
      <c r="M10" s="73">
        <v>1</v>
      </c>
      <c r="N10" s="74">
        <v>9</v>
      </c>
      <c r="O10" s="74">
        <v>9</v>
      </c>
      <c r="P10"/>
      <c r="Q10" s="258" t="e" vm="374">
        <f>IFERROR(INDEX(ImgDatabase!$O:$O, MATCH(WorldBoss[[#This Row],[Boss Name]], ImgDatabase!$P:$P, 0)), "")</f>
        <v>#VALUE!</v>
      </c>
      <c r="R10" s="257" t="s">
        <v>127</v>
      </c>
      <c r="S10" s="301" t="e">
        <f>(IF($E10&lt;=0,"0",IF($E10&lt;=40,"46",IF($E10&lt;=50,"44",IF($E10&lt;=60,"40",IF($E10&lt;=70,"32",IF($E10&lt;=80,"20","0")))))))+0</f>
        <v>#VALUE!</v>
      </c>
      <c r="T10"/>
      <c r="U1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0" s="253" t="s">
        <v>527</v>
      </c>
      <c r="W10" s="254">
        <f>Z10+AC10+AF10</f>
        <v>44</v>
      </c>
      <c r="X10" s="254">
        <f>AA10+AD10+AG10</f>
        <v>42</v>
      </c>
      <c r="Y10" s="255">
        <f>AB10+AE10+AH10</f>
        <v>6</v>
      </c>
      <c r="Z10" s="224">
        <f>(IF($F10&lt;=0,"0",IF($F10&lt;=6,"22",IF($F10&lt;=7,"18",IF($F10&lt;=8,"12",0)))))+0</f>
        <v>22</v>
      </c>
      <c r="AA10" s="225">
        <f>(IF($F10&lt;=0,"0",IF($F10&lt;=2,"21",IF($F10&lt;=3,"19",IF($F10&lt;=4,"15",IF($F10&lt;=5,"9",0))))))+0</f>
        <v>21</v>
      </c>
      <c r="AB10" s="225">
        <f>(IF($F10&lt;=0,"0",IF($F10&lt;=1,"3",0)))+0</f>
        <v>3</v>
      </c>
      <c r="AC10" s="225">
        <f>(IF($G10&lt;=0,"0",IF($G10&lt;=6,"22",IF($G10&lt;=7,"18",IF($G10&lt;=8,"12",0)))))+0</f>
        <v>0</v>
      </c>
      <c r="AD10" s="225">
        <f>(IF($G10&lt;=0,"0",IF($G10&lt;=2,"21",IF($G10&lt;=3,"19",IF($G10&lt;=4,"15",IF($G10&lt;=5,"9",0))))))+0</f>
        <v>0</v>
      </c>
      <c r="AE10" s="225">
        <f>(IF($G10&lt;=0,"0",IF($G10&lt;=1,"3",0)))+0</f>
        <v>0</v>
      </c>
      <c r="AF10" s="225">
        <f>(IF($H10&lt;=0,"0",IF($H10&lt;=6,"22",IF($H10&lt;=7,"18",IF($H10&lt;=8,"12",0)))))+0</f>
        <v>22</v>
      </c>
      <c r="AG10" s="225">
        <f>(IF($H10&lt;=0,"0",IF($H10&lt;=2,"21",IF($H10&lt;=3,"19",IF($H10&lt;=4,"15",IF($H10&lt;=5,"9",0))))))+0</f>
        <v>21</v>
      </c>
      <c r="AH10" s="226">
        <f>(IF($H10&lt;=0,"0",IF($H10&lt;=1,"3",0)))+0</f>
        <v>3</v>
      </c>
      <c r="AI10" s="256" t="s">
        <v>543</v>
      </c>
      <c r="AJ10" s="257" t="s">
        <v>544</v>
      </c>
      <c r="AK10" s="229">
        <f>(IF($F10&lt;=0,"0",IF($F10&lt;=6,"4",IF($F10&lt;=7,"3",IF($F10&lt;=8,"2","0")))))+0</f>
        <v>4</v>
      </c>
      <c r="AL10" s="229">
        <f>(IF($G10&lt;=0,"0",IF($G10&lt;=6,"4",IF($G10&lt;=7,"3",IF($G10&lt;=8,"2","0")))))+0</f>
        <v>0</v>
      </c>
      <c r="AM10" s="229">
        <f>(IF($H10&lt;=0,"0",IF($H10&lt;=6,"4",IF($H10&lt;=7,"3",IF($H10&lt;=8,"2","0")))))+0</f>
        <v>4</v>
      </c>
      <c r="AN10" s="252">
        <f>SUM(AK10:AM10)</f>
        <v>8</v>
      </c>
      <c r="AO10" s="257" t="s">
        <v>545</v>
      </c>
      <c r="AP10" s="258" t="e">
        <f>(IF($E10&lt;=0,"0",IF($E10&lt;=20,"168",IF($E10&lt;=30,"165",IF($E10&lt;=50,"155",IF($E10&lt;=60,"135",IF($E10&lt;=70,"105",IF($E10&lt;=80,"60","0"))))))))+0</f>
        <v>#VALUE!</v>
      </c>
      <c r="AQ10" s="251" t="s">
        <v>546</v>
      </c>
      <c r="AR10" s="257" t="e">
        <f>(IF($E10&lt;=0,"0",IF($E10&lt;=80,"6","0")))+0</f>
        <v>#VALUE!</v>
      </c>
      <c r="AS10" s="257" t="e">
        <f>(IF($E10&lt;=0,"0",IF($E10&lt;=60,"9",IF($E10&lt;=70,"6","0"))))+0</f>
        <v>#VALUE!</v>
      </c>
      <c r="AT10" s="257" t="e">
        <f>(IF($E10&lt;=0,"0",IF($E10&lt;=40,"9",IF($E10&lt;=50,"6","0"))))+0</f>
        <v>#VALUE!</v>
      </c>
      <c r="AU10" s="259" t="e">
        <f>(IF($E10&lt;=0,"0",IF($E10&lt;=20,"1","0")))+0</f>
        <v>#VALUE!</v>
      </c>
      <c r="AV10" s="251" t="s">
        <v>149</v>
      </c>
      <c r="AW10" s="257" t="e">
        <f>(IF($E10&lt;=0,"0",IF($E10&lt;=70,"36",IF($E10&lt;=80,"24","0"))))+0</f>
        <v>#VALUE!</v>
      </c>
      <c r="AX10" s="257" t="e">
        <f>(IF($E10&lt;=0,"0",IF($E10&lt;=50,"30",IF($E10&lt;=60,"18","0"))))+0</f>
        <v>#VALUE!</v>
      </c>
      <c r="AY10" s="257" t="e">
        <f>(IF($E10&lt;=0,"0",IF($E10&lt;=20,"18",IF($E10&lt;=40,"15","0"))))+0</f>
        <v>#VALUE!</v>
      </c>
      <c r="AZ10" s="260">
        <f>Summary2831[[#This Row],[3*2]]+Summary2831[[#This Row],[3*22]]+Summary2831[[#This Row],[3*23]]</f>
        <v>57</v>
      </c>
      <c r="BA10" s="261">
        <f>Summary2831[[#This Row],[2*2]]+Summary2831[[#This Row],[2*23]]+Summary2831[[#This Row],[2*24]]</f>
        <v>40</v>
      </c>
      <c r="BB10" s="261">
        <f>Summary2831[[#This Row],[1*2]]+Summary2831[[#This Row],[1*24]]+Summary2831[[#This Row],[1*25]]</f>
        <v>6</v>
      </c>
      <c r="BC10" s="261">
        <f>IF($F10&lt;=0,"0",IF($F10&lt;=6,"19",IF($F10&lt;=7,"18",IF($F10&lt;=8,"9",0))))+0</f>
        <v>19</v>
      </c>
      <c r="BD10" s="261">
        <f>IF($F10&lt;=0,"0",IF($F10&lt;=2,"22",IF($F10&lt;=3,"19",IF($F10&lt;=4,"15",IF($F10&lt;=5,"9",0)))))+0</f>
        <v>22</v>
      </c>
      <c r="BE10" s="261">
        <f>IF($F10&lt;=0,"0",IF($F10&lt;=1,"6",0))+0</f>
        <v>6</v>
      </c>
      <c r="BF10" s="261">
        <f>IF($G10&lt;=0,"0",IF($G10&lt;=6,"19",IF($G10&lt;=7,"18",IF($G10&lt;=8,"9",0))))+0</f>
        <v>0</v>
      </c>
      <c r="BG10" s="261">
        <f>IF($G10&lt;=0,"0",IF($G10&lt;=2,"22",IF($G10&lt;=3,"19",IF($G10&lt;=4,"15",IF($G10&lt;=5,"9",0)))))+0</f>
        <v>0</v>
      </c>
      <c r="BH10" s="261">
        <f>IF($G10&lt;=0,"0",IF($G10&lt;=1,"6",0))+0</f>
        <v>0</v>
      </c>
      <c r="BI10" s="261">
        <f>IF($H10&lt;=0,"0",IF($H10&lt;=6,"19",IF($H10&lt;=7,"18",IF($H10&lt;=8,"9",0))))+0</f>
        <v>19</v>
      </c>
      <c r="BJ10" s="261">
        <f>IF($H10&lt;=0,"0",IF($H10&lt;=2,"22",IF($H10&lt;=3,"19",IF($H10&lt;=4,"15",IF($H10&lt;=5,"9",0)))))+0</f>
        <v>22</v>
      </c>
      <c r="BK10" s="261">
        <f>IF($H10&lt;=0,"0",IF($H10&lt;=1,"6",0))+0</f>
        <v>6</v>
      </c>
      <c r="BL10" s="251">
        <f>SUM(Summary2831[[#This Row],[3*
(Tal)]],Summary2831[[#This Row],[3*
(Asc)]])</f>
        <v>57</v>
      </c>
      <c r="BM10" s="257">
        <f>SUM(Summary2831[[#This Row],[2*
(Tal)]],Summary2831[[#This Row],[2*
(Asc)]])</f>
        <v>40</v>
      </c>
      <c r="BN10" s="259">
        <f>SUM(Summary2831[[#This Row],[1*
(Tal)]],Summary2831[[#This Row],[1*
(Asc)]])</f>
        <v>6</v>
      </c>
      <c r="BO10" s="235" t="e">
        <f>(IF($E10&lt;=0,"0",IF($E10&lt;=1,"2092530",IF($E10&lt;=10,"2087525",IF($E10&lt;=20,"2068495",IF($E10&lt;=30,"2005910",IF($E10&lt;=40,"1932830",IF($E10&lt;=50,"1777010",IF($E10&lt;=60,"1546185",IF($E10&lt;=70,"1227000",IF($E10&lt;=80,"804625",IF($E10&lt;=81,"647990",IF($E10&lt;=90,"0",0)))))))))))))+0</f>
        <v>#VALUE!</v>
      </c>
      <c r="BP10" s="262">
        <f>(IF($F10&lt;=0,"0",IF($F10&lt;=1,"952500",IF($F10&lt;=2,"940000",IF($F10&lt;=3,"922500",IF($F10&lt;=4,"897500",IF($F10&lt;=5,"867500",IF($F10&lt;=6,"830000",IF($F10&lt;=7,"710000",IF($F10&lt;=8,"450000",0))))))))))+0</f>
        <v>952500</v>
      </c>
      <c r="BQ10" s="262">
        <f>(IF($G10&lt;=0,"0",IF($G10&lt;=1,"952500",IF($G10&lt;=2,"940000",IF($G10&lt;=3,"922500",IF($G10&lt;=4,"897500",IF($G10&lt;=5,"867500",IF($G10&lt;=6,"830000",IF($G10&lt;=7,"710000",IF($G10&lt;=8,"450000",0))))))))))+0</f>
        <v>0</v>
      </c>
      <c r="BR10" s="262">
        <f>(IF($H10&lt;=0,"0",IF($H10&lt;=1,"952500",IF($H10&lt;=2,"940000",IF($H10&lt;=3,"922500",IF($H10&lt;=4,"897500",IF($H10&lt;=5,"867500",IF($H10&lt;=6,"830000",IF($H10&lt;=7,"710000",IF($H10&lt;=8,"450000",0))))))))))+0</f>
        <v>952500</v>
      </c>
      <c r="BS10" s="263" t="e">
        <f>SUM(BO10,BP10,BQ10,BR10)</f>
        <v>#VALUE!</v>
      </c>
    </row>
    <row r="11" spans="1:71" s="81" customFormat="1" ht="30" customHeight="1">
      <c r="A11" s="196">
        <f ca="1">SUBTOTAL(3,$C$3:Character[[#This Row],[Name]])</f>
        <v>9</v>
      </c>
      <c r="B11" s="192" t="e" vm="577">
        <f>ImgDatabase!D11</f>
        <v>#VALUE!</v>
      </c>
      <c r="C11" s="197" t="s">
        <v>408</v>
      </c>
      <c r="D11" s="194" t="e" vm="49">
        <f>IFERROR(INDEX(CharacterDetailss[Element], MATCH(Character[[#This Row],[Name]], CharacterDetailss[Name], 0)), "")</f>
        <v>#VALUE!</v>
      </c>
      <c r="E11" s="194" t="e" vm="292">
        <f>IFERROR(INDEX(CharacterDetailss[Weapon Type], MATCH(Character[[#This Row],[Name]], CharacterDetailss[Name], 0)), "")</f>
        <v>#VALUE!</v>
      </c>
      <c r="F11" s="198">
        <v>1</v>
      </c>
      <c r="G11" s="14">
        <v>51</v>
      </c>
      <c r="H11" s="9">
        <v>1</v>
      </c>
      <c r="I11" s="2">
        <v>1</v>
      </c>
      <c r="J11" s="10">
        <v>1</v>
      </c>
      <c r="K11"/>
      <c r="L11" s="75">
        <v>81</v>
      </c>
      <c r="M11" s="73">
        <v>1</v>
      </c>
      <c r="N11" s="74">
        <v>9</v>
      </c>
      <c r="O11" s="74">
        <v>9</v>
      </c>
      <c r="P11"/>
      <c r="Q11" s="245" t="e" vm="362">
        <f>IFERROR(INDEX(ImgDatabase!$O:$O, MATCH(WorldBoss[[#This Row],[Boss Name]], ImgDatabase!$P:$P, 0)), "")</f>
        <v>#VALUE!</v>
      </c>
      <c r="R11" s="244" t="s">
        <v>106</v>
      </c>
      <c r="S11" s="300" t="e">
        <f>(IF($E11&lt;=0,"0",IF($E11&lt;=40,"46",IF($E11&lt;=50,"44",IF($E11&lt;=60,"40",IF($E11&lt;=70,"32",IF($E11&lt;=80,"20","0")))))))+0</f>
        <v>#VALUE!</v>
      </c>
      <c r="T11"/>
      <c r="U1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V11" s="240" t="s">
        <v>540</v>
      </c>
      <c r="W11" s="241">
        <f>Z11+AC11+AF11</f>
        <v>44</v>
      </c>
      <c r="X11" s="241">
        <f>AA11+AD11+AG11</f>
        <v>42</v>
      </c>
      <c r="Y11" s="242">
        <f>AB11+AE11+AH11</f>
        <v>6</v>
      </c>
      <c r="Z11" s="204">
        <f>(IF($F11&lt;=0,"0",IF($F11&lt;=6,"22",IF($F11&lt;=7,"18",IF($F11&lt;=8,"12",0)))))+0</f>
        <v>22</v>
      </c>
      <c r="AA11" s="205">
        <f>(IF($F11&lt;=0,"0",IF($F11&lt;=2,"21",IF($F11&lt;=3,"19",IF($F11&lt;=4,"15",IF($F11&lt;=5,"9",0))))))+0</f>
        <v>21</v>
      </c>
      <c r="AB11" s="205">
        <f>(IF($F11&lt;=0,"0",IF($F11&lt;=1,"3",0)))+0</f>
        <v>3</v>
      </c>
      <c r="AC11" s="205">
        <f>(IF($G11&lt;=0,"0",IF($G11&lt;=6,"22",IF($G11&lt;=7,"18",IF($G11&lt;=8,"12",0)))))+0</f>
        <v>0</v>
      </c>
      <c r="AD11" s="205">
        <f>(IF($G11&lt;=0,"0",IF($G11&lt;=2,"21",IF($G11&lt;=3,"19",IF($G11&lt;=4,"15",IF($G11&lt;=5,"9",0))))))+0</f>
        <v>0</v>
      </c>
      <c r="AE11" s="205">
        <f>(IF($G11&lt;=0,"0",IF($G11&lt;=1,"3",0)))+0</f>
        <v>0</v>
      </c>
      <c r="AF11" s="205">
        <f>(IF($H11&lt;=0,"0",IF($H11&lt;=6,"22",IF($H11&lt;=7,"18",IF($H11&lt;=8,"12",0)))))+0</f>
        <v>22</v>
      </c>
      <c r="AG11" s="205">
        <f>(IF($H11&lt;=0,"0",IF($H11&lt;=2,"21",IF($H11&lt;=3,"19",IF($H11&lt;=4,"15",IF($H11&lt;=5,"9",0))))))+0</f>
        <v>21</v>
      </c>
      <c r="AH11" s="206">
        <f>(IF($H11&lt;=0,"0",IF($H11&lt;=1,"3",0)))+0</f>
        <v>3</v>
      </c>
      <c r="AI11" s="243" t="s">
        <v>531</v>
      </c>
      <c r="AJ11" s="244" t="s">
        <v>532</v>
      </c>
      <c r="AK11" s="209">
        <f>(IF($F11&lt;=0,"0",IF($F11&lt;=6,"4",IF($F11&lt;=7,"3",IF($F11&lt;=8,"2","0")))))+0</f>
        <v>4</v>
      </c>
      <c r="AL11" s="209">
        <f>(IF($G11&lt;=0,"0",IF($G11&lt;=6,"4",IF($G11&lt;=7,"3",IF($G11&lt;=8,"2","0")))))+0</f>
        <v>0</v>
      </c>
      <c r="AM11" s="209">
        <f>(IF($H11&lt;=0,"0",IF($H11&lt;=6,"4",IF($H11&lt;=7,"3",IF($H11&lt;=8,"2","0")))))+0</f>
        <v>4</v>
      </c>
      <c r="AN11" s="239">
        <f>SUM(AK11:AM11)</f>
        <v>8</v>
      </c>
      <c r="AO11" s="244" t="s">
        <v>547</v>
      </c>
      <c r="AP11" s="245" t="e">
        <f>(IF($E11&lt;=0,"0",IF($E11&lt;=20,"168",IF($E11&lt;=30,"165",IF($E11&lt;=50,"155",IF($E11&lt;=60,"135",IF($E11&lt;=70,"105",IF($E11&lt;=80,"60","0"))))))))+0</f>
        <v>#VALUE!</v>
      </c>
      <c r="AQ11" s="238" t="s">
        <v>548</v>
      </c>
      <c r="AR11" s="244" t="e">
        <f>(IF($E11&lt;=0,"0",IF($E11&lt;=80,"6","0")))+0</f>
        <v>#VALUE!</v>
      </c>
      <c r="AS11" s="244" t="e">
        <f>(IF($E11&lt;=0,"0",IF($E11&lt;=60,"9",IF($E11&lt;=70,"6","0"))))+0</f>
        <v>#VALUE!</v>
      </c>
      <c r="AT11" s="244" t="e">
        <f>(IF($E11&lt;=0,"0",IF($E11&lt;=40,"9",IF($E11&lt;=50,"6","0"))))+0</f>
        <v>#VALUE!</v>
      </c>
      <c r="AU11" s="246" t="e">
        <f>(IF($E11&lt;=0,"0",IF($E11&lt;=20,"1","0")))+0</f>
        <v>#VALUE!</v>
      </c>
      <c r="AV11" s="238" t="s">
        <v>207</v>
      </c>
      <c r="AW11" s="244" t="e">
        <f>(IF($E11&lt;=0,"0",IF($E11&lt;=70,"36",IF($E11&lt;=80,"24","0"))))+0</f>
        <v>#VALUE!</v>
      </c>
      <c r="AX11" s="244" t="e">
        <f>(IF($E11&lt;=0,"0",IF($E11&lt;=50,"30",IF($E11&lt;=60,"18","0"))))+0</f>
        <v>#VALUE!</v>
      </c>
      <c r="AY11" s="244" t="e">
        <f>(IF($E11&lt;=0,"0",IF($E11&lt;=20,"18",IF($E11&lt;=40,"15","0"))))+0</f>
        <v>#VALUE!</v>
      </c>
      <c r="AZ11" s="247">
        <f>Summary2831[[#This Row],[3*2]]+Summary2831[[#This Row],[3*22]]+Summary2831[[#This Row],[3*23]]</f>
        <v>57</v>
      </c>
      <c r="BA11" s="248">
        <f>Summary2831[[#This Row],[2*2]]+Summary2831[[#This Row],[2*23]]+Summary2831[[#This Row],[2*24]]</f>
        <v>66</v>
      </c>
      <c r="BB11" s="248">
        <f>Summary2831[[#This Row],[1*2]]+Summary2831[[#This Row],[1*24]]+Summary2831[[#This Row],[1*25]]</f>
        <v>18</v>
      </c>
      <c r="BC11" s="248">
        <f>IF($F11&lt;=0,"0",IF($F11&lt;=6,"19",IF($F11&lt;=7,"18",IF($F11&lt;=8,"9",0))))+0</f>
        <v>19</v>
      </c>
      <c r="BD11" s="248">
        <f>IF($F11&lt;=0,"0",IF($F11&lt;=2,"22",IF($F11&lt;=3,"19",IF($F11&lt;=4,"15",IF($F11&lt;=5,"9",0)))))+0</f>
        <v>22</v>
      </c>
      <c r="BE11" s="248">
        <f>IF($F11&lt;=0,"0",IF($F11&lt;=1,"6",0))+0</f>
        <v>6</v>
      </c>
      <c r="BF11" s="248">
        <f>IF($G11&lt;=0,"0",IF($G11&lt;=6,"19",IF($G11&lt;=7,"18",IF($G11&lt;=8,"9",0))))+0</f>
        <v>0</v>
      </c>
      <c r="BG11" s="248">
        <f>IF($G11&lt;=0,"0",IF($G11&lt;=2,"22",IF($G11&lt;=3,"19",IF($G11&lt;=4,"15",IF($G11&lt;=5,"9",0)))))+0</f>
        <v>0</v>
      </c>
      <c r="BH11" s="248">
        <f>IF($G11&lt;=0,"0",IF($G11&lt;=1,"6",0))+0</f>
        <v>0</v>
      </c>
      <c r="BI11" s="248">
        <f>IF($H11&lt;=0,"0",IF($H11&lt;=6,"19",IF($H11&lt;=7,"18",IF($H11&lt;=8,"9",0))))+0</f>
        <v>19</v>
      </c>
      <c r="BJ11" s="248">
        <f>IF($H11&lt;=0,"0",IF($H11&lt;=2,"22",IF($H11&lt;=3,"19",IF($H11&lt;=4,"15",IF($H11&lt;=5,"9",0)))))+0</f>
        <v>22</v>
      </c>
      <c r="BK11" s="248">
        <f>IF($H11&lt;=0,"0",IF($H11&lt;=1,"6",0))+0</f>
        <v>6</v>
      </c>
      <c r="BL11" s="238">
        <f>SUM(Summary2831[[#This Row],[3*
(Tal)]],Summary2831[[#This Row],[3*
(Asc)]])</f>
        <v>93</v>
      </c>
      <c r="BM11" s="244">
        <f>SUM(Summary2831[[#This Row],[2*
(Tal)]],Summary2831[[#This Row],[2*
(Asc)]])</f>
        <v>84</v>
      </c>
      <c r="BN11" s="246">
        <f>SUM(Summary2831[[#This Row],[1*
(Tal)]],Summary2831[[#This Row],[1*
(Asc)]])</f>
        <v>18</v>
      </c>
      <c r="BO11" s="216" t="e">
        <f>(IF($E11&lt;=0,"0",IF($E11&lt;=1,"2092530",IF($E11&lt;=10,"2087525",IF($E11&lt;=20,"2068495",IF($E11&lt;=30,"2005910",IF($E11&lt;=40,"1932830",IF($E11&lt;=50,"1777010",IF($E11&lt;=60,"1546185",IF($E11&lt;=70,"1227000",IF($E11&lt;=80,"804625",IF($E11&lt;=81,"647990",IF($E11&lt;=90,"0",0)))))))))))))+0</f>
        <v>#VALUE!</v>
      </c>
      <c r="BP11" s="249">
        <f>(IF($F11&lt;=0,"0",IF($F11&lt;=1,"952500",IF($F11&lt;=2,"940000",IF($F11&lt;=3,"922500",IF($F11&lt;=4,"897500",IF($F11&lt;=5,"867500",IF($F11&lt;=6,"830000",IF($F11&lt;=7,"710000",IF($F11&lt;=8,"450000",0))))))))))+0</f>
        <v>952500</v>
      </c>
      <c r="BQ11" s="249">
        <f>(IF($G11&lt;=0,"0",IF($G11&lt;=1,"952500",IF($G11&lt;=2,"940000",IF($G11&lt;=3,"922500",IF($G11&lt;=4,"897500",IF($G11&lt;=5,"867500",IF($G11&lt;=6,"830000",IF($G11&lt;=7,"710000",IF($G11&lt;=8,"450000",0))))))))))+0</f>
        <v>0</v>
      </c>
      <c r="BR11" s="249">
        <f>(IF($H11&lt;=0,"0",IF($H11&lt;=1,"952500",IF($H11&lt;=2,"940000",IF($H11&lt;=3,"922500",IF($H11&lt;=4,"897500",IF($H11&lt;=5,"867500",IF($H11&lt;=6,"830000",IF($H11&lt;=7,"710000",IF($H11&lt;=8,"450000",0))))))))))+0</f>
        <v>952500</v>
      </c>
      <c r="BS11" s="250" t="e">
        <f>SUM(BO11,BP11,BQ11,BR11)</f>
        <v>#VALUE!</v>
      </c>
    </row>
    <row r="12" spans="1:71" ht="30" customHeight="1">
      <c r="A12" s="196">
        <f ca="1">SUBTOTAL(3,$C$3:Character[[#This Row],[Name]])</f>
        <v>10</v>
      </c>
      <c r="B12" s="192" t="e" vm="578">
        <f>ImgDatabase!D12</f>
        <v>#VALUE!</v>
      </c>
      <c r="C12" s="197" t="s">
        <v>105</v>
      </c>
      <c r="D12" s="194" t="e" vm="31">
        <f>IFERROR(INDEX(CharacterDetailss[Element], MATCH(Character[[#This Row],[Name]], CharacterDetailss[Name], 0)), "")</f>
        <v>#VALUE!</v>
      </c>
      <c r="E12" s="194" t="e" vm="3">
        <f>IFERROR(INDEX(CharacterDetailss[Weapon Type], MATCH(Character[[#This Row],[Name]], CharacterDetailss[Name], 0)), "")</f>
        <v>#VALUE!</v>
      </c>
      <c r="F12" s="198">
        <v>1</v>
      </c>
      <c r="G12" s="14">
        <v>90</v>
      </c>
      <c r="H12" s="9">
        <v>1</v>
      </c>
      <c r="I12" s="2">
        <v>7</v>
      </c>
      <c r="J12" s="10">
        <v>10</v>
      </c>
      <c r="L12" s="75">
        <v>81</v>
      </c>
      <c r="M12" s="73">
        <v>1</v>
      </c>
      <c r="N12" s="74">
        <v>9</v>
      </c>
      <c r="O12" s="74">
        <v>9</v>
      </c>
      <c r="Q12" s="258" t="e" vm="381">
        <f>IFERROR(INDEX(ImgDatabase!$O:$O, MATCH(WorldBoss[[#This Row],[Boss Name]], ImgDatabase!$P:$P, 0)), "")</f>
        <v>#VALUE!</v>
      </c>
      <c r="R12" s="257" t="s">
        <v>136</v>
      </c>
      <c r="S12" s="301" t="e">
        <f>(IF($E12&lt;=0,"0",IF($E12&lt;=40,"46",IF($E12&lt;=50,"44",IF($E12&lt;=60,"40",IF($E12&lt;=70,"32",IF($E12&lt;=80,"20","0")))))))+0</f>
        <v>#VALUE!</v>
      </c>
      <c r="U1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2" s="253" t="s">
        <v>549</v>
      </c>
      <c r="W12" s="254">
        <f>Z12+AC12+AF12</f>
        <v>44</v>
      </c>
      <c r="X12" s="254">
        <f>AA12+AD12+AG12</f>
        <v>42</v>
      </c>
      <c r="Y12" s="255">
        <f>AB12+AE12+AH12</f>
        <v>6</v>
      </c>
      <c r="Z12" s="224">
        <f>(IF($F12&lt;=0,"0",IF($F12&lt;=6,"22",IF($F12&lt;=7,"18",IF($F12&lt;=8,"12",0)))))+0</f>
        <v>22</v>
      </c>
      <c r="AA12" s="225">
        <f>(IF($F12&lt;=0,"0",IF($F12&lt;=2,"21",IF($F12&lt;=3,"19",IF($F12&lt;=4,"15",IF($F12&lt;=5,"9",0))))))+0</f>
        <v>21</v>
      </c>
      <c r="AB12" s="225">
        <f>(IF($F12&lt;=0,"0",IF($F12&lt;=1,"3",0)))+0</f>
        <v>3</v>
      </c>
      <c r="AC12" s="225">
        <f>(IF($G12&lt;=0,"0",IF($G12&lt;=6,"22",IF($G12&lt;=7,"18",IF($G12&lt;=8,"12",0)))))+0</f>
        <v>0</v>
      </c>
      <c r="AD12" s="225">
        <f>(IF($G12&lt;=0,"0",IF($G12&lt;=2,"21",IF($G12&lt;=3,"19",IF($G12&lt;=4,"15",IF($G12&lt;=5,"9",0))))))+0</f>
        <v>0</v>
      </c>
      <c r="AE12" s="225">
        <f>(IF($G12&lt;=0,"0",IF($G12&lt;=1,"3",0)))+0</f>
        <v>0</v>
      </c>
      <c r="AF12" s="225">
        <f>(IF($H12&lt;=0,"0",IF($H12&lt;=6,"22",IF($H12&lt;=7,"18",IF($H12&lt;=8,"12",0)))))+0</f>
        <v>22</v>
      </c>
      <c r="AG12" s="225">
        <f>(IF($H12&lt;=0,"0",IF($H12&lt;=2,"21",IF($H12&lt;=3,"19",IF($H12&lt;=4,"15",IF($H12&lt;=5,"9",0))))))+0</f>
        <v>21</v>
      </c>
      <c r="AH12" s="226">
        <f>(IF($H12&lt;=0,"0",IF($H12&lt;=1,"3",0)))+0</f>
        <v>3</v>
      </c>
      <c r="AI12" s="256" t="s">
        <v>531</v>
      </c>
      <c r="AJ12" s="257" t="s">
        <v>550</v>
      </c>
      <c r="AK12" s="229">
        <f>(IF($F12&lt;=0,"0",IF($F12&lt;=6,"4",IF($F12&lt;=7,"3",IF($F12&lt;=8,"2","0")))))+0</f>
        <v>4</v>
      </c>
      <c r="AL12" s="229">
        <f>(IF($G12&lt;=0,"0",IF($G12&lt;=6,"4",IF($G12&lt;=7,"3",IF($G12&lt;=8,"2","0")))))+0</f>
        <v>0</v>
      </c>
      <c r="AM12" s="229">
        <f>(IF($H12&lt;=0,"0",IF($H12&lt;=6,"4",IF($H12&lt;=7,"3",IF($H12&lt;=8,"2","0")))))+0</f>
        <v>4</v>
      </c>
      <c r="AN12" s="252">
        <f>SUM(AK12:AM12)</f>
        <v>8</v>
      </c>
      <c r="AO12" s="257" t="s">
        <v>551</v>
      </c>
      <c r="AP12" s="258" t="e">
        <f>(IF($E12&lt;=0,"0",IF($E12&lt;=20,"168",IF($E12&lt;=30,"165",IF($E12&lt;=50,"155",IF($E12&lt;=60,"135",IF($E12&lt;=70,"105",IF($E12&lt;=80,"60","0"))))))))+0</f>
        <v>#VALUE!</v>
      </c>
      <c r="AQ12" s="251" t="s">
        <v>534</v>
      </c>
      <c r="AR12" s="257" t="e">
        <f>(IF($E12&lt;=0,"0",IF($E12&lt;=80,"6","0")))+0</f>
        <v>#VALUE!</v>
      </c>
      <c r="AS12" s="257" t="e">
        <f>(IF($E12&lt;=0,"0",IF($E12&lt;=60,"9",IF($E12&lt;=70,"6","0"))))+0</f>
        <v>#VALUE!</v>
      </c>
      <c r="AT12" s="257" t="e">
        <f>(IF($E12&lt;=0,"0",IF($E12&lt;=40,"9",IF($E12&lt;=50,"6","0"))))+0</f>
        <v>#VALUE!</v>
      </c>
      <c r="AU12" s="259" t="e">
        <f>(IF($E12&lt;=0,"0",IF($E12&lt;=20,"1","0")))+0</f>
        <v>#VALUE!</v>
      </c>
      <c r="AV12" s="251" t="s">
        <v>207</v>
      </c>
      <c r="AW12" s="257" t="e">
        <f>(IF($E12&lt;=0,"0",IF($E12&lt;=70,"36",IF($E12&lt;=80,"24","0"))))+0</f>
        <v>#VALUE!</v>
      </c>
      <c r="AX12" s="257" t="e">
        <f>(IF($E12&lt;=0,"0",IF($E12&lt;=50,"30",IF($E12&lt;=60,"18","0"))))+0</f>
        <v>#VALUE!</v>
      </c>
      <c r="AY12" s="257" t="e">
        <f>(IF($E12&lt;=0,"0",IF($E12&lt;=20,"18",IF($E12&lt;=40,"15","0"))))+0</f>
        <v>#VALUE!</v>
      </c>
      <c r="AZ12" s="260">
        <f>Summary2831[[#This Row],[3*2]]+Summary2831[[#This Row],[3*22]]+Summary2831[[#This Row],[3*23]]</f>
        <v>37</v>
      </c>
      <c r="BA12" s="261">
        <f>Summary2831[[#This Row],[2*2]]+Summary2831[[#This Row],[2*23]]+Summary2831[[#This Row],[2*24]]</f>
        <v>22</v>
      </c>
      <c r="BB12" s="261">
        <f>Summary2831[[#This Row],[1*2]]+Summary2831[[#This Row],[1*24]]+Summary2831[[#This Row],[1*25]]</f>
        <v>6</v>
      </c>
      <c r="BC12" s="261">
        <f>IF($F12&lt;=0,"0",IF($F12&lt;=6,"19",IF($F12&lt;=7,"18",IF($F12&lt;=8,"9",0))))+0</f>
        <v>19</v>
      </c>
      <c r="BD12" s="261">
        <f>IF($F12&lt;=0,"0",IF($F12&lt;=2,"22",IF($F12&lt;=3,"19",IF($F12&lt;=4,"15",IF($F12&lt;=5,"9",0)))))+0</f>
        <v>22</v>
      </c>
      <c r="BE12" s="261">
        <f>IF($F12&lt;=0,"0",IF($F12&lt;=1,"6",0))+0</f>
        <v>6</v>
      </c>
      <c r="BF12" s="261">
        <f>IF($G12&lt;=0,"0",IF($G12&lt;=6,"19",IF($G12&lt;=7,"18",IF($G12&lt;=8,"9",0))))+0</f>
        <v>0</v>
      </c>
      <c r="BG12" s="261">
        <f>IF($G12&lt;=0,"0",IF($G12&lt;=2,"22",IF($G12&lt;=3,"19",IF($G12&lt;=4,"15",IF($G12&lt;=5,"9",0)))))+0</f>
        <v>0</v>
      </c>
      <c r="BH12" s="261">
        <f>IF($G12&lt;=0,"0",IF($G12&lt;=1,"6",0))+0</f>
        <v>0</v>
      </c>
      <c r="BI12" s="261">
        <f>IF($H12&lt;=0,"0",IF($H12&lt;=6,"19",IF($H12&lt;=7,"18",IF($H12&lt;=8,"9",0))))+0</f>
        <v>19</v>
      </c>
      <c r="BJ12" s="261">
        <f>IF($H12&lt;=0,"0",IF($H12&lt;=2,"22",IF($H12&lt;=3,"19",IF($H12&lt;=4,"15",IF($H12&lt;=5,"9",0)))))+0</f>
        <v>22</v>
      </c>
      <c r="BK12" s="261">
        <f>IF($H12&lt;=0,"0",IF($H12&lt;=1,"6",0))+0</f>
        <v>6</v>
      </c>
      <c r="BL12" s="251">
        <f>SUM(Summary2831[[#This Row],[3*
(Tal)]],Summary2831[[#This Row],[3*
(Asc)]])</f>
        <v>37</v>
      </c>
      <c r="BM12" s="257">
        <f>SUM(Summary2831[[#This Row],[2*
(Tal)]],Summary2831[[#This Row],[2*
(Asc)]])</f>
        <v>22</v>
      </c>
      <c r="BN12" s="259">
        <f>SUM(Summary2831[[#This Row],[1*
(Tal)]],Summary2831[[#This Row],[1*
(Asc)]])</f>
        <v>6</v>
      </c>
      <c r="BO12" s="235" t="e">
        <f>(IF($E12&lt;=0,"0",IF($E12&lt;=1,"2092530",IF($E12&lt;=10,"2087525",IF($E12&lt;=20,"2068495",IF($E12&lt;=30,"2005910",IF($E12&lt;=40,"1932830",IF($E12&lt;=50,"1777010",IF($E12&lt;=60,"1546185",IF($E12&lt;=70,"1227000",IF($E12&lt;=80,"804625",IF($E12&lt;=81,"647990",IF($E12&lt;=90,"0",0)))))))))))))+0</f>
        <v>#VALUE!</v>
      </c>
      <c r="BP12" s="262">
        <f>(IF($F12&lt;=0,"0",IF($F12&lt;=1,"952500",IF($F12&lt;=2,"940000",IF($F12&lt;=3,"922500",IF($F12&lt;=4,"897500",IF($F12&lt;=5,"867500",IF($F12&lt;=6,"830000",IF($F12&lt;=7,"710000",IF($F12&lt;=8,"450000",0))))))))))+0</f>
        <v>952500</v>
      </c>
      <c r="BQ12" s="262">
        <f>(IF($G12&lt;=0,"0",IF($G12&lt;=1,"952500",IF($G12&lt;=2,"940000",IF($G12&lt;=3,"922500",IF($G12&lt;=4,"897500",IF($G12&lt;=5,"867500",IF($G12&lt;=6,"830000",IF($G12&lt;=7,"710000",IF($G12&lt;=8,"450000",0))))))))))+0</f>
        <v>0</v>
      </c>
      <c r="BR12" s="262">
        <f>(IF($H12&lt;=0,"0",IF($H12&lt;=1,"952500",IF($H12&lt;=2,"940000",IF($H12&lt;=3,"922500",IF($H12&lt;=4,"897500",IF($H12&lt;=5,"867500",IF($H12&lt;=6,"830000",IF($H12&lt;=7,"710000",IF($H12&lt;=8,"450000",0))))))))))+0</f>
        <v>952500</v>
      </c>
      <c r="BS12" s="263" t="e">
        <f>SUM(BO12,BP12,BQ12,BR12)</f>
        <v>#VALUE!</v>
      </c>
    </row>
    <row r="13" spans="1:71" ht="30" customHeight="1">
      <c r="A13" s="196">
        <f ca="1">SUBTOTAL(3,$C$3:Character[[#This Row],[Name]])</f>
        <v>11</v>
      </c>
      <c r="B13" s="192" t="e" vm="579">
        <f>ImgDatabase!D13</f>
        <v>#VALUE!</v>
      </c>
      <c r="C13" s="197" t="s">
        <v>442</v>
      </c>
      <c r="D13" s="194" t="e" vm="58">
        <f>IFERROR(INDEX(CharacterDetailss[Element], MATCH(Character[[#This Row],[Name]], CharacterDetailss[Name], 0)), "")</f>
        <v>#VALUE!</v>
      </c>
      <c r="E13" s="194" t="e" vm="331">
        <f>IFERROR(INDEX(CharacterDetailss[Weapon Type], MATCH(Character[[#This Row],[Name]], CharacterDetailss[Name], 0)), "")</f>
        <v>#VALUE!</v>
      </c>
      <c r="F13" s="195">
        <v>3.1</v>
      </c>
      <c r="G13" s="14">
        <v>21</v>
      </c>
      <c r="H13" s="9">
        <v>1</v>
      </c>
      <c r="I13" s="2">
        <v>1</v>
      </c>
      <c r="J13" s="10">
        <v>1</v>
      </c>
      <c r="L13" s="75">
        <v>81</v>
      </c>
      <c r="M13" s="73">
        <v>1</v>
      </c>
      <c r="N13" s="74">
        <v>9</v>
      </c>
      <c r="O13" s="74">
        <v>9</v>
      </c>
      <c r="Q13" s="245" t="e" vm="465">
        <f>IFERROR(INDEX(ImgDatabase!$O:$O, MATCH(WorldBoss[[#This Row],[Boss Name]], ImgDatabase!$P:$P, 0)), "")</f>
        <v>#VALUE!</v>
      </c>
      <c r="R13" s="244" t="s">
        <v>270</v>
      </c>
      <c r="S13" s="300" t="e">
        <f>(IF($E13&lt;=0,"0",IF($E13&lt;=40,"46",IF($E13&lt;=50,"44",IF($E13&lt;=60,"40",IF($E13&lt;=70,"32",IF($E13&lt;=80,"20","0")))))))+0</f>
        <v>#VALUE!</v>
      </c>
      <c r="U1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13" s="240" t="s">
        <v>552</v>
      </c>
      <c r="W13" s="241">
        <f>Z13+AC13+AF13</f>
        <v>44</v>
      </c>
      <c r="X13" s="241">
        <f>AA13+AD13+AG13</f>
        <v>36</v>
      </c>
      <c r="Y13" s="242">
        <f>AB13+AE13+AH13</f>
        <v>3</v>
      </c>
      <c r="Z13" s="204">
        <f>(IF($F13&lt;=0,"0",IF($F13&lt;=6,"22",IF($F13&lt;=7,"18",IF($F13&lt;=8,"12",0)))))+0</f>
        <v>22</v>
      </c>
      <c r="AA13" s="205">
        <f>(IF($F13&lt;=0,"0",IF($F13&lt;=2,"21",IF($F13&lt;=3,"19",IF($F13&lt;=4,"15",IF($F13&lt;=5,"9",0))))))+0</f>
        <v>15</v>
      </c>
      <c r="AB13" s="205">
        <f>(IF($F13&lt;=0,"0",IF($F13&lt;=1,"3",0)))+0</f>
        <v>0</v>
      </c>
      <c r="AC13" s="205">
        <f>(IF($G13&lt;=0,"0",IF($G13&lt;=6,"22",IF($G13&lt;=7,"18",IF($G13&lt;=8,"12",0)))))+0</f>
        <v>0</v>
      </c>
      <c r="AD13" s="205">
        <f>(IF($G13&lt;=0,"0",IF($G13&lt;=2,"21",IF($G13&lt;=3,"19",IF($G13&lt;=4,"15",IF($G13&lt;=5,"9",0))))))+0</f>
        <v>0</v>
      </c>
      <c r="AE13" s="205">
        <f>(IF($G13&lt;=0,"0",IF($G13&lt;=1,"3",0)))+0</f>
        <v>0</v>
      </c>
      <c r="AF13" s="205">
        <f>(IF($H13&lt;=0,"0",IF($H13&lt;=6,"22",IF($H13&lt;=7,"18",IF($H13&lt;=8,"12",0)))))+0</f>
        <v>22</v>
      </c>
      <c r="AG13" s="205">
        <f>(IF($H13&lt;=0,"0",IF($H13&lt;=2,"21",IF($H13&lt;=3,"19",IF($H13&lt;=4,"15",IF($H13&lt;=5,"9",0))))))+0</f>
        <v>21</v>
      </c>
      <c r="AH13" s="206">
        <f>(IF($H13&lt;=0,"0",IF($H13&lt;=1,"3",0)))+0</f>
        <v>3</v>
      </c>
      <c r="AI13" s="243" t="s">
        <v>553</v>
      </c>
      <c r="AJ13" s="244" t="s">
        <v>554</v>
      </c>
      <c r="AK13" s="209">
        <f>(IF($F13&lt;=0,"0",IF($F13&lt;=6,"4",IF($F13&lt;=7,"3",IF($F13&lt;=8,"2","0")))))+0</f>
        <v>4</v>
      </c>
      <c r="AL13" s="209">
        <f>(IF($G13&lt;=0,"0",IF($G13&lt;=6,"4",IF($G13&lt;=7,"3",IF($G13&lt;=8,"2","0")))))+0</f>
        <v>0</v>
      </c>
      <c r="AM13" s="209">
        <f>(IF($H13&lt;=0,"0",IF($H13&lt;=6,"4",IF($H13&lt;=7,"3",IF($H13&lt;=8,"2","0")))))+0</f>
        <v>4</v>
      </c>
      <c r="AN13" s="239">
        <f>SUM(AK13:AM13)</f>
        <v>8</v>
      </c>
      <c r="AO13" s="244" t="s">
        <v>555</v>
      </c>
      <c r="AP13" s="245" t="e">
        <f>(IF($E13&lt;=0,"0",IF($E13&lt;=20,"168",IF($E13&lt;=30,"165",IF($E13&lt;=50,"155",IF($E13&lt;=60,"135",IF($E13&lt;=70,"105",IF($E13&lt;=80,"60","0"))))))))+0</f>
        <v>#VALUE!</v>
      </c>
      <c r="AQ13" s="238" t="s">
        <v>546</v>
      </c>
      <c r="AR13" s="244" t="e">
        <f>(IF($E13&lt;=0,"0",IF($E13&lt;=80,"6","0")))+0</f>
        <v>#VALUE!</v>
      </c>
      <c r="AS13" s="244" t="e">
        <f>(IF($E13&lt;=0,"0",IF($E13&lt;=60,"9",IF($E13&lt;=70,"6","0"))))+0</f>
        <v>#VALUE!</v>
      </c>
      <c r="AT13" s="244" t="e">
        <f>(IF($E13&lt;=0,"0",IF($E13&lt;=40,"9",IF($E13&lt;=50,"6","0"))))+0</f>
        <v>#VALUE!</v>
      </c>
      <c r="AU13" s="246" t="e">
        <f>(IF($E13&lt;=0,"0",IF($E13&lt;=20,"1","0")))+0</f>
        <v>#VALUE!</v>
      </c>
      <c r="AV13" s="238" t="s">
        <v>46</v>
      </c>
      <c r="AW13" s="244" t="e">
        <f>(IF($E13&lt;=0,"0",IF($E13&lt;=70,"36",IF($E13&lt;=80,"24","0"))))+0</f>
        <v>#VALUE!</v>
      </c>
      <c r="AX13" s="244" t="e">
        <f>(IF($E13&lt;=0,"0",IF($E13&lt;=50,"30",IF($E13&lt;=60,"18","0"))))+0</f>
        <v>#VALUE!</v>
      </c>
      <c r="AY13" s="244" t="e">
        <f>(IF($E13&lt;=0,"0",IF($E13&lt;=20,"18",IF($E13&lt;=40,"15","0"))))+0</f>
        <v>#VALUE!</v>
      </c>
      <c r="AZ13" s="247">
        <f>Summary2831[[#This Row],[3*2]]+Summary2831[[#This Row],[3*22]]+Summary2831[[#This Row],[3*23]]</f>
        <v>57</v>
      </c>
      <c r="BA13" s="248">
        <f>Summary2831[[#This Row],[2*2]]+Summary2831[[#This Row],[2*23]]+Summary2831[[#This Row],[2*24]]</f>
        <v>66</v>
      </c>
      <c r="BB13" s="248">
        <f>Summary2831[[#This Row],[1*2]]+Summary2831[[#This Row],[1*24]]+Summary2831[[#This Row],[1*25]]</f>
        <v>18</v>
      </c>
      <c r="BC13" s="248">
        <f>IF($F13&lt;=0,"0",IF($F13&lt;=6,"19",IF($F13&lt;=7,"18",IF($F13&lt;=8,"9",0))))+0</f>
        <v>19</v>
      </c>
      <c r="BD13" s="248">
        <f>IF($F13&lt;=0,"0",IF($F13&lt;=2,"22",IF($F13&lt;=3,"19",IF($F13&lt;=4,"15",IF($F13&lt;=5,"9",0)))))+0</f>
        <v>15</v>
      </c>
      <c r="BE13" s="248">
        <f>IF($F13&lt;=0,"0",IF($F13&lt;=1,"6",0))+0</f>
        <v>0</v>
      </c>
      <c r="BF13" s="248">
        <f>IF($G13&lt;=0,"0",IF($G13&lt;=6,"19",IF($G13&lt;=7,"18",IF($G13&lt;=8,"9",0))))+0</f>
        <v>0</v>
      </c>
      <c r="BG13" s="248">
        <f>IF($G13&lt;=0,"0",IF($G13&lt;=2,"22",IF($G13&lt;=3,"19",IF($G13&lt;=4,"15",IF($G13&lt;=5,"9",0)))))+0</f>
        <v>0</v>
      </c>
      <c r="BH13" s="248">
        <f>IF($G13&lt;=0,"0",IF($G13&lt;=1,"6",0))+0</f>
        <v>0</v>
      </c>
      <c r="BI13" s="248">
        <f>IF($H13&lt;=0,"0",IF($H13&lt;=6,"19",IF($H13&lt;=7,"18",IF($H13&lt;=8,"9",0))))+0</f>
        <v>19</v>
      </c>
      <c r="BJ13" s="248">
        <f>IF($H13&lt;=0,"0",IF($H13&lt;=2,"22",IF($H13&lt;=3,"19",IF($H13&lt;=4,"15",IF($H13&lt;=5,"9",0)))))+0</f>
        <v>22</v>
      </c>
      <c r="BK13" s="248">
        <f>IF($H13&lt;=0,"0",IF($H13&lt;=1,"6",0))+0</f>
        <v>6</v>
      </c>
      <c r="BL13" s="238">
        <f>SUM(Summary2831[[#This Row],[3*
(Tal)]],Summary2831[[#This Row],[3*
(Asc)]])</f>
        <v>93</v>
      </c>
      <c r="BM13" s="244">
        <f>SUM(Summary2831[[#This Row],[2*
(Tal)]],Summary2831[[#This Row],[2*
(Asc)]])</f>
        <v>96</v>
      </c>
      <c r="BN13" s="246">
        <f>SUM(Summary2831[[#This Row],[1*
(Tal)]],Summary2831[[#This Row],[1*
(Asc)]])</f>
        <v>33</v>
      </c>
      <c r="BO13" s="216" t="e">
        <f>(IF($E13&lt;=0,"0",IF($E13&lt;=1,"2092530",IF($E13&lt;=10,"2087525",IF($E13&lt;=20,"2068495",IF($E13&lt;=30,"2005910",IF($E13&lt;=40,"1932830",IF($E13&lt;=50,"1777010",IF($E13&lt;=60,"1546185",IF($E13&lt;=70,"1227000",IF($E13&lt;=80,"804625",IF($E13&lt;=81,"647990",IF($E13&lt;=90,"0",0)))))))))))))+0</f>
        <v>#VALUE!</v>
      </c>
      <c r="BP13" s="249">
        <f>(IF($F13&lt;=0,"0",IF($F13&lt;=1,"952500",IF($F13&lt;=2,"940000",IF($F13&lt;=3,"922500",IF($F13&lt;=4,"897500",IF($F13&lt;=5,"867500",IF($F13&lt;=6,"830000",IF($F13&lt;=7,"710000",IF($F13&lt;=8,"450000",0))))))))))+0</f>
        <v>897500</v>
      </c>
      <c r="BQ13" s="249">
        <f>(IF($G13&lt;=0,"0",IF($G13&lt;=1,"952500",IF($G13&lt;=2,"940000",IF($G13&lt;=3,"922500",IF($G13&lt;=4,"897500",IF($G13&lt;=5,"867500",IF($G13&lt;=6,"830000",IF($G13&lt;=7,"710000",IF($G13&lt;=8,"450000",0))))))))))+0</f>
        <v>0</v>
      </c>
      <c r="BR13" s="249">
        <f>(IF($H13&lt;=0,"0",IF($H13&lt;=1,"952500",IF($H13&lt;=2,"940000",IF($H13&lt;=3,"922500",IF($H13&lt;=4,"897500",IF($H13&lt;=5,"867500",IF($H13&lt;=6,"830000",IF($H13&lt;=7,"710000",IF($H13&lt;=8,"450000",0))))))))))+0</f>
        <v>952500</v>
      </c>
      <c r="BS13" s="250" t="e">
        <f>SUM(BO13,BP13,BQ13,BR13)</f>
        <v>#VALUE!</v>
      </c>
    </row>
    <row r="14" spans="1:71" s="81" customFormat="1" ht="30" customHeight="1">
      <c r="A14" s="196">
        <f ca="1">SUBTOTAL(3,$C$3:Character[[#This Row],[Name]])</f>
        <v>12</v>
      </c>
      <c r="B14" s="192" t="e" vm="580">
        <f>ImgDatabase!D14</f>
        <v>#VALUE!</v>
      </c>
      <c r="C14" s="197" t="s">
        <v>427</v>
      </c>
      <c r="D14" s="194" t="e" vm="84">
        <f>IFERROR(INDEX(CharacterDetailss[Element], MATCH(Character[[#This Row],[Name]], CharacterDetailss[Name], 0)), "")</f>
        <v>#VALUE!</v>
      </c>
      <c r="E14" s="194" t="e" vm="312">
        <f>IFERROR(INDEX(CharacterDetailss[Weapon Type], MATCH(Character[[#This Row],[Name]], CharacterDetailss[Name], 0)), "")</f>
        <v>#VALUE!</v>
      </c>
      <c r="F14" s="195">
        <v>4.2</v>
      </c>
      <c r="G14" s="14">
        <v>81</v>
      </c>
      <c r="H14" s="9">
        <v>1</v>
      </c>
      <c r="I14" s="2">
        <v>6</v>
      </c>
      <c r="J14" s="10">
        <v>6</v>
      </c>
      <c r="K14"/>
      <c r="L14" s="75">
        <v>81</v>
      </c>
      <c r="M14" s="73">
        <v>1</v>
      </c>
      <c r="N14" s="74">
        <v>9</v>
      </c>
      <c r="O14" s="74">
        <v>9</v>
      </c>
      <c r="P14"/>
      <c r="Q14" s="258" t="e" vm="506">
        <f>IFERROR(INDEX(ImgDatabase!$O:$O, MATCH(WorldBoss[[#This Row],[Boss Name]], ImgDatabase!$P:$P, 0)), "")</f>
        <v>#VALUE!</v>
      </c>
      <c r="R14" s="257" t="s">
        <v>325</v>
      </c>
      <c r="S14" s="301" t="e">
        <f>(IF($E14&lt;=0,"0",IF($E14&lt;=40,"46",IF($E14&lt;=50,"44",IF($E14&lt;=60,"40",IF($E14&lt;=70,"32",IF($E14&lt;=80,"20","0")))))))+0</f>
        <v>#VALUE!</v>
      </c>
      <c r="T14"/>
      <c r="U1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4" s="253" t="s">
        <v>556</v>
      </c>
      <c r="W14" s="254">
        <f>Z14+AC14+AF14</f>
        <v>44</v>
      </c>
      <c r="X14" s="254">
        <f>AA14+AD14+AG14</f>
        <v>30</v>
      </c>
      <c r="Y14" s="255">
        <f>AB14+AE14+AH14</f>
        <v>3</v>
      </c>
      <c r="Z14" s="224">
        <f>(IF($F14&lt;=0,"0",IF($F14&lt;=6,"22",IF($F14&lt;=7,"18",IF($F14&lt;=8,"12",0)))))+0</f>
        <v>22</v>
      </c>
      <c r="AA14" s="225">
        <f>(IF($F14&lt;=0,"0",IF($F14&lt;=2,"21",IF($F14&lt;=3,"19",IF($F14&lt;=4,"15",IF($F14&lt;=5,"9",0))))))+0</f>
        <v>9</v>
      </c>
      <c r="AB14" s="225">
        <f>(IF($F14&lt;=0,"0",IF($F14&lt;=1,"3",0)))+0</f>
        <v>0</v>
      </c>
      <c r="AC14" s="225">
        <f>(IF($G14&lt;=0,"0",IF($G14&lt;=6,"22",IF($G14&lt;=7,"18",IF($G14&lt;=8,"12",0)))))+0</f>
        <v>0</v>
      </c>
      <c r="AD14" s="225">
        <f>(IF($G14&lt;=0,"0",IF($G14&lt;=2,"21",IF($G14&lt;=3,"19",IF($G14&lt;=4,"15",IF($G14&lt;=5,"9",0))))))+0</f>
        <v>0</v>
      </c>
      <c r="AE14" s="225">
        <f>(IF($G14&lt;=0,"0",IF($G14&lt;=1,"3",0)))+0</f>
        <v>0</v>
      </c>
      <c r="AF14" s="225">
        <f>(IF($H14&lt;=0,"0",IF($H14&lt;=6,"22",IF($H14&lt;=7,"18",IF($H14&lt;=8,"12",0)))))+0</f>
        <v>22</v>
      </c>
      <c r="AG14" s="225">
        <f>(IF($H14&lt;=0,"0",IF($H14&lt;=2,"21",IF($H14&lt;=3,"19",IF($H14&lt;=4,"15",IF($H14&lt;=5,"9",0))))))+0</f>
        <v>21</v>
      </c>
      <c r="AH14" s="226">
        <f>(IF($H14&lt;=0,"0",IF($H14&lt;=1,"3",0)))+0</f>
        <v>3</v>
      </c>
      <c r="AI14" s="256" t="s">
        <v>557</v>
      </c>
      <c r="AJ14" s="257" t="s">
        <v>558</v>
      </c>
      <c r="AK14" s="229">
        <f>(IF($F14&lt;=0,"0",IF($F14&lt;=6,"4",IF($F14&lt;=7,"3",IF($F14&lt;=8,"2","0")))))+0</f>
        <v>4</v>
      </c>
      <c r="AL14" s="229">
        <f>(IF($G14&lt;=0,"0",IF($G14&lt;=6,"4",IF($G14&lt;=7,"3",IF($G14&lt;=8,"2","0")))))+0</f>
        <v>0</v>
      </c>
      <c r="AM14" s="229">
        <f>(IF($H14&lt;=0,"0",IF($H14&lt;=6,"4",IF($H14&lt;=7,"3",IF($H14&lt;=8,"2","0")))))+0</f>
        <v>4</v>
      </c>
      <c r="AN14" s="252">
        <f>SUM(AK14:AM14)</f>
        <v>8</v>
      </c>
      <c r="AO14" s="257" t="s">
        <v>559</v>
      </c>
      <c r="AP14" s="258" t="e">
        <f>(IF($E14&lt;=0,"0",IF($E14&lt;=20,"168",IF($E14&lt;=30,"165",IF($E14&lt;=50,"155",IF($E14&lt;=60,"135",IF($E14&lt;=70,"105",IF($E14&lt;=80,"60","0"))))))))+0</f>
        <v>#VALUE!</v>
      </c>
      <c r="AQ14" s="251" t="s">
        <v>530</v>
      </c>
      <c r="AR14" s="257" t="e">
        <f>(IF($E14&lt;=0,"0",IF($E14&lt;=80,"6","0")))+0</f>
        <v>#VALUE!</v>
      </c>
      <c r="AS14" s="257" t="e">
        <f>(IF($E14&lt;=0,"0",IF($E14&lt;=60,"9",IF($E14&lt;=70,"6","0"))))+0</f>
        <v>#VALUE!</v>
      </c>
      <c r="AT14" s="257" t="e">
        <f>(IF($E14&lt;=0,"0",IF($E14&lt;=40,"9",IF($E14&lt;=50,"6","0"))))+0</f>
        <v>#VALUE!</v>
      </c>
      <c r="AU14" s="259" t="e">
        <f>(IF($E14&lt;=0,"0",IF($E14&lt;=20,"1","0")))+0</f>
        <v>#VALUE!</v>
      </c>
      <c r="AV14" s="251" t="s">
        <v>385</v>
      </c>
      <c r="AW14" s="257" t="e">
        <f>(IF($E14&lt;=0,"0",IF($E14&lt;=70,"36",IF($E14&lt;=80,"24","0"))))+0</f>
        <v>#VALUE!</v>
      </c>
      <c r="AX14" s="257" t="e">
        <f>(IF($E14&lt;=0,"0",IF($E14&lt;=50,"30",IF($E14&lt;=60,"18","0"))))+0</f>
        <v>#VALUE!</v>
      </c>
      <c r="AY14" s="257" t="e">
        <f>(IF($E14&lt;=0,"0",IF($E14&lt;=20,"18",IF($E14&lt;=40,"15","0"))))+0</f>
        <v>#VALUE!</v>
      </c>
      <c r="AZ14" s="260">
        <f>Summary2831[[#This Row],[3*2]]+Summary2831[[#This Row],[3*22]]+Summary2831[[#This Row],[3*23]]</f>
        <v>57</v>
      </c>
      <c r="BA14" s="261">
        <f>Summary2831[[#This Row],[2*2]]+Summary2831[[#This Row],[2*23]]+Summary2831[[#This Row],[2*24]]</f>
        <v>22</v>
      </c>
      <c r="BB14" s="261">
        <f>Summary2831[[#This Row],[1*2]]+Summary2831[[#This Row],[1*24]]+Summary2831[[#This Row],[1*25]]</f>
        <v>6</v>
      </c>
      <c r="BC14" s="261">
        <f>IF($F14&lt;=0,"0",IF($F14&lt;=6,"19",IF($F14&lt;=7,"18",IF($F14&lt;=8,"9",0))))+0</f>
        <v>19</v>
      </c>
      <c r="BD14" s="261">
        <f>IF($F14&lt;=0,"0",IF($F14&lt;=2,"22",IF($F14&lt;=3,"19",IF($F14&lt;=4,"15",IF($F14&lt;=5,"9",0)))))+0</f>
        <v>9</v>
      </c>
      <c r="BE14" s="261">
        <f>IF($F14&lt;=0,"0",IF($F14&lt;=1,"6",0))+0</f>
        <v>0</v>
      </c>
      <c r="BF14" s="261">
        <f>IF($G14&lt;=0,"0",IF($G14&lt;=6,"19",IF($G14&lt;=7,"18",IF($G14&lt;=8,"9",0))))+0</f>
        <v>0</v>
      </c>
      <c r="BG14" s="261">
        <f>IF($G14&lt;=0,"0",IF($G14&lt;=2,"22",IF($G14&lt;=3,"19",IF($G14&lt;=4,"15",IF($G14&lt;=5,"9",0)))))+0</f>
        <v>0</v>
      </c>
      <c r="BH14" s="261">
        <f>IF($G14&lt;=0,"0",IF($G14&lt;=1,"6",0))+0</f>
        <v>0</v>
      </c>
      <c r="BI14" s="261">
        <f>IF($H14&lt;=0,"0",IF($H14&lt;=6,"19",IF($H14&lt;=7,"18",IF($H14&lt;=8,"9",0))))+0</f>
        <v>19</v>
      </c>
      <c r="BJ14" s="261">
        <f>IF($H14&lt;=0,"0",IF($H14&lt;=2,"22",IF($H14&lt;=3,"19",IF($H14&lt;=4,"15",IF($H14&lt;=5,"9",0)))))+0</f>
        <v>22</v>
      </c>
      <c r="BK14" s="261">
        <f>IF($H14&lt;=0,"0",IF($H14&lt;=1,"6",0))+0</f>
        <v>6</v>
      </c>
      <c r="BL14" s="251">
        <f>SUM(Summary2831[[#This Row],[3*
(Tal)]],Summary2831[[#This Row],[3*
(Asc)]])</f>
        <v>57</v>
      </c>
      <c r="BM14" s="257">
        <f>SUM(Summary2831[[#This Row],[2*
(Tal)]],Summary2831[[#This Row],[2*
(Asc)]])</f>
        <v>22</v>
      </c>
      <c r="BN14" s="259">
        <f>SUM(Summary2831[[#This Row],[1*
(Tal)]],Summary2831[[#This Row],[1*
(Asc)]])</f>
        <v>6</v>
      </c>
      <c r="BO14" s="235" t="e">
        <f>(IF($E14&lt;=0,"0",IF($E14&lt;=1,"2092530",IF($E14&lt;=10,"2087525",IF($E14&lt;=20,"2068495",IF($E14&lt;=30,"2005910",IF($E14&lt;=40,"1932830",IF($E14&lt;=50,"1777010",IF($E14&lt;=60,"1546185",IF($E14&lt;=70,"1227000",IF($E14&lt;=80,"804625",IF($E14&lt;=81,"647990",IF($E14&lt;=90,"0",0)))))))))))))+0</f>
        <v>#VALUE!</v>
      </c>
      <c r="BP14" s="262">
        <f>(IF($F14&lt;=0,"0",IF($F14&lt;=1,"952500",IF($F14&lt;=2,"940000",IF($F14&lt;=3,"922500",IF($F14&lt;=4,"897500",IF($F14&lt;=5,"867500",IF($F14&lt;=6,"830000",IF($F14&lt;=7,"710000",IF($F14&lt;=8,"450000",0))))))))))+0</f>
        <v>867500</v>
      </c>
      <c r="BQ14" s="262">
        <f>(IF($G14&lt;=0,"0",IF($G14&lt;=1,"952500",IF($G14&lt;=2,"940000",IF($G14&lt;=3,"922500",IF($G14&lt;=4,"897500",IF($G14&lt;=5,"867500",IF($G14&lt;=6,"830000",IF($G14&lt;=7,"710000",IF($G14&lt;=8,"450000",0))))))))))+0</f>
        <v>0</v>
      </c>
      <c r="BR14" s="262">
        <f>(IF($H14&lt;=0,"0",IF($H14&lt;=1,"952500",IF($H14&lt;=2,"940000",IF($H14&lt;=3,"922500",IF($H14&lt;=4,"897500",IF($H14&lt;=5,"867500",IF($H14&lt;=6,"830000",IF($H14&lt;=7,"710000",IF($H14&lt;=8,"450000",0))))))))))+0</f>
        <v>952500</v>
      </c>
      <c r="BS14" s="263" t="e">
        <f>SUM(BO14,BP14,BQ14,BR14)</f>
        <v>#VALUE!</v>
      </c>
    </row>
    <row r="15" spans="1:71" s="81" customFormat="1" ht="30" customHeight="1">
      <c r="A15" s="196">
        <f ca="1">SUBTOTAL(3,$C$3:Character[[#This Row],[Name]])</f>
        <v>13</v>
      </c>
      <c r="B15" s="192" t="e" vm="581">
        <f>ImgDatabase!D15</f>
        <v>#VALUE!</v>
      </c>
      <c r="C15" s="197" t="s">
        <v>443</v>
      </c>
      <c r="D15" s="194" t="e" vm="31">
        <f>IFERROR(INDEX(CharacterDetailss[Element], MATCH(Character[[#This Row],[Name]], CharacterDetailss[Name], 0)), "")</f>
        <v>#VALUE!</v>
      </c>
      <c r="E15" s="194" t="e" vm="331">
        <f>IFERROR(INDEX(CharacterDetailss[Weapon Type], MATCH(Character[[#This Row],[Name]], CharacterDetailss[Name], 0)), "")</f>
        <v>#VALUE!</v>
      </c>
      <c r="F15" s="198">
        <v>4.3</v>
      </c>
      <c r="G15" s="14">
        <v>0</v>
      </c>
      <c r="H15" s="9">
        <v>0</v>
      </c>
      <c r="I15" s="2">
        <v>0</v>
      </c>
      <c r="J15" s="10">
        <v>0</v>
      </c>
      <c r="K15"/>
      <c r="L15" s="75">
        <v>81</v>
      </c>
      <c r="M15" s="73">
        <v>1</v>
      </c>
      <c r="N15" s="74">
        <v>9</v>
      </c>
      <c r="O15" s="74">
        <v>9</v>
      </c>
      <c r="P15"/>
      <c r="Q15" s="245" t="e" vm="512">
        <f>IFERROR(INDEX(ImgDatabase!$O:$O, MATCH(WorldBoss[[#This Row],[Boss Name]], ImgDatabase!$P:$P, 0)), "")</f>
        <v>#VALUE!</v>
      </c>
      <c r="R15" s="244" t="s">
        <v>333</v>
      </c>
      <c r="S15" s="300" t="e">
        <f>(IF($E15&lt;=0,"0",IF($E15&lt;=40,"46",IF($E15&lt;=50,"44",IF($E15&lt;=60,"40",IF($E15&lt;=70,"32",IF($E15&lt;=80,"20","0")))))))+0</f>
        <v>#VALUE!</v>
      </c>
      <c r="T15"/>
      <c r="U1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5" s="240" t="s">
        <v>537</v>
      </c>
      <c r="W15" s="241">
        <f>Z15+AC15+AF15</f>
        <v>22</v>
      </c>
      <c r="X15" s="241">
        <f>AA15+AD15+AG15</f>
        <v>9</v>
      </c>
      <c r="Y15" s="242">
        <f>AB15+AE15+AH15</f>
        <v>0</v>
      </c>
      <c r="Z15" s="204">
        <f>(IF($F15&lt;=0,"0",IF($F15&lt;=6,"22",IF($F15&lt;=7,"18",IF($F15&lt;=8,"12",0)))))+0</f>
        <v>22</v>
      </c>
      <c r="AA15" s="205">
        <f>(IF($F15&lt;=0,"0",IF($F15&lt;=2,"21",IF($F15&lt;=3,"19",IF($F15&lt;=4,"15",IF($F15&lt;=5,"9",0))))))+0</f>
        <v>9</v>
      </c>
      <c r="AB15" s="205">
        <f>(IF($F15&lt;=0,"0",IF($F15&lt;=1,"3",0)))+0</f>
        <v>0</v>
      </c>
      <c r="AC15" s="205">
        <f>(IF($G15&lt;=0,"0",IF($G15&lt;=6,"22",IF($G15&lt;=7,"18",IF($G15&lt;=8,"12",0)))))+0</f>
        <v>0</v>
      </c>
      <c r="AD15" s="205">
        <f>(IF($G15&lt;=0,"0",IF($G15&lt;=2,"21",IF($G15&lt;=3,"19",IF($G15&lt;=4,"15",IF($G15&lt;=5,"9",0))))))+0</f>
        <v>0</v>
      </c>
      <c r="AE15" s="205">
        <f>(IF($G15&lt;=0,"0",IF($G15&lt;=1,"3",0)))+0</f>
        <v>0</v>
      </c>
      <c r="AF15" s="205">
        <f>(IF($H15&lt;=0,"0",IF($H15&lt;=6,"22",IF($H15&lt;=7,"18",IF($H15&lt;=8,"12",0)))))+0</f>
        <v>0</v>
      </c>
      <c r="AG15" s="205">
        <f>(IF($H15&lt;=0,"0",IF($H15&lt;=2,"21",IF($H15&lt;=3,"19",IF($H15&lt;=4,"15",IF($H15&lt;=5,"9",0))))))+0</f>
        <v>0</v>
      </c>
      <c r="AH15" s="206">
        <f>(IF($H15&lt;=0,"0",IF($H15&lt;=1,"3",0)))+0</f>
        <v>0</v>
      </c>
      <c r="AI15" s="243" t="s">
        <v>557</v>
      </c>
      <c r="AJ15" s="244" t="s">
        <v>558</v>
      </c>
      <c r="AK15" s="209">
        <f>(IF($F15&lt;=0,"0",IF($F15&lt;=6,"4",IF($F15&lt;=7,"3",IF($F15&lt;=8,"2","0")))))+0</f>
        <v>4</v>
      </c>
      <c r="AL15" s="209">
        <f>(IF($G15&lt;=0,"0",IF($G15&lt;=6,"4",IF($G15&lt;=7,"3",IF($G15&lt;=8,"2","0")))))+0</f>
        <v>0</v>
      </c>
      <c r="AM15" s="209">
        <f>(IF($H15&lt;=0,"0",IF($H15&lt;=6,"4",IF($H15&lt;=7,"3",IF($H15&lt;=8,"2","0")))))+0</f>
        <v>0</v>
      </c>
      <c r="AN15" s="239">
        <f>SUM(AK15:AM15)</f>
        <v>4</v>
      </c>
      <c r="AO15" s="244" t="s">
        <v>560</v>
      </c>
      <c r="AP15" s="245" t="e">
        <f>(IF($E15&lt;=0,"0",IF($E15&lt;=20,"168",IF($E15&lt;=30,"165",IF($E15&lt;=50,"155",IF($E15&lt;=60,"135",IF($E15&lt;=70,"105",IF($E15&lt;=80,"60","0"))))))))+0</f>
        <v>#VALUE!</v>
      </c>
      <c r="AQ15" s="238" t="s">
        <v>534</v>
      </c>
      <c r="AR15" s="244" t="e">
        <f>(IF($E15&lt;=0,"0",IF($E15&lt;=80,"6","0")))+0</f>
        <v>#VALUE!</v>
      </c>
      <c r="AS15" s="244" t="e">
        <f>(IF($E15&lt;=0,"0",IF($E15&lt;=60,"9",IF($E15&lt;=70,"6","0"))))+0</f>
        <v>#VALUE!</v>
      </c>
      <c r="AT15" s="244" t="e">
        <f>(IF($E15&lt;=0,"0",IF($E15&lt;=40,"9",IF($E15&lt;=50,"6","0"))))+0</f>
        <v>#VALUE!</v>
      </c>
      <c r="AU15" s="246" t="e">
        <f>(IF($E15&lt;=0,"0",IF($E15&lt;=20,"1","0")))+0</f>
        <v>#VALUE!</v>
      </c>
      <c r="AV15" s="238" t="s">
        <v>385</v>
      </c>
      <c r="AW15" s="244" t="e">
        <f>(IF($E15&lt;=0,"0",IF($E15&lt;=70,"36",IF($E15&lt;=80,"24","0"))))+0</f>
        <v>#VALUE!</v>
      </c>
      <c r="AX15" s="244" t="e">
        <f>(IF($E15&lt;=0,"0",IF($E15&lt;=50,"30",IF($E15&lt;=60,"18","0"))))+0</f>
        <v>#VALUE!</v>
      </c>
      <c r="AY15" s="244" t="e">
        <f>(IF($E15&lt;=0,"0",IF($E15&lt;=20,"18",IF($E15&lt;=40,"15","0"))))+0</f>
        <v>#VALUE!</v>
      </c>
      <c r="AZ15" s="247">
        <f>Summary2831[[#This Row],[3*2]]+Summary2831[[#This Row],[3*22]]+Summary2831[[#This Row],[3*23]]</f>
        <v>0</v>
      </c>
      <c r="BA15" s="248">
        <f>Summary2831[[#This Row],[2*2]]+Summary2831[[#This Row],[2*23]]+Summary2831[[#This Row],[2*24]]</f>
        <v>0</v>
      </c>
      <c r="BB15" s="248">
        <f>Summary2831[[#This Row],[1*2]]+Summary2831[[#This Row],[1*24]]+Summary2831[[#This Row],[1*25]]</f>
        <v>0</v>
      </c>
      <c r="BC15" s="248">
        <f>IF($F15&lt;=0,"0",IF($F15&lt;=6,"19",IF($F15&lt;=7,"18",IF($F15&lt;=8,"9",0))))+0</f>
        <v>19</v>
      </c>
      <c r="BD15" s="248">
        <f>IF($F15&lt;=0,"0",IF($F15&lt;=2,"22",IF($F15&lt;=3,"19",IF($F15&lt;=4,"15",IF($F15&lt;=5,"9",0)))))+0</f>
        <v>9</v>
      </c>
      <c r="BE15" s="248">
        <f>IF($F15&lt;=0,"0",IF($F15&lt;=1,"6",0))+0</f>
        <v>0</v>
      </c>
      <c r="BF15" s="248">
        <f>IF($G15&lt;=0,"0",IF($G15&lt;=6,"19",IF($G15&lt;=7,"18",IF($G15&lt;=8,"9",0))))+0</f>
        <v>0</v>
      </c>
      <c r="BG15" s="248">
        <f>IF($G15&lt;=0,"0",IF($G15&lt;=2,"22",IF($G15&lt;=3,"19",IF($G15&lt;=4,"15",IF($G15&lt;=5,"9",0)))))+0</f>
        <v>0</v>
      </c>
      <c r="BH15" s="248">
        <f>IF($G15&lt;=0,"0",IF($G15&lt;=1,"6",0))+0</f>
        <v>0</v>
      </c>
      <c r="BI15" s="248">
        <f>IF($H15&lt;=0,"0",IF($H15&lt;=6,"19",IF($H15&lt;=7,"18",IF($H15&lt;=8,"9",0))))+0</f>
        <v>0</v>
      </c>
      <c r="BJ15" s="248">
        <f>IF($H15&lt;=0,"0",IF($H15&lt;=2,"22",IF($H15&lt;=3,"19",IF($H15&lt;=4,"15",IF($H15&lt;=5,"9",0)))))+0</f>
        <v>0</v>
      </c>
      <c r="BK15" s="248">
        <f>IF($H15&lt;=0,"0",IF($H15&lt;=1,"6",0))+0</f>
        <v>0</v>
      </c>
      <c r="BL15" s="238">
        <f>SUM(Summary2831[[#This Row],[3*
(Tal)]],Summary2831[[#This Row],[3*
(Asc)]])</f>
        <v>0</v>
      </c>
      <c r="BM15" s="244">
        <f>SUM(Summary2831[[#This Row],[2*
(Tal)]],Summary2831[[#This Row],[2*
(Asc)]])</f>
        <v>0</v>
      </c>
      <c r="BN15" s="246">
        <f>SUM(Summary2831[[#This Row],[1*
(Tal)]],Summary2831[[#This Row],[1*
(Asc)]])</f>
        <v>0</v>
      </c>
      <c r="BO15" s="216" t="e">
        <f>(IF($E15&lt;=0,"0",IF($E15&lt;=1,"2092530",IF($E15&lt;=10,"2087525",IF($E15&lt;=20,"2068495",IF($E15&lt;=30,"2005910",IF($E15&lt;=40,"1932830",IF($E15&lt;=50,"1777010",IF($E15&lt;=60,"1546185",IF($E15&lt;=70,"1227000",IF($E15&lt;=80,"804625",IF($E15&lt;=81,"647990",IF($E15&lt;=90,"0",0)))))))))))))+0</f>
        <v>#VALUE!</v>
      </c>
      <c r="BP15" s="249">
        <f>(IF($F15&lt;=0,"0",IF($F15&lt;=1,"952500",IF($F15&lt;=2,"940000",IF($F15&lt;=3,"922500",IF($F15&lt;=4,"897500",IF($F15&lt;=5,"867500",IF($F15&lt;=6,"830000",IF($F15&lt;=7,"710000",IF($F15&lt;=8,"450000",0))))))))))+0</f>
        <v>867500</v>
      </c>
      <c r="BQ15" s="249">
        <f>(IF($G15&lt;=0,"0",IF($G15&lt;=1,"952500",IF($G15&lt;=2,"940000",IF($G15&lt;=3,"922500",IF($G15&lt;=4,"897500",IF($G15&lt;=5,"867500",IF($G15&lt;=6,"830000",IF($G15&lt;=7,"710000",IF($G15&lt;=8,"450000",0))))))))))+0</f>
        <v>0</v>
      </c>
      <c r="BR15" s="249">
        <f>(IF($H15&lt;=0,"0",IF($H15&lt;=1,"952500",IF($H15&lt;=2,"940000",IF($H15&lt;=3,"922500",IF($H15&lt;=4,"897500",IF($H15&lt;=5,"867500",IF($H15&lt;=6,"830000",IF($H15&lt;=7,"710000",IF($H15&lt;=8,"450000",0))))))))))+0</f>
        <v>0</v>
      </c>
      <c r="BS15" s="250" t="e">
        <f>SUM(BO15,BP15,BQ15,BR15)</f>
        <v>#VALUE!</v>
      </c>
    </row>
    <row r="16" spans="1:71" ht="30" customHeight="1">
      <c r="A16" s="192">
        <f ca="1">SUBTOTAL(3,$C$3:Character[[#This Row],[Name]])</f>
        <v>14</v>
      </c>
      <c r="B16" s="192" t="e" vm="582">
        <f>ImgDatabase!D16</f>
        <v>#VALUE!</v>
      </c>
      <c r="C16" s="193" t="s">
        <v>115</v>
      </c>
      <c r="D16" s="194" t="e" vm="4">
        <f>IFERROR(INDEX(CharacterDetailss[Element], MATCH(Character[[#This Row],[Name]], CharacterDetailss[Name], 0)), "")</f>
        <v>#VALUE!</v>
      </c>
      <c r="E16" s="194" t="e" vm="3">
        <f>IFERROR(INDEX(CharacterDetailss[Weapon Type], MATCH(Character[[#This Row],[Name]], CharacterDetailss[Name], 0)), "")</f>
        <v>#VALUE!</v>
      </c>
      <c r="F16" s="195">
        <v>4.5</v>
      </c>
      <c r="G16" s="72">
        <v>0</v>
      </c>
      <c r="H16" s="73">
        <v>0</v>
      </c>
      <c r="I16" s="74">
        <v>0</v>
      </c>
      <c r="J16" s="75">
        <v>0</v>
      </c>
      <c r="L16" s="75">
        <v>81</v>
      </c>
      <c r="M16" s="73">
        <v>1</v>
      </c>
      <c r="N16" s="74">
        <v>9</v>
      </c>
      <c r="O16" s="74">
        <v>9</v>
      </c>
      <c r="Q16" s="230" t="e" vm="488">
        <f>IFERROR(INDEX(ImgDatabase!$O:$O, MATCH(WorldBoss[[#This Row],[Boss Name]], ImgDatabase!$P:$P, 0)), "")</f>
        <v>#VALUE!</v>
      </c>
      <c r="R16" s="228" t="s">
        <v>300</v>
      </c>
      <c r="S16" s="297" t="e">
        <f>(IF($E16&lt;=0,"0",IF($E16&lt;=40,"46",IF($E16&lt;=50,"44",IF($E16&lt;=60,"40",IF($E16&lt;=70,"32",IF($E16&lt;=80,"20","0")))))))+0</f>
        <v>#VALUE!</v>
      </c>
      <c r="U1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6" s="222" t="s">
        <v>561</v>
      </c>
      <c r="W16" s="223">
        <f>Z16+AC16+AF16</f>
        <v>22</v>
      </c>
      <c r="X16" s="223">
        <f>AA16+AD16+AG16</f>
        <v>9</v>
      </c>
      <c r="Y16" s="221">
        <f>AB16+AE16+AH16</f>
        <v>0</v>
      </c>
      <c r="Z16" s="224">
        <f>(IF($F16&lt;=0,"0",IF($F16&lt;=6,"22",IF($F16&lt;=7,"18",IF($F16&lt;=8,"12",0)))))+0</f>
        <v>22</v>
      </c>
      <c r="AA16" s="225">
        <f>(IF($F16&lt;=0,"0",IF($F16&lt;=2,"21",IF($F16&lt;=3,"19",IF($F16&lt;=4,"15",IF($F16&lt;=5,"9",0))))))+0</f>
        <v>9</v>
      </c>
      <c r="AB16" s="225">
        <f>(IF($F16&lt;=0,"0",IF($F16&lt;=1,"3",0)))+0</f>
        <v>0</v>
      </c>
      <c r="AC16" s="225">
        <f>(IF($G16&lt;=0,"0",IF($G16&lt;=6,"22",IF($G16&lt;=7,"18",IF($G16&lt;=8,"12",0)))))+0</f>
        <v>0</v>
      </c>
      <c r="AD16" s="225">
        <f>(IF($G16&lt;=0,"0",IF($G16&lt;=2,"21",IF($G16&lt;=3,"19",IF($G16&lt;=4,"15",IF($G16&lt;=5,"9",0))))))+0</f>
        <v>0</v>
      </c>
      <c r="AE16" s="225">
        <f>(IF($G16&lt;=0,"0",IF($G16&lt;=1,"3",0)))+0</f>
        <v>0</v>
      </c>
      <c r="AF16" s="225">
        <f>(IF($H16&lt;=0,"0",IF($H16&lt;=6,"22",IF($H16&lt;=7,"18",IF($H16&lt;=8,"12",0)))))+0</f>
        <v>0</v>
      </c>
      <c r="AG16" s="225">
        <f>(IF($H16&lt;=0,"0",IF($H16&lt;=2,"21",IF($H16&lt;=3,"19",IF($H16&lt;=4,"15",IF($H16&lt;=5,"9",0))))))+0</f>
        <v>0</v>
      </c>
      <c r="AH16" s="226">
        <f>(IF($H16&lt;=0,"0",IF($H16&lt;=1,"3",0)))+0</f>
        <v>0</v>
      </c>
      <c r="AI16" s="227" t="s">
        <v>557</v>
      </c>
      <c r="AJ16" s="228" t="s">
        <v>558</v>
      </c>
      <c r="AK16" s="229">
        <f>(IF($F16&lt;=0,"0",IF($F16&lt;=6,"4",IF($F16&lt;=7,"3",IF($F16&lt;=8,"2","0")))))+0</f>
        <v>4</v>
      </c>
      <c r="AL16" s="229">
        <f>(IF($G16&lt;=0,"0",IF($G16&lt;=6,"4",IF($G16&lt;=7,"3",IF($G16&lt;=8,"2","0")))))+0</f>
        <v>0</v>
      </c>
      <c r="AM16" s="229">
        <f>(IF($H16&lt;=0,"0",IF($H16&lt;=6,"4",IF($H16&lt;=7,"3",IF($H16&lt;=8,"2","0")))))+0</f>
        <v>0</v>
      </c>
      <c r="AN16" s="220">
        <f>SUM(AK16:AM16)</f>
        <v>4</v>
      </c>
      <c r="AO16" s="228" t="s">
        <v>170</v>
      </c>
      <c r="AP16" s="230" t="e">
        <f>(IF($E16&lt;=0,"0",IF($E16&lt;=20,"168",IF($E16&lt;=30,"165",IF($E16&lt;=50,"155",IF($E16&lt;=60,"135",IF($E16&lt;=70,"105",IF($E16&lt;=80,"60","0"))))))))+0</f>
        <v>#VALUE!</v>
      </c>
      <c r="AQ16" s="219" t="s">
        <v>521</v>
      </c>
      <c r="AR16" s="228" t="e">
        <f>(IF($E16&lt;=0,"0",IF($E16&lt;=80,"6","0")))+0</f>
        <v>#VALUE!</v>
      </c>
      <c r="AS16" s="228" t="e">
        <f>(IF($E16&lt;=0,"0",IF($E16&lt;=60,"9",IF($E16&lt;=70,"6","0"))))+0</f>
        <v>#VALUE!</v>
      </c>
      <c r="AT16" s="228" t="e">
        <f>(IF($E16&lt;=0,"0",IF($E16&lt;=40,"9",IF($E16&lt;=50,"6","0"))))+0</f>
        <v>#VALUE!</v>
      </c>
      <c r="AU16" s="231" t="e">
        <f>(IF($E16&lt;=0,"0",IF($E16&lt;=20,"1","0")))+0</f>
        <v>#VALUE!</v>
      </c>
      <c r="AV16" s="251" t="s">
        <v>311</v>
      </c>
      <c r="AW16" s="228" t="e">
        <f>(IF($E16&lt;=0,"0",IF($E16&lt;=70,"36",IF($E16&lt;=80,"24","0"))))+0</f>
        <v>#VALUE!</v>
      </c>
      <c r="AX16" s="228" t="e">
        <f>(IF($E16&lt;=0,"0",IF($E16&lt;=50,"30",IF($E16&lt;=60,"18","0"))))+0</f>
        <v>#VALUE!</v>
      </c>
      <c r="AY16" s="228" t="e">
        <f>(IF($E16&lt;=0,"0",IF($E16&lt;=20,"18",IF($E16&lt;=40,"15","0"))))+0</f>
        <v>#VALUE!</v>
      </c>
      <c r="AZ16" s="232">
        <f>Summary2831[[#This Row],[3*2]]+Summary2831[[#This Row],[3*22]]+Summary2831[[#This Row],[3*23]]</f>
        <v>0</v>
      </c>
      <c r="BA16" s="233">
        <f>Summary2831[[#This Row],[2*2]]+Summary2831[[#This Row],[2*23]]+Summary2831[[#This Row],[2*24]]</f>
        <v>0</v>
      </c>
      <c r="BB16" s="233">
        <f>Summary2831[[#This Row],[1*2]]+Summary2831[[#This Row],[1*24]]+Summary2831[[#This Row],[1*25]]</f>
        <v>0</v>
      </c>
      <c r="BC16" s="234">
        <f>IF($F16&lt;=0,"0",IF($F16&lt;=6,"19",IF($F16&lt;=7,"18",IF($F16&lt;=8,"9",0))))+0</f>
        <v>19</v>
      </c>
      <c r="BD16" s="234">
        <f>IF($F16&lt;=0,"0",IF($F16&lt;=2,"22",IF($F16&lt;=3,"19",IF($F16&lt;=4,"15",IF($F16&lt;=5,"9",0)))))+0</f>
        <v>9</v>
      </c>
      <c r="BE16" s="234">
        <f>IF($F16&lt;=0,"0",IF($F16&lt;=1,"6",0))+0</f>
        <v>0</v>
      </c>
      <c r="BF16" s="234">
        <f>IF($G16&lt;=0,"0",IF($G16&lt;=6,"19",IF($G16&lt;=7,"18",IF($G16&lt;=8,"9",0))))+0</f>
        <v>0</v>
      </c>
      <c r="BG16" s="234">
        <f>IF($G16&lt;=0,"0",IF($G16&lt;=2,"22",IF($G16&lt;=3,"19",IF($G16&lt;=4,"15",IF($G16&lt;=5,"9",0)))))+0</f>
        <v>0</v>
      </c>
      <c r="BH16" s="234">
        <f>IF($G16&lt;=0,"0",IF($G16&lt;=1,"6",0))+0</f>
        <v>0</v>
      </c>
      <c r="BI16" s="234">
        <f>IF($H16&lt;=0,"0",IF($H16&lt;=6,"19",IF($H16&lt;=7,"18",IF($H16&lt;=8,"9",0))))+0</f>
        <v>0</v>
      </c>
      <c r="BJ16" s="234">
        <f>IF($H16&lt;=0,"0",IF($H16&lt;=2,"22",IF($H16&lt;=3,"19",IF($H16&lt;=4,"15",IF($H16&lt;=5,"9",0)))))+0</f>
        <v>0</v>
      </c>
      <c r="BK16" s="234">
        <f>IF($H16&lt;=0,"0",IF($H16&lt;=1,"6",0))+0</f>
        <v>0</v>
      </c>
      <c r="BL16" s="219">
        <f>SUM(Summary2831[[#This Row],[3*
(Tal)]],Summary2831[[#This Row],[3*
(Asc)]])</f>
        <v>0</v>
      </c>
      <c r="BM16" s="228">
        <f>SUM(Summary2831[[#This Row],[2*
(Tal)]],Summary2831[[#This Row],[2*
(Asc)]])</f>
        <v>0</v>
      </c>
      <c r="BN16" s="231">
        <f>SUM(Summary2831[[#This Row],[1*
(Tal)]],Summary2831[[#This Row],[1*
(Asc)]])</f>
        <v>0</v>
      </c>
      <c r="BO16" s="235" t="e">
        <f>(IF($E16&lt;=0,"0",IF($E16&lt;=1,"2092530",IF($E16&lt;=10,"2087525",IF($E16&lt;=20,"2068495",IF($E16&lt;=30,"2005910",IF($E16&lt;=40,"1932830",IF($E16&lt;=50,"1777010",IF($E16&lt;=60,"1546185",IF($E16&lt;=70,"1227000",IF($E16&lt;=80,"804625",IF($E16&lt;=81,"647990",IF($E16&lt;=90,"0",0)))))))))))))+0</f>
        <v>#VALUE!</v>
      </c>
      <c r="BP16" s="236">
        <f>(IF($F16&lt;=0,"0",IF($F16&lt;=1,"952500",IF($F16&lt;=2,"940000",IF($F16&lt;=3,"922500",IF($F16&lt;=4,"897500",IF($F16&lt;=5,"867500",IF($F16&lt;=6,"830000",IF($F16&lt;=7,"710000",IF($F16&lt;=8,"450000",0))))))))))+0</f>
        <v>867500</v>
      </c>
      <c r="BQ16" s="236">
        <f>(IF($G16&lt;=0,"0",IF($G16&lt;=1,"952500",IF($G16&lt;=2,"940000",IF($G16&lt;=3,"922500",IF($G16&lt;=4,"897500",IF($G16&lt;=5,"867500",IF($G16&lt;=6,"830000",IF($G16&lt;=7,"710000",IF($G16&lt;=8,"450000",0))))))))))+0</f>
        <v>0</v>
      </c>
      <c r="BR16" s="236">
        <f>(IF($H16&lt;=0,"0",IF($H16&lt;=1,"952500",IF($H16&lt;=2,"940000",IF($H16&lt;=3,"922500",IF($H16&lt;=4,"897500",IF($H16&lt;=5,"867500",IF($H16&lt;=6,"830000",IF($H16&lt;=7,"710000",IF($H16&lt;=8,"450000",0))))))))))+0</f>
        <v>0</v>
      </c>
      <c r="BS16" s="237" t="e">
        <f>SUM(BO16,BP16,BQ16,BR16)</f>
        <v>#VALUE!</v>
      </c>
    </row>
    <row r="17" spans="1:71" ht="30" customHeight="1">
      <c r="A17" s="196">
        <f ca="1">SUBTOTAL(3,$C$3:Character[[#This Row],[Name]])</f>
        <v>15</v>
      </c>
      <c r="B17" s="192" t="e" vm="583">
        <f>ImgDatabase!D17</f>
        <v>#VALUE!</v>
      </c>
      <c r="C17" s="197" t="s">
        <v>410</v>
      </c>
      <c r="D17" s="194" t="e" vm="84">
        <f>IFERROR(INDEX(CharacterDetailss[Element], MATCH(Character[[#This Row],[Name]], CharacterDetailss[Name], 0)), "")</f>
        <v>#VALUE!</v>
      </c>
      <c r="E17" s="194" t="e" vm="292">
        <f>IFERROR(INDEX(CharacterDetailss[Weapon Type], MATCH(Character[[#This Row],[Name]], CharacterDetailss[Name], 0)), "")</f>
        <v>#VALUE!</v>
      </c>
      <c r="F17" s="198">
        <v>1</v>
      </c>
      <c r="G17" s="14">
        <v>21</v>
      </c>
      <c r="H17" s="9">
        <v>1</v>
      </c>
      <c r="I17" s="2">
        <v>1</v>
      </c>
      <c r="J17" s="10">
        <v>1</v>
      </c>
      <c r="L17" s="75">
        <v>81</v>
      </c>
      <c r="M17" s="73">
        <v>1</v>
      </c>
      <c r="N17" s="74">
        <v>9</v>
      </c>
      <c r="O17" s="74">
        <v>9</v>
      </c>
      <c r="Q17" s="245" t="e" vm="354">
        <f>IFERROR(INDEX(ImgDatabase!$O:$O, MATCH(WorldBoss[[#This Row],[Boss Name]], ImgDatabase!$P:$P, 0)), "")</f>
        <v>#VALUE!</v>
      </c>
      <c r="R17" s="244" t="s">
        <v>96</v>
      </c>
      <c r="S17" s="300" t="e">
        <f>(IF($E17&lt;=0,"0",IF($E17&lt;=40,"46",IF($E17&lt;=50,"44",IF($E17&lt;=60,"40",IF($E17&lt;=70,"32",IF($E17&lt;=80,"20","0")))))))+0</f>
        <v>#VALUE!</v>
      </c>
      <c r="U1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17" s="240" t="s">
        <v>562</v>
      </c>
      <c r="W17" s="241">
        <f>Z17+AC17+AF17</f>
        <v>44</v>
      </c>
      <c r="X17" s="241">
        <f>AA17+AD17+AG17</f>
        <v>42</v>
      </c>
      <c r="Y17" s="242">
        <f>AB17+AE17+AH17</f>
        <v>6</v>
      </c>
      <c r="Z17" s="204">
        <f>(IF($F17&lt;=0,"0",IF($F17&lt;=6,"22",IF($F17&lt;=7,"18",IF($F17&lt;=8,"12",0)))))+0</f>
        <v>22</v>
      </c>
      <c r="AA17" s="205">
        <f>(IF($F17&lt;=0,"0",IF($F17&lt;=2,"21",IF($F17&lt;=3,"19",IF($F17&lt;=4,"15",IF($F17&lt;=5,"9",0))))))+0</f>
        <v>21</v>
      </c>
      <c r="AB17" s="205">
        <f>(IF($F17&lt;=0,"0",IF($F17&lt;=1,"3",0)))+0</f>
        <v>3</v>
      </c>
      <c r="AC17" s="205">
        <f>(IF($G17&lt;=0,"0",IF($G17&lt;=6,"22",IF($G17&lt;=7,"18",IF($G17&lt;=8,"12",0)))))+0</f>
        <v>0</v>
      </c>
      <c r="AD17" s="205">
        <f>(IF($G17&lt;=0,"0",IF($G17&lt;=2,"21",IF($G17&lt;=3,"19",IF($G17&lt;=4,"15",IF($G17&lt;=5,"9",0))))))+0</f>
        <v>0</v>
      </c>
      <c r="AE17" s="205">
        <f>(IF($G17&lt;=0,"0",IF($G17&lt;=1,"3",0)))+0</f>
        <v>0</v>
      </c>
      <c r="AF17" s="205">
        <f>(IF($H17&lt;=0,"0",IF($H17&lt;=6,"22",IF($H17&lt;=7,"18",IF($H17&lt;=8,"12",0)))))+0</f>
        <v>22</v>
      </c>
      <c r="AG17" s="205">
        <f>(IF($H17&lt;=0,"0",IF($H17&lt;=2,"21",IF($H17&lt;=3,"19",IF($H17&lt;=4,"15",IF($H17&lt;=5,"9",0))))))+0</f>
        <v>21</v>
      </c>
      <c r="AH17" s="206">
        <f>(IF($H17&lt;=0,"0",IF($H17&lt;=1,"3",0)))+0</f>
        <v>3</v>
      </c>
      <c r="AI17" s="243" t="s">
        <v>531</v>
      </c>
      <c r="AJ17" s="244" t="s">
        <v>532</v>
      </c>
      <c r="AK17" s="209">
        <f>(IF($F17&lt;=0,"0",IF($F17&lt;=6,"4",IF($F17&lt;=7,"3",IF($F17&lt;=8,"2","0")))))+0</f>
        <v>4</v>
      </c>
      <c r="AL17" s="209">
        <f>(IF($G17&lt;=0,"0",IF($G17&lt;=6,"4",IF($G17&lt;=7,"3",IF($G17&lt;=8,"2","0")))))+0</f>
        <v>0</v>
      </c>
      <c r="AM17" s="209">
        <f>(IF($H17&lt;=0,"0",IF($H17&lt;=6,"4",IF($H17&lt;=7,"3",IF($H17&lt;=8,"2","0")))))+0</f>
        <v>4</v>
      </c>
      <c r="AN17" s="239">
        <f>SUM(AK17:AM17)</f>
        <v>8</v>
      </c>
      <c r="AO17" s="244" t="s">
        <v>563</v>
      </c>
      <c r="AP17" s="245" t="e">
        <f>(IF($E17&lt;=0,"0",IF($E17&lt;=20,"168",IF($E17&lt;=30,"165",IF($E17&lt;=50,"155",IF($E17&lt;=60,"135",IF($E17&lt;=70,"105",IF($E17&lt;=80,"60","0"))))))))+0</f>
        <v>#VALUE!</v>
      </c>
      <c r="AQ17" s="238" t="s">
        <v>530</v>
      </c>
      <c r="AR17" s="244" t="e">
        <f>(IF($E17&lt;=0,"0",IF($E17&lt;=80,"6","0")))+0</f>
        <v>#VALUE!</v>
      </c>
      <c r="AS17" s="244" t="e">
        <f>(IF($E17&lt;=0,"0",IF($E17&lt;=60,"9",IF($E17&lt;=70,"6","0"))))+0</f>
        <v>#VALUE!</v>
      </c>
      <c r="AT17" s="244" t="e">
        <f>(IF($E17&lt;=0,"0",IF($E17&lt;=40,"9",IF($E17&lt;=50,"6","0"))))+0</f>
        <v>#VALUE!</v>
      </c>
      <c r="AU17" s="246" t="e">
        <f>(IF($E17&lt;=0,"0",IF($E17&lt;=20,"1","0")))+0</f>
        <v>#VALUE!</v>
      </c>
      <c r="AV17" s="238" t="s">
        <v>89</v>
      </c>
      <c r="AW17" s="244" t="e">
        <f>(IF($E17&lt;=0,"0",IF($E17&lt;=70,"36",IF($E17&lt;=80,"24","0"))))+0</f>
        <v>#VALUE!</v>
      </c>
      <c r="AX17" s="244" t="e">
        <f>(IF($E17&lt;=0,"0",IF($E17&lt;=50,"30",IF($E17&lt;=60,"18","0"))))+0</f>
        <v>#VALUE!</v>
      </c>
      <c r="AY17" s="244" t="e">
        <f>(IF($E17&lt;=0,"0",IF($E17&lt;=20,"18",IF($E17&lt;=40,"15","0"))))+0</f>
        <v>#VALUE!</v>
      </c>
      <c r="AZ17" s="247">
        <f>Summary2831[[#This Row],[3*2]]+Summary2831[[#This Row],[3*22]]+Summary2831[[#This Row],[3*23]]</f>
        <v>57</v>
      </c>
      <c r="BA17" s="248">
        <f>Summary2831[[#This Row],[2*2]]+Summary2831[[#This Row],[2*23]]+Summary2831[[#This Row],[2*24]]</f>
        <v>66</v>
      </c>
      <c r="BB17" s="248">
        <f>Summary2831[[#This Row],[1*2]]+Summary2831[[#This Row],[1*24]]+Summary2831[[#This Row],[1*25]]</f>
        <v>18</v>
      </c>
      <c r="BC17" s="248">
        <f>IF($F17&lt;=0,"0",IF($F17&lt;=6,"19",IF($F17&lt;=7,"18",IF($F17&lt;=8,"9",0))))+0</f>
        <v>19</v>
      </c>
      <c r="BD17" s="248">
        <f>IF($F17&lt;=0,"0",IF($F17&lt;=2,"22",IF($F17&lt;=3,"19",IF($F17&lt;=4,"15",IF($F17&lt;=5,"9",0)))))+0</f>
        <v>22</v>
      </c>
      <c r="BE17" s="248">
        <f>IF($F17&lt;=0,"0",IF($F17&lt;=1,"6",0))+0</f>
        <v>6</v>
      </c>
      <c r="BF17" s="248">
        <f>IF($G17&lt;=0,"0",IF($G17&lt;=6,"19",IF($G17&lt;=7,"18",IF($G17&lt;=8,"9",0))))+0</f>
        <v>0</v>
      </c>
      <c r="BG17" s="248">
        <f>IF($G17&lt;=0,"0",IF($G17&lt;=2,"22",IF($G17&lt;=3,"19",IF($G17&lt;=4,"15",IF($G17&lt;=5,"9",0)))))+0</f>
        <v>0</v>
      </c>
      <c r="BH17" s="248">
        <f>IF($G17&lt;=0,"0",IF($G17&lt;=1,"6",0))+0</f>
        <v>0</v>
      </c>
      <c r="BI17" s="248">
        <f>IF($H17&lt;=0,"0",IF($H17&lt;=6,"19",IF($H17&lt;=7,"18",IF($H17&lt;=8,"9",0))))+0</f>
        <v>19</v>
      </c>
      <c r="BJ17" s="248">
        <f>IF($H17&lt;=0,"0",IF($H17&lt;=2,"22",IF($H17&lt;=3,"19",IF($H17&lt;=4,"15",IF($H17&lt;=5,"9",0)))))+0</f>
        <v>22</v>
      </c>
      <c r="BK17" s="248">
        <f>IF($H17&lt;=0,"0",IF($H17&lt;=1,"6",0))+0</f>
        <v>6</v>
      </c>
      <c r="BL17" s="238">
        <f>SUM(Summary2831[[#This Row],[3*
(Tal)]],Summary2831[[#This Row],[3*
(Asc)]])</f>
        <v>93</v>
      </c>
      <c r="BM17" s="244">
        <f>SUM(Summary2831[[#This Row],[2*
(Tal)]],Summary2831[[#This Row],[2*
(Asc)]])</f>
        <v>96</v>
      </c>
      <c r="BN17" s="246">
        <f>SUM(Summary2831[[#This Row],[1*
(Tal)]],Summary2831[[#This Row],[1*
(Asc)]])</f>
        <v>33</v>
      </c>
      <c r="BO17" s="216" t="e">
        <f>(IF($E17&lt;=0,"0",IF($E17&lt;=1,"2092530",IF($E17&lt;=10,"2087525",IF($E17&lt;=20,"2068495",IF($E17&lt;=30,"2005910",IF($E17&lt;=40,"1932830",IF($E17&lt;=50,"1777010",IF($E17&lt;=60,"1546185",IF($E17&lt;=70,"1227000",IF($E17&lt;=80,"804625",IF($E17&lt;=81,"647990",IF($E17&lt;=90,"0",0)))))))))))))+0</f>
        <v>#VALUE!</v>
      </c>
      <c r="BP17" s="249">
        <f>(IF($F17&lt;=0,"0",IF($F17&lt;=1,"952500",IF($F17&lt;=2,"940000",IF($F17&lt;=3,"922500",IF($F17&lt;=4,"897500",IF($F17&lt;=5,"867500",IF($F17&lt;=6,"830000",IF($F17&lt;=7,"710000",IF($F17&lt;=8,"450000",0))))))))))+0</f>
        <v>952500</v>
      </c>
      <c r="BQ17" s="249">
        <f>(IF($G17&lt;=0,"0",IF($G17&lt;=1,"952500",IF($G17&lt;=2,"940000",IF($G17&lt;=3,"922500",IF($G17&lt;=4,"897500",IF($G17&lt;=5,"867500",IF($G17&lt;=6,"830000",IF($G17&lt;=7,"710000",IF($G17&lt;=8,"450000",0))))))))))+0</f>
        <v>0</v>
      </c>
      <c r="BR17" s="249">
        <f>(IF($H17&lt;=0,"0",IF($H17&lt;=1,"952500",IF($H17&lt;=2,"940000",IF($H17&lt;=3,"922500",IF($H17&lt;=4,"897500",IF($H17&lt;=5,"867500",IF($H17&lt;=6,"830000",IF($H17&lt;=7,"710000",IF($H17&lt;=8,"450000",0))))))))))+0</f>
        <v>952500</v>
      </c>
      <c r="BS17" s="250" t="e">
        <f>SUM(BO17,BP17,BQ17,BR17)</f>
        <v>#VALUE!</v>
      </c>
    </row>
    <row r="18" spans="1:71" ht="30" customHeight="1">
      <c r="A18" s="196">
        <f ca="1">SUBTOTAL(3,$C$3:Character[[#This Row],[Name]])</f>
        <v>16</v>
      </c>
      <c r="B18" s="192" t="e" vm="584">
        <f>ImgDatabase!D18</f>
        <v>#VALUE!</v>
      </c>
      <c r="C18" s="197" t="s">
        <v>126</v>
      </c>
      <c r="D18" s="194" t="e" vm="49">
        <f>IFERROR(INDEX(CharacterDetailss[Element], MATCH(Character[[#This Row],[Name]], CharacterDetailss[Name], 0)), "")</f>
        <v>#VALUE!</v>
      </c>
      <c r="E18" s="194" t="e" vm="3">
        <f>IFERROR(INDEX(CharacterDetailss[Weapon Type], MATCH(Character[[#This Row],[Name]], CharacterDetailss[Name], 0)), "")</f>
        <v>#VALUE!</v>
      </c>
      <c r="F18" s="195">
        <v>4.8</v>
      </c>
      <c r="G18" s="72">
        <v>0</v>
      </c>
      <c r="H18" s="73">
        <v>0</v>
      </c>
      <c r="I18" s="74">
        <v>0</v>
      </c>
      <c r="J18" s="75">
        <v>0</v>
      </c>
      <c r="L18" s="75">
        <v>81</v>
      </c>
      <c r="M18" s="73">
        <v>1</v>
      </c>
      <c r="N18" s="74">
        <v>9</v>
      </c>
      <c r="O18" s="74">
        <v>9</v>
      </c>
      <c r="Q18" s="230" t="e" vm="512">
        <f>IFERROR(INDEX(ImgDatabase!$O:$O, MATCH(WorldBoss[[#This Row],[Boss Name]], ImgDatabase!$P:$P, 0)), "")</f>
        <v>#VALUE!</v>
      </c>
      <c r="R18" s="228" t="s">
        <v>333</v>
      </c>
      <c r="S18" s="297" t="e">
        <f>(IF($E18&lt;=0,"0",IF($E18&lt;=40,"46",IF($E18&lt;=50,"44",IF($E18&lt;=60,"40",IF($E18&lt;=70,"32",IF($E18&lt;=80,"20","0")))))))+0</f>
        <v>#VALUE!</v>
      </c>
      <c r="U1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18" s="222" t="s">
        <v>556</v>
      </c>
      <c r="W18" s="223">
        <f>Z18+AC18+AF18</f>
        <v>22</v>
      </c>
      <c r="X18" s="223">
        <f>AA18+AD18+AG18</f>
        <v>9</v>
      </c>
      <c r="Y18" s="221">
        <f>AB18+AE18+AH18</f>
        <v>0</v>
      </c>
      <c r="Z18" s="224">
        <f>(IF($F18&lt;=0,"0",IF($F18&lt;=6,"22",IF($F18&lt;=7,"18",IF($F18&lt;=8,"12",0)))))+0</f>
        <v>22</v>
      </c>
      <c r="AA18" s="225">
        <f>(IF($F18&lt;=0,"0",IF($F18&lt;=2,"21",IF($F18&lt;=3,"19",IF($F18&lt;=4,"15",IF($F18&lt;=5,"9",0))))))+0</f>
        <v>9</v>
      </c>
      <c r="AB18" s="225">
        <f>(IF($F18&lt;=0,"0",IF($F18&lt;=1,"3",0)))+0</f>
        <v>0</v>
      </c>
      <c r="AC18" s="225">
        <f>(IF($G18&lt;=0,"0",IF($G18&lt;=6,"22",IF($G18&lt;=7,"18",IF($G18&lt;=8,"12",0)))))+0</f>
        <v>0</v>
      </c>
      <c r="AD18" s="225">
        <f>(IF($G18&lt;=0,"0",IF($G18&lt;=2,"21",IF($G18&lt;=3,"19",IF($G18&lt;=4,"15",IF($G18&lt;=5,"9",0))))))+0</f>
        <v>0</v>
      </c>
      <c r="AE18" s="225">
        <f>(IF($G18&lt;=0,"0",IF($G18&lt;=1,"3",0)))+0</f>
        <v>0</v>
      </c>
      <c r="AF18" s="225">
        <f>(IF($H18&lt;=0,"0",IF($H18&lt;=6,"22",IF($H18&lt;=7,"18",IF($H18&lt;=8,"12",0)))))+0</f>
        <v>0</v>
      </c>
      <c r="AG18" s="225">
        <f>(IF($H18&lt;=0,"0",IF($H18&lt;=2,"21",IF($H18&lt;=3,"19",IF($H18&lt;=4,"15",IF($H18&lt;=5,"9",0))))))+0</f>
        <v>0</v>
      </c>
      <c r="AH18" s="226">
        <f>(IF($H18&lt;=0,"0",IF($H18&lt;=1,"3",0)))+0</f>
        <v>0</v>
      </c>
      <c r="AI18" s="227" t="s">
        <v>286</v>
      </c>
      <c r="AJ18" s="228" t="s">
        <v>295</v>
      </c>
      <c r="AK18" s="229">
        <f>(IF($F18&lt;=0,"0",IF($F18&lt;=6,"4",IF($F18&lt;=7,"3",IF($F18&lt;=8,"2","0")))))+0</f>
        <v>4</v>
      </c>
      <c r="AL18" s="229">
        <f>(IF($G18&lt;=0,"0",IF($G18&lt;=6,"4",IF($G18&lt;=7,"3",IF($G18&lt;=8,"2","0")))))+0</f>
        <v>0</v>
      </c>
      <c r="AM18" s="229">
        <f>(IF($H18&lt;=0,"0",IF($H18&lt;=6,"4",IF($H18&lt;=7,"3",IF($H18&lt;=8,"2","0")))))+0</f>
        <v>0</v>
      </c>
      <c r="AN18" s="220">
        <f>SUM(AK18:AM18)</f>
        <v>4</v>
      </c>
      <c r="AO18" s="228" t="s">
        <v>248</v>
      </c>
      <c r="AP18" s="230" t="e">
        <f>(IF($E18&lt;=0,"0",IF($E18&lt;=20,"168",IF($E18&lt;=30,"165",IF($E18&lt;=50,"155",IF($E18&lt;=60,"135",IF($E18&lt;=70,"105",IF($E18&lt;=80,"60","0"))))))))+0</f>
        <v>#VALUE!</v>
      </c>
      <c r="AQ18" s="219" t="s">
        <v>548</v>
      </c>
      <c r="AR18" s="228" t="e">
        <f>(IF($E18&lt;=0,"0",IF($E18&lt;=80,"6","0")))+0</f>
        <v>#VALUE!</v>
      </c>
      <c r="AS18" s="228" t="e">
        <f>(IF($E18&lt;=0,"0",IF($E18&lt;=60,"9",IF($E18&lt;=70,"6","0"))))+0</f>
        <v>#VALUE!</v>
      </c>
      <c r="AT18" s="228" t="e">
        <f>(IF($E18&lt;=0,"0",IF($E18&lt;=40,"9",IF($E18&lt;=50,"6","0"))))+0</f>
        <v>#VALUE!</v>
      </c>
      <c r="AU18" s="231" t="e">
        <f>(IF($E18&lt;=0,"0",IF($E18&lt;=20,"1","0")))+0</f>
        <v>#VALUE!</v>
      </c>
      <c r="AV18" s="219" t="s">
        <v>373</v>
      </c>
      <c r="AW18" s="228" t="e">
        <f>(IF($E18&lt;=0,"0",IF($E18&lt;=70,"36",IF($E18&lt;=80,"24","0"))))+0</f>
        <v>#VALUE!</v>
      </c>
      <c r="AX18" s="228" t="e">
        <f>(IF($E18&lt;=0,"0",IF($E18&lt;=50,"30",IF($E18&lt;=60,"18","0"))))+0</f>
        <v>#VALUE!</v>
      </c>
      <c r="AY18" s="228" t="e">
        <f>(IF($E18&lt;=0,"0",IF($E18&lt;=20,"18",IF($E18&lt;=40,"15","0"))))+0</f>
        <v>#VALUE!</v>
      </c>
      <c r="AZ18" s="264">
        <f>Summary2831[[#This Row],[3*2]]+Summary2831[[#This Row],[3*22]]+Summary2831[[#This Row],[3*23]]</f>
        <v>0</v>
      </c>
      <c r="BA18" s="233">
        <f>Summary2831[[#This Row],[2*2]]+Summary2831[[#This Row],[2*23]]+Summary2831[[#This Row],[2*24]]</f>
        <v>0</v>
      </c>
      <c r="BB18" s="233">
        <f>Summary2831[[#This Row],[1*2]]+Summary2831[[#This Row],[1*24]]+Summary2831[[#This Row],[1*25]]</f>
        <v>0</v>
      </c>
      <c r="BC18" s="234">
        <f>IF($F18&lt;=0,"0",IF($F18&lt;=6,"19",IF($F18&lt;=7,"18",IF($F18&lt;=8,"9",0))))+0</f>
        <v>19</v>
      </c>
      <c r="BD18" s="234">
        <f>IF($F18&lt;=0,"0",IF($F18&lt;=2,"22",IF($F18&lt;=3,"19",IF($F18&lt;=4,"15",IF($F18&lt;=5,"9",0)))))+0</f>
        <v>9</v>
      </c>
      <c r="BE18" s="234">
        <f>IF($F18&lt;=0,"0",IF($F18&lt;=1,"6",0))+0</f>
        <v>0</v>
      </c>
      <c r="BF18" s="234">
        <f>IF($G18&lt;=0,"0",IF($G18&lt;=6,"19",IF($G18&lt;=7,"18",IF($G18&lt;=8,"9",0))))+0</f>
        <v>0</v>
      </c>
      <c r="BG18" s="234">
        <f>IF($G18&lt;=0,"0",IF($G18&lt;=2,"22",IF($G18&lt;=3,"19",IF($G18&lt;=4,"15",IF($G18&lt;=5,"9",0)))))+0</f>
        <v>0</v>
      </c>
      <c r="BH18" s="234">
        <f>IF($G18&lt;=0,"0",IF($G18&lt;=1,"6",0))+0</f>
        <v>0</v>
      </c>
      <c r="BI18" s="234">
        <f>IF($H18&lt;=0,"0",IF($H18&lt;=6,"19",IF($H18&lt;=7,"18",IF($H18&lt;=8,"9",0))))+0</f>
        <v>0</v>
      </c>
      <c r="BJ18" s="234">
        <f>IF($H18&lt;=0,"0",IF($H18&lt;=2,"22",IF($H18&lt;=3,"19",IF($H18&lt;=4,"15",IF($H18&lt;=5,"9",0)))))+0</f>
        <v>0</v>
      </c>
      <c r="BK18" s="234">
        <f>IF($H18&lt;=0,"0",IF($H18&lt;=1,"6",0))+0</f>
        <v>0</v>
      </c>
      <c r="BL18" s="264">
        <f>SUM(Summary2831[[#This Row],[3*
(Tal)]],Summary2831[[#This Row],[3*
(Asc)]])</f>
        <v>0</v>
      </c>
      <c r="BM18" s="233">
        <f>SUM(Summary2831[[#This Row],[2*
(Tal)]],Summary2831[[#This Row],[2*
(Asc)]])</f>
        <v>0</v>
      </c>
      <c r="BN18" s="265">
        <f>SUM(Summary2831[[#This Row],[1*
(Tal)]],Summary2831[[#This Row],[1*
(Asc)]])</f>
        <v>0</v>
      </c>
      <c r="BO18" s="235" t="e">
        <f>(IF($E18&lt;=0,"0",IF($E18&lt;=1,"2092530",IF($E18&lt;=10,"2087525",IF($E18&lt;=20,"2068495",IF($E18&lt;=30,"2005910",IF($E18&lt;=40,"1932830",IF($E18&lt;=50,"1777010",IF($E18&lt;=60,"1546185",IF($E18&lt;=70,"1227000",IF($E18&lt;=80,"804625",IF($E18&lt;=81,"647990",IF($E18&lt;=90,"0",0)))))))))))))+0</f>
        <v>#VALUE!</v>
      </c>
      <c r="BP18" s="236">
        <f>(IF($F18&lt;=0,"0",IF($F18&lt;=1,"952500",IF($F18&lt;=2,"940000",IF($F18&lt;=3,"922500",IF($F18&lt;=4,"897500",IF($F18&lt;=5,"867500",IF($F18&lt;=6,"830000",IF($F18&lt;=7,"710000",IF($F18&lt;=8,"450000",0))))))))))+0</f>
        <v>867500</v>
      </c>
      <c r="BQ18" s="236">
        <f>(IF($G18&lt;=0,"0",IF($G18&lt;=1,"952500",IF($G18&lt;=2,"940000",IF($G18&lt;=3,"922500",IF($G18&lt;=4,"897500",IF($G18&lt;=5,"867500",IF($G18&lt;=6,"830000",IF($G18&lt;=7,"710000",IF($G18&lt;=8,"450000",0))))))))))+0</f>
        <v>0</v>
      </c>
      <c r="BR18" s="236">
        <f>(IF($H18&lt;=0,"0",IF($H18&lt;=1,"952500",IF($H18&lt;=2,"940000",IF($H18&lt;=3,"922500",IF($H18&lt;=4,"897500",IF($H18&lt;=5,"867500",IF($H18&lt;=6,"830000",IF($H18&lt;=7,"710000",IF($H18&lt;=8,"450000",0))))))))))+0</f>
        <v>0</v>
      </c>
      <c r="BS18" s="237" t="e">
        <f>SUM(BO18,BP18,BQ18,BR18)</f>
        <v>#VALUE!</v>
      </c>
    </row>
    <row r="19" spans="1:71" ht="30" customHeight="1">
      <c r="A19" s="196">
        <f ca="1">SUBTOTAL(3,$C$3:Character[[#This Row],[Name]])</f>
        <v>17</v>
      </c>
      <c r="B19" s="192" t="e" vm="585">
        <f>ImgDatabase!D19</f>
        <v>#VALUE!</v>
      </c>
      <c r="C19" s="197" t="s">
        <v>341</v>
      </c>
      <c r="D19" s="194" t="e" vm="19">
        <f>IFERROR(INDEX(CharacterDetailss[Element], MATCH(Character[[#This Row],[Name]], CharacterDetailss[Name], 0)), "")</f>
        <v>#VALUE!</v>
      </c>
      <c r="E19" s="194" t="e" vm="216">
        <f>IFERROR(INDEX(CharacterDetailss[Weapon Type], MATCH(Character[[#This Row],[Name]], CharacterDetailss[Name], 0)), "")</f>
        <v>#VALUE!</v>
      </c>
      <c r="F19" s="198">
        <v>3</v>
      </c>
      <c r="G19" s="14">
        <v>22</v>
      </c>
      <c r="H19" s="9">
        <v>1</v>
      </c>
      <c r="I19" s="2">
        <v>1</v>
      </c>
      <c r="J19" s="10">
        <v>1</v>
      </c>
      <c r="L19" s="75">
        <v>81</v>
      </c>
      <c r="M19" s="73">
        <v>1</v>
      </c>
      <c r="N19" s="74">
        <v>9</v>
      </c>
      <c r="O19" s="74">
        <v>9</v>
      </c>
      <c r="Q19" s="245" t="e" vm="453">
        <f>IFERROR(INDEX(ImgDatabase!$O:$O, MATCH(WorldBoss[[#This Row],[Boss Name]], ImgDatabase!$P:$P, 0)), "")</f>
        <v>#VALUE!</v>
      </c>
      <c r="R19" s="244" t="s">
        <v>252</v>
      </c>
      <c r="S19" s="300" t="e">
        <f>(IF($E19&lt;=0,"0",IF($E19&lt;=40,"46",IF($E19&lt;=50,"44",IF($E19&lt;=60,"40",IF($E19&lt;=70,"32",IF($E19&lt;=80,"20","0")))))))+0</f>
        <v>#VALUE!</v>
      </c>
      <c r="U1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19" s="240" t="s">
        <v>39</v>
      </c>
      <c r="W19" s="241">
        <f>Z19+AC19+AF19</f>
        <v>44</v>
      </c>
      <c r="X19" s="241">
        <f>AA19+AD19+AG19</f>
        <v>40</v>
      </c>
      <c r="Y19" s="242">
        <f>AB19+AE19+AH19</f>
        <v>3</v>
      </c>
      <c r="Z19" s="204">
        <f>(IF($F19&lt;=0,"0",IF($F19&lt;=6,"22",IF($F19&lt;=7,"18",IF($F19&lt;=8,"12",0)))))+0</f>
        <v>22</v>
      </c>
      <c r="AA19" s="205">
        <f>(IF($F19&lt;=0,"0",IF($F19&lt;=2,"21",IF($F19&lt;=3,"19",IF($F19&lt;=4,"15",IF($F19&lt;=5,"9",0))))))+0</f>
        <v>19</v>
      </c>
      <c r="AB19" s="205">
        <f>(IF($F19&lt;=0,"0",IF($F19&lt;=1,"3",0)))+0</f>
        <v>0</v>
      </c>
      <c r="AC19" s="205">
        <f>(IF($G19&lt;=0,"0",IF($G19&lt;=6,"22",IF($G19&lt;=7,"18",IF($G19&lt;=8,"12",0)))))+0</f>
        <v>0</v>
      </c>
      <c r="AD19" s="205">
        <f>(IF($G19&lt;=0,"0",IF($G19&lt;=2,"21",IF($G19&lt;=3,"19",IF($G19&lt;=4,"15",IF($G19&lt;=5,"9",0))))))+0</f>
        <v>0</v>
      </c>
      <c r="AE19" s="205">
        <f>(IF($G19&lt;=0,"0",IF($G19&lt;=1,"3",0)))+0</f>
        <v>0</v>
      </c>
      <c r="AF19" s="205">
        <f>(IF($H19&lt;=0,"0",IF($H19&lt;=6,"22",IF($H19&lt;=7,"18",IF($H19&lt;=8,"12",0)))))+0</f>
        <v>22</v>
      </c>
      <c r="AG19" s="205">
        <f>(IF($H19&lt;=0,"0",IF($H19&lt;=2,"21",IF($H19&lt;=3,"19",IF($H19&lt;=4,"15",IF($H19&lt;=5,"9",0))))))+0</f>
        <v>21</v>
      </c>
      <c r="AH19" s="206">
        <f>(IF($H19&lt;=0,"0",IF($H19&lt;=1,"3",0)))+0</f>
        <v>3</v>
      </c>
      <c r="AI19" s="243" t="s">
        <v>553</v>
      </c>
      <c r="AJ19" s="244" t="s">
        <v>554</v>
      </c>
      <c r="AK19" s="209">
        <f>(IF($F19&lt;=0,"0",IF($F19&lt;=6,"4",IF($F19&lt;=7,"3",IF($F19&lt;=8,"2","0")))))+0</f>
        <v>4</v>
      </c>
      <c r="AL19" s="209">
        <f>(IF($G19&lt;=0,"0",IF($G19&lt;=6,"4",IF($G19&lt;=7,"3",IF($G19&lt;=8,"2","0")))))+0</f>
        <v>0</v>
      </c>
      <c r="AM19" s="209">
        <f>(IF($H19&lt;=0,"0",IF($H19&lt;=6,"4",IF($H19&lt;=7,"3",IF($H19&lt;=8,"2","0")))))+0</f>
        <v>4</v>
      </c>
      <c r="AN19" s="239">
        <f>SUM(AK19:AM19)</f>
        <v>8</v>
      </c>
      <c r="AO19" s="244" t="s">
        <v>564</v>
      </c>
      <c r="AP19" s="245" t="e">
        <f>(IF($E19&lt;=0,"0",IF($E19&lt;=20,"168",IF($E19&lt;=30,"165",IF($E19&lt;=50,"155",IF($E19&lt;=60,"135",IF($E19&lt;=70,"105",IF($E19&lt;=80,"60","0"))))))))+0</f>
        <v>#VALUE!</v>
      </c>
      <c r="AQ19" s="238" t="s">
        <v>526</v>
      </c>
      <c r="AR19" s="244" t="e">
        <f>(IF($E19&lt;=0,"0",IF($E19&lt;=80,"6","0")))+0</f>
        <v>#VALUE!</v>
      </c>
      <c r="AS19" s="244" t="e">
        <f>(IF($E19&lt;=0,"0",IF($E19&lt;=60,"9",IF($E19&lt;=70,"6","0"))))+0</f>
        <v>#VALUE!</v>
      </c>
      <c r="AT19" s="244" t="e">
        <f>(IF($E19&lt;=0,"0",IF($E19&lt;=40,"9",IF($E19&lt;=50,"6","0"))))+0</f>
        <v>#VALUE!</v>
      </c>
      <c r="AU19" s="246" t="e">
        <f>(IF($E19&lt;=0,"0",IF($E19&lt;=20,"1","0")))+0</f>
        <v>#VALUE!</v>
      </c>
      <c r="AV19" s="238" t="s">
        <v>120</v>
      </c>
      <c r="AW19" s="244" t="e">
        <f>(IF($E19&lt;=0,"0",IF($E19&lt;=70,"36",IF($E19&lt;=80,"24","0"))))+0</f>
        <v>#VALUE!</v>
      </c>
      <c r="AX19" s="244" t="e">
        <f>(IF($E19&lt;=0,"0",IF($E19&lt;=50,"30",IF($E19&lt;=60,"18","0"))))+0</f>
        <v>#VALUE!</v>
      </c>
      <c r="AY19" s="244" t="e">
        <f>(IF($E19&lt;=0,"0",IF($E19&lt;=20,"18",IF($E19&lt;=40,"15","0"))))+0</f>
        <v>#VALUE!</v>
      </c>
      <c r="AZ19" s="247">
        <f>Summary2831[[#This Row],[3*2]]+Summary2831[[#This Row],[3*22]]+Summary2831[[#This Row],[3*23]]</f>
        <v>57</v>
      </c>
      <c r="BA19" s="248">
        <f>Summary2831[[#This Row],[2*2]]+Summary2831[[#This Row],[2*23]]+Summary2831[[#This Row],[2*24]]</f>
        <v>66</v>
      </c>
      <c r="BB19" s="248">
        <f>Summary2831[[#This Row],[1*2]]+Summary2831[[#This Row],[1*24]]+Summary2831[[#This Row],[1*25]]</f>
        <v>18</v>
      </c>
      <c r="BC19" s="248">
        <f>IF($F19&lt;=0,"0",IF($F19&lt;=6,"19",IF($F19&lt;=7,"18",IF($F19&lt;=8,"9",0))))+0</f>
        <v>19</v>
      </c>
      <c r="BD19" s="248">
        <f>IF($F19&lt;=0,"0",IF($F19&lt;=2,"22",IF($F19&lt;=3,"19",IF($F19&lt;=4,"15",IF($F19&lt;=5,"9",0)))))+0</f>
        <v>19</v>
      </c>
      <c r="BE19" s="248">
        <f>IF($F19&lt;=0,"0",IF($F19&lt;=1,"6",0))+0</f>
        <v>0</v>
      </c>
      <c r="BF19" s="248">
        <f>IF($G19&lt;=0,"0",IF($G19&lt;=6,"19",IF($G19&lt;=7,"18",IF($G19&lt;=8,"9",0))))+0</f>
        <v>0</v>
      </c>
      <c r="BG19" s="248">
        <f>IF($G19&lt;=0,"0",IF($G19&lt;=2,"22",IF($G19&lt;=3,"19",IF($G19&lt;=4,"15",IF($G19&lt;=5,"9",0)))))+0</f>
        <v>0</v>
      </c>
      <c r="BH19" s="248">
        <f>IF($G19&lt;=0,"0",IF($G19&lt;=1,"6",0))+0</f>
        <v>0</v>
      </c>
      <c r="BI19" s="248">
        <f>IF($H19&lt;=0,"0",IF($H19&lt;=6,"19",IF($H19&lt;=7,"18",IF($H19&lt;=8,"9",0))))+0</f>
        <v>19</v>
      </c>
      <c r="BJ19" s="248">
        <f>IF($H19&lt;=0,"0",IF($H19&lt;=2,"22",IF($H19&lt;=3,"19",IF($H19&lt;=4,"15",IF($H19&lt;=5,"9",0)))))+0</f>
        <v>22</v>
      </c>
      <c r="BK19" s="248">
        <f>IF($H19&lt;=0,"0",IF($H19&lt;=1,"6",0))+0</f>
        <v>6</v>
      </c>
      <c r="BL19" s="238">
        <f>SUM(Summary2831[[#This Row],[3*
(Tal)]],Summary2831[[#This Row],[3*
(Asc)]])</f>
        <v>93</v>
      </c>
      <c r="BM19" s="244">
        <f>SUM(Summary2831[[#This Row],[2*
(Tal)]],Summary2831[[#This Row],[2*
(Asc)]])</f>
        <v>96</v>
      </c>
      <c r="BN19" s="246">
        <f>SUM(Summary2831[[#This Row],[1*
(Tal)]],Summary2831[[#This Row],[1*
(Asc)]])</f>
        <v>33</v>
      </c>
      <c r="BO19" s="216" t="e">
        <f>(IF($E19&lt;=0,"0",IF($E19&lt;=1,"2092530",IF($E19&lt;=10,"2087525",IF($E19&lt;=20,"2068495",IF($E19&lt;=30,"2005910",IF($E19&lt;=40,"1932830",IF($E19&lt;=50,"1777010",IF($E19&lt;=60,"1546185",IF($E19&lt;=70,"1227000",IF($E19&lt;=80,"804625",IF($E19&lt;=81,"647990",IF($E19&lt;=90,"0",0)))))))))))))+0</f>
        <v>#VALUE!</v>
      </c>
      <c r="BP19" s="249">
        <f>(IF($F19&lt;=0,"0",IF($F19&lt;=1,"952500",IF($F19&lt;=2,"940000",IF($F19&lt;=3,"922500",IF($F19&lt;=4,"897500",IF($F19&lt;=5,"867500",IF($F19&lt;=6,"830000",IF($F19&lt;=7,"710000",IF($F19&lt;=8,"450000",0))))))))))+0</f>
        <v>922500</v>
      </c>
      <c r="BQ19" s="249">
        <f>(IF($G19&lt;=0,"0",IF($G19&lt;=1,"952500",IF($G19&lt;=2,"940000",IF($G19&lt;=3,"922500",IF($G19&lt;=4,"897500",IF($G19&lt;=5,"867500",IF($G19&lt;=6,"830000",IF($G19&lt;=7,"710000",IF($G19&lt;=8,"450000",0))))))))))+0</f>
        <v>0</v>
      </c>
      <c r="BR19" s="249">
        <f>(IF($H19&lt;=0,"0",IF($H19&lt;=1,"952500",IF($H19&lt;=2,"940000",IF($H19&lt;=3,"922500",IF($H19&lt;=4,"897500",IF($H19&lt;=5,"867500",IF($H19&lt;=6,"830000",IF($H19&lt;=7,"710000",IF($H19&lt;=8,"450000",0))))))))))+0</f>
        <v>952500</v>
      </c>
      <c r="BS19" s="250" t="e">
        <f>SUM(BO19,BP19,BQ19,BR19)</f>
        <v>#VALUE!</v>
      </c>
    </row>
    <row r="20" spans="1:71" ht="30" customHeight="1">
      <c r="A20" s="192">
        <f ca="1">SUBTOTAL(3,$C$3:Character[[#This Row],[Name]])</f>
        <v>18</v>
      </c>
      <c r="B20" s="192" t="e" vm="586">
        <f>ImgDatabase!D20</f>
        <v>#VALUE!</v>
      </c>
      <c r="C20" s="193" t="s">
        <v>444</v>
      </c>
      <c r="D20" s="194" t="e" vm="49">
        <f>IFERROR(INDEX(CharacterDetailss[Element], MATCH(Character[[#This Row],[Name]], CharacterDetailss[Name], 0)), "")</f>
        <v>#VALUE!</v>
      </c>
      <c r="E20" s="194" t="e" vm="331">
        <f>IFERROR(INDEX(CharacterDetailss[Weapon Type], MATCH(Character[[#This Row],[Name]], CharacterDetailss[Name], 0)), "")</f>
        <v>#VALUE!</v>
      </c>
      <c r="F20" s="195">
        <v>3.1</v>
      </c>
      <c r="G20" s="72">
        <v>0</v>
      </c>
      <c r="H20" s="73">
        <v>0</v>
      </c>
      <c r="I20" s="74">
        <v>0</v>
      </c>
      <c r="J20" s="75">
        <v>0</v>
      </c>
      <c r="L20" s="75">
        <v>81</v>
      </c>
      <c r="M20" s="73">
        <v>1</v>
      </c>
      <c r="N20" s="74">
        <v>9</v>
      </c>
      <c r="O20" s="74">
        <v>9</v>
      </c>
      <c r="Q20" s="230" t="e" vm="362">
        <f>IFERROR(INDEX(ImgDatabase!$O:$O, MATCH(WorldBoss[[#This Row],[Boss Name]], ImgDatabase!$P:$P, 0)), "")</f>
        <v>#VALUE!</v>
      </c>
      <c r="R20" s="228" t="s">
        <v>106</v>
      </c>
      <c r="S20" s="297" t="e">
        <f>(IF($E20&lt;=0,"0",IF($E20&lt;=40,"46",IF($E20&lt;=50,"44",IF($E20&lt;=60,"40",IF($E20&lt;=70,"32",IF($E20&lt;=80,"20","0")))))))+0</f>
        <v>#VALUE!</v>
      </c>
      <c r="U2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0" s="222" t="s">
        <v>552</v>
      </c>
      <c r="W20" s="223">
        <f>Z20+AC20+AF20</f>
        <v>22</v>
      </c>
      <c r="X20" s="223">
        <f>AA20+AD20+AG20</f>
        <v>15</v>
      </c>
      <c r="Y20" s="221">
        <f>AB20+AE20+AH20</f>
        <v>0</v>
      </c>
      <c r="Z20" s="224">
        <f>(IF($F20&lt;=0,"0",IF($F20&lt;=6,"22",IF($F20&lt;=7,"18",IF($F20&lt;=8,"12",0)))))+0</f>
        <v>22</v>
      </c>
      <c r="AA20" s="225">
        <f>(IF($F20&lt;=0,"0",IF($F20&lt;=2,"21",IF($F20&lt;=3,"19",IF($F20&lt;=4,"15",IF($F20&lt;=5,"9",0))))))+0</f>
        <v>15</v>
      </c>
      <c r="AB20" s="225">
        <f>(IF($F20&lt;=0,"0",IF($F20&lt;=1,"3",0)))+0</f>
        <v>0</v>
      </c>
      <c r="AC20" s="225">
        <f>(IF($G20&lt;=0,"0",IF($G20&lt;=6,"22",IF($G20&lt;=7,"18",IF($G20&lt;=8,"12",0)))))+0</f>
        <v>0</v>
      </c>
      <c r="AD20" s="225">
        <f>(IF($G20&lt;=0,"0",IF($G20&lt;=2,"21",IF($G20&lt;=3,"19",IF($G20&lt;=4,"15",IF($G20&lt;=5,"9",0))))))+0</f>
        <v>0</v>
      </c>
      <c r="AE20" s="225">
        <f>(IF($G20&lt;=0,"0",IF($G20&lt;=1,"3",0)))+0</f>
        <v>0</v>
      </c>
      <c r="AF20" s="225">
        <f>(IF($H20&lt;=0,"0",IF($H20&lt;=6,"22",IF($H20&lt;=7,"18",IF($H20&lt;=8,"12",0)))))+0</f>
        <v>0</v>
      </c>
      <c r="AG20" s="225">
        <f>(IF($H20&lt;=0,"0",IF($H20&lt;=2,"21",IF($H20&lt;=3,"19",IF($H20&lt;=4,"15",IF($H20&lt;=5,"9",0))))))+0</f>
        <v>0</v>
      </c>
      <c r="AH20" s="226">
        <f>(IF($H20&lt;=0,"0",IF($H20&lt;=1,"3",0)))+0</f>
        <v>0</v>
      </c>
      <c r="AI20" s="227" t="s">
        <v>553</v>
      </c>
      <c r="AJ20" s="228" t="s">
        <v>565</v>
      </c>
      <c r="AK20" s="229">
        <f>(IF($F20&lt;=0,"0",IF($F20&lt;=6,"4",IF($F20&lt;=7,"3",IF($F20&lt;=8,"2","0")))))+0</f>
        <v>4</v>
      </c>
      <c r="AL20" s="229">
        <f>(IF($G20&lt;=0,"0",IF($G20&lt;=6,"4",IF($G20&lt;=7,"3",IF($G20&lt;=8,"2","0")))))+0</f>
        <v>0</v>
      </c>
      <c r="AM20" s="229">
        <f>(IF($H20&lt;=0,"0",IF($H20&lt;=6,"4",IF($H20&lt;=7,"3",IF($H20&lt;=8,"2","0")))))+0</f>
        <v>0</v>
      </c>
      <c r="AN20" s="220">
        <f>SUM(AK20:AM20)</f>
        <v>4</v>
      </c>
      <c r="AO20" s="228" t="s">
        <v>366</v>
      </c>
      <c r="AP20" s="230" t="e">
        <f>(IF($E20&lt;=0,"0",IF($E20&lt;=20,"168",IF($E20&lt;=30,"165",IF($E20&lt;=50,"155",IF($E20&lt;=60,"135",IF($E20&lt;=70,"105",IF($E20&lt;=80,"60","0"))))))))+0</f>
        <v>#VALUE!</v>
      </c>
      <c r="AQ20" s="219" t="s">
        <v>548</v>
      </c>
      <c r="AR20" s="228" t="e">
        <f>(IF($E20&lt;=0,"0",IF($E20&lt;=80,"6","0")))+0</f>
        <v>#VALUE!</v>
      </c>
      <c r="AS20" s="228" t="e">
        <f>(IF($E20&lt;=0,"0",IF($E20&lt;=60,"9",IF($E20&lt;=70,"6","0"))))+0</f>
        <v>#VALUE!</v>
      </c>
      <c r="AT20" s="228" t="e">
        <f>(IF($E20&lt;=0,"0",IF($E20&lt;=40,"9",IF($E20&lt;=50,"6","0"))))+0</f>
        <v>#VALUE!</v>
      </c>
      <c r="AU20" s="231" t="e">
        <f>(IF($E20&lt;=0,"0",IF($E20&lt;=20,"1","0")))+0</f>
        <v>#VALUE!</v>
      </c>
      <c r="AV20" s="219" t="s">
        <v>149</v>
      </c>
      <c r="AW20" s="228" t="e">
        <f>(IF($E20&lt;=0,"0",IF($E20&lt;=70,"36",IF($E20&lt;=80,"24","0"))))+0</f>
        <v>#VALUE!</v>
      </c>
      <c r="AX20" s="228" t="e">
        <f>(IF($E20&lt;=0,"0",IF($E20&lt;=50,"30",IF($E20&lt;=60,"18","0"))))+0</f>
        <v>#VALUE!</v>
      </c>
      <c r="AY20" s="228" t="e">
        <f>(IF($E20&lt;=0,"0",IF($E20&lt;=20,"18",IF($E20&lt;=40,"15","0"))))+0</f>
        <v>#VALUE!</v>
      </c>
      <c r="AZ20" s="232">
        <f>Summary2831[[#This Row],[3*2]]+Summary2831[[#This Row],[3*22]]+Summary2831[[#This Row],[3*23]]</f>
        <v>0</v>
      </c>
      <c r="BA20" s="233">
        <f>Summary2831[[#This Row],[2*2]]+Summary2831[[#This Row],[2*23]]+Summary2831[[#This Row],[2*24]]</f>
        <v>0</v>
      </c>
      <c r="BB20" s="233">
        <f>Summary2831[[#This Row],[1*2]]+Summary2831[[#This Row],[1*24]]+Summary2831[[#This Row],[1*25]]</f>
        <v>0</v>
      </c>
      <c r="BC20" s="234">
        <f>IF($F20&lt;=0,"0",IF($F20&lt;=6,"19",IF($F20&lt;=7,"18",IF($F20&lt;=8,"9",0))))+0</f>
        <v>19</v>
      </c>
      <c r="BD20" s="234">
        <f>IF($F20&lt;=0,"0",IF($F20&lt;=2,"22",IF($F20&lt;=3,"19",IF($F20&lt;=4,"15",IF($F20&lt;=5,"9",0)))))+0</f>
        <v>15</v>
      </c>
      <c r="BE20" s="234">
        <f>IF($F20&lt;=0,"0",IF($F20&lt;=1,"6",0))+0</f>
        <v>0</v>
      </c>
      <c r="BF20" s="234">
        <f>IF($G20&lt;=0,"0",IF($G20&lt;=6,"19",IF($G20&lt;=7,"18",IF($G20&lt;=8,"9",0))))+0</f>
        <v>0</v>
      </c>
      <c r="BG20" s="234">
        <f>IF($G20&lt;=0,"0",IF($G20&lt;=2,"22",IF($G20&lt;=3,"19",IF($G20&lt;=4,"15",IF($G20&lt;=5,"9",0)))))+0</f>
        <v>0</v>
      </c>
      <c r="BH20" s="234">
        <f>IF($G20&lt;=0,"0",IF($G20&lt;=1,"6",0))+0</f>
        <v>0</v>
      </c>
      <c r="BI20" s="234">
        <f>IF($H20&lt;=0,"0",IF($H20&lt;=6,"19",IF($H20&lt;=7,"18",IF($H20&lt;=8,"9",0))))+0</f>
        <v>0</v>
      </c>
      <c r="BJ20" s="234">
        <f>IF($H20&lt;=0,"0",IF($H20&lt;=2,"22",IF($H20&lt;=3,"19",IF($H20&lt;=4,"15",IF($H20&lt;=5,"9",0)))))+0</f>
        <v>0</v>
      </c>
      <c r="BK20" s="234">
        <f>IF($H20&lt;=0,"0",IF($H20&lt;=1,"6",0))+0</f>
        <v>0</v>
      </c>
      <c r="BL20" s="219">
        <f>SUM(Summary2831[[#This Row],[3*
(Tal)]],Summary2831[[#This Row],[3*
(Asc)]])</f>
        <v>0</v>
      </c>
      <c r="BM20" s="228">
        <f>SUM(Summary2831[[#This Row],[2*
(Tal)]],Summary2831[[#This Row],[2*
(Asc)]])</f>
        <v>0</v>
      </c>
      <c r="BN20" s="231">
        <f>SUM(Summary2831[[#This Row],[1*
(Tal)]],Summary2831[[#This Row],[1*
(Asc)]])</f>
        <v>0</v>
      </c>
      <c r="BO20" s="235" t="e">
        <f>(IF($E20&lt;=0,"0",IF($E20&lt;=1,"2092530",IF($E20&lt;=10,"2087525",IF($E20&lt;=20,"2068495",IF($E20&lt;=30,"2005910",IF($E20&lt;=40,"1932830",IF($E20&lt;=50,"1777010",IF($E20&lt;=60,"1546185",IF($E20&lt;=70,"1227000",IF($E20&lt;=80,"804625",IF($E20&lt;=81,"647990",IF($E20&lt;=90,"0",0)))))))))))))+0</f>
        <v>#VALUE!</v>
      </c>
      <c r="BP20" s="236">
        <f>(IF($F20&lt;=0,"0",IF($F20&lt;=1,"952500",IF($F20&lt;=2,"940000",IF($F20&lt;=3,"922500",IF($F20&lt;=4,"897500",IF($F20&lt;=5,"867500",IF($F20&lt;=6,"830000",IF($F20&lt;=7,"710000",IF($F20&lt;=8,"450000",0))))))))))+0</f>
        <v>897500</v>
      </c>
      <c r="BQ20" s="236">
        <f>(IF($G20&lt;=0,"0",IF($G20&lt;=1,"952500",IF($G20&lt;=2,"940000",IF($G20&lt;=3,"922500",IF($G20&lt;=4,"897500",IF($G20&lt;=5,"867500",IF($G20&lt;=6,"830000",IF($G20&lt;=7,"710000",IF($G20&lt;=8,"450000",0))))))))))+0</f>
        <v>0</v>
      </c>
      <c r="BR20" s="236">
        <f>(IF($H20&lt;=0,"0",IF($H20&lt;=1,"952500",IF($H20&lt;=2,"940000",IF($H20&lt;=3,"922500",IF($H20&lt;=4,"897500",IF($H20&lt;=5,"867500",IF($H20&lt;=6,"830000",IF($H20&lt;=7,"710000",IF($H20&lt;=8,"450000",0))))))))))+0</f>
        <v>0</v>
      </c>
      <c r="BS20" s="237" t="e">
        <f>SUM(BO20,BP20,BQ20,BR20)</f>
        <v>#VALUE!</v>
      </c>
    </row>
    <row r="21" spans="1:71" ht="30" customHeight="1">
      <c r="A21" s="192">
        <f ca="1">SUBTOTAL(3,$C$3:Character[[#This Row],[Name]])</f>
        <v>19</v>
      </c>
      <c r="B21" s="192" t="e" vm="587">
        <f>ImgDatabase!D21</f>
        <v>#VALUE!</v>
      </c>
      <c r="C21" s="193" t="s">
        <v>412</v>
      </c>
      <c r="D21" s="194" t="e" vm="31">
        <f>IFERROR(INDEX(CharacterDetailss[Element], MATCH(Character[[#This Row],[Name]], CharacterDetailss[Name], 0)), "")</f>
        <v>#VALUE!</v>
      </c>
      <c r="E21" s="194" t="e" vm="292">
        <f>IFERROR(INDEX(CharacterDetailss[Weapon Type], MATCH(Character[[#This Row],[Name]], CharacterDetailss[Name], 0)), "")</f>
        <v>#VALUE!</v>
      </c>
      <c r="F21" s="195">
        <v>3.5</v>
      </c>
      <c r="G21" s="72">
        <v>0</v>
      </c>
      <c r="H21" s="73">
        <v>0</v>
      </c>
      <c r="I21" s="74">
        <v>0</v>
      </c>
      <c r="J21" s="75">
        <v>0</v>
      </c>
      <c r="L21" s="75">
        <v>81</v>
      </c>
      <c r="M21" s="73">
        <v>1</v>
      </c>
      <c r="N21" s="74">
        <v>9</v>
      </c>
      <c r="O21" s="74">
        <v>9</v>
      </c>
      <c r="Q21" s="210" t="e" vm="465">
        <f>IFERROR(INDEX(ImgDatabase!$O:$O, MATCH(WorldBoss[[#This Row],[Boss Name]], ImgDatabase!$P:$P, 0)), "")</f>
        <v>#VALUE!</v>
      </c>
      <c r="R21" s="208" t="s">
        <v>270</v>
      </c>
      <c r="S21" s="298" t="e">
        <f>(IF($E21&lt;=0,"0",IF($E21&lt;=40,"46",IF($E21&lt;=50,"44",IF($E21&lt;=60,"40",IF($E21&lt;=70,"32",IF($E21&lt;=80,"20","0")))))))+0</f>
        <v>#VALUE!</v>
      </c>
      <c r="U2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1" s="202" t="s">
        <v>39</v>
      </c>
      <c r="W21" s="203">
        <f>Z21+AC21+AF21</f>
        <v>22</v>
      </c>
      <c r="X21" s="203">
        <f>AA21+AD21+AG21</f>
        <v>15</v>
      </c>
      <c r="Y21" s="201">
        <f>AB21+AE21+AH21</f>
        <v>0</v>
      </c>
      <c r="Z21" s="204">
        <f>(IF($F21&lt;=0,"0",IF($F21&lt;=6,"22",IF($F21&lt;=7,"18",IF($F21&lt;=8,"12",0)))))+0</f>
        <v>22</v>
      </c>
      <c r="AA21" s="205">
        <f>(IF($F21&lt;=0,"0",IF($F21&lt;=2,"21",IF($F21&lt;=3,"19",IF($F21&lt;=4,"15",IF($F21&lt;=5,"9",0))))))+0</f>
        <v>15</v>
      </c>
      <c r="AB21" s="205">
        <f>(IF($F21&lt;=0,"0",IF($F21&lt;=1,"3",0)))+0</f>
        <v>0</v>
      </c>
      <c r="AC21" s="205">
        <f>(IF($G21&lt;=0,"0",IF($G21&lt;=6,"22",IF($G21&lt;=7,"18",IF($G21&lt;=8,"12",0)))))+0</f>
        <v>0</v>
      </c>
      <c r="AD21" s="205">
        <f>(IF($G21&lt;=0,"0",IF($G21&lt;=2,"21",IF($G21&lt;=3,"19",IF($G21&lt;=4,"15",IF($G21&lt;=5,"9",0))))))+0</f>
        <v>0</v>
      </c>
      <c r="AE21" s="205">
        <f>(IF($G21&lt;=0,"0",IF($G21&lt;=1,"3",0)))+0</f>
        <v>0</v>
      </c>
      <c r="AF21" s="205">
        <f>(IF($H21&lt;=0,"0",IF($H21&lt;=6,"22",IF($H21&lt;=7,"18",IF($H21&lt;=8,"12",0)))))+0</f>
        <v>0</v>
      </c>
      <c r="AG21" s="205">
        <f>(IF($H21&lt;=0,"0",IF($H21&lt;=2,"21",IF($H21&lt;=3,"19",IF($H21&lt;=4,"15",IF($H21&lt;=5,"9",0))))))+0</f>
        <v>0</v>
      </c>
      <c r="AH21" s="206">
        <f>(IF($H21&lt;=0,"0",IF($H21&lt;=1,"3",0)))+0</f>
        <v>0</v>
      </c>
      <c r="AI21" s="207" t="s">
        <v>523</v>
      </c>
      <c r="AJ21" s="208" t="s">
        <v>566</v>
      </c>
      <c r="AK21" s="209">
        <f>(IF($F21&lt;=0,"0",IF($F21&lt;=6,"4",IF($F21&lt;=7,"3",IF($F21&lt;=8,"2","0")))))+0</f>
        <v>4</v>
      </c>
      <c r="AL21" s="209">
        <f>(IF($G21&lt;=0,"0",IF($G21&lt;=6,"4",IF($G21&lt;=7,"3",IF($G21&lt;=8,"2","0")))))+0</f>
        <v>0</v>
      </c>
      <c r="AM21" s="209">
        <f>(IF($H21&lt;=0,"0",IF($H21&lt;=6,"4",IF($H21&lt;=7,"3",IF($H21&lt;=8,"2","0")))))+0</f>
        <v>0</v>
      </c>
      <c r="AN21" s="200">
        <f>SUM(AK21:AM21)</f>
        <v>4</v>
      </c>
      <c r="AO21" s="208" t="s">
        <v>525</v>
      </c>
      <c r="AP21" s="210" t="e">
        <f>(IF($E21&lt;=0,"0",IF($E21&lt;=20,"168",IF($E21&lt;=30,"165",IF($E21&lt;=50,"155",IF($E21&lt;=60,"135",IF($E21&lt;=70,"105",IF($E21&lt;=80,"60","0"))))))))+0</f>
        <v>#VALUE!</v>
      </c>
      <c r="AQ21" s="199" t="s">
        <v>534</v>
      </c>
      <c r="AR21" s="208" t="e">
        <f>(IF($E21&lt;=0,"0",IF($E21&lt;=80,"6","0")))+0</f>
        <v>#VALUE!</v>
      </c>
      <c r="AS21" s="208" t="e">
        <f>(IF($E21&lt;=0,"0",IF($E21&lt;=60,"9",IF($E21&lt;=70,"6","0"))))+0</f>
        <v>#VALUE!</v>
      </c>
      <c r="AT21" s="208" t="e">
        <f>(IF($E21&lt;=0,"0",IF($E21&lt;=40,"9",IF($E21&lt;=50,"6","0"))))+0</f>
        <v>#VALUE!</v>
      </c>
      <c r="AU21" s="211" t="e">
        <f>(IF($E21&lt;=0,"0",IF($E21&lt;=20,"1","0")))+0</f>
        <v>#VALUE!</v>
      </c>
      <c r="AV21" s="199" t="s">
        <v>46</v>
      </c>
      <c r="AW21" s="208" t="e">
        <f>(IF($E21&lt;=0,"0",IF($E21&lt;=70,"36",IF($E21&lt;=80,"24","0"))))+0</f>
        <v>#VALUE!</v>
      </c>
      <c r="AX21" s="208" t="e">
        <f>(IF($E21&lt;=0,"0",IF($E21&lt;=50,"30",IF($E21&lt;=60,"18","0"))))+0</f>
        <v>#VALUE!</v>
      </c>
      <c r="AY21" s="208" t="e">
        <f>(IF($E21&lt;=0,"0",IF($E21&lt;=20,"18",IF($E21&lt;=40,"15","0"))))+0</f>
        <v>#VALUE!</v>
      </c>
      <c r="AZ21" s="212">
        <f>Summary2831[[#This Row],[3*2]]+Summary2831[[#This Row],[3*22]]+Summary2831[[#This Row],[3*23]]</f>
        <v>0</v>
      </c>
      <c r="BA21" s="213">
        <f>Summary2831[[#This Row],[2*2]]+Summary2831[[#This Row],[2*23]]+Summary2831[[#This Row],[2*24]]</f>
        <v>0</v>
      </c>
      <c r="BB21" s="213">
        <f>Summary2831[[#This Row],[1*2]]+Summary2831[[#This Row],[1*24]]+Summary2831[[#This Row],[1*25]]</f>
        <v>0</v>
      </c>
      <c r="BC21" s="215">
        <f>IF($F21&lt;=0,"0",IF($F21&lt;=6,"19",IF($F21&lt;=7,"18",IF($F21&lt;=8,"9",0))))+0</f>
        <v>19</v>
      </c>
      <c r="BD21" s="215">
        <f>IF($F21&lt;=0,"0",IF($F21&lt;=2,"22",IF($F21&lt;=3,"19",IF($F21&lt;=4,"15",IF($F21&lt;=5,"9",0)))))+0</f>
        <v>15</v>
      </c>
      <c r="BE21" s="215">
        <f>IF($F21&lt;=0,"0",IF($F21&lt;=1,"6",0))+0</f>
        <v>0</v>
      </c>
      <c r="BF21" s="215">
        <f>IF($G21&lt;=0,"0",IF($G21&lt;=6,"19",IF($G21&lt;=7,"18",IF($G21&lt;=8,"9",0))))+0</f>
        <v>0</v>
      </c>
      <c r="BG21" s="215">
        <f>IF($G21&lt;=0,"0",IF($G21&lt;=2,"22",IF($G21&lt;=3,"19",IF($G21&lt;=4,"15",IF($G21&lt;=5,"9",0)))))+0</f>
        <v>0</v>
      </c>
      <c r="BH21" s="215">
        <f>IF($G21&lt;=0,"0",IF($G21&lt;=1,"6",0))+0</f>
        <v>0</v>
      </c>
      <c r="BI21" s="215">
        <f>IF($H21&lt;=0,"0",IF($H21&lt;=6,"19",IF($H21&lt;=7,"18",IF($H21&lt;=8,"9",0))))+0</f>
        <v>0</v>
      </c>
      <c r="BJ21" s="215">
        <f>IF($H21&lt;=0,"0",IF($H21&lt;=2,"22",IF($H21&lt;=3,"19",IF($H21&lt;=4,"15",IF($H21&lt;=5,"9",0)))))+0</f>
        <v>0</v>
      </c>
      <c r="BK21" s="215">
        <f>IF($H21&lt;=0,"0",IF($H21&lt;=1,"6",0))+0</f>
        <v>0</v>
      </c>
      <c r="BL21" s="199">
        <f>SUM(Summary2831[[#This Row],[3*
(Tal)]],Summary2831[[#This Row],[3*
(Asc)]])</f>
        <v>0</v>
      </c>
      <c r="BM21" s="208">
        <f>SUM(Summary2831[[#This Row],[2*
(Tal)]],Summary2831[[#This Row],[2*
(Asc)]])</f>
        <v>0</v>
      </c>
      <c r="BN21" s="211">
        <f>SUM(Summary2831[[#This Row],[1*
(Tal)]],Summary2831[[#This Row],[1*
(Asc)]])</f>
        <v>0</v>
      </c>
      <c r="BO21" s="216" t="e">
        <f>(IF($E21&lt;=0,"0",IF($E21&lt;=1,"2092530",IF($E21&lt;=10,"2087525",IF($E21&lt;=20,"2068495",IF($E21&lt;=30,"2005910",IF($E21&lt;=40,"1932830",IF($E21&lt;=50,"1777010",IF($E21&lt;=60,"1546185",IF($E21&lt;=70,"1227000",IF($E21&lt;=80,"804625",IF($E21&lt;=81,"647990",IF($E21&lt;=90,"0",0)))))))))))))+0</f>
        <v>#VALUE!</v>
      </c>
      <c r="BP21" s="217">
        <f>(IF($F21&lt;=0,"0",IF($F21&lt;=1,"952500",IF($F21&lt;=2,"940000",IF($F21&lt;=3,"922500",IF($F21&lt;=4,"897500",IF($F21&lt;=5,"867500",IF($F21&lt;=6,"830000",IF($F21&lt;=7,"710000",IF($F21&lt;=8,"450000",0))))))))))+0</f>
        <v>897500</v>
      </c>
      <c r="BQ21" s="217">
        <f>(IF($G21&lt;=0,"0",IF($G21&lt;=1,"952500",IF($G21&lt;=2,"940000",IF($G21&lt;=3,"922500",IF($G21&lt;=4,"897500",IF($G21&lt;=5,"867500",IF($G21&lt;=6,"830000",IF($G21&lt;=7,"710000",IF($G21&lt;=8,"450000",0))))))))))+0</f>
        <v>0</v>
      </c>
      <c r="BR21" s="217">
        <f>(IF($H21&lt;=0,"0",IF($H21&lt;=1,"952500",IF($H21&lt;=2,"940000",IF($H21&lt;=3,"922500",IF($H21&lt;=4,"897500",IF($H21&lt;=5,"867500",IF($H21&lt;=6,"830000",IF($H21&lt;=7,"710000",IF($H21&lt;=8,"450000",0))))))))))+0</f>
        <v>0</v>
      </c>
      <c r="BS21" s="218" t="e">
        <f>SUM(BO21,BP21,BQ21,BR21)</f>
        <v>#VALUE!</v>
      </c>
    </row>
    <row r="22" spans="1:71" s="81" customFormat="1" ht="30" customHeight="1">
      <c r="A22" s="192">
        <f ca="1">SUBTOTAL(3,$C$3:Character[[#This Row],[Name]])</f>
        <v>20</v>
      </c>
      <c r="B22" s="192" t="e" vm="587">
        <f>ImgDatabase!D22</f>
        <v>#VALUE!</v>
      </c>
      <c r="C22" s="193" t="s">
        <v>413</v>
      </c>
      <c r="D22" s="194" t="e" vm="31">
        <f>IFERROR(INDEX(CharacterDetailss[Element], MATCH(Character[[#This Row],[Name]], CharacterDetailss[Name], 0)), "")</f>
        <v>#VALUE!</v>
      </c>
      <c r="E22" s="194" t="e" vm="292">
        <f>IFERROR(INDEX(CharacterDetailss[Weapon Type], MATCH(Character[[#This Row],[Name]], CharacterDetailss[Name], 0)), "")</f>
        <v>#VALUE!</v>
      </c>
      <c r="F22" s="198">
        <v>1</v>
      </c>
      <c r="G22" s="72">
        <v>22</v>
      </c>
      <c r="H22" s="73">
        <v>1</v>
      </c>
      <c r="I22" s="74">
        <v>1</v>
      </c>
      <c r="J22" s="75">
        <v>1</v>
      </c>
      <c r="K22"/>
      <c r="L22" s="75">
        <v>81</v>
      </c>
      <c r="M22" s="73">
        <v>1</v>
      </c>
      <c r="N22" s="74">
        <v>9</v>
      </c>
      <c r="O22" s="74">
        <v>9</v>
      </c>
      <c r="P22"/>
      <c r="Q22" s="230" t="e" vm="381">
        <f>IFERROR(INDEX(ImgDatabase!$O:$O, MATCH(WorldBoss[[#This Row],[Boss Name]], ImgDatabase!$P:$P, 0)), "")</f>
        <v>#VALUE!</v>
      </c>
      <c r="R22" s="228" t="s">
        <v>136</v>
      </c>
      <c r="S22" s="297" t="e">
        <f>(IF($E22&lt;=0,"0",IF($E22&lt;=40,"46",IF($E22&lt;=50,"44",IF($E22&lt;=60,"40",IF($E22&lt;=70,"32",IF($E22&lt;=80,"20","0")))))))+0</f>
        <v>#VALUE!</v>
      </c>
      <c r="T22"/>
      <c r="U2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22" s="222" t="s">
        <v>549</v>
      </c>
      <c r="W22" s="223">
        <f>Z22+AC22+AF22</f>
        <v>44</v>
      </c>
      <c r="X22" s="223">
        <f>AA22+AD22+AG22</f>
        <v>42</v>
      </c>
      <c r="Y22" s="221">
        <f>AB22+AE22+AH22</f>
        <v>6</v>
      </c>
      <c r="Z22" s="224">
        <f>(IF($F22&lt;=0,"0",IF($F22&lt;=6,"22",IF($F22&lt;=7,"18",IF($F22&lt;=8,"12",0)))))+0</f>
        <v>22</v>
      </c>
      <c r="AA22" s="225">
        <f>(IF($F22&lt;=0,"0",IF($F22&lt;=2,"21",IF($F22&lt;=3,"19",IF($F22&lt;=4,"15",IF($F22&lt;=5,"9",0))))))+0</f>
        <v>21</v>
      </c>
      <c r="AB22" s="225">
        <f>(IF($F22&lt;=0,"0",IF($F22&lt;=1,"3",0)))+0</f>
        <v>3</v>
      </c>
      <c r="AC22" s="225">
        <f>(IF($G22&lt;=0,"0",IF($G22&lt;=6,"22",IF($G22&lt;=7,"18",IF($G22&lt;=8,"12",0)))))+0</f>
        <v>0</v>
      </c>
      <c r="AD22" s="225">
        <f>(IF($G22&lt;=0,"0",IF($G22&lt;=2,"21",IF($G22&lt;=3,"19",IF($G22&lt;=4,"15",IF($G22&lt;=5,"9",0))))))+0</f>
        <v>0</v>
      </c>
      <c r="AE22" s="225">
        <f>(IF($G22&lt;=0,"0",IF($G22&lt;=1,"3",0)))+0</f>
        <v>0</v>
      </c>
      <c r="AF22" s="225">
        <f>(IF($H22&lt;=0,"0",IF($H22&lt;=6,"22",IF($H22&lt;=7,"18",IF($H22&lt;=8,"12",0)))))+0</f>
        <v>22</v>
      </c>
      <c r="AG22" s="225">
        <f>(IF($H22&lt;=0,"0",IF($H22&lt;=2,"21",IF($H22&lt;=3,"19",IF($H22&lt;=4,"15",IF($H22&lt;=5,"9",0))))))+0</f>
        <v>21</v>
      </c>
      <c r="AH22" s="226">
        <f>(IF($H22&lt;=0,"0",IF($H22&lt;=1,"3",0)))+0</f>
        <v>3</v>
      </c>
      <c r="AI22" s="227" t="s">
        <v>531</v>
      </c>
      <c r="AJ22" s="228" t="s">
        <v>550</v>
      </c>
      <c r="AK22" s="229">
        <f>(IF($F22&lt;=0,"0",IF($F22&lt;=6,"4",IF($F22&lt;=7,"3",IF($F22&lt;=8,"2","0")))))+0</f>
        <v>4</v>
      </c>
      <c r="AL22" s="229">
        <f>(IF($G22&lt;=0,"0",IF($G22&lt;=6,"4",IF($G22&lt;=7,"3",IF($G22&lt;=8,"2","0")))))+0</f>
        <v>0</v>
      </c>
      <c r="AM22" s="229">
        <f>(IF($H22&lt;=0,"0",IF($H22&lt;=6,"4",IF($H22&lt;=7,"3",IF($H22&lt;=8,"2","0")))))+0</f>
        <v>4</v>
      </c>
      <c r="AN22" s="220">
        <f>SUM(AK22:AM22)</f>
        <v>8</v>
      </c>
      <c r="AO22" s="228" t="s">
        <v>533</v>
      </c>
      <c r="AP22" s="230" t="e">
        <f>(IF($E22&lt;=0,"0",IF($E22&lt;=20,"168",IF($E22&lt;=30,"165",IF($E22&lt;=50,"155",IF($E22&lt;=60,"135",IF($E22&lt;=70,"105",IF($E22&lt;=80,"60","0"))))))))+0</f>
        <v>#VALUE!</v>
      </c>
      <c r="AQ22" s="219" t="s">
        <v>534</v>
      </c>
      <c r="AR22" s="228" t="e">
        <f>(IF($E22&lt;=0,"0",IF($E22&lt;=80,"6","0")))+0</f>
        <v>#VALUE!</v>
      </c>
      <c r="AS22" s="228" t="e">
        <f>(IF($E22&lt;=0,"0",IF($E22&lt;=60,"9",IF($E22&lt;=70,"6","0"))))+0</f>
        <v>#VALUE!</v>
      </c>
      <c r="AT22" s="228" t="e">
        <f>(IF($E22&lt;=0,"0",IF($E22&lt;=40,"9",IF($E22&lt;=50,"6","0"))))+0</f>
        <v>#VALUE!</v>
      </c>
      <c r="AU22" s="231" t="e">
        <f>(IF($E22&lt;=0,"0",IF($E22&lt;=20,"1","0")))+0</f>
        <v>#VALUE!</v>
      </c>
      <c r="AV22" s="219" t="s">
        <v>236</v>
      </c>
      <c r="AW22" s="228" t="e">
        <f>(IF($E22&lt;=0,"0",IF($E22&lt;=70,"36",IF($E22&lt;=80,"24","0"))))+0</f>
        <v>#VALUE!</v>
      </c>
      <c r="AX22" s="228" t="e">
        <f>(IF($E22&lt;=0,"0",IF($E22&lt;=50,"30",IF($E22&lt;=60,"18","0"))))+0</f>
        <v>#VALUE!</v>
      </c>
      <c r="AY22" s="228" t="e">
        <f>(IF($E22&lt;=0,"0",IF($E22&lt;=20,"18",IF($E22&lt;=40,"15","0"))))+0</f>
        <v>#VALUE!</v>
      </c>
      <c r="AZ22" s="232">
        <f>Summary2831[[#This Row],[3*2]]+Summary2831[[#This Row],[3*22]]+Summary2831[[#This Row],[3*23]]</f>
        <v>57</v>
      </c>
      <c r="BA22" s="233">
        <f>Summary2831[[#This Row],[2*2]]+Summary2831[[#This Row],[2*23]]+Summary2831[[#This Row],[2*24]]</f>
        <v>66</v>
      </c>
      <c r="BB22" s="233">
        <f>Summary2831[[#This Row],[1*2]]+Summary2831[[#This Row],[1*24]]+Summary2831[[#This Row],[1*25]]</f>
        <v>18</v>
      </c>
      <c r="BC22" s="234">
        <f>IF($F22&lt;=0,"0",IF($F22&lt;=6,"19",IF($F22&lt;=7,"18",IF($F22&lt;=8,"9",0))))+0</f>
        <v>19</v>
      </c>
      <c r="BD22" s="234">
        <f>IF($F22&lt;=0,"0",IF($F22&lt;=2,"22",IF($F22&lt;=3,"19",IF($F22&lt;=4,"15",IF($F22&lt;=5,"9",0)))))+0</f>
        <v>22</v>
      </c>
      <c r="BE22" s="234">
        <f>IF($F22&lt;=0,"0",IF($F22&lt;=1,"6",0))+0</f>
        <v>6</v>
      </c>
      <c r="BF22" s="234">
        <f>IF($G22&lt;=0,"0",IF($G22&lt;=6,"19",IF($G22&lt;=7,"18",IF($G22&lt;=8,"9",0))))+0</f>
        <v>0</v>
      </c>
      <c r="BG22" s="234">
        <f>IF($G22&lt;=0,"0",IF($G22&lt;=2,"22",IF($G22&lt;=3,"19",IF($G22&lt;=4,"15",IF($G22&lt;=5,"9",0)))))+0</f>
        <v>0</v>
      </c>
      <c r="BH22" s="234">
        <f>IF($G22&lt;=0,"0",IF($G22&lt;=1,"6",0))+0</f>
        <v>0</v>
      </c>
      <c r="BI22" s="234">
        <f>IF($H22&lt;=0,"0",IF($H22&lt;=6,"19",IF($H22&lt;=7,"18",IF($H22&lt;=8,"9",0))))+0</f>
        <v>19</v>
      </c>
      <c r="BJ22" s="234">
        <f>IF($H22&lt;=0,"0",IF($H22&lt;=2,"22",IF($H22&lt;=3,"19",IF($H22&lt;=4,"15",IF($H22&lt;=5,"9",0)))))+0</f>
        <v>22</v>
      </c>
      <c r="BK22" s="234">
        <f>IF($H22&lt;=0,"0",IF($H22&lt;=1,"6",0))+0</f>
        <v>6</v>
      </c>
      <c r="BL22" s="219">
        <f>SUM(Summary2831[[#This Row],[3*
(Tal)]],Summary2831[[#This Row],[3*
(Asc)]])</f>
        <v>93</v>
      </c>
      <c r="BM22" s="228">
        <f>SUM(Summary2831[[#This Row],[2*
(Tal)]],Summary2831[[#This Row],[2*
(Asc)]])</f>
        <v>96</v>
      </c>
      <c r="BN22" s="231">
        <f>SUM(Summary2831[[#This Row],[1*
(Tal)]],Summary2831[[#This Row],[1*
(Asc)]])</f>
        <v>33</v>
      </c>
      <c r="BO22" s="235" t="e">
        <f>(IF($E22&lt;=0,"0",IF($E22&lt;=1,"2092530",IF($E22&lt;=10,"2087525",IF($E22&lt;=20,"2068495",IF($E22&lt;=30,"2005910",IF($E22&lt;=40,"1932830",IF($E22&lt;=50,"1777010",IF($E22&lt;=60,"1546185",IF($E22&lt;=70,"1227000",IF($E22&lt;=80,"804625",IF($E22&lt;=81,"647990",IF($E22&lt;=90,"0",0)))))))))))))+0</f>
        <v>#VALUE!</v>
      </c>
      <c r="BP22" s="236">
        <f>(IF($F22&lt;=0,"0",IF($F22&lt;=1,"952500",IF($F22&lt;=2,"940000",IF($F22&lt;=3,"922500",IF($F22&lt;=4,"897500",IF($F22&lt;=5,"867500",IF($F22&lt;=6,"830000",IF($F22&lt;=7,"710000",IF($F22&lt;=8,"450000",0))))))))))+0</f>
        <v>952500</v>
      </c>
      <c r="BQ22" s="236">
        <f>(IF($G22&lt;=0,"0",IF($G22&lt;=1,"952500",IF($G22&lt;=2,"940000",IF($G22&lt;=3,"922500",IF($G22&lt;=4,"897500",IF($G22&lt;=5,"867500",IF($G22&lt;=6,"830000",IF($G22&lt;=7,"710000",IF($G22&lt;=8,"450000",0))))))))))+0</f>
        <v>0</v>
      </c>
      <c r="BR22" s="236">
        <f>(IF($H22&lt;=0,"0",IF($H22&lt;=1,"952500",IF($H22&lt;=2,"940000",IF($H22&lt;=3,"922500",IF($H22&lt;=4,"897500",IF($H22&lt;=5,"867500",IF($H22&lt;=6,"830000",IF($H22&lt;=7,"710000",IF($H22&lt;=8,"450000",0))))))))))+0</f>
        <v>952500</v>
      </c>
      <c r="BS22" s="237" t="e">
        <f>SUM(BO22,BP22,BQ22,BR22)</f>
        <v>#VALUE!</v>
      </c>
    </row>
    <row r="23" spans="1:71" ht="30" customHeight="1">
      <c r="A23" s="196">
        <f ca="1">SUBTOTAL(3,$C$3:Character[[#This Row],[Name]])</f>
        <v>21</v>
      </c>
      <c r="B23" s="192" t="e" vm="587">
        <f>ImgDatabase!D23</f>
        <v>#VALUE!</v>
      </c>
      <c r="C23" s="197" t="s">
        <v>349</v>
      </c>
      <c r="D23" s="194" t="e" vm="84">
        <f>IFERROR(INDEX(CharacterDetailss[Element], MATCH(Character[[#This Row],[Name]], CharacterDetailss[Name], 0)), "")</f>
        <v>#VALUE!</v>
      </c>
      <c r="E23" s="194" t="e" vm="216">
        <f>IFERROR(INDEX(CharacterDetailss[Weapon Type], MATCH(Character[[#This Row],[Name]], CharacterDetailss[Name], 0)), "")</f>
        <v>#VALUE!</v>
      </c>
      <c r="F23" s="195">
        <v>1.1000000000000001</v>
      </c>
      <c r="G23" s="14">
        <v>50</v>
      </c>
      <c r="H23" s="9">
        <v>2</v>
      </c>
      <c r="I23" s="2">
        <v>2</v>
      </c>
      <c r="J23" s="10">
        <v>2</v>
      </c>
      <c r="L23" s="75">
        <v>81</v>
      </c>
      <c r="M23" s="73">
        <v>1</v>
      </c>
      <c r="N23" s="74">
        <v>9</v>
      </c>
      <c r="O23" s="74">
        <v>9</v>
      </c>
      <c r="Q23" s="245" t="e" vm="354">
        <f>IFERROR(INDEX(ImgDatabase!$O:$O, MATCH(WorldBoss[[#This Row],[Boss Name]], ImgDatabase!$P:$P, 0)), "")</f>
        <v>#VALUE!</v>
      </c>
      <c r="R23" s="244" t="s">
        <v>96</v>
      </c>
      <c r="S23" s="300" t="e">
        <f>(IF($E23&lt;=0,"0",IF($E23&lt;=40,"46",IF($E23&lt;=50,"44",IF($E23&lt;=60,"40",IF($E23&lt;=70,"32",IF($E23&lt;=80,"20","0")))))))+0</f>
        <v>#VALUE!</v>
      </c>
      <c r="U2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193</v>
      </c>
      <c r="V23" s="240" t="s">
        <v>527</v>
      </c>
      <c r="W23" s="241">
        <f>Z23+AC23+AF23</f>
        <v>44</v>
      </c>
      <c r="X23" s="241">
        <f>AA23+AD23+AG23</f>
        <v>42</v>
      </c>
      <c r="Y23" s="242">
        <f>AB23+AE23+AH23</f>
        <v>0</v>
      </c>
      <c r="Z23" s="204">
        <f>(IF($F23&lt;=0,"0",IF($F23&lt;=6,"22",IF($F23&lt;=7,"18",IF($F23&lt;=8,"12",0)))))+0</f>
        <v>22</v>
      </c>
      <c r="AA23" s="205">
        <f>(IF($F23&lt;=0,"0",IF($F23&lt;=2,"21",IF($F23&lt;=3,"19",IF($F23&lt;=4,"15",IF($F23&lt;=5,"9",0))))))+0</f>
        <v>21</v>
      </c>
      <c r="AB23" s="205">
        <f>(IF($F23&lt;=0,"0",IF($F23&lt;=1,"3",0)))+0</f>
        <v>0</v>
      </c>
      <c r="AC23" s="205">
        <f>(IF($G23&lt;=0,"0",IF($G23&lt;=6,"22",IF($G23&lt;=7,"18",IF($G23&lt;=8,"12",0)))))+0</f>
        <v>0</v>
      </c>
      <c r="AD23" s="205">
        <f>(IF($G23&lt;=0,"0",IF($G23&lt;=2,"21",IF($G23&lt;=3,"19",IF($G23&lt;=4,"15",IF($G23&lt;=5,"9",0))))))+0</f>
        <v>0</v>
      </c>
      <c r="AE23" s="205">
        <f>(IF($G23&lt;=0,"0",IF($G23&lt;=1,"3",0)))+0</f>
        <v>0</v>
      </c>
      <c r="AF23" s="205">
        <f>(IF($H23&lt;=0,"0",IF($H23&lt;=6,"22",IF($H23&lt;=7,"18",IF($H23&lt;=8,"12",0)))))+0</f>
        <v>22</v>
      </c>
      <c r="AG23" s="205">
        <f>(IF($H23&lt;=0,"0",IF($H23&lt;=2,"21",IF($H23&lt;=3,"19",IF($H23&lt;=4,"15",IF($H23&lt;=5,"9",0))))))+0</f>
        <v>21</v>
      </c>
      <c r="AH23" s="206">
        <f>(IF($H23&lt;=0,"0",IF($H23&lt;=1,"3",0)))+0</f>
        <v>0</v>
      </c>
      <c r="AI23" s="243" t="s">
        <v>389</v>
      </c>
      <c r="AJ23" s="244" t="s">
        <v>567</v>
      </c>
      <c r="AK23" s="209">
        <f>(IF($F23&lt;=0,"0",IF($F23&lt;=6,"4",IF($F23&lt;=7,"3",IF($F23&lt;=8,"2","0")))))+0</f>
        <v>4</v>
      </c>
      <c r="AL23" s="209">
        <f>(IF($G23&lt;=0,"0",IF($G23&lt;=6,"4",IF($G23&lt;=7,"3",IF($G23&lt;=8,"2","0")))))+0</f>
        <v>0</v>
      </c>
      <c r="AM23" s="209">
        <f>(IF($H23&lt;=0,"0",IF($H23&lt;=6,"4",IF($H23&lt;=7,"3",IF($H23&lt;=8,"2","0")))))+0</f>
        <v>4</v>
      </c>
      <c r="AN23" s="239">
        <f>SUM(AK23:AM23)</f>
        <v>8</v>
      </c>
      <c r="AO23" s="244" t="s">
        <v>568</v>
      </c>
      <c r="AP23" s="245" t="e">
        <f>(IF($E23&lt;=0,"0",IF($E23&lt;=20,"168",IF($E23&lt;=30,"165",IF($E23&lt;=50,"155",IF($E23&lt;=60,"135",IF($E23&lt;=70,"105",IF($E23&lt;=80,"60","0"))))))))+0</f>
        <v>#VALUE!</v>
      </c>
      <c r="AQ23" s="238" t="s">
        <v>530</v>
      </c>
      <c r="AR23" s="244" t="e">
        <f>(IF($E23&lt;=0,"0",IF($E23&lt;=80,"6","0")))+0</f>
        <v>#VALUE!</v>
      </c>
      <c r="AS23" s="244" t="e">
        <f>(IF($E23&lt;=0,"0",IF($E23&lt;=60,"9",IF($E23&lt;=70,"6","0"))))+0</f>
        <v>#VALUE!</v>
      </c>
      <c r="AT23" s="244" t="e">
        <f>(IF($E23&lt;=0,"0",IF($E23&lt;=40,"9",IF($E23&lt;=50,"6","0"))))+0</f>
        <v>#VALUE!</v>
      </c>
      <c r="AU23" s="246" t="e">
        <f>(IF($E23&lt;=0,"0",IF($E23&lt;=20,"1","0")))+0</f>
        <v>#VALUE!</v>
      </c>
      <c r="AV23" s="238" t="s">
        <v>120</v>
      </c>
      <c r="AW23" s="244" t="e">
        <f>(IF($E23&lt;=0,"0",IF($E23&lt;=70,"36",IF($E23&lt;=80,"24","0"))))+0</f>
        <v>#VALUE!</v>
      </c>
      <c r="AX23" s="244" t="e">
        <f>(IF($E23&lt;=0,"0",IF($E23&lt;=50,"30",IF($E23&lt;=60,"18","0"))))+0</f>
        <v>#VALUE!</v>
      </c>
      <c r="AY23" s="244" t="e">
        <f>(IF($E23&lt;=0,"0",IF($E23&lt;=20,"18",IF($E23&lt;=40,"15","0"))))+0</f>
        <v>#VALUE!</v>
      </c>
      <c r="AZ23" s="247">
        <f>Summary2831[[#This Row],[3*2]]+Summary2831[[#This Row],[3*22]]+Summary2831[[#This Row],[3*23]]</f>
        <v>57</v>
      </c>
      <c r="BA23" s="248">
        <f>Summary2831[[#This Row],[2*2]]+Summary2831[[#This Row],[2*23]]+Summary2831[[#This Row],[2*24]]</f>
        <v>66</v>
      </c>
      <c r="BB23" s="248">
        <f>Summary2831[[#This Row],[1*2]]+Summary2831[[#This Row],[1*24]]+Summary2831[[#This Row],[1*25]]</f>
        <v>0</v>
      </c>
      <c r="BC23" s="248">
        <f>IF($F23&lt;=0,"0",IF($F23&lt;=6,"19",IF($F23&lt;=7,"18",IF($F23&lt;=8,"9",0))))+0</f>
        <v>19</v>
      </c>
      <c r="BD23" s="248">
        <f>IF($F23&lt;=0,"0",IF($F23&lt;=2,"22",IF($F23&lt;=3,"19",IF($F23&lt;=4,"15",IF($F23&lt;=5,"9",0)))))+0</f>
        <v>22</v>
      </c>
      <c r="BE23" s="248">
        <f>IF($F23&lt;=0,"0",IF($F23&lt;=1,"6",0))+0</f>
        <v>0</v>
      </c>
      <c r="BF23" s="248">
        <f>IF($G23&lt;=0,"0",IF($G23&lt;=6,"19",IF($G23&lt;=7,"18",IF($G23&lt;=8,"9",0))))+0</f>
        <v>0</v>
      </c>
      <c r="BG23" s="248">
        <f>IF($G23&lt;=0,"0",IF($G23&lt;=2,"22",IF($G23&lt;=3,"19",IF($G23&lt;=4,"15",IF($G23&lt;=5,"9",0)))))+0</f>
        <v>0</v>
      </c>
      <c r="BH23" s="248">
        <f>IF($G23&lt;=0,"0",IF($G23&lt;=1,"6",0))+0</f>
        <v>0</v>
      </c>
      <c r="BI23" s="248">
        <f>IF($H23&lt;=0,"0",IF($H23&lt;=6,"19",IF($H23&lt;=7,"18",IF($H23&lt;=8,"9",0))))+0</f>
        <v>19</v>
      </c>
      <c r="BJ23" s="248">
        <f>IF($H23&lt;=0,"0",IF($H23&lt;=2,"22",IF($H23&lt;=3,"19",IF($H23&lt;=4,"15",IF($H23&lt;=5,"9",0)))))+0</f>
        <v>22</v>
      </c>
      <c r="BK23" s="248">
        <f>IF($H23&lt;=0,"0",IF($H23&lt;=1,"6",0))+0</f>
        <v>0</v>
      </c>
      <c r="BL23" s="238">
        <f>SUM(Summary2831[[#This Row],[3*
(Tal)]],Summary2831[[#This Row],[3*
(Asc)]])</f>
        <v>93</v>
      </c>
      <c r="BM23" s="244">
        <f>SUM(Summary2831[[#This Row],[2*
(Tal)]],Summary2831[[#This Row],[2*
(Asc)]])</f>
        <v>96</v>
      </c>
      <c r="BN23" s="246">
        <f>SUM(Summary2831[[#This Row],[1*
(Tal)]],Summary2831[[#This Row],[1*
(Asc)]])</f>
        <v>0</v>
      </c>
      <c r="BO23" s="216" t="e">
        <f>(IF($E23&lt;=0,"0",IF($E23&lt;=1,"2092530",IF($E23&lt;=10,"2087525",IF($E23&lt;=20,"2068495",IF($E23&lt;=30,"2005910",IF($E23&lt;=40,"1932830",IF($E23&lt;=50,"1777010",IF($E23&lt;=60,"1546185",IF($E23&lt;=70,"1227000",IF($E23&lt;=80,"804625",IF($E23&lt;=81,"647990",IF($E23&lt;=90,"0",0)))))))))))))+0</f>
        <v>#VALUE!</v>
      </c>
      <c r="BP23" s="249">
        <f>(IF($F23&lt;=0,"0",IF($F23&lt;=1,"952500",IF($F23&lt;=2,"940000",IF($F23&lt;=3,"922500",IF($F23&lt;=4,"897500",IF($F23&lt;=5,"867500",IF($F23&lt;=6,"830000",IF($F23&lt;=7,"710000",IF($F23&lt;=8,"450000",0))))))))))+0</f>
        <v>940000</v>
      </c>
      <c r="BQ23" s="249">
        <f>(IF($G23&lt;=0,"0",IF($G23&lt;=1,"952500",IF($G23&lt;=2,"940000",IF($G23&lt;=3,"922500",IF($G23&lt;=4,"897500",IF($G23&lt;=5,"867500",IF($G23&lt;=6,"830000",IF($G23&lt;=7,"710000",IF($G23&lt;=8,"450000",0))))))))))+0</f>
        <v>0</v>
      </c>
      <c r="BR23" s="249">
        <f>(IF($H23&lt;=0,"0",IF($H23&lt;=1,"952500",IF($H23&lt;=2,"940000",IF($H23&lt;=3,"922500",IF($H23&lt;=4,"897500",IF($H23&lt;=5,"867500",IF($H23&lt;=6,"830000",IF($H23&lt;=7,"710000",IF($H23&lt;=8,"450000",0))))))))))+0</f>
        <v>940000</v>
      </c>
      <c r="BS23" s="250" t="e">
        <f>SUM(BO23,BP23,BQ23,BR23)</f>
        <v>#VALUE!</v>
      </c>
    </row>
    <row r="24" spans="1:71" ht="30" customHeight="1">
      <c r="A24" s="196">
        <f ca="1">SUBTOTAL(3,$C$3:Character[[#This Row],[Name]])</f>
        <v>22</v>
      </c>
      <c r="B24" s="192" t="e" vm="587">
        <f>ImgDatabase!D24</f>
        <v>#VALUE!</v>
      </c>
      <c r="C24" s="197" t="s">
        <v>414</v>
      </c>
      <c r="D24" s="194" t="e" vm="49">
        <f>IFERROR(INDEX(CharacterDetailss[Element], MATCH(Character[[#This Row],[Name]], CharacterDetailss[Name], 0)), "")</f>
        <v>#VALUE!</v>
      </c>
      <c r="E24" s="194" t="e" vm="292">
        <f>IFERROR(INDEX(CharacterDetailss[Weapon Type], MATCH(Character[[#This Row],[Name]], CharacterDetailss[Name], 0)), "")</f>
        <v>#VALUE!</v>
      </c>
      <c r="F24" s="198">
        <v>3</v>
      </c>
      <c r="G24" s="14">
        <v>51</v>
      </c>
      <c r="H24" s="9">
        <v>1</v>
      </c>
      <c r="I24" s="2">
        <v>1</v>
      </c>
      <c r="J24" s="10">
        <v>1</v>
      </c>
      <c r="L24" s="75">
        <v>81</v>
      </c>
      <c r="M24" s="73">
        <v>1</v>
      </c>
      <c r="N24" s="74">
        <v>9</v>
      </c>
      <c r="O24" s="74">
        <v>9</v>
      </c>
      <c r="Q24" s="258" t="e" vm="447">
        <f>IFERROR(INDEX(ImgDatabase!$O:$O, MATCH(WorldBoss[[#This Row],[Boss Name]], ImgDatabase!$P:$P, 0)), "")</f>
        <v>#VALUE!</v>
      </c>
      <c r="R24" s="257" t="s">
        <v>243</v>
      </c>
      <c r="S24" s="301" t="e">
        <f>(IF($E24&lt;=0,"0",IF($E24&lt;=40,"46",IF($E24&lt;=50,"44",IF($E24&lt;=60,"40",IF($E24&lt;=70,"32",IF($E24&lt;=80,"20","0")))))))+0</f>
        <v>#VALUE!</v>
      </c>
      <c r="U2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V24" s="253" t="s">
        <v>522</v>
      </c>
      <c r="W24" s="254">
        <f>Z24+AC24+AF24</f>
        <v>44</v>
      </c>
      <c r="X24" s="254">
        <f>AA24+AD24+AG24</f>
        <v>40</v>
      </c>
      <c r="Y24" s="255">
        <f>AB24+AE24+AH24</f>
        <v>3</v>
      </c>
      <c r="Z24" s="224">
        <f>(IF($F24&lt;=0,"0",IF($F24&lt;=6,"22",IF($F24&lt;=7,"18",IF($F24&lt;=8,"12",0)))))+0</f>
        <v>22</v>
      </c>
      <c r="AA24" s="225">
        <f>(IF($F24&lt;=0,"0",IF($F24&lt;=2,"21",IF($F24&lt;=3,"19",IF($F24&lt;=4,"15",IF($F24&lt;=5,"9",0))))))+0</f>
        <v>19</v>
      </c>
      <c r="AB24" s="225">
        <f>(IF($F24&lt;=0,"0",IF($F24&lt;=1,"3",0)))+0</f>
        <v>0</v>
      </c>
      <c r="AC24" s="225">
        <f>(IF($G24&lt;=0,"0",IF($G24&lt;=6,"22",IF($G24&lt;=7,"18",IF($G24&lt;=8,"12",0)))))+0</f>
        <v>0</v>
      </c>
      <c r="AD24" s="225">
        <f>(IF($G24&lt;=0,"0",IF($G24&lt;=2,"21",IF($G24&lt;=3,"19",IF($G24&lt;=4,"15",IF($G24&lt;=5,"9",0))))))+0</f>
        <v>0</v>
      </c>
      <c r="AE24" s="225">
        <f>(IF($G24&lt;=0,"0",IF($G24&lt;=1,"3",0)))+0</f>
        <v>0</v>
      </c>
      <c r="AF24" s="225">
        <f>(IF($H24&lt;=0,"0",IF($H24&lt;=6,"22",IF($H24&lt;=7,"18",IF($H24&lt;=8,"12",0)))))+0</f>
        <v>22</v>
      </c>
      <c r="AG24" s="225">
        <f>(IF($H24&lt;=0,"0",IF($H24&lt;=2,"21",IF($H24&lt;=3,"19",IF($H24&lt;=4,"15",IF($H24&lt;=5,"9",0))))))+0</f>
        <v>21</v>
      </c>
      <c r="AH24" s="226">
        <f>(IF($H24&lt;=0,"0",IF($H24&lt;=1,"3",0)))+0</f>
        <v>3</v>
      </c>
      <c r="AI24" s="256" t="s">
        <v>176</v>
      </c>
      <c r="AJ24" s="257" t="s">
        <v>569</v>
      </c>
      <c r="AK24" s="229">
        <f>(IF($F24&lt;=0,"0",IF($F24&lt;=6,"4",IF($F24&lt;=7,"3",IF($F24&lt;=8,"2","0")))))+0</f>
        <v>4</v>
      </c>
      <c r="AL24" s="229">
        <f>(IF($G24&lt;=0,"0",IF($G24&lt;=6,"4",IF($G24&lt;=7,"3",IF($G24&lt;=8,"2","0")))))+0</f>
        <v>0</v>
      </c>
      <c r="AM24" s="229">
        <f>(IF($H24&lt;=0,"0",IF($H24&lt;=6,"4",IF($H24&lt;=7,"3",IF($H24&lt;=8,"2","0")))))+0</f>
        <v>4</v>
      </c>
      <c r="AN24" s="252">
        <f>SUM(AK24:AM24)</f>
        <v>8</v>
      </c>
      <c r="AO24" s="257" t="s">
        <v>570</v>
      </c>
      <c r="AP24" s="258" t="e">
        <f>(IF($E24&lt;=0,"0",IF($E24&lt;=20,"168",IF($E24&lt;=30,"165",IF($E24&lt;=50,"155",IF($E24&lt;=60,"135",IF($E24&lt;=70,"105",IF($E24&lt;=80,"60","0"))))))))+0</f>
        <v>#VALUE!</v>
      </c>
      <c r="AQ24" s="251" t="s">
        <v>526</v>
      </c>
      <c r="AR24" s="257" t="e">
        <f>(IF($E24&lt;=0,"0",IF($E24&lt;=80,"6","0")))+0</f>
        <v>#VALUE!</v>
      </c>
      <c r="AS24" s="257" t="e">
        <f>(IF($E24&lt;=0,"0",IF($E24&lt;=60,"9",IF($E24&lt;=70,"6","0"))))+0</f>
        <v>#VALUE!</v>
      </c>
      <c r="AT24" s="257" t="e">
        <f>(IF($E24&lt;=0,"0",IF($E24&lt;=40,"9",IF($E24&lt;=50,"6","0"))))+0</f>
        <v>#VALUE!</v>
      </c>
      <c r="AU24" s="259" t="e">
        <f>(IF($E24&lt;=0,"0",IF($E24&lt;=20,"1","0")))+0</f>
        <v>#VALUE!</v>
      </c>
      <c r="AV24" s="251" t="s">
        <v>46</v>
      </c>
      <c r="AW24" s="257" t="e">
        <f>(IF($E24&lt;=0,"0",IF($E24&lt;=70,"36",IF($E24&lt;=80,"24","0"))))+0</f>
        <v>#VALUE!</v>
      </c>
      <c r="AX24" s="257" t="e">
        <f>(IF($E24&lt;=0,"0",IF($E24&lt;=50,"30",IF($E24&lt;=60,"18","0"))))+0</f>
        <v>#VALUE!</v>
      </c>
      <c r="AY24" s="257" t="e">
        <f>(IF($E24&lt;=0,"0",IF($E24&lt;=20,"18",IF($E24&lt;=40,"15","0"))))+0</f>
        <v>#VALUE!</v>
      </c>
      <c r="AZ24" s="260">
        <f>Summary2831[[#This Row],[3*2]]+Summary2831[[#This Row],[3*22]]+Summary2831[[#This Row],[3*23]]</f>
        <v>57</v>
      </c>
      <c r="BA24" s="261">
        <f>Summary2831[[#This Row],[2*2]]+Summary2831[[#This Row],[2*23]]+Summary2831[[#This Row],[2*24]]</f>
        <v>66</v>
      </c>
      <c r="BB24" s="261">
        <f>Summary2831[[#This Row],[1*2]]+Summary2831[[#This Row],[1*24]]+Summary2831[[#This Row],[1*25]]</f>
        <v>18</v>
      </c>
      <c r="BC24" s="261">
        <f>IF($F24&lt;=0,"0",IF($F24&lt;=6,"19",IF($F24&lt;=7,"18",IF($F24&lt;=8,"9",0))))+0</f>
        <v>19</v>
      </c>
      <c r="BD24" s="261">
        <f>IF($F24&lt;=0,"0",IF($F24&lt;=2,"22",IF($F24&lt;=3,"19",IF($F24&lt;=4,"15",IF($F24&lt;=5,"9",0)))))+0</f>
        <v>19</v>
      </c>
      <c r="BE24" s="261">
        <f>IF($F24&lt;=0,"0",IF($F24&lt;=1,"6",0))+0</f>
        <v>0</v>
      </c>
      <c r="BF24" s="261">
        <f>IF($G24&lt;=0,"0",IF($G24&lt;=6,"19",IF($G24&lt;=7,"18",IF($G24&lt;=8,"9",0))))+0</f>
        <v>0</v>
      </c>
      <c r="BG24" s="261">
        <f>IF($G24&lt;=0,"0",IF($G24&lt;=2,"22",IF($G24&lt;=3,"19",IF($G24&lt;=4,"15",IF($G24&lt;=5,"9",0)))))+0</f>
        <v>0</v>
      </c>
      <c r="BH24" s="261">
        <f>IF($G24&lt;=0,"0",IF($G24&lt;=1,"6",0))+0</f>
        <v>0</v>
      </c>
      <c r="BI24" s="261">
        <f>IF($H24&lt;=0,"0",IF($H24&lt;=6,"19",IF($H24&lt;=7,"18",IF($H24&lt;=8,"9",0))))+0</f>
        <v>19</v>
      </c>
      <c r="BJ24" s="261">
        <f>IF($H24&lt;=0,"0",IF($H24&lt;=2,"22",IF($H24&lt;=3,"19",IF($H24&lt;=4,"15",IF($H24&lt;=5,"9",0)))))+0</f>
        <v>22</v>
      </c>
      <c r="BK24" s="261">
        <f>IF($H24&lt;=0,"0",IF($H24&lt;=1,"6",0))+0</f>
        <v>6</v>
      </c>
      <c r="BL24" s="251">
        <f>SUM(Summary2831[[#This Row],[3*
(Tal)]],Summary2831[[#This Row],[3*
(Asc)]])</f>
        <v>93</v>
      </c>
      <c r="BM24" s="257">
        <f>SUM(Summary2831[[#This Row],[2*
(Tal)]],Summary2831[[#This Row],[2*
(Asc)]])</f>
        <v>84</v>
      </c>
      <c r="BN24" s="259">
        <f>SUM(Summary2831[[#This Row],[1*
(Tal)]],Summary2831[[#This Row],[1*
(Asc)]])</f>
        <v>18</v>
      </c>
      <c r="BO24" s="235" t="e">
        <f>(IF($E24&lt;=0,"0",IF($E24&lt;=1,"2092530",IF($E24&lt;=10,"2087525",IF($E24&lt;=20,"2068495",IF($E24&lt;=30,"2005910",IF($E24&lt;=40,"1932830",IF($E24&lt;=50,"1777010",IF($E24&lt;=60,"1546185",IF($E24&lt;=70,"1227000",IF($E24&lt;=80,"804625",IF($E24&lt;=81,"647990",IF($E24&lt;=90,"0",0)))))))))))))+0</f>
        <v>#VALUE!</v>
      </c>
      <c r="BP24" s="262">
        <f>(IF($F24&lt;=0,"0",IF($F24&lt;=1,"952500",IF($F24&lt;=2,"940000",IF($F24&lt;=3,"922500",IF($F24&lt;=4,"897500",IF($F24&lt;=5,"867500",IF($F24&lt;=6,"830000",IF($F24&lt;=7,"710000",IF($F24&lt;=8,"450000",0))))))))))+0</f>
        <v>922500</v>
      </c>
      <c r="BQ24" s="262">
        <f>(IF($G24&lt;=0,"0",IF($G24&lt;=1,"952500",IF($G24&lt;=2,"940000",IF($G24&lt;=3,"922500",IF($G24&lt;=4,"897500",IF($G24&lt;=5,"867500",IF($G24&lt;=6,"830000",IF($G24&lt;=7,"710000",IF($G24&lt;=8,"450000",0))))))))))+0</f>
        <v>0</v>
      </c>
      <c r="BR24" s="262">
        <f>(IF($H24&lt;=0,"0",IF($H24&lt;=1,"952500",IF($H24&lt;=2,"940000",IF($H24&lt;=3,"922500",IF($H24&lt;=4,"897500",IF($H24&lt;=5,"867500",IF($H24&lt;=6,"830000",IF($H24&lt;=7,"710000",IF($H24&lt;=8,"450000",0))))))))))+0</f>
        <v>952500</v>
      </c>
      <c r="BS24" s="263" t="e">
        <f>SUM(BO24,BP24,BQ24,BR24)</f>
        <v>#VALUE!</v>
      </c>
    </row>
    <row r="25" spans="1:71" s="81" customFormat="1" ht="30" customHeight="1">
      <c r="A25" s="192">
        <f ca="1">SUBTOTAL(3,$C$3:Character[[#This Row],[Name]])</f>
        <v>23</v>
      </c>
      <c r="B25" s="192" t="e" vm="587">
        <f>ImgDatabase!D25</f>
        <v>#VALUE!</v>
      </c>
      <c r="C25" s="193" t="s">
        <v>415</v>
      </c>
      <c r="D25" s="194" t="e" vm="84">
        <f>IFERROR(INDEX(CharacterDetailss[Element], MATCH(Character[[#This Row],[Name]], CharacterDetailss[Name], 0)), "")</f>
        <v>#VALUE!</v>
      </c>
      <c r="E25" s="194" t="e" vm="292">
        <f>IFERROR(INDEX(CharacterDetailss[Weapon Type], MATCH(Character[[#This Row],[Name]], CharacterDetailss[Name], 0)), "")</f>
        <v>#VALUE!</v>
      </c>
      <c r="F25" s="195">
        <v>1.5</v>
      </c>
      <c r="G25" s="72">
        <v>90</v>
      </c>
      <c r="H25" s="73">
        <v>9</v>
      </c>
      <c r="I25" s="74">
        <v>8</v>
      </c>
      <c r="J25" s="75">
        <v>10</v>
      </c>
      <c r="K25"/>
      <c r="L25" s="75">
        <v>81</v>
      </c>
      <c r="M25" s="73">
        <v>1</v>
      </c>
      <c r="N25" s="74">
        <v>9</v>
      </c>
      <c r="O25" s="74">
        <v>9</v>
      </c>
      <c r="P25"/>
      <c r="Q25" s="210" t="e" vm="395">
        <f>IFERROR(INDEX(ImgDatabase!$O:$O, MATCH(WorldBoss[[#This Row],[Boss Name]], ImgDatabase!$P:$P, 0)), "")</f>
        <v>#VALUE!</v>
      </c>
      <c r="R25" s="208" t="s">
        <v>156</v>
      </c>
      <c r="S25" s="298" t="e">
        <f>(IF($E25&lt;=0,"0",IF($E25&lt;=40,"46",IF($E25&lt;=50,"44",IF($E25&lt;=60,"40",IF($E25&lt;=70,"32",IF($E25&lt;=80,"20","0")))))))+0</f>
        <v>#VALUE!</v>
      </c>
      <c r="T25"/>
      <c r="U2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5" s="202" t="s">
        <v>549</v>
      </c>
      <c r="W25" s="203">
        <f>Z25+AC25+AF25</f>
        <v>22</v>
      </c>
      <c r="X25" s="203">
        <f>AA25+AD25+AG25</f>
        <v>21</v>
      </c>
      <c r="Y25" s="201">
        <f>AB25+AE25+AH25</f>
        <v>0</v>
      </c>
      <c r="Z25" s="204">
        <f>(IF($F25&lt;=0,"0",IF($F25&lt;=6,"22",IF($F25&lt;=7,"18",IF($F25&lt;=8,"12",0)))))+0</f>
        <v>22</v>
      </c>
      <c r="AA25" s="205">
        <f>(IF($F25&lt;=0,"0",IF($F25&lt;=2,"21",IF($F25&lt;=3,"19",IF($F25&lt;=4,"15",IF($F25&lt;=5,"9",0))))))+0</f>
        <v>21</v>
      </c>
      <c r="AB25" s="205">
        <f>(IF($F25&lt;=0,"0",IF($F25&lt;=1,"3",0)))+0</f>
        <v>0</v>
      </c>
      <c r="AC25" s="205">
        <f>(IF($G25&lt;=0,"0",IF($G25&lt;=6,"22",IF($G25&lt;=7,"18",IF($G25&lt;=8,"12",0)))))+0</f>
        <v>0</v>
      </c>
      <c r="AD25" s="205">
        <f>(IF($G25&lt;=0,"0",IF($G25&lt;=2,"21",IF($G25&lt;=3,"19",IF($G25&lt;=4,"15",IF($G25&lt;=5,"9",0))))))+0</f>
        <v>0</v>
      </c>
      <c r="AE25" s="205">
        <f>(IF($G25&lt;=0,"0",IF($G25&lt;=1,"3",0)))+0</f>
        <v>0</v>
      </c>
      <c r="AF25" s="205">
        <f>(IF($H25&lt;=0,"0",IF($H25&lt;=6,"22",IF($H25&lt;=7,"18",IF($H25&lt;=8,"12",0)))))+0</f>
        <v>0</v>
      </c>
      <c r="AG25" s="205">
        <f>(IF($H25&lt;=0,"0",IF($H25&lt;=2,"21",IF($H25&lt;=3,"19",IF($H25&lt;=4,"15",IF($H25&lt;=5,"9",0))))))+0</f>
        <v>0</v>
      </c>
      <c r="AH25" s="206">
        <f>(IF($H25&lt;=0,"0",IF($H25&lt;=1,"3",0)))+0</f>
        <v>0</v>
      </c>
      <c r="AI25" s="207" t="s">
        <v>176</v>
      </c>
      <c r="AJ25" s="208" t="s">
        <v>571</v>
      </c>
      <c r="AK25" s="209">
        <f>(IF($F25&lt;=0,"0",IF($F25&lt;=6,"4",IF($F25&lt;=7,"3",IF($F25&lt;=8,"2","0")))))+0</f>
        <v>4</v>
      </c>
      <c r="AL25" s="209">
        <f>(IF($G25&lt;=0,"0",IF($G25&lt;=6,"4",IF($G25&lt;=7,"3",IF($G25&lt;=8,"2","0")))))+0</f>
        <v>0</v>
      </c>
      <c r="AM25" s="209">
        <f>(IF($H25&lt;=0,"0",IF($H25&lt;=6,"4",IF($H25&lt;=7,"3",IF($H25&lt;=8,"2","0")))))+0</f>
        <v>0</v>
      </c>
      <c r="AN25" s="200">
        <f>SUM(AK25:AM25)</f>
        <v>4</v>
      </c>
      <c r="AO25" s="208" t="s">
        <v>572</v>
      </c>
      <c r="AP25" s="210" t="e">
        <f>(IF($E25&lt;=0,"0",IF($E25&lt;=20,"168",IF($E25&lt;=30,"165",IF($E25&lt;=50,"155",IF($E25&lt;=60,"135",IF($E25&lt;=70,"105",IF($E25&lt;=80,"60","0"))))))))+0</f>
        <v>#VALUE!</v>
      </c>
      <c r="AQ25" s="199" t="s">
        <v>530</v>
      </c>
      <c r="AR25" s="208" t="e">
        <f>(IF($E25&lt;=0,"0",IF($E25&lt;=80,"6","0")))+0</f>
        <v>#VALUE!</v>
      </c>
      <c r="AS25" s="208" t="e">
        <f>(IF($E25&lt;=0,"0",IF($E25&lt;=60,"9",IF($E25&lt;=70,"6","0"))))+0</f>
        <v>#VALUE!</v>
      </c>
      <c r="AT25" s="208" t="e">
        <f>(IF($E25&lt;=0,"0",IF($E25&lt;=40,"9",IF($E25&lt;=50,"6","0"))))+0</f>
        <v>#VALUE!</v>
      </c>
      <c r="AU25" s="211" t="e">
        <f>(IF($E25&lt;=0,"0",IF($E25&lt;=20,"1","0")))+0</f>
        <v>#VALUE!</v>
      </c>
      <c r="AV25" s="199" t="s">
        <v>89</v>
      </c>
      <c r="AW25" s="208" t="e">
        <f>(IF($E25&lt;=0,"0",IF($E25&lt;=70,"36",IF($E25&lt;=80,"24","0"))))+0</f>
        <v>#VALUE!</v>
      </c>
      <c r="AX25" s="208" t="e">
        <f>(IF($E25&lt;=0,"0",IF($E25&lt;=50,"30",IF($E25&lt;=60,"18","0"))))+0</f>
        <v>#VALUE!</v>
      </c>
      <c r="AY25" s="208" t="e">
        <f>(IF($E25&lt;=0,"0",IF($E25&lt;=20,"18",IF($E25&lt;=40,"15","0"))))+0</f>
        <v>#VALUE!</v>
      </c>
      <c r="AZ25" s="212">
        <f>Summary2831[[#This Row],[3*2]]+Summary2831[[#This Row],[3*22]]+Summary2831[[#This Row],[3*23]]</f>
        <v>9</v>
      </c>
      <c r="BA25" s="213">
        <f>Summary2831[[#This Row],[2*2]]+Summary2831[[#This Row],[2*23]]+Summary2831[[#This Row],[2*24]]</f>
        <v>0</v>
      </c>
      <c r="BB25" s="213">
        <f>Summary2831[[#This Row],[1*2]]+Summary2831[[#This Row],[1*24]]+Summary2831[[#This Row],[1*25]]</f>
        <v>0</v>
      </c>
      <c r="BC25" s="215">
        <f>IF($F25&lt;=0,"0",IF($F25&lt;=6,"19",IF($F25&lt;=7,"18",IF($F25&lt;=8,"9",0))))+0</f>
        <v>19</v>
      </c>
      <c r="BD25" s="215">
        <f>IF($F25&lt;=0,"0",IF($F25&lt;=2,"22",IF($F25&lt;=3,"19",IF($F25&lt;=4,"15",IF($F25&lt;=5,"9",0)))))+0</f>
        <v>22</v>
      </c>
      <c r="BE25" s="215">
        <f>IF($F25&lt;=0,"0",IF($F25&lt;=1,"6",0))+0</f>
        <v>0</v>
      </c>
      <c r="BF25" s="215">
        <f>IF($G25&lt;=0,"0",IF($G25&lt;=6,"19",IF($G25&lt;=7,"18",IF($G25&lt;=8,"9",0))))+0</f>
        <v>0</v>
      </c>
      <c r="BG25" s="215">
        <f>IF($G25&lt;=0,"0",IF($G25&lt;=2,"22",IF($G25&lt;=3,"19",IF($G25&lt;=4,"15",IF($G25&lt;=5,"9",0)))))+0</f>
        <v>0</v>
      </c>
      <c r="BH25" s="215">
        <f>IF($G25&lt;=0,"0",IF($G25&lt;=1,"6",0))+0</f>
        <v>0</v>
      </c>
      <c r="BI25" s="215">
        <f>IF($H25&lt;=0,"0",IF($H25&lt;=6,"19",IF($H25&lt;=7,"18",IF($H25&lt;=8,"9",0))))+0</f>
        <v>0</v>
      </c>
      <c r="BJ25" s="215">
        <f>IF($H25&lt;=0,"0",IF($H25&lt;=2,"22",IF($H25&lt;=3,"19",IF($H25&lt;=4,"15",IF($H25&lt;=5,"9",0)))))+0</f>
        <v>0</v>
      </c>
      <c r="BK25" s="215">
        <f>IF($H25&lt;=0,"0",IF($H25&lt;=1,"6",0))+0</f>
        <v>0</v>
      </c>
      <c r="BL25" s="199">
        <f>SUM(Summary2831[[#This Row],[3*
(Tal)]],Summary2831[[#This Row],[3*
(Asc)]])</f>
        <v>9</v>
      </c>
      <c r="BM25" s="208">
        <f>SUM(Summary2831[[#This Row],[2*
(Tal)]],Summary2831[[#This Row],[2*
(Asc)]])</f>
        <v>0</v>
      </c>
      <c r="BN25" s="211">
        <f>SUM(Summary2831[[#This Row],[1*
(Tal)]],Summary2831[[#This Row],[1*
(Asc)]])</f>
        <v>0</v>
      </c>
      <c r="BO25" s="216" t="e">
        <f>(IF($E25&lt;=0,"0",IF($E25&lt;=1,"2092530",IF($E25&lt;=10,"2087525",IF($E25&lt;=20,"2068495",IF($E25&lt;=30,"2005910",IF($E25&lt;=40,"1932830",IF($E25&lt;=50,"1777010",IF($E25&lt;=60,"1546185",IF($E25&lt;=70,"1227000",IF($E25&lt;=80,"804625",IF($E25&lt;=81,"647990",IF($E25&lt;=90,"0",0)))))))))))))+0</f>
        <v>#VALUE!</v>
      </c>
      <c r="BP25" s="217">
        <f>(IF($F25&lt;=0,"0",IF($F25&lt;=1,"952500",IF($F25&lt;=2,"940000",IF($F25&lt;=3,"922500",IF($F25&lt;=4,"897500",IF($F25&lt;=5,"867500",IF($F25&lt;=6,"830000",IF($F25&lt;=7,"710000",IF($F25&lt;=8,"450000",0))))))))))+0</f>
        <v>940000</v>
      </c>
      <c r="BQ25" s="217">
        <f>(IF($G25&lt;=0,"0",IF($G25&lt;=1,"952500",IF($G25&lt;=2,"940000",IF($G25&lt;=3,"922500",IF($G25&lt;=4,"897500",IF($G25&lt;=5,"867500",IF($G25&lt;=6,"830000",IF($G25&lt;=7,"710000",IF($G25&lt;=8,"450000",0))))))))))+0</f>
        <v>0</v>
      </c>
      <c r="BR25" s="217">
        <f>(IF($H25&lt;=0,"0",IF($H25&lt;=1,"952500",IF($H25&lt;=2,"940000",IF($H25&lt;=3,"922500",IF($H25&lt;=4,"897500",IF($H25&lt;=5,"867500",IF($H25&lt;=6,"830000",IF($H25&lt;=7,"710000",IF($H25&lt;=8,"450000",0))))))))))+0</f>
        <v>0</v>
      </c>
      <c r="BS25" s="218" t="e">
        <f>SUM(BO25,BP25,BQ25,BR25)</f>
        <v>#VALUE!</v>
      </c>
    </row>
    <row r="26" spans="1:71" s="81" customFormat="1" ht="30" customHeight="1">
      <c r="A26" s="196">
        <f ca="1">SUBTOTAL(3,$C$3:Character[[#This Row],[Name]])</f>
        <v>24</v>
      </c>
      <c r="B26" s="192" t="e" vm="587">
        <f>ImgDatabase!D26</f>
        <v>#VALUE!</v>
      </c>
      <c r="C26" s="197" t="s">
        <v>356</v>
      </c>
      <c r="D26" s="194" t="e" vm="67">
        <f>IFERROR(INDEX(CharacterDetailss[Element], MATCH(Character[[#This Row],[Name]], CharacterDetailss[Name], 0)), "")</f>
        <v>#VALUE!</v>
      </c>
      <c r="E26" s="194" t="e" vm="216">
        <f>IFERROR(INDEX(CharacterDetailss[Weapon Type], MATCH(Character[[#This Row],[Name]], CharacterDetailss[Name], 0)), "")</f>
        <v>#VALUE!</v>
      </c>
      <c r="F26" s="195">
        <v>3.3</v>
      </c>
      <c r="G26" s="14">
        <v>90</v>
      </c>
      <c r="H26" s="9">
        <v>4</v>
      </c>
      <c r="I26" s="2">
        <v>9</v>
      </c>
      <c r="J26" s="10">
        <v>10</v>
      </c>
      <c r="K26"/>
      <c r="L26" s="75">
        <v>81</v>
      </c>
      <c r="M26" s="73">
        <v>1</v>
      </c>
      <c r="N26" s="74">
        <v>9</v>
      </c>
      <c r="O26" s="74">
        <v>9</v>
      </c>
      <c r="P26"/>
      <c r="Q26" s="258" t="e" vm="465">
        <f>IFERROR(INDEX(ImgDatabase!$O:$O, MATCH(WorldBoss[[#This Row],[Boss Name]], ImgDatabase!$P:$P, 0)), "")</f>
        <v>#VALUE!</v>
      </c>
      <c r="R26" s="257" t="s">
        <v>270</v>
      </c>
      <c r="S26" s="301" t="e">
        <f>(IF($E26&lt;=0,"0",IF($E26&lt;=40,"46",IF($E26&lt;=50,"44",IF($E26&lt;=60,"40",IF($E26&lt;=70,"32",IF($E26&lt;=80,"20","0")))))))+0</f>
        <v>#VALUE!</v>
      </c>
      <c r="T26"/>
      <c r="U2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6" s="253" t="s">
        <v>552</v>
      </c>
      <c r="W26" s="254">
        <f>Z26+AC26+AF26</f>
        <v>44</v>
      </c>
      <c r="X26" s="254">
        <f>AA26+AD26+AG26</f>
        <v>30</v>
      </c>
      <c r="Y26" s="255">
        <f>AB26+AE26+AH26</f>
        <v>0</v>
      </c>
      <c r="Z26" s="224">
        <f>(IF($F26&lt;=0,"0",IF($F26&lt;=6,"22",IF($F26&lt;=7,"18",IF($F26&lt;=8,"12",0)))))+0</f>
        <v>22</v>
      </c>
      <c r="AA26" s="225">
        <f>(IF($F26&lt;=0,"0",IF($F26&lt;=2,"21",IF($F26&lt;=3,"19",IF($F26&lt;=4,"15",IF($F26&lt;=5,"9",0))))))+0</f>
        <v>15</v>
      </c>
      <c r="AB26" s="225">
        <f>(IF($F26&lt;=0,"0",IF($F26&lt;=1,"3",0)))+0</f>
        <v>0</v>
      </c>
      <c r="AC26" s="225">
        <f>(IF($G26&lt;=0,"0",IF($G26&lt;=6,"22",IF($G26&lt;=7,"18",IF($G26&lt;=8,"12",0)))))+0</f>
        <v>0</v>
      </c>
      <c r="AD26" s="225">
        <f>(IF($G26&lt;=0,"0",IF($G26&lt;=2,"21",IF($G26&lt;=3,"19",IF($G26&lt;=4,"15",IF($G26&lt;=5,"9",0))))))+0</f>
        <v>0</v>
      </c>
      <c r="AE26" s="225">
        <f>(IF($G26&lt;=0,"0",IF($G26&lt;=1,"3",0)))+0</f>
        <v>0</v>
      </c>
      <c r="AF26" s="225">
        <f>(IF($H26&lt;=0,"0",IF($H26&lt;=6,"22",IF($H26&lt;=7,"18",IF($H26&lt;=8,"12",0)))))+0</f>
        <v>22</v>
      </c>
      <c r="AG26" s="225">
        <f>(IF($H26&lt;=0,"0",IF($H26&lt;=2,"21",IF($H26&lt;=3,"19",IF($H26&lt;=4,"15",IF($H26&lt;=5,"9",0))))))+0</f>
        <v>15</v>
      </c>
      <c r="AH26" s="226">
        <f>(IF($H26&lt;=0,"0",IF($H26&lt;=1,"3",0)))+0</f>
        <v>0</v>
      </c>
      <c r="AI26" s="256" t="s">
        <v>523</v>
      </c>
      <c r="AJ26" s="257" t="s">
        <v>566</v>
      </c>
      <c r="AK26" s="229">
        <f>(IF($F26&lt;=0,"0",IF($F26&lt;=6,"4",IF($F26&lt;=7,"3",IF($F26&lt;=8,"2","0")))))+0</f>
        <v>4</v>
      </c>
      <c r="AL26" s="229">
        <f>(IF($G26&lt;=0,"0",IF($G26&lt;=6,"4",IF($G26&lt;=7,"3",IF($G26&lt;=8,"2","0")))))+0</f>
        <v>0</v>
      </c>
      <c r="AM26" s="229">
        <f>(IF($H26&lt;=0,"0",IF($H26&lt;=6,"4",IF($H26&lt;=7,"3",IF($H26&lt;=8,"2","0")))))+0</f>
        <v>4</v>
      </c>
      <c r="AN26" s="252">
        <f>SUM(AK26:AM26)</f>
        <v>8</v>
      </c>
      <c r="AO26" s="257" t="s">
        <v>551</v>
      </c>
      <c r="AP26" s="258" t="e">
        <f>(IF($E26&lt;=0,"0",IF($E26&lt;=20,"168",IF($E26&lt;=30,"165",IF($E26&lt;=50,"155",IF($E26&lt;=60,"135",IF($E26&lt;=70,"105",IF($E26&lt;=80,"60","0"))))))))+0</f>
        <v>#VALUE!</v>
      </c>
      <c r="AQ26" s="251" t="s">
        <v>573</v>
      </c>
      <c r="AR26" s="257" t="e">
        <f>(IF($E26&lt;=0,"0",IF($E26&lt;=80,"6","0")))+0</f>
        <v>#VALUE!</v>
      </c>
      <c r="AS26" s="257" t="e">
        <f>(IF($E26&lt;=0,"0",IF($E26&lt;=60,"9",IF($E26&lt;=70,"6","0"))))+0</f>
        <v>#VALUE!</v>
      </c>
      <c r="AT26" s="257" t="e">
        <f>(IF($E26&lt;=0,"0",IF($E26&lt;=40,"9",IF($E26&lt;=50,"6","0"))))+0</f>
        <v>#VALUE!</v>
      </c>
      <c r="AU26" s="259" t="e">
        <f>(IF($E26&lt;=0,"0",IF($E26&lt;=20,"1","0")))+0</f>
        <v>#VALUE!</v>
      </c>
      <c r="AV26" s="251" t="s">
        <v>46</v>
      </c>
      <c r="AW26" s="257" t="e">
        <f>(IF($E26&lt;=0,"0",IF($E26&lt;=70,"36",IF($E26&lt;=80,"24","0"))))+0</f>
        <v>#VALUE!</v>
      </c>
      <c r="AX26" s="257" t="e">
        <f>(IF($E26&lt;=0,"0",IF($E26&lt;=50,"30",IF($E26&lt;=60,"18","0"))))+0</f>
        <v>#VALUE!</v>
      </c>
      <c r="AY26" s="257" t="e">
        <f>(IF($E26&lt;=0,"0",IF($E26&lt;=20,"18",IF($E26&lt;=40,"15","0"))))+0</f>
        <v>#VALUE!</v>
      </c>
      <c r="AZ26" s="260">
        <f>Summary2831[[#This Row],[3*2]]+Summary2831[[#This Row],[3*22]]+Summary2831[[#This Row],[3*23]]</f>
        <v>19</v>
      </c>
      <c r="BA26" s="261">
        <f>Summary2831[[#This Row],[2*2]]+Summary2831[[#This Row],[2*23]]+Summary2831[[#This Row],[2*24]]</f>
        <v>15</v>
      </c>
      <c r="BB26" s="261">
        <f>Summary2831[[#This Row],[1*2]]+Summary2831[[#This Row],[1*24]]+Summary2831[[#This Row],[1*25]]</f>
        <v>0</v>
      </c>
      <c r="BC26" s="261">
        <f>IF($F26&lt;=0,"0",IF($F26&lt;=6,"19",IF($F26&lt;=7,"18",IF($F26&lt;=8,"9",0))))+0</f>
        <v>19</v>
      </c>
      <c r="BD26" s="261">
        <f>IF($F26&lt;=0,"0",IF($F26&lt;=2,"22",IF($F26&lt;=3,"19",IF($F26&lt;=4,"15",IF($F26&lt;=5,"9",0)))))+0</f>
        <v>15</v>
      </c>
      <c r="BE26" s="261">
        <f>IF($F26&lt;=0,"0",IF($F26&lt;=1,"6",0))+0</f>
        <v>0</v>
      </c>
      <c r="BF26" s="261">
        <f>IF($G26&lt;=0,"0",IF($G26&lt;=6,"19",IF($G26&lt;=7,"18",IF($G26&lt;=8,"9",0))))+0</f>
        <v>0</v>
      </c>
      <c r="BG26" s="261">
        <f>IF($G26&lt;=0,"0",IF($G26&lt;=2,"22",IF($G26&lt;=3,"19",IF($G26&lt;=4,"15",IF($G26&lt;=5,"9",0)))))+0</f>
        <v>0</v>
      </c>
      <c r="BH26" s="261">
        <f>IF($G26&lt;=0,"0",IF($G26&lt;=1,"6",0))+0</f>
        <v>0</v>
      </c>
      <c r="BI26" s="261">
        <f>IF($H26&lt;=0,"0",IF($H26&lt;=6,"19",IF($H26&lt;=7,"18",IF($H26&lt;=8,"9",0))))+0</f>
        <v>19</v>
      </c>
      <c r="BJ26" s="261">
        <f>IF($H26&lt;=0,"0",IF($H26&lt;=2,"22",IF($H26&lt;=3,"19",IF($H26&lt;=4,"15",IF($H26&lt;=5,"9",0)))))+0</f>
        <v>15</v>
      </c>
      <c r="BK26" s="261">
        <f>IF($H26&lt;=0,"0",IF($H26&lt;=1,"6",0))+0</f>
        <v>0</v>
      </c>
      <c r="BL26" s="251">
        <f>SUM(Summary2831[[#This Row],[3*
(Tal)]],Summary2831[[#This Row],[3*
(Asc)]])</f>
        <v>19</v>
      </c>
      <c r="BM26" s="257">
        <f>SUM(Summary2831[[#This Row],[2*
(Tal)]],Summary2831[[#This Row],[2*
(Asc)]])</f>
        <v>15</v>
      </c>
      <c r="BN26" s="259">
        <f>SUM(Summary2831[[#This Row],[1*
(Tal)]],Summary2831[[#This Row],[1*
(Asc)]])</f>
        <v>0</v>
      </c>
      <c r="BO26" s="235" t="e">
        <f>(IF($E26&lt;=0,"0",IF($E26&lt;=1,"2092530",IF($E26&lt;=10,"2087525",IF($E26&lt;=20,"2068495",IF($E26&lt;=30,"2005910",IF($E26&lt;=40,"1932830",IF($E26&lt;=50,"1777010",IF($E26&lt;=60,"1546185",IF($E26&lt;=70,"1227000",IF($E26&lt;=80,"804625",IF($E26&lt;=81,"647990",IF($E26&lt;=90,"0",0)))))))))))))+0</f>
        <v>#VALUE!</v>
      </c>
      <c r="BP26" s="262">
        <f>(IF($F26&lt;=0,"0",IF($F26&lt;=1,"952500",IF($F26&lt;=2,"940000",IF($F26&lt;=3,"922500",IF($F26&lt;=4,"897500",IF($F26&lt;=5,"867500",IF($F26&lt;=6,"830000",IF($F26&lt;=7,"710000",IF($F26&lt;=8,"450000",0))))))))))+0</f>
        <v>897500</v>
      </c>
      <c r="BQ26" s="262">
        <f>(IF($G26&lt;=0,"0",IF($G26&lt;=1,"952500",IF($G26&lt;=2,"940000",IF($G26&lt;=3,"922500",IF($G26&lt;=4,"897500",IF($G26&lt;=5,"867500",IF($G26&lt;=6,"830000",IF($G26&lt;=7,"710000",IF($G26&lt;=8,"450000",0))))))))))+0</f>
        <v>0</v>
      </c>
      <c r="BR26" s="262">
        <f>(IF($H26&lt;=0,"0",IF($H26&lt;=1,"952500",IF($H26&lt;=2,"940000",IF($H26&lt;=3,"922500",IF($H26&lt;=4,"897500",IF($H26&lt;=5,"867500",IF($H26&lt;=6,"830000",IF($H26&lt;=7,"710000",IF($H26&lt;=8,"450000",0))))))))))+0</f>
        <v>897500</v>
      </c>
      <c r="BS26" s="263" t="e">
        <f>SUM(BO26,BP26,BQ26,BR26)</f>
        <v>#VALUE!</v>
      </c>
    </row>
    <row r="27" spans="1:71" s="81" customFormat="1" ht="30" customHeight="1">
      <c r="A27" s="196">
        <f ca="1">SUBTOTAL(3,$C$3:Character[[#This Row],[Name]])</f>
        <v>25</v>
      </c>
      <c r="B27" s="192" t="e" vm="587">
        <f>ImgDatabase!D27</f>
        <v>#VALUE!</v>
      </c>
      <c r="C27" s="197" t="s">
        <v>363</v>
      </c>
      <c r="D27" s="194" t="e" vm="49">
        <f>IFERROR(INDEX(CharacterDetailss[Element], MATCH(Character[[#This Row],[Name]], CharacterDetailss[Name], 0)), "")</f>
        <v>#VALUE!</v>
      </c>
      <c r="E27" s="194" t="e" vm="216">
        <f>IFERROR(INDEX(CharacterDetailss[Weapon Type], MATCH(Character[[#This Row],[Name]], CharacterDetailss[Name], 0)), "")</f>
        <v>#VALUE!</v>
      </c>
      <c r="F27" s="198">
        <v>1</v>
      </c>
      <c r="G27" s="14">
        <v>90</v>
      </c>
      <c r="H27" s="9">
        <v>1</v>
      </c>
      <c r="I27" s="2">
        <v>10</v>
      </c>
      <c r="J27" s="10">
        <v>1</v>
      </c>
      <c r="K27"/>
      <c r="L27" s="75">
        <v>81</v>
      </c>
      <c r="M27" s="73">
        <v>1</v>
      </c>
      <c r="N27" s="74">
        <v>9</v>
      </c>
      <c r="O27" s="74">
        <v>9</v>
      </c>
      <c r="P27"/>
      <c r="Q27" s="245" t="e" vm="362">
        <f>IFERROR(INDEX(ImgDatabase!$O:$O, MATCH(WorldBoss[[#This Row],[Boss Name]], ImgDatabase!$P:$P, 0)), "")</f>
        <v>#VALUE!</v>
      </c>
      <c r="R27" s="244" t="s">
        <v>106</v>
      </c>
      <c r="S27" s="300" t="e">
        <f>(IF($E27&lt;=0,"0",IF($E27&lt;=40,"46",IF($E27&lt;=50,"44",IF($E27&lt;=60,"40",IF($E27&lt;=70,"32",IF($E27&lt;=80,"20","0")))))))+0</f>
        <v>#VALUE!</v>
      </c>
      <c r="T27"/>
      <c r="U2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7" s="240" t="s">
        <v>519</v>
      </c>
      <c r="W27" s="241">
        <f>Z27+AC27+AF27</f>
        <v>44</v>
      </c>
      <c r="X27" s="241">
        <f>AA27+AD27+AG27</f>
        <v>42</v>
      </c>
      <c r="Y27" s="242">
        <f>AB27+AE27+AH27</f>
        <v>6</v>
      </c>
      <c r="Z27" s="204">
        <f>(IF($F27&lt;=0,"0",IF($F27&lt;=6,"22",IF($F27&lt;=7,"18",IF($F27&lt;=8,"12",0)))))+0</f>
        <v>22</v>
      </c>
      <c r="AA27" s="205">
        <f>(IF($F27&lt;=0,"0",IF($F27&lt;=2,"21",IF($F27&lt;=3,"19",IF($F27&lt;=4,"15",IF($F27&lt;=5,"9",0))))))+0</f>
        <v>21</v>
      </c>
      <c r="AB27" s="205">
        <f>(IF($F27&lt;=0,"0",IF($F27&lt;=1,"3",0)))+0</f>
        <v>3</v>
      </c>
      <c r="AC27" s="205">
        <f>(IF($G27&lt;=0,"0",IF($G27&lt;=6,"22",IF($G27&lt;=7,"18",IF($G27&lt;=8,"12",0)))))+0</f>
        <v>0</v>
      </c>
      <c r="AD27" s="205">
        <f>(IF($G27&lt;=0,"0",IF($G27&lt;=2,"21",IF($G27&lt;=3,"19",IF($G27&lt;=4,"15",IF($G27&lt;=5,"9",0))))))+0</f>
        <v>0</v>
      </c>
      <c r="AE27" s="205">
        <f>(IF($G27&lt;=0,"0",IF($G27&lt;=1,"3",0)))+0</f>
        <v>0</v>
      </c>
      <c r="AF27" s="205">
        <f>(IF($H27&lt;=0,"0",IF($H27&lt;=6,"22",IF($H27&lt;=7,"18",IF($H27&lt;=8,"12",0)))))+0</f>
        <v>22</v>
      </c>
      <c r="AG27" s="205">
        <f>(IF($H27&lt;=0,"0",IF($H27&lt;=2,"21",IF($H27&lt;=3,"19",IF($H27&lt;=4,"15",IF($H27&lt;=5,"9",0))))))+0</f>
        <v>21</v>
      </c>
      <c r="AH27" s="206">
        <f>(IF($H27&lt;=0,"0",IF($H27&lt;=1,"3",0)))+0</f>
        <v>3</v>
      </c>
      <c r="AI27" s="243" t="s">
        <v>543</v>
      </c>
      <c r="AJ27" s="244" t="s">
        <v>574</v>
      </c>
      <c r="AK27" s="209">
        <f>(IF($F27&lt;=0,"0",IF($F27&lt;=6,"4",IF($F27&lt;=7,"3",IF($F27&lt;=8,"2","0")))))+0</f>
        <v>4</v>
      </c>
      <c r="AL27" s="209">
        <f>(IF($G27&lt;=0,"0",IF($G27&lt;=6,"4",IF($G27&lt;=7,"3",IF($G27&lt;=8,"2","0")))))+0</f>
        <v>0</v>
      </c>
      <c r="AM27" s="209">
        <f>(IF($H27&lt;=0,"0",IF($H27&lt;=6,"4",IF($H27&lt;=7,"3",IF($H27&lt;=8,"2","0")))))+0</f>
        <v>4</v>
      </c>
      <c r="AN27" s="239">
        <f>SUM(AK27:AM27)</f>
        <v>8</v>
      </c>
      <c r="AO27" s="244" t="s">
        <v>533</v>
      </c>
      <c r="AP27" s="245" t="e">
        <f>(IF($E27&lt;=0,"0",IF($E27&lt;=20,"168",IF($E27&lt;=30,"165",IF($E27&lt;=50,"155",IF($E27&lt;=60,"135",IF($E27&lt;=70,"105",IF($E27&lt;=80,"60","0"))))))))+0</f>
        <v>#VALUE!</v>
      </c>
      <c r="AQ27" s="238" t="s">
        <v>548</v>
      </c>
      <c r="AR27" s="244" t="e">
        <f>(IF($E27&lt;=0,"0",IF($E27&lt;=80,"6","0")))+0</f>
        <v>#VALUE!</v>
      </c>
      <c r="AS27" s="244" t="e">
        <f>(IF($E27&lt;=0,"0",IF($E27&lt;=60,"9",IF($E27&lt;=70,"6","0"))))+0</f>
        <v>#VALUE!</v>
      </c>
      <c r="AT27" s="244" t="e">
        <f>(IF($E27&lt;=0,"0",IF($E27&lt;=40,"9",IF($E27&lt;=50,"6","0"))))+0</f>
        <v>#VALUE!</v>
      </c>
      <c r="AU27" s="246" t="e">
        <f>(IF($E27&lt;=0,"0",IF($E27&lt;=20,"1","0")))+0</f>
        <v>#VALUE!</v>
      </c>
      <c r="AV27" s="238" t="s">
        <v>120</v>
      </c>
      <c r="AW27" s="244" t="e">
        <f>(IF($E27&lt;=0,"0",IF($E27&lt;=70,"36",IF($E27&lt;=80,"24","0"))))+0</f>
        <v>#VALUE!</v>
      </c>
      <c r="AX27" s="244" t="e">
        <f>(IF($E27&lt;=0,"0",IF($E27&lt;=50,"30",IF($E27&lt;=60,"18","0"))))+0</f>
        <v>#VALUE!</v>
      </c>
      <c r="AY27" s="244" t="e">
        <f>(IF($E27&lt;=0,"0",IF($E27&lt;=20,"18",IF($E27&lt;=40,"15","0"))))+0</f>
        <v>#VALUE!</v>
      </c>
      <c r="AZ27" s="247">
        <f>Summary2831[[#This Row],[3*2]]+Summary2831[[#This Row],[3*22]]+Summary2831[[#This Row],[3*23]]</f>
        <v>38</v>
      </c>
      <c r="BA27" s="248">
        <f>Summary2831[[#This Row],[2*2]]+Summary2831[[#This Row],[2*23]]+Summary2831[[#This Row],[2*24]]</f>
        <v>44</v>
      </c>
      <c r="BB27" s="248">
        <f>Summary2831[[#This Row],[1*2]]+Summary2831[[#This Row],[1*24]]+Summary2831[[#This Row],[1*25]]</f>
        <v>12</v>
      </c>
      <c r="BC27" s="248">
        <f>IF($F27&lt;=0,"0",IF($F27&lt;=6,"19",IF($F27&lt;=7,"18",IF($F27&lt;=8,"9",0))))+0</f>
        <v>19</v>
      </c>
      <c r="BD27" s="248">
        <f>IF($F27&lt;=0,"0",IF($F27&lt;=2,"22",IF($F27&lt;=3,"19",IF($F27&lt;=4,"15",IF($F27&lt;=5,"9",0)))))+0</f>
        <v>22</v>
      </c>
      <c r="BE27" s="248">
        <f>IF($F27&lt;=0,"0",IF($F27&lt;=1,"6",0))+0</f>
        <v>6</v>
      </c>
      <c r="BF27" s="248">
        <f>IF($G27&lt;=0,"0",IF($G27&lt;=6,"19",IF($G27&lt;=7,"18",IF($G27&lt;=8,"9",0))))+0</f>
        <v>0</v>
      </c>
      <c r="BG27" s="248">
        <f>IF($G27&lt;=0,"0",IF($G27&lt;=2,"22",IF($G27&lt;=3,"19",IF($G27&lt;=4,"15",IF($G27&lt;=5,"9",0)))))+0</f>
        <v>0</v>
      </c>
      <c r="BH27" s="248">
        <f>IF($G27&lt;=0,"0",IF($G27&lt;=1,"6",0))+0</f>
        <v>0</v>
      </c>
      <c r="BI27" s="248">
        <f>IF($H27&lt;=0,"0",IF($H27&lt;=6,"19",IF($H27&lt;=7,"18",IF($H27&lt;=8,"9",0))))+0</f>
        <v>19</v>
      </c>
      <c r="BJ27" s="248">
        <f>IF($H27&lt;=0,"0",IF($H27&lt;=2,"22",IF($H27&lt;=3,"19",IF($H27&lt;=4,"15",IF($H27&lt;=5,"9",0)))))+0</f>
        <v>22</v>
      </c>
      <c r="BK27" s="248">
        <f>IF($H27&lt;=0,"0",IF($H27&lt;=1,"6",0))+0</f>
        <v>6</v>
      </c>
      <c r="BL27" s="238">
        <f>SUM(Summary2831[[#This Row],[3*
(Tal)]],Summary2831[[#This Row],[3*
(Asc)]])</f>
        <v>38</v>
      </c>
      <c r="BM27" s="244">
        <f>SUM(Summary2831[[#This Row],[2*
(Tal)]],Summary2831[[#This Row],[2*
(Asc)]])</f>
        <v>44</v>
      </c>
      <c r="BN27" s="246">
        <f>SUM(Summary2831[[#This Row],[1*
(Tal)]],Summary2831[[#This Row],[1*
(Asc)]])</f>
        <v>12</v>
      </c>
      <c r="BO27" s="216" t="e">
        <f>(IF($E27&lt;=0,"0",IF($E27&lt;=1,"2092530",IF($E27&lt;=10,"2087525",IF($E27&lt;=20,"2068495",IF($E27&lt;=30,"2005910",IF($E27&lt;=40,"1932830",IF($E27&lt;=50,"1777010",IF($E27&lt;=60,"1546185",IF($E27&lt;=70,"1227000",IF($E27&lt;=80,"804625",IF($E27&lt;=81,"647990",IF($E27&lt;=90,"0",0)))))))))))))+0</f>
        <v>#VALUE!</v>
      </c>
      <c r="BP27" s="249">
        <f>(IF($F27&lt;=0,"0",IF($F27&lt;=1,"952500",IF($F27&lt;=2,"940000",IF($F27&lt;=3,"922500",IF($F27&lt;=4,"897500",IF($F27&lt;=5,"867500",IF($F27&lt;=6,"830000",IF($F27&lt;=7,"710000",IF($F27&lt;=8,"450000",0))))))))))+0</f>
        <v>952500</v>
      </c>
      <c r="BQ27" s="249">
        <f>(IF($G27&lt;=0,"0",IF($G27&lt;=1,"952500",IF($G27&lt;=2,"940000",IF($G27&lt;=3,"922500",IF($G27&lt;=4,"897500",IF($G27&lt;=5,"867500",IF($G27&lt;=6,"830000",IF($G27&lt;=7,"710000",IF($G27&lt;=8,"450000",0))))))))))+0</f>
        <v>0</v>
      </c>
      <c r="BR27" s="249">
        <f>(IF($H27&lt;=0,"0",IF($H27&lt;=1,"952500",IF($H27&lt;=2,"940000",IF($H27&lt;=3,"922500",IF($H27&lt;=4,"897500",IF($H27&lt;=5,"867500",IF($H27&lt;=6,"830000",IF($H27&lt;=7,"710000",IF($H27&lt;=8,"450000",0))))))))))+0</f>
        <v>952500</v>
      </c>
      <c r="BS27" s="250" t="e">
        <f>SUM(BO27,BP27,BQ27,BR27)</f>
        <v>#VALUE!</v>
      </c>
    </row>
    <row r="28" spans="1:71" ht="30" customHeight="1">
      <c r="A28" s="196">
        <f ca="1">SUBTOTAL(3,$C$3:Character[[#This Row],[Name]])</f>
        <v>26</v>
      </c>
      <c r="B28" s="192" t="e" vm="588">
        <f>ImgDatabase!D28</f>
        <v>#VALUE!</v>
      </c>
      <c r="C28" s="197" t="s">
        <v>416</v>
      </c>
      <c r="D28" s="194" t="e" vm="84">
        <f>IFERROR(INDEX(CharacterDetailss[Element], MATCH(Character[[#This Row],[Name]], CharacterDetailss[Name], 0)), "")</f>
        <v>#VALUE!</v>
      </c>
      <c r="E28" s="194" t="e" vm="292">
        <f>IFERROR(INDEX(CharacterDetailss[Weapon Type], MATCH(Character[[#This Row],[Name]], CharacterDetailss[Name], 0)), "")</f>
        <v>#VALUE!</v>
      </c>
      <c r="F28" s="198">
        <v>4</v>
      </c>
      <c r="G28" s="14">
        <v>22</v>
      </c>
      <c r="H28" s="9">
        <v>1</v>
      </c>
      <c r="I28" s="2">
        <v>1</v>
      </c>
      <c r="J28" s="10">
        <v>1</v>
      </c>
      <c r="L28" s="75">
        <v>81</v>
      </c>
      <c r="M28" s="73">
        <v>1</v>
      </c>
      <c r="N28" s="74">
        <v>9</v>
      </c>
      <c r="O28" s="74">
        <v>9</v>
      </c>
      <c r="Q28" s="258" t="e" vm="494">
        <f>IFERROR(INDEX(ImgDatabase!$O:$O, MATCH(WorldBoss[[#This Row],[Boss Name]], ImgDatabase!$P:$P, 0)), "")</f>
        <v>#VALUE!</v>
      </c>
      <c r="R28" s="257" t="s">
        <v>307</v>
      </c>
      <c r="S28" s="301" t="e">
        <f>(IF($E28&lt;=0,"0",IF($E28&lt;=40,"46",IF($E28&lt;=50,"44",IF($E28&lt;=60,"40",IF($E28&lt;=70,"32",IF($E28&lt;=80,"20","0")))))))+0</f>
        <v>#VALUE!</v>
      </c>
      <c r="U2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28" s="253" t="s">
        <v>556</v>
      </c>
      <c r="W28" s="254">
        <f>Z28+AC28+AF28</f>
        <v>44</v>
      </c>
      <c r="X28" s="254">
        <f>AA28+AD28+AG28</f>
        <v>36</v>
      </c>
      <c r="Y28" s="255">
        <f>AB28+AE28+AH28</f>
        <v>3</v>
      </c>
      <c r="Z28" s="224">
        <f>(IF($F28&lt;=0,"0",IF($F28&lt;=6,"22",IF($F28&lt;=7,"18",IF($F28&lt;=8,"12",0)))))+0</f>
        <v>22</v>
      </c>
      <c r="AA28" s="225">
        <f>(IF($F28&lt;=0,"0",IF($F28&lt;=2,"21",IF($F28&lt;=3,"19",IF($F28&lt;=4,"15",IF($F28&lt;=5,"9",0))))))+0</f>
        <v>15</v>
      </c>
      <c r="AB28" s="225">
        <f>(IF($F28&lt;=0,"0",IF($F28&lt;=1,"3",0)))+0</f>
        <v>0</v>
      </c>
      <c r="AC28" s="225">
        <f>(IF($G28&lt;=0,"0",IF($G28&lt;=6,"22",IF($G28&lt;=7,"18",IF($G28&lt;=8,"12",0)))))+0</f>
        <v>0</v>
      </c>
      <c r="AD28" s="225">
        <f>(IF($G28&lt;=0,"0",IF($G28&lt;=2,"21",IF($G28&lt;=3,"19",IF($G28&lt;=4,"15",IF($G28&lt;=5,"9",0))))))+0</f>
        <v>0</v>
      </c>
      <c r="AE28" s="225">
        <f>(IF($G28&lt;=0,"0",IF($G28&lt;=1,"3",0)))+0</f>
        <v>0</v>
      </c>
      <c r="AF28" s="225">
        <f>(IF($H28&lt;=0,"0",IF($H28&lt;=6,"22",IF($H28&lt;=7,"18",IF($H28&lt;=8,"12",0)))))+0</f>
        <v>22</v>
      </c>
      <c r="AG28" s="225">
        <f>(IF($H28&lt;=0,"0",IF($H28&lt;=2,"21",IF($H28&lt;=3,"19",IF($H28&lt;=4,"15",IF($H28&lt;=5,"9",0))))))+0</f>
        <v>21</v>
      </c>
      <c r="AH28" s="226">
        <f>(IF($H28&lt;=0,"0",IF($H28&lt;=1,"3",0)))+0</f>
        <v>3</v>
      </c>
      <c r="AI28" s="256" t="s">
        <v>541</v>
      </c>
      <c r="AJ28" s="257" t="s">
        <v>542</v>
      </c>
      <c r="AK28" s="229">
        <f>(IF($F28&lt;=0,"0",IF($F28&lt;=6,"4",IF($F28&lt;=7,"3",IF($F28&lt;=8,"2","0")))))+0</f>
        <v>4</v>
      </c>
      <c r="AL28" s="229">
        <f>(IF($G28&lt;=0,"0",IF($G28&lt;=6,"4",IF($G28&lt;=7,"3",IF($G28&lt;=8,"2","0")))))+0</f>
        <v>0</v>
      </c>
      <c r="AM28" s="229">
        <f>(IF($H28&lt;=0,"0",IF($H28&lt;=6,"4",IF($H28&lt;=7,"3",IF($H28&lt;=8,"2","0")))))+0</f>
        <v>4</v>
      </c>
      <c r="AN28" s="252">
        <f>SUM(AK28:AM28)</f>
        <v>8</v>
      </c>
      <c r="AO28" s="257" t="s">
        <v>575</v>
      </c>
      <c r="AP28" s="258" t="e">
        <f>(IF($E28&lt;=0,"0",IF($E28&lt;=20,"168",IF($E28&lt;=30,"165",IF($E28&lt;=50,"155",IF($E28&lt;=60,"135",IF($E28&lt;=70,"105",IF($E28&lt;=80,"60","0"))))))))+0</f>
        <v>#VALUE!</v>
      </c>
      <c r="AQ28" s="251" t="s">
        <v>530</v>
      </c>
      <c r="AR28" s="257" t="e">
        <f>(IF($E28&lt;=0,"0",IF($E28&lt;=80,"6","0")))+0</f>
        <v>#VALUE!</v>
      </c>
      <c r="AS28" s="257" t="e">
        <f>(IF($E28&lt;=0,"0",IF($E28&lt;=60,"9",IF($E28&lt;=70,"6","0"))))+0</f>
        <v>#VALUE!</v>
      </c>
      <c r="AT28" s="257" t="e">
        <f>(IF($E28&lt;=0,"0",IF($E28&lt;=40,"9",IF($E28&lt;=50,"6","0"))))+0</f>
        <v>#VALUE!</v>
      </c>
      <c r="AU28" s="259" t="e">
        <f>(IF($E28&lt;=0,"0",IF($E28&lt;=20,"1","0")))+0</f>
        <v>#VALUE!</v>
      </c>
      <c r="AV28" s="251" t="s">
        <v>373</v>
      </c>
      <c r="AW28" s="257" t="e">
        <f>(IF($E28&lt;=0,"0",IF($E28&lt;=70,"36",IF($E28&lt;=80,"24","0"))))+0</f>
        <v>#VALUE!</v>
      </c>
      <c r="AX28" s="257" t="e">
        <f>(IF($E28&lt;=0,"0",IF($E28&lt;=50,"30",IF($E28&lt;=60,"18","0"))))+0</f>
        <v>#VALUE!</v>
      </c>
      <c r="AY28" s="257" t="e">
        <f>(IF($E28&lt;=0,"0",IF($E28&lt;=20,"18",IF($E28&lt;=40,"15","0"))))+0</f>
        <v>#VALUE!</v>
      </c>
      <c r="AZ28" s="260">
        <f>Summary2831[[#This Row],[3*2]]+Summary2831[[#This Row],[3*22]]+Summary2831[[#This Row],[3*23]]</f>
        <v>57</v>
      </c>
      <c r="BA28" s="261">
        <f>Summary2831[[#This Row],[2*2]]+Summary2831[[#This Row],[2*23]]+Summary2831[[#This Row],[2*24]]</f>
        <v>66</v>
      </c>
      <c r="BB28" s="261">
        <f>Summary2831[[#This Row],[1*2]]+Summary2831[[#This Row],[1*24]]+Summary2831[[#This Row],[1*25]]</f>
        <v>18</v>
      </c>
      <c r="BC28" s="261">
        <f>IF($F28&lt;=0,"0",IF($F28&lt;=6,"19",IF($F28&lt;=7,"18",IF($F28&lt;=8,"9",0))))+0</f>
        <v>19</v>
      </c>
      <c r="BD28" s="261">
        <f>IF($F28&lt;=0,"0",IF($F28&lt;=2,"22",IF($F28&lt;=3,"19",IF($F28&lt;=4,"15",IF($F28&lt;=5,"9",0)))))+0</f>
        <v>15</v>
      </c>
      <c r="BE28" s="261">
        <f>IF($F28&lt;=0,"0",IF($F28&lt;=1,"6",0))+0</f>
        <v>0</v>
      </c>
      <c r="BF28" s="261">
        <f>IF($G28&lt;=0,"0",IF($G28&lt;=6,"19",IF($G28&lt;=7,"18",IF($G28&lt;=8,"9",0))))+0</f>
        <v>0</v>
      </c>
      <c r="BG28" s="261">
        <f>IF($G28&lt;=0,"0",IF($G28&lt;=2,"22",IF($G28&lt;=3,"19",IF($G28&lt;=4,"15",IF($G28&lt;=5,"9",0)))))+0</f>
        <v>0</v>
      </c>
      <c r="BH28" s="261">
        <f>IF($G28&lt;=0,"0",IF($G28&lt;=1,"6",0))+0</f>
        <v>0</v>
      </c>
      <c r="BI28" s="261">
        <f>IF($H28&lt;=0,"0",IF($H28&lt;=6,"19",IF($H28&lt;=7,"18",IF($H28&lt;=8,"9",0))))+0</f>
        <v>19</v>
      </c>
      <c r="BJ28" s="261">
        <f>IF($H28&lt;=0,"0",IF($H28&lt;=2,"22",IF($H28&lt;=3,"19",IF($H28&lt;=4,"15",IF($H28&lt;=5,"9",0)))))+0</f>
        <v>22</v>
      </c>
      <c r="BK28" s="261">
        <f>IF($H28&lt;=0,"0",IF($H28&lt;=1,"6",0))+0</f>
        <v>6</v>
      </c>
      <c r="BL28" s="251">
        <f>SUM(Summary2831[[#This Row],[3*
(Tal)]],Summary2831[[#This Row],[3*
(Asc)]])</f>
        <v>93</v>
      </c>
      <c r="BM28" s="257">
        <f>SUM(Summary2831[[#This Row],[2*
(Tal)]],Summary2831[[#This Row],[2*
(Asc)]])</f>
        <v>96</v>
      </c>
      <c r="BN28" s="259">
        <f>SUM(Summary2831[[#This Row],[1*
(Tal)]],Summary2831[[#This Row],[1*
(Asc)]])</f>
        <v>33</v>
      </c>
      <c r="BO28" s="235" t="e">
        <f>(IF($E28&lt;=0,"0",IF($E28&lt;=1,"2092530",IF($E28&lt;=10,"2087525",IF($E28&lt;=20,"2068495",IF($E28&lt;=30,"2005910",IF($E28&lt;=40,"1932830",IF($E28&lt;=50,"1777010",IF($E28&lt;=60,"1546185",IF($E28&lt;=70,"1227000",IF($E28&lt;=80,"804625",IF($E28&lt;=81,"647990",IF($E28&lt;=90,"0",0)))))))))))))+0</f>
        <v>#VALUE!</v>
      </c>
      <c r="BP28" s="262">
        <f>(IF($F28&lt;=0,"0",IF($F28&lt;=1,"952500",IF($F28&lt;=2,"940000",IF($F28&lt;=3,"922500",IF($F28&lt;=4,"897500",IF($F28&lt;=5,"867500",IF($F28&lt;=6,"830000",IF($F28&lt;=7,"710000",IF($F28&lt;=8,"450000",0))))))))))+0</f>
        <v>897500</v>
      </c>
      <c r="BQ28" s="262">
        <f>(IF($G28&lt;=0,"0",IF($G28&lt;=1,"952500",IF($G28&lt;=2,"940000",IF($G28&lt;=3,"922500",IF($G28&lt;=4,"897500",IF($G28&lt;=5,"867500",IF($G28&lt;=6,"830000",IF($G28&lt;=7,"710000",IF($G28&lt;=8,"450000",0))))))))))+0</f>
        <v>0</v>
      </c>
      <c r="BR28" s="262">
        <f>(IF($H28&lt;=0,"0",IF($H28&lt;=1,"952500",IF($H28&lt;=2,"940000",IF($H28&lt;=3,"922500",IF($H28&lt;=4,"897500",IF($H28&lt;=5,"867500",IF($H28&lt;=6,"830000",IF($H28&lt;=7,"710000",IF($H28&lt;=8,"450000",0))))))))))+0</f>
        <v>952500</v>
      </c>
      <c r="BS28" s="263" t="e">
        <f>SUM(BO28,BP28,BQ28,BR28)</f>
        <v>#VALUE!</v>
      </c>
    </row>
    <row r="29" spans="1:71" ht="30" customHeight="1">
      <c r="A29" s="192">
        <f ca="1">SUBTOTAL(3,$C$3:Character[[#This Row],[Name]])</f>
        <v>27</v>
      </c>
      <c r="B29" s="192" t="e" vm="589">
        <f>ImgDatabase!D29</f>
        <v>#VALUE!</v>
      </c>
      <c r="C29" s="193" t="s">
        <v>135</v>
      </c>
      <c r="D29" s="194" t="e" vm="58">
        <f>IFERROR(INDEX(CharacterDetailss[Element], MATCH(Character[[#This Row],[Name]], CharacterDetailss[Name], 0)), "")</f>
        <v>#VALUE!</v>
      </c>
      <c r="E29" s="194" t="e" vm="3">
        <f>IFERROR(INDEX(CharacterDetailss[Weapon Type], MATCH(Character[[#This Row],[Name]], CharacterDetailss[Name], 0)), "")</f>
        <v>#VALUE!</v>
      </c>
      <c r="F29" s="195">
        <v>4.2</v>
      </c>
      <c r="G29" s="72">
        <v>90</v>
      </c>
      <c r="H29" s="73">
        <v>1</v>
      </c>
      <c r="I29" s="74">
        <v>10</v>
      </c>
      <c r="J29" s="75">
        <v>10</v>
      </c>
      <c r="L29" s="75">
        <v>81</v>
      </c>
      <c r="M29" s="73">
        <v>1</v>
      </c>
      <c r="N29" s="74">
        <v>9</v>
      </c>
      <c r="O29" s="74">
        <v>9</v>
      </c>
      <c r="Q29" s="210" t="e" vm="517">
        <f>IFERROR(INDEX(ImgDatabase!$O:$O, MATCH(WorldBoss[[#This Row],[Boss Name]], ImgDatabase!$P:$P, 0)), "")</f>
        <v>#VALUE!</v>
      </c>
      <c r="R29" s="208" t="s">
        <v>342</v>
      </c>
      <c r="S29" s="298" t="e">
        <f>(IF($E29&lt;=0,"0",IF($E29&lt;=40,"46",IF($E29&lt;=50,"44",IF($E29&lt;=60,"40",IF($E29&lt;=70,"32",IF($E29&lt;=80,"20","0")))))))+0</f>
        <v>#VALUE!</v>
      </c>
      <c r="U2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29" s="202" t="s">
        <v>556</v>
      </c>
      <c r="W29" s="203">
        <f>Z29+AC29+AF29</f>
        <v>44</v>
      </c>
      <c r="X29" s="203">
        <f>AA29+AD29+AG29</f>
        <v>30</v>
      </c>
      <c r="Y29" s="201">
        <f>AB29+AE29+AH29</f>
        <v>3</v>
      </c>
      <c r="Z29" s="204">
        <f>(IF($F29&lt;=0,"0",IF($F29&lt;=6,"22",IF($F29&lt;=7,"18",IF($F29&lt;=8,"12",0)))))+0</f>
        <v>22</v>
      </c>
      <c r="AA29" s="205">
        <f>(IF($F29&lt;=0,"0",IF($F29&lt;=2,"21",IF($F29&lt;=3,"19",IF($F29&lt;=4,"15",IF($F29&lt;=5,"9",0))))))+0</f>
        <v>9</v>
      </c>
      <c r="AB29" s="205">
        <f>(IF($F29&lt;=0,"0",IF($F29&lt;=1,"3",0)))+0</f>
        <v>0</v>
      </c>
      <c r="AC29" s="205">
        <f>(IF($G29&lt;=0,"0",IF($G29&lt;=6,"22",IF($G29&lt;=7,"18",IF($G29&lt;=8,"12",0)))))+0</f>
        <v>0</v>
      </c>
      <c r="AD29" s="205">
        <f>(IF($G29&lt;=0,"0",IF($G29&lt;=2,"21",IF($G29&lt;=3,"19",IF($G29&lt;=4,"15",IF($G29&lt;=5,"9",0))))))+0</f>
        <v>0</v>
      </c>
      <c r="AE29" s="205">
        <f>(IF($G29&lt;=0,"0",IF($G29&lt;=1,"3",0)))+0</f>
        <v>0</v>
      </c>
      <c r="AF29" s="205">
        <f>(IF($H29&lt;=0,"0",IF($H29&lt;=6,"22",IF($H29&lt;=7,"18",IF($H29&lt;=8,"12",0)))))+0</f>
        <v>22</v>
      </c>
      <c r="AG29" s="205">
        <f>(IF($H29&lt;=0,"0",IF($H29&lt;=2,"21",IF($H29&lt;=3,"19",IF($H29&lt;=4,"15",IF($H29&lt;=5,"9",0))))))+0</f>
        <v>21</v>
      </c>
      <c r="AH29" s="206">
        <f>(IF($H29&lt;=0,"0",IF($H29&lt;=1,"3",0)))+0</f>
        <v>3</v>
      </c>
      <c r="AI29" s="207" t="s">
        <v>557</v>
      </c>
      <c r="AJ29" s="208" t="s">
        <v>576</v>
      </c>
      <c r="AK29" s="209">
        <f>(IF($F29&lt;=0,"0",IF($F29&lt;=6,"4",IF($F29&lt;=7,"3",IF($F29&lt;=8,"2","0")))))+0</f>
        <v>4</v>
      </c>
      <c r="AL29" s="209">
        <f>(IF($G29&lt;=0,"0",IF($G29&lt;=6,"4",IF($G29&lt;=7,"3",IF($G29&lt;=8,"2","0")))))+0</f>
        <v>0</v>
      </c>
      <c r="AM29" s="209">
        <f>(IF($H29&lt;=0,"0",IF($H29&lt;=6,"4",IF($H29&lt;=7,"3",IF($H29&lt;=8,"2","0")))))+0</f>
        <v>4</v>
      </c>
      <c r="AN29" s="200">
        <f>SUM(AK29:AM29)</f>
        <v>8</v>
      </c>
      <c r="AO29" s="208" t="s">
        <v>577</v>
      </c>
      <c r="AP29" s="210" t="e">
        <f>(IF($E29&lt;=0,"0",IF($E29&lt;=20,"168",IF($E29&lt;=30,"165",IF($E29&lt;=50,"155",IF($E29&lt;=60,"135",IF($E29&lt;=70,"105",IF($E29&lt;=80,"60","0"))))))))+0</f>
        <v>#VALUE!</v>
      </c>
      <c r="AQ29" s="199" t="s">
        <v>546</v>
      </c>
      <c r="AR29" s="208" t="e">
        <f>(IF($E29&lt;=0,"0",IF($E29&lt;=80,"6","0")))+0</f>
        <v>#VALUE!</v>
      </c>
      <c r="AS29" s="208" t="e">
        <f>(IF($E29&lt;=0,"0",IF($E29&lt;=60,"9",IF($E29&lt;=70,"6","0"))))+0</f>
        <v>#VALUE!</v>
      </c>
      <c r="AT29" s="208" t="e">
        <f>(IF($E29&lt;=0,"0",IF($E29&lt;=40,"9",IF($E29&lt;=50,"6","0"))))+0</f>
        <v>#VALUE!</v>
      </c>
      <c r="AU29" s="211" t="e">
        <f>(IF($E29&lt;=0,"0",IF($E29&lt;=20,"1","0")))+0</f>
        <v>#VALUE!</v>
      </c>
      <c r="AV29" s="199" t="s">
        <v>264</v>
      </c>
      <c r="AW29" s="208" t="e">
        <f>(IF($E29&lt;=0,"0",IF($E29&lt;=70,"36",IF($E29&lt;=80,"24","0"))))+0</f>
        <v>#VALUE!</v>
      </c>
      <c r="AX29" s="208" t="e">
        <f>(IF($E29&lt;=0,"0",IF($E29&lt;=50,"30",IF($E29&lt;=60,"18","0"))))+0</f>
        <v>#VALUE!</v>
      </c>
      <c r="AY29" s="208" t="e">
        <f>(IF($E29&lt;=0,"0",IF($E29&lt;=20,"18",IF($E29&lt;=40,"15","0"))))+0</f>
        <v>#VALUE!</v>
      </c>
      <c r="AZ29" s="212">
        <f>Summary2831[[#This Row],[3*2]]+Summary2831[[#This Row],[3*22]]+Summary2831[[#This Row],[3*23]]</f>
        <v>19</v>
      </c>
      <c r="BA29" s="213">
        <f>Summary2831[[#This Row],[2*2]]+Summary2831[[#This Row],[2*23]]+Summary2831[[#This Row],[2*24]]</f>
        <v>22</v>
      </c>
      <c r="BB29" s="213">
        <f>Summary2831[[#This Row],[1*2]]+Summary2831[[#This Row],[1*24]]+Summary2831[[#This Row],[1*25]]</f>
        <v>6</v>
      </c>
      <c r="BC29" s="215">
        <f>IF($F29&lt;=0,"0",IF($F29&lt;=6,"19",IF($F29&lt;=7,"18",IF($F29&lt;=8,"9",0))))+0</f>
        <v>19</v>
      </c>
      <c r="BD29" s="215">
        <f>IF($F29&lt;=0,"0",IF($F29&lt;=2,"22",IF($F29&lt;=3,"19",IF($F29&lt;=4,"15",IF($F29&lt;=5,"9",0)))))+0</f>
        <v>9</v>
      </c>
      <c r="BE29" s="215">
        <f>IF($F29&lt;=0,"0",IF($F29&lt;=1,"6",0))+0</f>
        <v>0</v>
      </c>
      <c r="BF29" s="215">
        <f>IF($G29&lt;=0,"0",IF($G29&lt;=6,"19",IF($G29&lt;=7,"18",IF($G29&lt;=8,"9",0))))+0</f>
        <v>0</v>
      </c>
      <c r="BG29" s="215">
        <f>IF($G29&lt;=0,"0",IF($G29&lt;=2,"22",IF($G29&lt;=3,"19",IF($G29&lt;=4,"15",IF($G29&lt;=5,"9",0)))))+0</f>
        <v>0</v>
      </c>
      <c r="BH29" s="215">
        <f>IF($G29&lt;=0,"0",IF($G29&lt;=1,"6",0))+0</f>
        <v>0</v>
      </c>
      <c r="BI29" s="215">
        <f>IF($H29&lt;=0,"0",IF($H29&lt;=6,"19",IF($H29&lt;=7,"18",IF($H29&lt;=8,"9",0))))+0</f>
        <v>19</v>
      </c>
      <c r="BJ29" s="215">
        <f>IF($H29&lt;=0,"0",IF($H29&lt;=2,"22",IF($H29&lt;=3,"19",IF($H29&lt;=4,"15",IF($H29&lt;=5,"9",0)))))+0</f>
        <v>22</v>
      </c>
      <c r="BK29" s="215">
        <f>IF($H29&lt;=0,"0",IF($H29&lt;=1,"6",0))+0</f>
        <v>6</v>
      </c>
      <c r="BL29" s="199">
        <f>SUM(Summary2831[[#This Row],[3*
(Tal)]],Summary2831[[#This Row],[3*
(Asc)]])</f>
        <v>19</v>
      </c>
      <c r="BM29" s="208">
        <f>SUM(Summary2831[[#This Row],[2*
(Tal)]],Summary2831[[#This Row],[2*
(Asc)]])</f>
        <v>22</v>
      </c>
      <c r="BN29" s="211">
        <f>SUM(Summary2831[[#This Row],[1*
(Tal)]],Summary2831[[#This Row],[1*
(Asc)]])</f>
        <v>6</v>
      </c>
      <c r="BO29" s="216" t="e">
        <f>(IF($E29&lt;=0,"0",IF($E29&lt;=1,"2092530",IF($E29&lt;=10,"2087525",IF($E29&lt;=20,"2068495",IF($E29&lt;=30,"2005910",IF($E29&lt;=40,"1932830",IF($E29&lt;=50,"1777010",IF($E29&lt;=60,"1546185",IF($E29&lt;=70,"1227000",IF($E29&lt;=80,"804625",IF($E29&lt;=81,"647990",IF($E29&lt;=90,"0",0)))))))))))))+0</f>
        <v>#VALUE!</v>
      </c>
      <c r="BP29" s="217">
        <f>(IF($F29&lt;=0,"0",IF($F29&lt;=1,"952500",IF($F29&lt;=2,"940000",IF($F29&lt;=3,"922500",IF($F29&lt;=4,"897500",IF($F29&lt;=5,"867500",IF($F29&lt;=6,"830000",IF($F29&lt;=7,"710000",IF($F29&lt;=8,"450000",0))))))))))+0</f>
        <v>867500</v>
      </c>
      <c r="BQ29" s="217">
        <f>(IF($G29&lt;=0,"0",IF($G29&lt;=1,"952500",IF($G29&lt;=2,"940000",IF($G29&lt;=3,"922500",IF($G29&lt;=4,"897500",IF($G29&lt;=5,"867500",IF($G29&lt;=6,"830000",IF($G29&lt;=7,"710000",IF($G29&lt;=8,"450000",0))))))))))+0</f>
        <v>0</v>
      </c>
      <c r="BR29" s="217">
        <f>(IF($H29&lt;=0,"0",IF($H29&lt;=1,"952500",IF($H29&lt;=2,"940000",IF($H29&lt;=3,"922500",IF($H29&lt;=4,"897500",IF($H29&lt;=5,"867500",IF($H29&lt;=6,"830000",IF($H29&lt;=7,"710000",IF($H29&lt;=8,"450000",0))))))))))+0</f>
        <v>952500</v>
      </c>
      <c r="BS29" s="218" t="e">
        <f>SUM(BO29,BP29,BQ29,BR29)</f>
        <v>#VALUE!</v>
      </c>
    </row>
    <row r="30" spans="1:71" s="81" customFormat="1" ht="30" customHeight="1">
      <c r="A30" s="196">
        <f ca="1">SUBTOTAL(3,$C$3:Character[[#This Row],[Name]])</f>
        <v>28</v>
      </c>
      <c r="B30" s="192" t="e" vm="590">
        <f>ImgDatabase!D30</f>
        <v>#VALUE!</v>
      </c>
      <c r="C30" s="197" t="s">
        <v>417</v>
      </c>
      <c r="D30" s="194" t="e" vm="31">
        <f>IFERROR(INDEX(CharacterDetailss[Element], MATCH(Character[[#This Row],[Name]], CharacterDetailss[Name], 0)), "")</f>
        <v>#VALUE!</v>
      </c>
      <c r="E30" s="194" t="e" vm="292">
        <f>IFERROR(INDEX(CharacterDetailss[Weapon Type], MATCH(Character[[#This Row],[Name]], CharacterDetailss[Name], 0)), "")</f>
        <v>#VALUE!</v>
      </c>
      <c r="F30" s="198">
        <v>4.4000000000000004</v>
      </c>
      <c r="G30" s="14">
        <v>22</v>
      </c>
      <c r="H30" s="9">
        <v>1</v>
      </c>
      <c r="I30" s="2">
        <v>1</v>
      </c>
      <c r="J30" s="10">
        <v>1</v>
      </c>
      <c r="K30"/>
      <c r="L30" s="75">
        <v>81</v>
      </c>
      <c r="M30" s="73">
        <v>1</v>
      </c>
      <c r="N30" s="74">
        <v>9</v>
      </c>
      <c r="O30" s="74">
        <v>9</v>
      </c>
      <c r="P30"/>
      <c r="Q30" s="258" t="e" vm="500">
        <f>IFERROR(INDEX(ImgDatabase!$O:$O, MATCH(WorldBoss[[#This Row],[Boss Name]], ImgDatabase!$P:$P, 0)), "")</f>
        <v>#VALUE!</v>
      </c>
      <c r="R30" s="257" t="s">
        <v>317</v>
      </c>
      <c r="S30" s="301" t="e">
        <f>(IF($E30&lt;=0,"0",IF($E30&lt;=40,"46",IF($E30&lt;=50,"44",IF($E30&lt;=60,"40",IF($E30&lt;=70,"32",IF($E30&lt;=80,"20","0")))))))+0</f>
        <v>#VALUE!</v>
      </c>
      <c r="T30"/>
      <c r="U3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30" s="253" t="s">
        <v>578</v>
      </c>
      <c r="W30" s="254">
        <f>Z30+AC30+AF30</f>
        <v>44</v>
      </c>
      <c r="X30" s="254">
        <f>AA30+AD30+AG30</f>
        <v>30</v>
      </c>
      <c r="Y30" s="255">
        <f>AB30+AE30+AH30</f>
        <v>3</v>
      </c>
      <c r="Z30" s="224">
        <f>(IF($F30&lt;=0,"0",IF($F30&lt;=6,"22",IF($F30&lt;=7,"18",IF($F30&lt;=8,"12",0)))))+0</f>
        <v>22</v>
      </c>
      <c r="AA30" s="225">
        <f>(IF($F30&lt;=0,"0",IF($F30&lt;=2,"21",IF($F30&lt;=3,"19",IF($F30&lt;=4,"15",IF($F30&lt;=5,"9",0))))))+0</f>
        <v>9</v>
      </c>
      <c r="AB30" s="225">
        <f>(IF($F30&lt;=0,"0",IF($F30&lt;=1,"3",0)))+0</f>
        <v>0</v>
      </c>
      <c r="AC30" s="225">
        <f>(IF($G30&lt;=0,"0",IF($G30&lt;=6,"22",IF($G30&lt;=7,"18",IF($G30&lt;=8,"12",0)))))+0</f>
        <v>0</v>
      </c>
      <c r="AD30" s="225">
        <f>(IF($G30&lt;=0,"0",IF($G30&lt;=2,"21",IF($G30&lt;=3,"19",IF($G30&lt;=4,"15",IF($G30&lt;=5,"9",0))))))+0</f>
        <v>0</v>
      </c>
      <c r="AE30" s="225">
        <f>(IF($G30&lt;=0,"0",IF($G30&lt;=1,"3",0)))+0</f>
        <v>0</v>
      </c>
      <c r="AF30" s="225">
        <f>(IF($H30&lt;=0,"0",IF($H30&lt;=6,"22",IF($H30&lt;=7,"18",IF($H30&lt;=8,"12",0)))))+0</f>
        <v>22</v>
      </c>
      <c r="AG30" s="225">
        <f>(IF($H30&lt;=0,"0",IF($H30&lt;=2,"21",IF($H30&lt;=3,"19",IF($H30&lt;=4,"15",IF($H30&lt;=5,"9",0))))))+0</f>
        <v>21</v>
      </c>
      <c r="AH30" s="226">
        <f>(IF($H30&lt;=0,"0",IF($H30&lt;=1,"3",0)))+0</f>
        <v>3</v>
      </c>
      <c r="AI30" s="256" t="s">
        <v>557</v>
      </c>
      <c r="AJ30" s="257" t="s">
        <v>576</v>
      </c>
      <c r="AK30" s="229">
        <f>(IF($F30&lt;=0,"0",IF($F30&lt;=6,"4",IF($F30&lt;=7,"3",IF($F30&lt;=8,"2","0")))))+0</f>
        <v>4</v>
      </c>
      <c r="AL30" s="229">
        <f>(IF($G30&lt;=0,"0",IF($G30&lt;=6,"4",IF($G30&lt;=7,"3",IF($G30&lt;=8,"2","0")))))+0</f>
        <v>0</v>
      </c>
      <c r="AM30" s="229">
        <f>(IF($H30&lt;=0,"0",IF($H30&lt;=6,"4",IF($H30&lt;=7,"3",IF($H30&lt;=8,"2","0")))))+0</f>
        <v>4</v>
      </c>
      <c r="AN30" s="252">
        <f>SUM(AK30:AM30)</f>
        <v>8</v>
      </c>
      <c r="AO30" s="257" t="s">
        <v>388</v>
      </c>
      <c r="AP30" s="258" t="e">
        <f>(IF($E30&lt;=0,"0",IF($E30&lt;=20,"168",IF($E30&lt;=30,"165",IF($E30&lt;=50,"155",IF($E30&lt;=60,"135",IF($E30&lt;=70,"105",IF($E30&lt;=80,"60","0"))))))))+0</f>
        <v>#VALUE!</v>
      </c>
      <c r="AQ30" s="251" t="s">
        <v>534</v>
      </c>
      <c r="AR30" s="257" t="e">
        <f>(IF($E30&lt;=0,"0",IF($E30&lt;=80,"6","0")))+0</f>
        <v>#VALUE!</v>
      </c>
      <c r="AS30" s="257" t="e">
        <f>(IF($E30&lt;=0,"0",IF($E30&lt;=60,"9",IF($E30&lt;=70,"6","0"))))+0</f>
        <v>#VALUE!</v>
      </c>
      <c r="AT30" s="257" t="e">
        <f>(IF($E30&lt;=0,"0",IF($E30&lt;=40,"9",IF($E30&lt;=50,"6","0"))))+0</f>
        <v>#VALUE!</v>
      </c>
      <c r="AU30" s="259" t="e">
        <f>(IF($E30&lt;=0,"0",IF($E30&lt;=20,"1","0")))+0</f>
        <v>#VALUE!</v>
      </c>
      <c r="AV30" s="251" t="s">
        <v>178</v>
      </c>
      <c r="AW30" s="257" t="e">
        <f>(IF($E30&lt;=0,"0",IF($E30&lt;=70,"36",IF($E30&lt;=80,"24","0"))))+0</f>
        <v>#VALUE!</v>
      </c>
      <c r="AX30" s="257" t="e">
        <f>(IF($E30&lt;=0,"0",IF($E30&lt;=50,"30",IF($E30&lt;=60,"18","0"))))+0</f>
        <v>#VALUE!</v>
      </c>
      <c r="AY30" s="257" t="e">
        <f>(IF($E30&lt;=0,"0",IF($E30&lt;=20,"18",IF($E30&lt;=40,"15","0"))))+0</f>
        <v>#VALUE!</v>
      </c>
      <c r="AZ30" s="260">
        <f>Summary2831[[#This Row],[3*2]]+Summary2831[[#This Row],[3*22]]+Summary2831[[#This Row],[3*23]]</f>
        <v>57</v>
      </c>
      <c r="BA30" s="261">
        <f>Summary2831[[#This Row],[2*2]]+Summary2831[[#This Row],[2*23]]+Summary2831[[#This Row],[2*24]]</f>
        <v>66</v>
      </c>
      <c r="BB30" s="261">
        <f>Summary2831[[#This Row],[1*2]]+Summary2831[[#This Row],[1*24]]+Summary2831[[#This Row],[1*25]]</f>
        <v>18</v>
      </c>
      <c r="BC30" s="261">
        <f>IF($F30&lt;=0,"0",IF($F30&lt;=6,"19",IF($F30&lt;=7,"18",IF($F30&lt;=8,"9",0))))+0</f>
        <v>19</v>
      </c>
      <c r="BD30" s="261">
        <f>IF($F30&lt;=0,"0",IF($F30&lt;=2,"22",IF($F30&lt;=3,"19",IF($F30&lt;=4,"15",IF($F30&lt;=5,"9",0)))))+0</f>
        <v>9</v>
      </c>
      <c r="BE30" s="261">
        <f>IF($F30&lt;=0,"0",IF($F30&lt;=1,"6",0))+0</f>
        <v>0</v>
      </c>
      <c r="BF30" s="261">
        <f>IF($G30&lt;=0,"0",IF($G30&lt;=6,"19",IF($G30&lt;=7,"18",IF($G30&lt;=8,"9",0))))+0</f>
        <v>0</v>
      </c>
      <c r="BG30" s="261">
        <f>IF($G30&lt;=0,"0",IF($G30&lt;=2,"22",IF($G30&lt;=3,"19",IF($G30&lt;=4,"15",IF($G30&lt;=5,"9",0)))))+0</f>
        <v>0</v>
      </c>
      <c r="BH30" s="261">
        <f>IF($G30&lt;=0,"0",IF($G30&lt;=1,"6",0))+0</f>
        <v>0</v>
      </c>
      <c r="BI30" s="261">
        <f>IF($H30&lt;=0,"0",IF($H30&lt;=6,"19",IF($H30&lt;=7,"18",IF($H30&lt;=8,"9",0))))+0</f>
        <v>19</v>
      </c>
      <c r="BJ30" s="261">
        <f>IF($H30&lt;=0,"0",IF($H30&lt;=2,"22",IF($H30&lt;=3,"19",IF($H30&lt;=4,"15",IF($H30&lt;=5,"9",0)))))+0</f>
        <v>22</v>
      </c>
      <c r="BK30" s="261">
        <f>IF($H30&lt;=0,"0",IF($H30&lt;=1,"6",0))+0</f>
        <v>6</v>
      </c>
      <c r="BL30" s="251">
        <f>SUM(Summary2831[[#This Row],[3*
(Tal)]],Summary2831[[#This Row],[3*
(Asc)]])</f>
        <v>93</v>
      </c>
      <c r="BM30" s="257">
        <f>SUM(Summary2831[[#This Row],[2*
(Tal)]],Summary2831[[#This Row],[2*
(Asc)]])</f>
        <v>96</v>
      </c>
      <c r="BN30" s="259">
        <f>SUM(Summary2831[[#This Row],[1*
(Tal)]],Summary2831[[#This Row],[1*
(Asc)]])</f>
        <v>33</v>
      </c>
      <c r="BO30" s="235" t="e">
        <f>(IF($E30&lt;=0,"0",IF($E30&lt;=1,"2092530",IF($E30&lt;=10,"2087525",IF($E30&lt;=20,"2068495",IF($E30&lt;=30,"2005910",IF($E30&lt;=40,"1932830",IF($E30&lt;=50,"1777010",IF($E30&lt;=60,"1546185",IF($E30&lt;=70,"1227000",IF($E30&lt;=80,"804625",IF($E30&lt;=81,"647990",IF($E30&lt;=90,"0",0)))))))))))))+0</f>
        <v>#VALUE!</v>
      </c>
      <c r="BP30" s="262">
        <f>(IF($F30&lt;=0,"0",IF($F30&lt;=1,"952500",IF($F30&lt;=2,"940000",IF($F30&lt;=3,"922500",IF($F30&lt;=4,"897500",IF($F30&lt;=5,"867500",IF($F30&lt;=6,"830000",IF($F30&lt;=7,"710000",IF($F30&lt;=8,"450000",0))))))))))+0</f>
        <v>867500</v>
      </c>
      <c r="BQ30" s="262">
        <f>(IF($G30&lt;=0,"0",IF($G30&lt;=1,"952500",IF($G30&lt;=2,"940000",IF($G30&lt;=3,"922500",IF($G30&lt;=4,"897500",IF($G30&lt;=5,"867500",IF($G30&lt;=6,"830000",IF($G30&lt;=7,"710000",IF($G30&lt;=8,"450000",0))))))))))+0</f>
        <v>0</v>
      </c>
      <c r="BR30" s="262">
        <f>(IF($H30&lt;=0,"0",IF($H30&lt;=1,"952500",IF($H30&lt;=2,"940000",IF($H30&lt;=3,"922500",IF($H30&lt;=4,"897500",IF($H30&lt;=5,"867500",IF($H30&lt;=6,"830000",IF($H30&lt;=7,"710000",IF($H30&lt;=8,"450000",0))))))))))+0</f>
        <v>952500</v>
      </c>
      <c r="BS30" s="263" t="e">
        <f>SUM(BO30,BP30,BQ30,BR30)</f>
        <v>#VALUE!</v>
      </c>
    </row>
    <row r="31" spans="1:71" ht="30" customHeight="1">
      <c r="A31" s="192">
        <f ca="1">SUBTOTAL(3,$C$3:Character[[#This Row],[Name]])</f>
        <v>29</v>
      </c>
      <c r="B31" s="192" t="e" vm="591">
        <f>ImgDatabase!D31</f>
        <v>#VALUE!</v>
      </c>
      <c r="C31" s="193" t="s">
        <v>368</v>
      </c>
      <c r="D31" s="194" t="e" vm="84">
        <f>IFERROR(INDEX(CharacterDetailss[Element], MATCH(Character[[#This Row],[Name]], CharacterDetailss[Name], 0)), "")</f>
        <v>#VALUE!</v>
      </c>
      <c r="E31" s="194" t="e" vm="216">
        <f>IFERROR(INDEX(CharacterDetailss[Weapon Type], MATCH(Character[[#This Row],[Name]], CharacterDetailss[Name], 0)), "")</f>
        <v>#VALUE!</v>
      </c>
      <c r="F31" s="195">
        <v>1.2</v>
      </c>
      <c r="G31" s="72">
        <v>90</v>
      </c>
      <c r="H31" s="73">
        <v>10</v>
      </c>
      <c r="I31" s="74">
        <v>8</v>
      </c>
      <c r="J31" s="75">
        <v>10</v>
      </c>
      <c r="L31" s="75">
        <v>81</v>
      </c>
      <c r="M31" s="73">
        <v>1</v>
      </c>
      <c r="N31" s="74">
        <v>9</v>
      </c>
      <c r="O31" s="74">
        <v>9</v>
      </c>
      <c r="Q31" s="210" t="e" vm="354">
        <f>IFERROR(INDEX(ImgDatabase!$O:$O, MATCH(WorldBoss[[#This Row],[Boss Name]], ImgDatabase!$P:$P, 0)), "")</f>
        <v>#VALUE!</v>
      </c>
      <c r="R31" s="208" t="s">
        <v>96</v>
      </c>
      <c r="S31" s="298" t="e">
        <f>(IF($E31&lt;=0,"0",IF($E31&lt;=40,"46",IF($E31&lt;=50,"44",IF($E31&lt;=60,"40",IF($E31&lt;=70,"32",IF($E31&lt;=80,"20","0")))))))+0</f>
        <v>#VALUE!</v>
      </c>
      <c r="U3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31" s="202" t="s">
        <v>562</v>
      </c>
      <c r="W31" s="203">
        <f>Z31+AC31+AF31</f>
        <v>22</v>
      </c>
      <c r="X31" s="203">
        <f>AA31+AD31+AG31</f>
        <v>21</v>
      </c>
      <c r="Y31" s="201">
        <f>AB31+AE31+AH31</f>
        <v>0</v>
      </c>
      <c r="Z31" s="204">
        <f>(IF($F31&lt;=0,"0",IF($F31&lt;=6,"22",IF($F31&lt;=7,"18",IF($F31&lt;=8,"12",0)))))+0</f>
        <v>22</v>
      </c>
      <c r="AA31" s="205">
        <f>(IF($F31&lt;=0,"0",IF($F31&lt;=2,"21",IF($F31&lt;=3,"19",IF($F31&lt;=4,"15",IF($F31&lt;=5,"9",0))))))+0</f>
        <v>21</v>
      </c>
      <c r="AB31" s="205">
        <f>(IF($F31&lt;=0,"0",IF($F31&lt;=1,"3",0)))+0</f>
        <v>0</v>
      </c>
      <c r="AC31" s="205">
        <f>(IF($G31&lt;=0,"0",IF($G31&lt;=6,"22",IF($G31&lt;=7,"18",IF($G31&lt;=8,"12",0)))))+0</f>
        <v>0</v>
      </c>
      <c r="AD31" s="205">
        <f>(IF($G31&lt;=0,"0",IF($G31&lt;=2,"21",IF($G31&lt;=3,"19",IF($G31&lt;=4,"15",IF($G31&lt;=5,"9",0))))))+0</f>
        <v>0</v>
      </c>
      <c r="AE31" s="205">
        <f>(IF($G31&lt;=0,"0",IF($G31&lt;=1,"3",0)))+0</f>
        <v>0</v>
      </c>
      <c r="AF31" s="205">
        <f>(IF($H31&lt;=0,"0",IF($H31&lt;=6,"22",IF($H31&lt;=7,"18",IF($H31&lt;=8,"12",0)))))+0</f>
        <v>0</v>
      </c>
      <c r="AG31" s="205">
        <f>(IF($H31&lt;=0,"0",IF($H31&lt;=2,"21",IF($H31&lt;=3,"19",IF($H31&lt;=4,"15",IF($H31&lt;=5,"9",0))))))+0</f>
        <v>0</v>
      </c>
      <c r="AH31" s="206">
        <f>(IF($H31&lt;=0,"0",IF($H31&lt;=1,"3",0)))+0</f>
        <v>0</v>
      </c>
      <c r="AI31" s="207" t="s">
        <v>389</v>
      </c>
      <c r="AJ31" s="208" t="s">
        <v>579</v>
      </c>
      <c r="AK31" s="209">
        <f>(IF($F31&lt;=0,"0",IF($F31&lt;=6,"4",IF($F31&lt;=7,"3",IF($F31&lt;=8,"2","0")))))+0</f>
        <v>4</v>
      </c>
      <c r="AL31" s="209">
        <f>(IF($G31&lt;=0,"0",IF($G31&lt;=6,"4",IF($G31&lt;=7,"3",IF($G31&lt;=8,"2","0")))))+0</f>
        <v>0</v>
      </c>
      <c r="AM31" s="209">
        <f>(IF($H31&lt;=0,"0",IF($H31&lt;=6,"4",IF($H31&lt;=7,"3",IF($H31&lt;=8,"2","0")))))+0</f>
        <v>0</v>
      </c>
      <c r="AN31" s="200">
        <f>SUM(AK31:AM31)</f>
        <v>4</v>
      </c>
      <c r="AO31" s="208" t="s">
        <v>314</v>
      </c>
      <c r="AP31" s="210" t="e">
        <f>(IF($E31&lt;=0,"0",IF($E31&lt;=20,"168",IF($E31&lt;=30,"165",IF($E31&lt;=50,"155",IF($E31&lt;=60,"135",IF($E31&lt;=70,"105",IF($E31&lt;=80,"60","0"))))))))+0</f>
        <v>#VALUE!</v>
      </c>
      <c r="AQ31" s="199" t="s">
        <v>530</v>
      </c>
      <c r="AR31" s="208" t="e">
        <f>(IF($E31&lt;=0,"0",IF($E31&lt;=80,"6","0")))+0</f>
        <v>#VALUE!</v>
      </c>
      <c r="AS31" s="208" t="e">
        <f>(IF($E31&lt;=0,"0",IF($E31&lt;=60,"9",IF($E31&lt;=70,"6","0"))))+0</f>
        <v>#VALUE!</v>
      </c>
      <c r="AT31" s="208" t="e">
        <f>(IF($E31&lt;=0,"0",IF($E31&lt;=40,"9",IF($E31&lt;=50,"6","0"))))+0</f>
        <v>#VALUE!</v>
      </c>
      <c r="AU31" s="211" t="e">
        <f>(IF($E31&lt;=0,"0",IF($E31&lt;=20,"1","0")))+0</f>
        <v>#VALUE!</v>
      </c>
      <c r="AV31" s="199" t="s">
        <v>264</v>
      </c>
      <c r="AW31" s="208" t="e">
        <f>(IF($E31&lt;=0,"0",IF($E31&lt;=70,"36",IF($E31&lt;=80,"24","0"))))+0</f>
        <v>#VALUE!</v>
      </c>
      <c r="AX31" s="208" t="e">
        <f>(IF($E31&lt;=0,"0",IF($E31&lt;=50,"30",IF($E31&lt;=60,"18","0"))))+0</f>
        <v>#VALUE!</v>
      </c>
      <c r="AY31" s="208" t="e">
        <f>(IF($E31&lt;=0,"0",IF($E31&lt;=20,"18",IF($E31&lt;=40,"15","0"))))+0</f>
        <v>#VALUE!</v>
      </c>
      <c r="AZ31" s="212">
        <f>Summary2831[[#This Row],[3*2]]+Summary2831[[#This Row],[3*22]]+Summary2831[[#This Row],[3*23]]</f>
        <v>9</v>
      </c>
      <c r="BA31" s="213">
        <f>Summary2831[[#This Row],[2*2]]+Summary2831[[#This Row],[2*23]]+Summary2831[[#This Row],[2*24]]</f>
        <v>0</v>
      </c>
      <c r="BB31" s="213">
        <f>Summary2831[[#This Row],[1*2]]+Summary2831[[#This Row],[1*24]]+Summary2831[[#This Row],[1*25]]</f>
        <v>0</v>
      </c>
      <c r="BC31" s="215">
        <f>IF($F31&lt;=0,"0",IF($F31&lt;=6,"19",IF($F31&lt;=7,"18",IF($F31&lt;=8,"9",0))))+0</f>
        <v>19</v>
      </c>
      <c r="BD31" s="215">
        <f>IF($F31&lt;=0,"0",IF($F31&lt;=2,"22",IF($F31&lt;=3,"19",IF($F31&lt;=4,"15",IF($F31&lt;=5,"9",0)))))+0</f>
        <v>22</v>
      </c>
      <c r="BE31" s="215">
        <f>IF($F31&lt;=0,"0",IF($F31&lt;=1,"6",0))+0</f>
        <v>0</v>
      </c>
      <c r="BF31" s="215">
        <f>IF($G31&lt;=0,"0",IF($G31&lt;=6,"19",IF($G31&lt;=7,"18",IF($G31&lt;=8,"9",0))))+0</f>
        <v>0</v>
      </c>
      <c r="BG31" s="215">
        <f>IF($G31&lt;=0,"0",IF($G31&lt;=2,"22",IF($G31&lt;=3,"19",IF($G31&lt;=4,"15",IF($G31&lt;=5,"9",0)))))+0</f>
        <v>0</v>
      </c>
      <c r="BH31" s="215">
        <f>IF($G31&lt;=0,"0",IF($G31&lt;=1,"6",0))+0</f>
        <v>0</v>
      </c>
      <c r="BI31" s="215">
        <f>IF($H31&lt;=0,"0",IF($H31&lt;=6,"19",IF($H31&lt;=7,"18",IF($H31&lt;=8,"9",0))))+0</f>
        <v>0</v>
      </c>
      <c r="BJ31" s="215">
        <f>IF($H31&lt;=0,"0",IF($H31&lt;=2,"22",IF($H31&lt;=3,"19",IF($H31&lt;=4,"15",IF($H31&lt;=5,"9",0)))))+0</f>
        <v>0</v>
      </c>
      <c r="BK31" s="215">
        <f>IF($H31&lt;=0,"0",IF($H31&lt;=1,"6",0))+0</f>
        <v>0</v>
      </c>
      <c r="BL31" s="199">
        <f>SUM(Summary2831[[#This Row],[3*
(Tal)]],Summary2831[[#This Row],[3*
(Asc)]])</f>
        <v>9</v>
      </c>
      <c r="BM31" s="208">
        <f>SUM(Summary2831[[#This Row],[2*
(Tal)]],Summary2831[[#This Row],[2*
(Asc)]])</f>
        <v>0</v>
      </c>
      <c r="BN31" s="211">
        <f>SUM(Summary2831[[#This Row],[1*
(Tal)]],Summary2831[[#This Row],[1*
(Asc)]])</f>
        <v>0</v>
      </c>
      <c r="BO31" s="216" t="e">
        <f>(IF($E31&lt;=0,"0",IF($E31&lt;=1,"2092530",IF($E31&lt;=10,"2087525",IF($E31&lt;=20,"2068495",IF($E31&lt;=30,"2005910",IF($E31&lt;=40,"1932830",IF($E31&lt;=50,"1777010",IF($E31&lt;=60,"1546185",IF($E31&lt;=70,"1227000",IF($E31&lt;=80,"804625",IF($E31&lt;=81,"647990",IF($E31&lt;=90,"0",0)))))))))))))+0</f>
        <v>#VALUE!</v>
      </c>
      <c r="BP31" s="217">
        <f>(IF($F31&lt;=0,"0",IF($F31&lt;=1,"952500",IF($F31&lt;=2,"940000",IF($F31&lt;=3,"922500",IF($F31&lt;=4,"897500",IF($F31&lt;=5,"867500",IF($F31&lt;=6,"830000",IF($F31&lt;=7,"710000",IF($F31&lt;=8,"450000",0))))))))))+0</f>
        <v>940000</v>
      </c>
      <c r="BQ31" s="217">
        <f>(IF($G31&lt;=0,"0",IF($G31&lt;=1,"952500",IF($G31&lt;=2,"940000",IF($G31&lt;=3,"922500",IF($G31&lt;=4,"897500",IF($G31&lt;=5,"867500",IF($G31&lt;=6,"830000",IF($G31&lt;=7,"710000",IF($G31&lt;=8,"450000",0))))))))))+0</f>
        <v>0</v>
      </c>
      <c r="BR31" s="217">
        <f>(IF($H31&lt;=0,"0",IF($H31&lt;=1,"952500",IF($H31&lt;=2,"940000",IF($H31&lt;=3,"922500",IF($H31&lt;=4,"897500",IF($H31&lt;=5,"867500",IF($H31&lt;=6,"830000",IF($H31&lt;=7,"710000",IF($H31&lt;=8,"450000",0))))))))))+0</f>
        <v>0</v>
      </c>
      <c r="BS31" s="218" t="e">
        <f>SUM(BO31,BP31,BQ31,BR31)</f>
        <v>#VALUE!</v>
      </c>
    </row>
    <row r="32" spans="1:71" ht="30" customHeight="1">
      <c r="A32" s="196">
        <f ca="1">SUBTOTAL(3,$C$3:Character[[#This Row],[Name]])</f>
        <v>30</v>
      </c>
      <c r="B32" s="192" t="e" vm="592">
        <f>ImgDatabase!D32</f>
        <v>#VALUE!</v>
      </c>
      <c r="C32" s="197" t="s">
        <v>372</v>
      </c>
      <c r="D32" s="194" t="e" vm="4">
        <f>IFERROR(INDEX(CharacterDetailss[Element], MATCH(Character[[#This Row],[Name]], CharacterDetailss[Name], 0)), "")</f>
        <v>#VALUE!</v>
      </c>
      <c r="E32" s="194" t="e" vm="216">
        <f>IFERROR(INDEX(CharacterDetailss[Weapon Type], MATCH(Character[[#This Row],[Name]], CharacterDetailss[Name], 0)), "")</f>
        <v>#VALUE!</v>
      </c>
      <c r="F32" s="198">
        <v>2.2999999999999998</v>
      </c>
      <c r="G32" s="14">
        <v>21</v>
      </c>
      <c r="H32" s="9">
        <v>1</v>
      </c>
      <c r="I32" s="2">
        <v>1</v>
      </c>
      <c r="J32" s="10">
        <v>1</v>
      </c>
      <c r="L32" s="75">
        <v>81</v>
      </c>
      <c r="M32" s="73">
        <v>1</v>
      </c>
      <c r="N32" s="74">
        <v>9</v>
      </c>
      <c r="O32" s="74">
        <v>9</v>
      </c>
      <c r="Q32" s="258" t="e" vm="405">
        <f>IFERROR(INDEX(ImgDatabase!$O:$O, MATCH(WorldBoss[[#This Row],[Boss Name]], ImgDatabase!$P:$P, 0)), "")</f>
        <v>#VALUE!</v>
      </c>
      <c r="R32" s="257" t="s">
        <v>174</v>
      </c>
      <c r="S32" s="301" t="e">
        <f>(IF($E32&lt;=0,"0",IF($E32&lt;=40,"46",IF($E32&lt;=50,"44",IF($E32&lt;=60,"40",IF($E32&lt;=70,"32",IF($E32&lt;=80,"20","0")))))))+0</f>
        <v>#VALUE!</v>
      </c>
      <c r="U3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32" s="253" t="s">
        <v>561</v>
      </c>
      <c r="W32" s="254">
        <f>Z32+AC32+AF32</f>
        <v>44</v>
      </c>
      <c r="X32" s="254">
        <f>AA32+AD32+AG32</f>
        <v>40</v>
      </c>
      <c r="Y32" s="255">
        <f>AB32+AE32+AH32</f>
        <v>3</v>
      </c>
      <c r="Z32" s="224">
        <f>(IF($F32&lt;=0,"0",IF($F32&lt;=6,"22",IF($F32&lt;=7,"18",IF($F32&lt;=8,"12",0)))))+0</f>
        <v>22</v>
      </c>
      <c r="AA32" s="225">
        <f>(IF($F32&lt;=0,"0",IF($F32&lt;=2,"21",IF($F32&lt;=3,"19",IF($F32&lt;=4,"15",IF($F32&lt;=5,"9",0))))))+0</f>
        <v>19</v>
      </c>
      <c r="AB32" s="225">
        <f>(IF($F32&lt;=0,"0",IF($F32&lt;=1,"3",0)))+0</f>
        <v>0</v>
      </c>
      <c r="AC32" s="225">
        <f>(IF($G32&lt;=0,"0",IF($G32&lt;=6,"22",IF($G32&lt;=7,"18",IF($G32&lt;=8,"12",0)))))+0</f>
        <v>0</v>
      </c>
      <c r="AD32" s="225">
        <f>(IF($G32&lt;=0,"0",IF($G32&lt;=2,"21",IF($G32&lt;=3,"19",IF($G32&lt;=4,"15",IF($G32&lt;=5,"9",0))))))+0</f>
        <v>0</v>
      </c>
      <c r="AE32" s="225">
        <f>(IF($G32&lt;=0,"0",IF($G32&lt;=1,"3",0)))+0</f>
        <v>0</v>
      </c>
      <c r="AF32" s="225">
        <f>(IF($H32&lt;=0,"0",IF($H32&lt;=6,"22",IF($H32&lt;=7,"18",IF($H32&lt;=8,"12",0)))))+0</f>
        <v>22</v>
      </c>
      <c r="AG32" s="225">
        <f>(IF($H32&lt;=0,"0",IF($H32&lt;=2,"21",IF($H32&lt;=3,"19",IF($H32&lt;=4,"15",IF($H32&lt;=5,"9",0))))))+0</f>
        <v>21</v>
      </c>
      <c r="AH32" s="226">
        <f>(IF($H32&lt;=0,"0",IF($H32&lt;=1,"3",0)))+0</f>
        <v>3</v>
      </c>
      <c r="AI32" s="256" t="s">
        <v>205</v>
      </c>
      <c r="AJ32" s="257" t="s">
        <v>528</v>
      </c>
      <c r="AK32" s="229">
        <f>(IF($F32&lt;=0,"0",IF($F32&lt;=6,"4",IF($F32&lt;=7,"3",IF($F32&lt;=8,"2","0")))))+0</f>
        <v>4</v>
      </c>
      <c r="AL32" s="229">
        <f>(IF($G32&lt;=0,"0",IF($G32&lt;=6,"4",IF($G32&lt;=7,"3",IF($G32&lt;=8,"2","0")))))+0</f>
        <v>0</v>
      </c>
      <c r="AM32" s="229">
        <f>(IF($H32&lt;=0,"0",IF($H32&lt;=6,"4",IF($H32&lt;=7,"3",IF($H32&lt;=8,"2","0")))))+0</f>
        <v>4</v>
      </c>
      <c r="AN32" s="252">
        <f>SUM(AK32:AM32)</f>
        <v>8</v>
      </c>
      <c r="AO32" s="257" t="s">
        <v>580</v>
      </c>
      <c r="AP32" s="258" t="e">
        <f>(IF($E32&lt;=0,"0",IF($E32&lt;=20,"168",IF($E32&lt;=30,"165",IF($E32&lt;=50,"155",IF($E32&lt;=60,"135",IF($E32&lt;=70,"105",IF($E32&lt;=80,"60","0"))))))))+0</f>
        <v>#VALUE!</v>
      </c>
      <c r="AQ32" s="251" t="s">
        <v>521</v>
      </c>
      <c r="AR32" s="257" t="e">
        <f>(IF($E32&lt;=0,"0",IF($E32&lt;=80,"6","0")))+0</f>
        <v>#VALUE!</v>
      </c>
      <c r="AS32" s="257" t="e">
        <f>(IF($E32&lt;=0,"0",IF($E32&lt;=60,"9",IF($E32&lt;=70,"6","0"))))+0</f>
        <v>#VALUE!</v>
      </c>
      <c r="AT32" s="257" t="e">
        <f>(IF($E32&lt;=0,"0",IF($E32&lt;=40,"9",IF($E32&lt;=50,"6","0"))))+0</f>
        <v>#VALUE!</v>
      </c>
      <c r="AU32" s="259" t="e">
        <f>(IF($E32&lt;=0,"0",IF($E32&lt;=20,"1","0")))+0</f>
        <v>#VALUE!</v>
      </c>
      <c r="AV32" s="251" t="s">
        <v>311</v>
      </c>
      <c r="AW32" s="257" t="e">
        <f>(IF($E32&lt;=0,"0",IF($E32&lt;=70,"36",IF($E32&lt;=80,"24","0"))))+0</f>
        <v>#VALUE!</v>
      </c>
      <c r="AX32" s="257" t="e">
        <f>(IF($E32&lt;=0,"0",IF($E32&lt;=50,"30",IF($E32&lt;=60,"18","0"))))+0</f>
        <v>#VALUE!</v>
      </c>
      <c r="AY32" s="257" t="e">
        <f>(IF($E32&lt;=0,"0",IF($E32&lt;=20,"18",IF($E32&lt;=40,"15","0"))))+0</f>
        <v>#VALUE!</v>
      </c>
      <c r="AZ32" s="260">
        <f>Summary2831[[#This Row],[3*2]]+Summary2831[[#This Row],[3*22]]+Summary2831[[#This Row],[3*23]]</f>
        <v>57</v>
      </c>
      <c r="BA32" s="261">
        <f>Summary2831[[#This Row],[2*2]]+Summary2831[[#This Row],[2*23]]+Summary2831[[#This Row],[2*24]]</f>
        <v>66</v>
      </c>
      <c r="BB32" s="261">
        <f>Summary2831[[#This Row],[1*2]]+Summary2831[[#This Row],[1*24]]+Summary2831[[#This Row],[1*25]]</f>
        <v>18</v>
      </c>
      <c r="BC32" s="261">
        <f>IF($F32&lt;=0,"0",IF($F32&lt;=6,"19",IF($F32&lt;=7,"18",IF($F32&lt;=8,"9",0))))+0</f>
        <v>19</v>
      </c>
      <c r="BD32" s="261">
        <f>IF($F32&lt;=0,"0",IF($F32&lt;=2,"22",IF($F32&lt;=3,"19",IF($F32&lt;=4,"15",IF($F32&lt;=5,"9",0)))))+0</f>
        <v>19</v>
      </c>
      <c r="BE32" s="261">
        <f>IF($F32&lt;=0,"0",IF($F32&lt;=1,"6",0))+0</f>
        <v>0</v>
      </c>
      <c r="BF32" s="261">
        <f>IF($G32&lt;=0,"0",IF($G32&lt;=6,"19",IF($G32&lt;=7,"18",IF($G32&lt;=8,"9",0))))+0</f>
        <v>0</v>
      </c>
      <c r="BG32" s="261">
        <f>IF($G32&lt;=0,"0",IF($G32&lt;=2,"22",IF($G32&lt;=3,"19",IF($G32&lt;=4,"15",IF($G32&lt;=5,"9",0)))))+0</f>
        <v>0</v>
      </c>
      <c r="BH32" s="261">
        <f>IF($G32&lt;=0,"0",IF($G32&lt;=1,"6",0))+0</f>
        <v>0</v>
      </c>
      <c r="BI32" s="261">
        <f>IF($H32&lt;=0,"0",IF($H32&lt;=6,"19",IF($H32&lt;=7,"18",IF($H32&lt;=8,"9",0))))+0</f>
        <v>19</v>
      </c>
      <c r="BJ32" s="261">
        <f>IF($H32&lt;=0,"0",IF($H32&lt;=2,"22",IF($H32&lt;=3,"19",IF($H32&lt;=4,"15",IF($H32&lt;=5,"9",0)))))+0</f>
        <v>22</v>
      </c>
      <c r="BK32" s="261">
        <f>IF($H32&lt;=0,"0",IF($H32&lt;=1,"6",0))+0</f>
        <v>6</v>
      </c>
      <c r="BL32" s="251">
        <f>SUM(Summary2831[[#This Row],[3*
(Tal)]],Summary2831[[#This Row],[3*
(Asc)]])</f>
        <v>93</v>
      </c>
      <c r="BM32" s="257">
        <f>SUM(Summary2831[[#This Row],[2*
(Tal)]],Summary2831[[#This Row],[2*
(Asc)]])</f>
        <v>96</v>
      </c>
      <c r="BN32" s="259">
        <f>SUM(Summary2831[[#This Row],[1*
(Tal)]],Summary2831[[#This Row],[1*
(Asc)]])</f>
        <v>33</v>
      </c>
      <c r="BO32" s="235" t="e">
        <f>(IF($E32&lt;=0,"0",IF($E32&lt;=1,"2092530",IF($E32&lt;=10,"2087525",IF($E32&lt;=20,"2068495",IF($E32&lt;=30,"2005910",IF($E32&lt;=40,"1932830",IF($E32&lt;=50,"1777010",IF($E32&lt;=60,"1546185",IF($E32&lt;=70,"1227000",IF($E32&lt;=80,"804625",IF($E32&lt;=81,"647990",IF($E32&lt;=90,"0",0)))))))))))))+0</f>
        <v>#VALUE!</v>
      </c>
      <c r="BP32" s="262">
        <f>(IF($F32&lt;=0,"0",IF($F32&lt;=1,"952500",IF($F32&lt;=2,"940000",IF($F32&lt;=3,"922500",IF($F32&lt;=4,"897500",IF($F32&lt;=5,"867500",IF($F32&lt;=6,"830000",IF($F32&lt;=7,"710000",IF($F32&lt;=8,"450000",0))))))))))+0</f>
        <v>922500</v>
      </c>
      <c r="BQ32" s="262">
        <f>(IF($G32&lt;=0,"0",IF($G32&lt;=1,"952500",IF($G32&lt;=2,"940000",IF($G32&lt;=3,"922500",IF($G32&lt;=4,"897500",IF($G32&lt;=5,"867500",IF($G32&lt;=6,"830000",IF($G32&lt;=7,"710000",IF($G32&lt;=8,"450000",0))))))))))+0</f>
        <v>0</v>
      </c>
      <c r="BR32" s="262">
        <f>(IF($H32&lt;=0,"0",IF($H32&lt;=1,"952500",IF($H32&lt;=2,"940000",IF($H32&lt;=3,"922500",IF($H32&lt;=4,"897500",IF($H32&lt;=5,"867500",IF($H32&lt;=6,"830000",IF($H32&lt;=7,"710000",IF($H32&lt;=8,"450000",0))))))))))+0</f>
        <v>952500</v>
      </c>
      <c r="BS32" s="263" t="e">
        <f>SUM(BO32,BP32,BQ32,BR32)</f>
        <v>#VALUE!</v>
      </c>
    </row>
    <row r="33" spans="1:71" ht="30" customHeight="1">
      <c r="A33" s="192">
        <f ca="1">SUBTOTAL(3,$C$3:Character[[#This Row],[Name]])</f>
        <v>31</v>
      </c>
      <c r="B33" s="192" t="e" vm="593">
        <f>ImgDatabase!D33</f>
        <v>#VALUE!</v>
      </c>
      <c r="C33" s="193" t="s">
        <v>581</v>
      </c>
      <c r="D33" s="194" t="str">
        <f>IFERROR(INDEX(CharacterDetailss[Element], MATCH(Character[[#This Row],[Name]], CharacterDetailss[Name], 0)), "")</f>
        <v/>
      </c>
      <c r="E33" s="194" t="str">
        <f>IFERROR(INDEX(CharacterDetailss[Weapon Type], MATCH(Character[[#This Row],[Name]], CharacterDetailss[Name], 0)), "")</f>
        <v/>
      </c>
      <c r="F33" s="195">
        <v>1.3</v>
      </c>
      <c r="G33" s="72">
        <v>90</v>
      </c>
      <c r="H33" s="73">
        <v>10</v>
      </c>
      <c r="I33" s="74">
        <v>10</v>
      </c>
      <c r="J33" s="75">
        <v>10</v>
      </c>
      <c r="L33" s="75">
        <v>81</v>
      </c>
      <c r="M33" s="73">
        <v>1</v>
      </c>
      <c r="N33" s="74">
        <v>9</v>
      </c>
      <c r="O33" s="74">
        <v>9</v>
      </c>
      <c r="Q33" s="245" t="e" vm="441">
        <f>IFERROR(INDEX(ImgDatabase!$O:$O, MATCH(WorldBoss[[#This Row],[Boss Name]], ImgDatabase!$P:$P, 0)), "")</f>
        <v>#VALUE!</v>
      </c>
      <c r="R33" s="244" t="s">
        <v>232</v>
      </c>
      <c r="S33" s="300">
        <f>(IF($E33&lt;=0,"0",IF($E33&lt;=40,"46",IF($E33&lt;=50,"44",IF($E33&lt;=60,"40",IF($E33&lt;=70,"32",IF($E33&lt;=80,"20","0")))))))+0</f>
        <v>0</v>
      </c>
      <c r="U3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V33" s="240" t="s">
        <v>582</v>
      </c>
      <c r="W33" s="241">
        <f>Z33+AC33+AF33</f>
        <v>22</v>
      </c>
      <c r="X33" s="241">
        <f>AA33+AD33+AG33</f>
        <v>21</v>
      </c>
      <c r="Y33" s="242">
        <f>AB33+AE33+AH33</f>
        <v>0</v>
      </c>
      <c r="Z33" s="204">
        <f>(IF($F33&lt;=0,"0",IF($F33&lt;=6,"22",IF($F33&lt;=7,"18",IF($F33&lt;=8,"12",0)))))+0</f>
        <v>22</v>
      </c>
      <c r="AA33" s="205">
        <f>(IF($F33&lt;=0,"0",IF($F33&lt;=2,"21",IF($F33&lt;=3,"19",IF($F33&lt;=4,"15",IF($F33&lt;=5,"9",0))))))+0</f>
        <v>21</v>
      </c>
      <c r="AB33" s="205">
        <f>(IF($F33&lt;=0,"0",IF($F33&lt;=1,"3",0)))+0</f>
        <v>0</v>
      </c>
      <c r="AC33" s="205">
        <f>(IF($G33&lt;=0,"0",IF($G33&lt;=6,"22",IF($G33&lt;=7,"18",IF($G33&lt;=8,"12",0)))))+0</f>
        <v>0</v>
      </c>
      <c r="AD33" s="205">
        <f>(IF($G33&lt;=0,"0",IF($G33&lt;=2,"21",IF($G33&lt;=3,"19",IF($G33&lt;=4,"15",IF($G33&lt;=5,"9",0))))))+0</f>
        <v>0</v>
      </c>
      <c r="AE33" s="205">
        <f>(IF($G33&lt;=0,"0",IF($G33&lt;=1,"3",0)))+0</f>
        <v>0</v>
      </c>
      <c r="AF33" s="205">
        <f>(IF($H33&lt;=0,"0",IF($H33&lt;=6,"22",IF($H33&lt;=7,"18",IF($H33&lt;=8,"12",0)))))+0</f>
        <v>0</v>
      </c>
      <c r="AG33" s="205">
        <f>(IF($H33&lt;=0,"0",IF($H33&lt;=2,"21",IF($H33&lt;=3,"19",IF($H33&lt;=4,"15",IF($H33&lt;=5,"9",0))))))+0</f>
        <v>0</v>
      </c>
      <c r="AH33" s="206">
        <f>(IF($H33&lt;=0,"0",IF($H33&lt;=1,"3",0)))+0</f>
        <v>0</v>
      </c>
      <c r="AI33" s="243" t="s">
        <v>553</v>
      </c>
      <c r="AJ33" s="244" t="s">
        <v>583</v>
      </c>
      <c r="AK33" s="209">
        <f>(IF($F33&lt;=0,"0",IF($F33&lt;=6,"4",IF($F33&lt;=7,"3",IF($F33&lt;=8,"2","0")))))+0</f>
        <v>4</v>
      </c>
      <c r="AL33" s="209">
        <f>(IF($G33&lt;=0,"0",IF($G33&lt;=6,"4",IF($G33&lt;=7,"3",IF($G33&lt;=8,"2","0")))))+0</f>
        <v>0</v>
      </c>
      <c r="AM33" s="209">
        <f>(IF($H33&lt;=0,"0",IF($H33&lt;=6,"4",IF($H33&lt;=7,"3",IF($H33&lt;=8,"2","0")))))+0</f>
        <v>0</v>
      </c>
      <c r="AN33" s="239">
        <f>SUM(AK33:AM33)</f>
        <v>4</v>
      </c>
      <c r="AO33" s="244" t="s">
        <v>291</v>
      </c>
      <c r="AP33" s="245">
        <f>(IF($E33&lt;=0,"0",IF($E33&lt;=20,"168",IF($E33&lt;=30,"165",IF($E33&lt;=50,"155",IF($E33&lt;=60,"135",IF($E33&lt;=70,"105",IF($E33&lt;=80,"60","0"))))))))+0</f>
        <v>0</v>
      </c>
      <c r="AQ33" s="238" t="s">
        <v>573</v>
      </c>
      <c r="AR33" s="244">
        <f>(IF($E33&lt;=0,"0",IF($E33&lt;=80,"6","0")))+0</f>
        <v>0</v>
      </c>
      <c r="AS33" s="244">
        <f>(IF($E33&lt;=0,"0",IF($E33&lt;=60,"9",IF($E33&lt;=70,"6","0"))))+0</f>
        <v>0</v>
      </c>
      <c r="AT33" s="244">
        <f>(IF($E33&lt;=0,"0",IF($E33&lt;=40,"9",IF($E33&lt;=50,"6","0"))))+0</f>
        <v>0</v>
      </c>
      <c r="AU33" s="246">
        <f>(IF($E33&lt;=0,"0",IF($E33&lt;=20,"1","0")))+0</f>
        <v>0</v>
      </c>
      <c r="AV33" s="238" t="s">
        <v>207</v>
      </c>
      <c r="AW33" s="244">
        <f>(IF($E33&lt;=0,"0",IF($E33&lt;=70,"36",IF($E33&lt;=80,"24","0"))))+0</f>
        <v>0</v>
      </c>
      <c r="AX33" s="244">
        <f>(IF($E33&lt;=0,"0",IF($E33&lt;=50,"30",IF($E33&lt;=60,"18","0"))))+0</f>
        <v>0</v>
      </c>
      <c r="AY33" s="244">
        <f>(IF($E33&lt;=0,"0",IF($E33&lt;=20,"18",IF($E33&lt;=40,"15","0"))))+0</f>
        <v>0</v>
      </c>
      <c r="AZ33" s="247">
        <f>Summary2831[[#This Row],[3*2]]+Summary2831[[#This Row],[3*22]]+Summary2831[[#This Row],[3*23]]</f>
        <v>57</v>
      </c>
      <c r="BA33" s="248">
        <f>Summary2831[[#This Row],[2*2]]+Summary2831[[#This Row],[2*23]]+Summary2831[[#This Row],[2*24]]</f>
        <v>66</v>
      </c>
      <c r="BB33" s="248">
        <f>Summary2831[[#This Row],[1*2]]+Summary2831[[#This Row],[1*24]]+Summary2831[[#This Row],[1*25]]</f>
        <v>18</v>
      </c>
      <c r="BC33" s="248">
        <f>IF($F33&lt;=0,"0",IF($F33&lt;=6,"19",IF($F33&lt;=7,"18",IF($F33&lt;=8,"9",0))))+0</f>
        <v>19</v>
      </c>
      <c r="BD33" s="248">
        <f>IF($F33&lt;=0,"0",IF($F33&lt;=2,"22",IF($F33&lt;=3,"19",IF($F33&lt;=4,"15",IF($F33&lt;=5,"9",0)))))+0</f>
        <v>22</v>
      </c>
      <c r="BE33" s="248">
        <f>IF($F33&lt;=0,"0",IF($F33&lt;=1,"6",0))+0</f>
        <v>0</v>
      </c>
      <c r="BF33" s="248">
        <f>IF($G33&lt;=0,"0",IF($G33&lt;=6,"19",IF($G33&lt;=7,"18",IF($G33&lt;=8,"9",0))))+0</f>
        <v>0</v>
      </c>
      <c r="BG33" s="248">
        <f>IF($G33&lt;=0,"0",IF($G33&lt;=2,"22",IF($G33&lt;=3,"19",IF($G33&lt;=4,"15",IF($G33&lt;=5,"9",0)))))+0</f>
        <v>0</v>
      </c>
      <c r="BH33" s="248">
        <f>IF($G33&lt;=0,"0",IF($G33&lt;=1,"6",0))+0</f>
        <v>0</v>
      </c>
      <c r="BI33" s="248">
        <f>IF($H33&lt;=0,"0",IF($H33&lt;=6,"19",IF($H33&lt;=7,"18",IF($H33&lt;=8,"9",0))))+0</f>
        <v>0</v>
      </c>
      <c r="BJ33" s="248">
        <f>IF($H33&lt;=0,"0",IF($H33&lt;=2,"22",IF($H33&lt;=3,"19",IF($H33&lt;=4,"15",IF($H33&lt;=5,"9",0)))))+0</f>
        <v>0</v>
      </c>
      <c r="BK33" s="248">
        <f>IF($H33&lt;=0,"0",IF($H33&lt;=1,"6",0))+0</f>
        <v>0</v>
      </c>
      <c r="BL33" s="238">
        <f>SUM(Summary2831[[#This Row],[3*
(Tal)]],Summary2831[[#This Row],[3*
(Asc)]])</f>
        <v>93</v>
      </c>
      <c r="BM33" s="244">
        <f>SUM(Summary2831[[#This Row],[2*
(Tal)]],Summary2831[[#This Row],[2*
(Asc)]])</f>
        <v>84</v>
      </c>
      <c r="BN33" s="246">
        <f>SUM(Summary2831[[#This Row],[1*
(Tal)]],Summary2831[[#This Row],[1*
(Asc)]])</f>
        <v>18</v>
      </c>
      <c r="BO33" s="216">
        <f>(IF($E33&lt;=0,"0",IF($E33&lt;=1,"2092530",IF($E33&lt;=10,"2087525",IF($E33&lt;=20,"2068495",IF($E33&lt;=30,"2005910",IF($E33&lt;=40,"1932830",IF($E33&lt;=50,"1777010",IF($E33&lt;=60,"1546185",IF($E33&lt;=70,"1227000",IF($E33&lt;=80,"804625",IF($E33&lt;=81,"647990",IF($E33&lt;=90,"0",0)))))))))))))+0</f>
        <v>0</v>
      </c>
      <c r="BP33" s="249">
        <f>(IF($F33&lt;=0,"0",IF($F33&lt;=1,"952500",IF($F33&lt;=2,"940000",IF($F33&lt;=3,"922500",IF($F33&lt;=4,"897500",IF($F33&lt;=5,"867500",IF($F33&lt;=6,"830000",IF($F33&lt;=7,"710000",IF($F33&lt;=8,"450000",0))))))))))+0</f>
        <v>940000</v>
      </c>
      <c r="BQ33" s="249">
        <f>(IF($G33&lt;=0,"0",IF($G33&lt;=1,"952500",IF($G33&lt;=2,"940000",IF($G33&lt;=3,"922500",IF($G33&lt;=4,"897500",IF($G33&lt;=5,"867500",IF($G33&lt;=6,"830000",IF($G33&lt;=7,"710000",IF($G33&lt;=8,"450000",0))))))))))+0</f>
        <v>0</v>
      </c>
      <c r="BR33" s="249">
        <f>(IF($H33&lt;=0,"0",IF($H33&lt;=1,"952500",IF($H33&lt;=2,"940000",IF($H33&lt;=3,"922500",IF($H33&lt;=4,"897500",IF($H33&lt;=5,"867500",IF($H33&lt;=6,"830000",IF($H33&lt;=7,"710000",IF($H33&lt;=8,"450000",0))))))))))+0</f>
        <v>0</v>
      </c>
      <c r="BS33" s="250">
        <f>SUM(BO33,BP33,BQ33,BR33)</f>
        <v>940000</v>
      </c>
    </row>
    <row r="34" spans="1:71" s="81" customFormat="1" ht="30" customHeight="1">
      <c r="A34" s="192">
        <f ca="1">SUBTOTAL(3,$C$3:Character[[#This Row],[Name]])</f>
        <v>32</v>
      </c>
      <c r="B34" s="192" t="e" vm="594">
        <f>ImgDatabase!D34</f>
        <v>#VALUE!</v>
      </c>
      <c r="C34" s="193" t="s">
        <v>144</v>
      </c>
      <c r="D34" s="194" t="e" vm="67">
        <f>IFERROR(INDEX(CharacterDetailss[Element], MATCH(Character[[#This Row],[Name]], CharacterDetailss[Name], 0)), "")</f>
        <v>#VALUE!</v>
      </c>
      <c r="E34" s="194" t="e" vm="3">
        <f>IFERROR(INDEX(CharacterDetailss[Weapon Type], MATCH(Character[[#This Row],[Name]], CharacterDetailss[Name], 0)), "")</f>
        <v>#VALUE!</v>
      </c>
      <c r="F34" s="198">
        <v>1</v>
      </c>
      <c r="G34" s="72">
        <v>40</v>
      </c>
      <c r="H34" s="73">
        <v>1</v>
      </c>
      <c r="I34" s="74">
        <v>1</v>
      </c>
      <c r="J34" s="75">
        <v>1</v>
      </c>
      <c r="K34"/>
      <c r="L34" s="75">
        <v>81</v>
      </c>
      <c r="M34" s="73">
        <v>1</v>
      </c>
      <c r="N34" s="74">
        <v>9</v>
      </c>
      <c r="O34" s="74">
        <v>9</v>
      </c>
      <c r="P34"/>
      <c r="Q34" s="230" t="e" vm="388">
        <f>IFERROR(INDEX(ImgDatabase!$O:$O, MATCH(WorldBoss[[#This Row],[Boss Name]], ImgDatabase!$P:$P, 0)), "")</f>
        <v>#VALUE!</v>
      </c>
      <c r="R34" s="228" t="s">
        <v>145</v>
      </c>
      <c r="S34" s="297" t="e">
        <f>(IF($E34&lt;=0,"0",IF($E34&lt;=40,"46",IF($E34&lt;=50,"44",IF($E34&lt;=60,"40",IF($E34&lt;=70,"32",IF($E34&lt;=80,"20","0")))))))+0</f>
        <v>#VALUE!</v>
      </c>
      <c r="T34"/>
      <c r="U3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34" s="222" t="s">
        <v>562</v>
      </c>
      <c r="W34" s="223">
        <f>Z34+AC34+AF34</f>
        <v>44</v>
      </c>
      <c r="X34" s="223">
        <f>AA34+AD34+AG34</f>
        <v>42</v>
      </c>
      <c r="Y34" s="221">
        <f>AB34+AE34+AH34</f>
        <v>6</v>
      </c>
      <c r="Z34" s="224">
        <f>(IF($F34&lt;=0,"0",IF($F34&lt;=6,"22",IF($F34&lt;=7,"18",IF($F34&lt;=8,"12",0)))))+0</f>
        <v>22</v>
      </c>
      <c r="AA34" s="225">
        <f>(IF($F34&lt;=0,"0",IF($F34&lt;=2,"21",IF($F34&lt;=3,"19",IF($F34&lt;=4,"15",IF($F34&lt;=5,"9",0))))))+0</f>
        <v>21</v>
      </c>
      <c r="AB34" s="225">
        <f>(IF($F34&lt;=0,"0",IF($F34&lt;=1,"3",0)))+0</f>
        <v>3</v>
      </c>
      <c r="AC34" s="225">
        <f>(IF($G34&lt;=0,"0",IF($G34&lt;=6,"22",IF($G34&lt;=7,"18",IF($G34&lt;=8,"12",0)))))+0</f>
        <v>0</v>
      </c>
      <c r="AD34" s="225">
        <f>(IF($G34&lt;=0,"0",IF($G34&lt;=2,"21",IF($G34&lt;=3,"19",IF($G34&lt;=4,"15",IF($G34&lt;=5,"9",0))))))+0</f>
        <v>0</v>
      </c>
      <c r="AE34" s="225">
        <f>(IF($G34&lt;=0,"0",IF($G34&lt;=1,"3",0)))+0</f>
        <v>0</v>
      </c>
      <c r="AF34" s="225">
        <f>(IF($H34&lt;=0,"0",IF($H34&lt;=6,"22",IF($H34&lt;=7,"18",IF($H34&lt;=8,"12",0)))))+0</f>
        <v>22</v>
      </c>
      <c r="AG34" s="225">
        <f>(IF($H34&lt;=0,"0",IF($H34&lt;=2,"21",IF($H34&lt;=3,"19",IF($H34&lt;=4,"15",IF($H34&lt;=5,"9",0))))))+0</f>
        <v>21</v>
      </c>
      <c r="AH34" s="226">
        <f>(IF($H34&lt;=0,"0",IF($H34&lt;=1,"3",0)))+0</f>
        <v>3</v>
      </c>
      <c r="AI34" s="227" t="s">
        <v>389</v>
      </c>
      <c r="AJ34" s="228" t="s">
        <v>567</v>
      </c>
      <c r="AK34" s="229">
        <f>(IF($F34&lt;=0,"0",IF($F34&lt;=6,"4",IF($F34&lt;=7,"3",IF($F34&lt;=8,"2","0")))))+0</f>
        <v>4</v>
      </c>
      <c r="AL34" s="229">
        <f>(IF($G34&lt;=0,"0",IF($G34&lt;=6,"4",IF($G34&lt;=7,"3",IF($G34&lt;=8,"2","0")))))+0</f>
        <v>0</v>
      </c>
      <c r="AM34" s="229">
        <f>(IF($H34&lt;=0,"0",IF($H34&lt;=6,"4",IF($H34&lt;=7,"3",IF($H34&lt;=8,"2","0")))))+0</f>
        <v>4</v>
      </c>
      <c r="AN34" s="220">
        <f>SUM(AK34:AM34)</f>
        <v>8</v>
      </c>
      <c r="AO34" s="228" t="s">
        <v>584</v>
      </c>
      <c r="AP34" s="230" t="e">
        <f>(IF($E34&lt;=0,"0",IF($E34&lt;=20,"168",IF($E34&lt;=30,"165",IF($E34&lt;=50,"155",IF($E34&lt;=60,"135",IF($E34&lt;=70,"105",IF($E34&lt;=80,"60","0"))))))))+0</f>
        <v>#VALUE!</v>
      </c>
      <c r="AQ34" s="219" t="s">
        <v>534</v>
      </c>
      <c r="AR34" s="228" t="e">
        <f>(IF($E34&lt;=0,"0",IF($E34&lt;=80,"6","0")))+0</f>
        <v>#VALUE!</v>
      </c>
      <c r="AS34" s="228" t="e">
        <f>(IF($E34&lt;=0,"0",IF($E34&lt;=60,"9",IF($E34&lt;=70,"6","0"))))+0</f>
        <v>#VALUE!</v>
      </c>
      <c r="AT34" s="228" t="e">
        <f>(IF($E34&lt;=0,"0",IF($E34&lt;=40,"9",IF($E34&lt;=50,"6","0"))))+0</f>
        <v>#VALUE!</v>
      </c>
      <c r="AU34" s="231" t="e">
        <f>(IF($E34&lt;=0,"0",IF($E34&lt;=20,"1","0")))+0</f>
        <v>#VALUE!</v>
      </c>
      <c r="AV34" s="219" t="s">
        <v>264</v>
      </c>
      <c r="AW34" s="228" t="e">
        <f>(IF($E34&lt;=0,"0",IF($E34&lt;=70,"36",IF($E34&lt;=80,"24","0"))))+0</f>
        <v>#VALUE!</v>
      </c>
      <c r="AX34" s="228" t="e">
        <f>(IF($E34&lt;=0,"0",IF($E34&lt;=50,"30",IF($E34&lt;=60,"18","0"))))+0</f>
        <v>#VALUE!</v>
      </c>
      <c r="AY34" s="228" t="e">
        <f>(IF($E34&lt;=0,"0",IF($E34&lt;=20,"18",IF($E34&lt;=40,"15","0"))))+0</f>
        <v>#VALUE!</v>
      </c>
      <c r="AZ34" s="232">
        <f>Summary2831[[#This Row],[3*2]]+Summary2831[[#This Row],[3*22]]+Summary2831[[#This Row],[3*23]]</f>
        <v>0</v>
      </c>
      <c r="BA34" s="233">
        <f>Summary2831[[#This Row],[2*2]]+Summary2831[[#This Row],[2*23]]+Summary2831[[#This Row],[2*24]]</f>
        <v>0</v>
      </c>
      <c r="BB34" s="233">
        <f>Summary2831[[#This Row],[1*2]]+Summary2831[[#This Row],[1*24]]+Summary2831[[#This Row],[1*25]]</f>
        <v>0</v>
      </c>
      <c r="BC34" s="234">
        <f>IF($F34&lt;=0,"0",IF($F34&lt;=6,"19",IF($F34&lt;=7,"18",IF($F34&lt;=8,"9",0))))+0</f>
        <v>19</v>
      </c>
      <c r="BD34" s="234">
        <f>IF($F34&lt;=0,"0",IF($F34&lt;=2,"22",IF($F34&lt;=3,"19",IF($F34&lt;=4,"15",IF($F34&lt;=5,"9",0)))))+0</f>
        <v>22</v>
      </c>
      <c r="BE34" s="234">
        <f>IF($F34&lt;=0,"0",IF($F34&lt;=1,"6",0))+0</f>
        <v>6</v>
      </c>
      <c r="BF34" s="234">
        <f>IF($G34&lt;=0,"0",IF($G34&lt;=6,"19",IF($G34&lt;=7,"18",IF($G34&lt;=8,"9",0))))+0</f>
        <v>0</v>
      </c>
      <c r="BG34" s="234">
        <f>IF($G34&lt;=0,"0",IF($G34&lt;=2,"22",IF($G34&lt;=3,"19",IF($G34&lt;=4,"15",IF($G34&lt;=5,"9",0)))))+0</f>
        <v>0</v>
      </c>
      <c r="BH34" s="234">
        <f>IF($G34&lt;=0,"0",IF($G34&lt;=1,"6",0))+0</f>
        <v>0</v>
      </c>
      <c r="BI34" s="234">
        <f>IF($H34&lt;=0,"0",IF($H34&lt;=6,"19",IF($H34&lt;=7,"18",IF($H34&lt;=8,"9",0))))+0</f>
        <v>19</v>
      </c>
      <c r="BJ34" s="234">
        <f>IF($H34&lt;=0,"0",IF($H34&lt;=2,"22",IF($H34&lt;=3,"19",IF($H34&lt;=4,"15",IF($H34&lt;=5,"9",0)))))+0</f>
        <v>22</v>
      </c>
      <c r="BK34" s="234">
        <f>IF($H34&lt;=0,"0",IF($H34&lt;=1,"6",0))+0</f>
        <v>6</v>
      </c>
      <c r="BL34" s="219">
        <f>SUM(Summary2831[[#This Row],[3*
(Tal)]],Summary2831[[#This Row],[3*
(Asc)]])</f>
        <v>0</v>
      </c>
      <c r="BM34" s="228">
        <f>SUM(Summary2831[[#This Row],[2*
(Tal)]],Summary2831[[#This Row],[2*
(Asc)]])</f>
        <v>0</v>
      </c>
      <c r="BN34" s="231">
        <f>SUM(Summary2831[[#This Row],[1*
(Tal)]],Summary2831[[#This Row],[1*
(Asc)]])</f>
        <v>0</v>
      </c>
      <c r="BO34" s="235" t="e">
        <f>(IF($E34&lt;=0,"0",IF($E34&lt;=1,"2092530",IF($E34&lt;=10,"2087525",IF($E34&lt;=20,"2068495",IF($E34&lt;=30,"2005910",IF($E34&lt;=40,"1932830",IF($E34&lt;=50,"1777010",IF($E34&lt;=60,"1546185",IF($E34&lt;=70,"1227000",IF($E34&lt;=80,"804625",IF($E34&lt;=81,"647990",IF($E34&lt;=90,"0",0)))))))))))))+0</f>
        <v>#VALUE!</v>
      </c>
      <c r="BP34" s="236">
        <f>(IF($F34&lt;=0,"0",IF($F34&lt;=1,"952500",IF($F34&lt;=2,"940000",IF($F34&lt;=3,"922500",IF($F34&lt;=4,"897500",IF($F34&lt;=5,"867500",IF($F34&lt;=6,"830000",IF($F34&lt;=7,"710000",IF($F34&lt;=8,"450000",0))))))))))+0</f>
        <v>952500</v>
      </c>
      <c r="BQ34" s="236">
        <f>(IF($G34&lt;=0,"0",IF($G34&lt;=1,"952500",IF($G34&lt;=2,"940000",IF($G34&lt;=3,"922500",IF($G34&lt;=4,"897500",IF($G34&lt;=5,"867500",IF($G34&lt;=6,"830000",IF($G34&lt;=7,"710000",IF($G34&lt;=8,"450000",0))))))))))+0</f>
        <v>0</v>
      </c>
      <c r="BR34" s="236">
        <f>(IF($H34&lt;=0,"0",IF($H34&lt;=1,"952500",IF($H34&lt;=2,"940000",IF($H34&lt;=3,"922500",IF($H34&lt;=4,"897500",IF($H34&lt;=5,"867500",IF($H34&lt;=6,"830000",IF($H34&lt;=7,"710000",IF($H34&lt;=8,"450000",0))))))))))+0</f>
        <v>952500</v>
      </c>
      <c r="BS34" s="237" t="e">
        <f>SUM(BO34,BP34,BQ34,BR34)</f>
        <v>#VALUE!</v>
      </c>
    </row>
    <row r="35" spans="1:71" ht="30" customHeight="1">
      <c r="A35" s="196">
        <f ca="1">SUBTOTAL(3,$C$3:Character[[#This Row],[Name]])</f>
        <v>33</v>
      </c>
      <c r="B35" s="192" t="e" vm="595">
        <f>ImgDatabase!D35</f>
        <v>#VALUE!</v>
      </c>
      <c r="C35" s="197" t="s">
        <v>164</v>
      </c>
      <c r="D35" s="194" t="e" vm="84">
        <f>IFERROR(INDEX(CharacterDetailss[Element], MATCH(Character[[#This Row],[Name]], CharacterDetailss[Name], 0)), "")</f>
        <v>#VALUE!</v>
      </c>
      <c r="E35" s="194" t="e" vm="3">
        <f>IFERROR(INDEX(CharacterDetailss[Weapon Type], MATCH(Character[[#This Row],[Name]], CharacterDetailss[Name], 0)), "")</f>
        <v>#VALUE!</v>
      </c>
      <c r="F35" s="198">
        <v>1</v>
      </c>
      <c r="G35" s="14">
        <v>40</v>
      </c>
      <c r="H35" s="9">
        <v>1</v>
      </c>
      <c r="I35" s="2">
        <v>1</v>
      </c>
      <c r="J35" s="10">
        <v>1</v>
      </c>
      <c r="L35" s="75">
        <v>81</v>
      </c>
      <c r="M35" s="73">
        <v>1</v>
      </c>
      <c r="N35" s="74">
        <v>9</v>
      </c>
      <c r="O35" s="74">
        <v>9</v>
      </c>
      <c r="Q35" s="210" t="e" vm="346">
        <f>IFERROR(INDEX(ImgDatabase!$O:$O, MATCH(WorldBoss[[#This Row],[Boss Name]], ImgDatabase!$P:$P, 0)), "")</f>
        <v>#VALUE!</v>
      </c>
      <c r="R35" s="208" t="s">
        <v>85</v>
      </c>
      <c r="S35" s="298" t="e">
        <f>(IF($E35&lt;=0,"0",IF($E35&lt;=40,"46",IF($E35&lt;=50,"44",IF($E35&lt;=60,"40",IF($E35&lt;=70,"32",IF($E35&lt;=80,"20","0")))))))+0</f>
        <v>#VALUE!</v>
      </c>
      <c r="U3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V35" s="202" t="s">
        <v>549</v>
      </c>
      <c r="W35" s="203">
        <f>Z35+AC35+AF35</f>
        <v>44</v>
      </c>
      <c r="X35" s="203">
        <f>AA35+AD35+AG35</f>
        <v>42</v>
      </c>
      <c r="Y35" s="201">
        <f>AB35+AE35+AH35</f>
        <v>6</v>
      </c>
      <c r="Z35" s="204">
        <f>(IF($F35&lt;=0,"0",IF($F35&lt;=6,"22",IF($F35&lt;=7,"18",IF($F35&lt;=8,"12",0)))))+0</f>
        <v>22</v>
      </c>
      <c r="AA35" s="205">
        <f>(IF($F35&lt;=0,"0",IF($F35&lt;=2,"21",IF($F35&lt;=3,"19",IF($F35&lt;=4,"15",IF($F35&lt;=5,"9",0))))))+0</f>
        <v>21</v>
      </c>
      <c r="AB35" s="205">
        <f>(IF($F35&lt;=0,"0",IF($F35&lt;=1,"3",0)))+0</f>
        <v>3</v>
      </c>
      <c r="AC35" s="205">
        <f>(IF($G35&lt;=0,"0",IF($G35&lt;=6,"22",IF($G35&lt;=7,"18",IF($G35&lt;=8,"12",0)))))+0</f>
        <v>0</v>
      </c>
      <c r="AD35" s="205">
        <f>(IF($G35&lt;=0,"0",IF($G35&lt;=2,"21",IF($G35&lt;=3,"19",IF($G35&lt;=4,"15",IF($G35&lt;=5,"9",0))))))+0</f>
        <v>0</v>
      </c>
      <c r="AE35" s="205">
        <f>(IF($G35&lt;=0,"0",IF($G35&lt;=1,"3",0)))+0</f>
        <v>0</v>
      </c>
      <c r="AF35" s="205">
        <f>(IF($H35&lt;=0,"0",IF($H35&lt;=6,"22",IF($H35&lt;=7,"18",IF($H35&lt;=8,"12",0)))))+0</f>
        <v>22</v>
      </c>
      <c r="AG35" s="205">
        <f>(IF($H35&lt;=0,"0",IF($H35&lt;=2,"21",IF($H35&lt;=3,"19",IF($H35&lt;=4,"15",IF($H35&lt;=5,"9",0))))))+0</f>
        <v>21</v>
      </c>
      <c r="AH35" s="206">
        <f>(IF($H35&lt;=0,"0",IF($H35&lt;=1,"3",0)))+0</f>
        <v>3</v>
      </c>
      <c r="AI35" s="207" t="s">
        <v>531</v>
      </c>
      <c r="AJ35" s="208" t="s">
        <v>550</v>
      </c>
      <c r="AK35" s="209">
        <f>(IF($F35&lt;=0,"0",IF($F35&lt;=6,"4",IF($F35&lt;=7,"3",IF($F35&lt;=8,"2","0")))))+0</f>
        <v>4</v>
      </c>
      <c r="AL35" s="209">
        <f>(IF($G35&lt;=0,"0",IF($G35&lt;=6,"4",IF($G35&lt;=7,"3",IF($G35&lt;=8,"2","0")))))+0</f>
        <v>0</v>
      </c>
      <c r="AM35" s="209">
        <f>(IF($H35&lt;=0,"0",IF($H35&lt;=6,"4",IF($H35&lt;=7,"3",IF($H35&lt;=8,"2","0")))))+0</f>
        <v>4</v>
      </c>
      <c r="AN35" s="200">
        <f>SUM(AK35:AM35)</f>
        <v>8</v>
      </c>
      <c r="AO35" s="208" t="s">
        <v>572</v>
      </c>
      <c r="AP35" s="210" t="e">
        <f>(IF($E35&lt;=0,"0",IF($E35&lt;=20,"168",IF($E35&lt;=30,"165",IF($E35&lt;=50,"155",IF($E35&lt;=60,"135",IF($E35&lt;=70,"105",IF($E35&lt;=80,"60","0"))))))))+0</f>
        <v>#VALUE!</v>
      </c>
      <c r="AQ35" s="199" t="s">
        <v>573</v>
      </c>
      <c r="AR35" s="208" t="e">
        <f>(IF($E35&lt;=0,"0",IF($E35&lt;=80,"6","0")))+0</f>
        <v>#VALUE!</v>
      </c>
      <c r="AS35" s="208" t="e">
        <f>(IF($E35&lt;=0,"0",IF($E35&lt;=60,"9",IF($E35&lt;=70,"6","0"))))+0</f>
        <v>#VALUE!</v>
      </c>
      <c r="AT35" s="208" t="e">
        <f>(IF($E35&lt;=0,"0",IF($E35&lt;=40,"9",IF($E35&lt;=50,"6","0"))))+0</f>
        <v>#VALUE!</v>
      </c>
      <c r="AU35" s="211" t="e">
        <f>(IF($E35&lt;=0,"0",IF($E35&lt;=20,"1","0")))+0</f>
        <v>#VALUE!</v>
      </c>
      <c r="AV35" s="199" t="s">
        <v>89</v>
      </c>
      <c r="AW35" s="208" t="e">
        <f>(IF($E35&lt;=0,"0",IF($E35&lt;=70,"36",IF($E35&lt;=80,"24","0"))))+0</f>
        <v>#VALUE!</v>
      </c>
      <c r="AX35" s="208" t="e">
        <f>(IF($E35&lt;=0,"0",IF($E35&lt;=50,"30",IF($E35&lt;=60,"18","0"))))+0</f>
        <v>#VALUE!</v>
      </c>
      <c r="AY35" s="208" t="e">
        <f>(IF($E35&lt;=0,"0",IF($E35&lt;=20,"18",IF($E35&lt;=40,"15","0"))))+0</f>
        <v>#VALUE!</v>
      </c>
      <c r="AZ35" s="212">
        <f>Summary2831[[#This Row],[3*2]]+Summary2831[[#This Row],[3*22]]+Summary2831[[#This Row],[3*23]]</f>
        <v>57</v>
      </c>
      <c r="BA35" s="213">
        <f>Summary2831[[#This Row],[2*2]]+Summary2831[[#This Row],[2*23]]+Summary2831[[#This Row],[2*24]]</f>
        <v>66</v>
      </c>
      <c r="BB35" s="213">
        <f>Summary2831[[#This Row],[1*2]]+Summary2831[[#This Row],[1*24]]+Summary2831[[#This Row],[1*25]]</f>
        <v>18</v>
      </c>
      <c r="BC35" s="215">
        <f>IF($F35&lt;=0,"0",IF($F35&lt;=6,"19",IF($F35&lt;=7,"18",IF($F35&lt;=8,"9",0))))+0</f>
        <v>19</v>
      </c>
      <c r="BD35" s="215">
        <f>IF($F35&lt;=0,"0",IF($F35&lt;=2,"22",IF($F35&lt;=3,"19",IF($F35&lt;=4,"15",IF($F35&lt;=5,"9",0)))))+0</f>
        <v>22</v>
      </c>
      <c r="BE35" s="215">
        <f>IF($F35&lt;=0,"0",IF($F35&lt;=1,"6",0))+0</f>
        <v>6</v>
      </c>
      <c r="BF35" s="215">
        <f>IF($G35&lt;=0,"0",IF($G35&lt;=6,"19",IF($G35&lt;=7,"18",IF($G35&lt;=8,"9",0))))+0</f>
        <v>0</v>
      </c>
      <c r="BG35" s="215">
        <f>IF($G35&lt;=0,"0",IF($G35&lt;=2,"22",IF($G35&lt;=3,"19",IF($G35&lt;=4,"15",IF($G35&lt;=5,"9",0)))))+0</f>
        <v>0</v>
      </c>
      <c r="BH35" s="215">
        <f>IF($G35&lt;=0,"0",IF($G35&lt;=1,"6",0))+0</f>
        <v>0</v>
      </c>
      <c r="BI35" s="215">
        <f>IF($H35&lt;=0,"0",IF($H35&lt;=6,"19",IF($H35&lt;=7,"18",IF($H35&lt;=8,"9",0))))+0</f>
        <v>19</v>
      </c>
      <c r="BJ35" s="215">
        <f>IF($H35&lt;=0,"0",IF($H35&lt;=2,"22",IF($H35&lt;=3,"19",IF($H35&lt;=4,"15",IF($H35&lt;=5,"9",0)))))+0</f>
        <v>22</v>
      </c>
      <c r="BK35" s="215">
        <f>IF($H35&lt;=0,"0",IF($H35&lt;=1,"6",0))+0</f>
        <v>6</v>
      </c>
      <c r="BL35" s="199">
        <f>SUM(Summary2831[[#This Row],[3*
(Tal)]],Summary2831[[#This Row],[3*
(Asc)]])</f>
        <v>93</v>
      </c>
      <c r="BM35" s="208">
        <f>SUM(Summary2831[[#This Row],[2*
(Tal)]],Summary2831[[#This Row],[2*
(Asc)]])</f>
        <v>96</v>
      </c>
      <c r="BN35" s="211">
        <f>SUM(Summary2831[[#This Row],[1*
(Tal)]],Summary2831[[#This Row],[1*
(Asc)]])</f>
        <v>33</v>
      </c>
      <c r="BO35" s="216" t="e">
        <f>(IF($E35&lt;=0,"0",IF($E35&lt;=1,"2092530",IF($E35&lt;=10,"2087525",IF($E35&lt;=20,"2068495",IF($E35&lt;=30,"2005910",IF($E35&lt;=40,"1932830",IF($E35&lt;=50,"1777010",IF($E35&lt;=60,"1546185",IF($E35&lt;=70,"1227000",IF($E35&lt;=80,"804625",IF($E35&lt;=81,"647990",IF($E35&lt;=90,"0",0)))))))))))))+0</f>
        <v>#VALUE!</v>
      </c>
      <c r="BP35" s="217">
        <f>(IF($F35&lt;=0,"0",IF($F35&lt;=1,"952500",IF($F35&lt;=2,"940000",IF($F35&lt;=3,"922500",IF($F35&lt;=4,"897500",IF($F35&lt;=5,"867500",IF($F35&lt;=6,"830000",IF($F35&lt;=7,"710000",IF($F35&lt;=8,"450000",0))))))))))+0</f>
        <v>952500</v>
      </c>
      <c r="BQ35" s="217">
        <f>(IF($G35&lt;=0,"0",IF($G35&lt;=1,"952500",IF($G35&lt;=2,"940000",IF($G35&lt;=3,"922500",IF($G35&lt;=4,"897500",IF($G35&lt;=5,"867500",IF($G35&lt;=6,"830000",IF($G35&lt;=7,"710000",IF($G35&lt;=8,"450000",0))))))))))+0</f>
        <v>0</v>
      </c>
      <c r="BR35" s="217">
        <f>(IF($H35&lt;=0,"0",IF($H35&lt;=1,"952500",IF($H35&lt;=2,"940000",IF($H35&lt;=3,"922500",IF($H35&lt;=4,"897500",IF($H35&lt;=5,"867500",IF($H35&lt;=6,"830000",IF($H35&lt;=7,"710000",IF($H35&lt;=8,"450000",0))))))))))+0</f>
        <v>952500</v>
      </c>
      <c r="BS35" s="218" t="e">
        <f>SUM(BO35,BP35,BQ35,BR35)</f>
        <v>#VALUE!</v>
      </c>
    </row>
    <row r="36" spans="1:71" s="81" customFormat="1" ht="30" customHeight="1">
      <c r="A36" s="192">
        <f ca="1">SUBTOTAL(3,$C$3:Character[[#This Row],[Name]])</f>
        <v>34</v>
      </c>
      <c r="B36" s="192" t="e" vm="596">
        <f>ImgDatabase!D36</f>
        <v>#VALUE!</v>
      </c>
      <c r="C36" s="193" t="s">
        <v>173</v>
      </c>
      <c r="D36" s="194" t="e" vm="84">
        <f>IFERROR(INDEX(CharacterDetailss[Element], MATCH(Character[[#This Row],[Name]], CharacterDetailss[Name], 0)), "")</f>
        <v>#VALUE!</v>
      </c>
      <c r="E36" s="194" t="e" vm="3">
        <f>IFERROR(INDEX(CharacterDetailss[Weapon Type], MATCH(Character[[#This Row],[Name]], CharacterDetailss[Name], 0)), "")</f>
        <v>#VALUE!</v>
      </c>
      <c r="F36" s="195">
        <v>2</v>
      </c>
      <c r="G36" s="72">
        <v>90</v>
      </c>
      <c r="H36" s="73">
        <v>10</v>
      </c>
      <c r="I36" s="74">
        <v>10</v>
      </c>
      <c r="J36" s="75">
        <v>10</v>
      </c>
      <c r="K36"/>
      <c r="L36" s="75">
        <v>81</v>
      </c>
      <c r="M36" s="73">
        <v>1</v>
      </c>
      <c r="N36" s="74">
        <v>9</v>
      </c>
      <c r="O36" s="74">
        <v>9</v>
      </c>
      <c r="P36"/>
      <c r="Q36" s="258" t="e" vm="354">
        <f>IFERROR(INDEX(ImgDatabase!$O:$O, MATCH(WorldBoss[[#This Row],[Boss Name]], ImgDatabase!$P:$P, 0)), "")</f>
        <v>#VALUE!</v>
      </c>
      <c r="R36" s="257" t="s">
        <v>96</v>
      </c>
      <c r="S36" s="301" t="e">
        <f>(IF($E36&lt;=0,"0",IF($E36&lt;=40,"46",IF($E36&lt;=50,"44",IF($E36&lt;=60,"40",IF($E36&lt;=70,"32",IF($E36&lt;=80,"20","0")))))))+0</f>
        <v>#VALUE!</v>
      </c>
      <c r="T36"/>
      <c r="U3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V36" s="253" t="s">
        <v>519</v>
      </c>
      <c r="W36" s="254">
        <f>Z36+AC36+AF36</f>
        <v>22</v>
      </c>
      <c r="X36" s="254">
        <f>AA36+AD36+AG36</f>
        <v>21</v>
      </c>
      <c r="Y36" s="255">
        <f>AB36+AE36+AH36</f>
        <v>0</v>
      </c>
      <c r="Z36" s="224">
        <f>(IF($F36&lt;=0,"0",IF($F36&lt;=6,"22",IF($F36&lt;=7,"18",IF($F36&lt;=8,"12",0)))))+0</f>
        <v>22</v>
      </c>
      <c r="AA36" s="225">
        <f>(IF($F36&lt;=0,"0",IF($F36&lt;=2,"21",IF($F36&lt;=3,"19",IF($F36&lt;=4,"15",IF($F36&lt;=5,"9",0))))))+0</f>
        <v>21</v>
      </c>
      <c r="AB36" s="225">
        <f>(IF($F36&lt;=0,"0",IF($F36&lt;=1,"3",0)))+0</f>
        <v>0</v>
      </c>
      <c r="AC36" s="225">
        <f>(IF($G36&lt;=0,"0",IF($G36&lt;=6,"22",IF($G36&lt;=7,"18",IF($G36&lt;=8,"12",0)))))+0</f>
        <v>0</v>
      </c>
      <c r="AD36" s="225">
        <f>(IF($G36&lt;=0,"0",IF($G36&lt;=2,"21",IF($G36&lt;=3,"19",IF($G36&lt;=4,"15",IF($G36&lt;=5,"9",0))))))+0</f>
        <v>0</v>
      </c>
      <c r="AE36" s="225">
        <f>(IF($G36&lt;=0,"0",IF($G36&lt;=1,"3",0)))+0</f>
        <v>0</v>
      </c>
      <c r="AF36" s="225">
        <f>(IF($H36&lt;=0,"0",IF($H36&lt;=6,"22",IF($H36&lt;=7,"18",IF($H36&lt;=8,"12",0)))))+0</f>
        <v>0</v>
      </c>
      <c r="AG36" s="225">
        <f>(IF($H36&lt;=0,"0",IF($H36&lt;=2,"21",IF($H36&lt;=3,"19",IF($H36&lt;=4,"15",IF($H36&lt;=5,"9",0))))))+0</f>
        <v>0</v>
      </c>
      <c r="AH36" s="226">
        <f>(IF($H36&lt;=0,"0",IF($H36&lt;=1,"3",0)))+0</f>
        <v>0</v>
      </c>
      <c r="AI36" s="256" t="s">
        <v>543</v>
      </c>
      <c r="AJ36" s="257" t="s">
        <v>574</v>
      </c>
      <c r="AK36" s="229">
        <f>(IF($F36&lt;=0,"0",IF($F36&lt;=6,"4",IF($F36&lt;=7,"3",IF($F36&lt;=8,"2","0")))))+0</f>
        <v>4</v>
      </c>
      <c r="AL36" s="229">
        <f>(IF($G36&lt;=0,"0",IF($G36&lt;=6,"4",IF($G36&lt;=7,"3",IF($G36&lt;=8,"2","0")))))+0</f>
        <v>0</v>
      </c>
      <c r="AM36" s="229">
        <f>(IF($H36&lt;=0,"0",IF($H36&lt;=6,"4",IF($H36&lt;=7,"3",IF($H36&lt;=8,"2","0")))))+0</f>
        <v>0</v>
      </c>
      <c r="AN36" s="252">
        <f>SUM(AK36:AM36)</f>
        <v>4</v>
      </c>
      <c r="AO36" s="257" t="s">
        <v>568</v>
      </c>
      <c r="AP36" s="258" t="e">
        <f>(IF($E36&lt;=0,"0",IF($E36&lt;=20,"168",IF($E36&lt;=30,"165",IF($E36&lt;=50,"155",IF($E36&lt;=60,"135",IF($E36&lt;=70,"105",IF($E36&lt;=80,"60","0"))))))))+0</f>
        <v>#VALUE!</v>
      </c>
      <c r="AQ36" s="251" t="s">
        <v>530</v>
      </c>
      <c r="AR36" s="257" t="e">
        <f>(IF($E36&lt;=0,"0",IF($E36&lt;=80,"6","0")))+0</f>
        <v>#VALUE!</v>
      </c>
      <c r="AS36" s="257" t="e">
        <f>(IF($E36&lt;=0,"0",IF($E36&lt;=60,"9",IF($E36&lt;=70,"6","0"))))+0</f>
        <v>#VALUE!</v>
      </c>
      <c r="AT36" s="257" t="e">
        <f>(IF($E36&lt;=0,"0",IF($E36&lt;=40,"9",IF($E36&lt;=50,"6","0"))))+0</f>
        <v>#VALUE!</v>
      </c>
      <c r="AU36" s="259" t="e">
        <f>(IF($E36&lt;=0,"0",IF($E36&lt;=20,"1","0")))+0</f>
        <v>#VALUE!</v>
      </c>
      <c r="AV36" s="251" t="s">
        <v>207</v>
      </c>
      <c r="AW36" s="257" t="e">
        <f>(IF($E36&lt;=0,"0",IF($E36&lt;=70,"36",IF($E36&lt;=80,"24","0"))))+0</f>
        <v>#VALUE!</v>
      </c>
      <c r="AX36" s="257" t="e">
        <f>(IF($E36&lt;=0,"0",IF($E36&lt;=50,"30",IF($E36&lt;=60,"18","0"))))+0</f>
        <v>#VALUE!</v>
      </c>
      <c r="AY36" s="257" t="e">
        <f>(IF($E36&lt;=0,"0",IF($E36&lt;=20,"18",IF($E36&lt;=40,"15","0"))))+0</f>
        <v>#VALUE!</v>
      </c>
      <c r="AZ36" s="260">
        <f>Summary2831[[#This Row],[3*2]]+Summary2831[[#This Row],[3*22]]+Summary2831[[#This Row],[3*23]]</f>
        <v>57</v>
      </c>
      <c r="BA36" s="261">
        <f>Summary2831[[#This Row],[2*2]]+Summary2831[[#This Row],[2*23]]+Summary2831[[#This Row],[2*24]]</f>
        <v>66</v>
      </c>
      <c r="BB36" s="261">
        <f>Summary2831[[#This Row],[1*2]]+Summary2831[[#This Row],[1*24]]+Summary2831[[#This Row],[1*25]]</f>
        <v>18</v>
      </c>
      <c r="BC36" s="261">
        <f>IF($F36&lt;=0,"0",IF($F36&lt;=6,"19",IF($F36&lt;=7,"18",IF($F36&lt;=8,"9",0))))+0</f>
        <v>19</v>
      </c>
      <c r="BD36" s="261">
        <f>IF($F36&lt;=0,"0",IF($F36&lt;=2,"22",IF($F36&lt;=3,"19",IF($F36&lt;=4,"15",IF($F36&lt;=5,"9",0)))))+0</f>
        <v>22</v>
      </c>
      <c r="BE36" s="261">
        <f>IF($F36&lt;=0,"0",IF($F36&lt;=1,"6",0))+0</f>
        <v>0</v>
      </c>
      <c r="BF36" s="261">
        <f>IF($G36&lt;=0,"0",IF($G36&lt;=6,"19",IF($G36&lt;=7,"18",IF($G36&lt;=8,"9",0))))+0</f>
        <v>0</v>
      </c>
      <c r="BG36" s="261">
        <f>IF($G36&lt;=0,"0",IF($G36&lt;=2,"22",IF($G36&lt;=3,"19",IF($G36&lt;=4,"15",IF($G36&lt;=5,"9",0)))))+0</f>
        <v>0</v>
      </c>
      <c r="BH36" s="261">
        <f>IF($G36&lt;=0,"0",IF($G36&lt;=1,"6",0))+0</f>
        <v>0</v>
      </c>
      <c r="BI36" s="261">
        <f>IF($H36&lt;=0,"0",IF($H36&lt;=6,"19",IF($H36&lt;=7,"18",IF($H36&lt;=8,"9",0))))+0</f>
        <v>0</v>
      </c>
      <c r="BJ36" s="261">
        <f>IF($H36&lt;=0,"0",IF($H36&lt;=2,"22",IF($H36&lt;=3,"19",IF($H36&lt;=4,"15",IF($H36&lt;=5,"9",0)))))+0</f>
        <v>0</v>
      </c>
      <c r="BK36" s="261">
        <f>IF($H36&lt;=0,"0",IF($H36&lt;=1,"6",0))+0</f>
        <v>0</v>
      </c>
      <c r="BL36" s="251">
        <f>SUM(Summary2831[[#This Row],[3*
(Tal)]],Summary2831[[#This Row],[3*
(Asc)]])</f>
        <v>93</v>
      </c>
      <c r="BM36" s="257">
        <f>SUM(Summary2831[[#This Row],[2*
(Tal)]],Summary2831[[#This Row],[2*
(Asc)]])</f>
        <v>96</v>
      </c>
      <c r="BN36" s="259">
        <f>SUM(Summary2831[[#This Row],[1*
(Tal)]],Summary2831[[#This Row],[1*
(Asc)]])</f>
        <v>33</v>
      </c>
      <c r="BO36" s="235" t="e">
        <f>(IF($E36&lt;=0,"0",IF($E36&lt;=1,"2092530",IF($E36&lt;=10,"2087525",IF($E36&lt;=20,"2068495",IF($E36&lt;=30,"2005910",IF($E36&lt;=40,"1932830",IF($E36&lt;=50,"1777010",IF($E36&lt;=60,"1546185",IF($E36&lt;=70,"1227000",IF($E36&lt;=80,"804625",IF($E36&lt;=81,"647990",IF($E36&lt;=90,"0",0)))))))))))))+0</f>
        <v>#VALUE!</v>
      </c>
      <c r="BP36" s="262">
        <f>(IF($F36&lt;=0,"0",IF($F36&lt;=1,"952500",IF($F36&lt;=2,"940000",IF($F36&lt;=3,"922500",IF($F36&lt;=4,"897500",IF($F36&lt;=5,"867500",IF($F36&lt;=6,"830000",IF($F36&lt;=7,"710000",IF($F36&lt;=8,"450000",0))))))))))+0</f>
        <v>940000</v>
      </c>
      <c r="BQ36" s="262">
        <f>(IF($G36&lt;=0,"0",IF($G36&lt;=1,"952500",IF($G36&lt;=2,"940000",IF($G36&lt;=3,"922500",IF($G36&lt;=4,"897500",IF($G36&lt;=5,"867500",IF($G36&lt;=6,"830000",IF($G36&lt;=7,"710000",IF($G36&lt;=8,"450000",0))))))))))+0</f>
        <v>0</v>
      </c>
      <c r="BR36" s="262">
        <f>(IF($H36&lt;=0,"0",IF($H36&lt;=1,"952500",IF($H36&lt;=2,"940000",IF($H36&lt;=3,"922500",IF($H36&lt;=4,"897500",IF($H36&lt;=5,"867500",IF($H36&lt;=6,"830000",IF($H36&lt;=7,"710000",IF($H36&lt;=8,"450000",0))))))))))+0</f>
        <v>0</v>
      </c>
      <c r="BS36" s="263" t="e">
        <f>SUM(BO36,BP36,BQ36,BR36)</f>
        <v>#VALUE!</v>
      </c>
    </row>
    <row r="37" spans="1:71" ht="30" customHeight="1">
      <c r="A37" s="192">
        <f ca="1">SUBTOTAL(3,$C$3:Character[[#This Row],[Name]])</f>
        <v>35</v>
      </c>
      <c r="B37" s="192" t="e" vm="597">
        <f>ImgDatabase!D37</f>
        <v>#VALUE!</v>
      </c>
      <c r="C37" s="193" t="s">
        <v>184</v>
      </c>
      <c r="D37" s="194" t="e" vm="58">
        <f>IFERROR(INDEX(CharacterDetailss[Element], MATCH(Character[[#This Row],[Name]], CharacterDetailss[Name], 0)), "")</f>
        <v>#VALUE!</v>
      </c>
      <c r="E37" s="194" t="e" vm="3">
        <f>IFERROR(INDEX(CharacterDetailss[Weapon Type], MATCH(Character[[#This Row],[Name]], CharacterDetailss[Name], 0)), "")</f>
        <v>#VALUE!</v>
      </c>
      <c r="F37" s="195">
        <v>2.6</v>
      </c>
      <c r="G37" s="72">
        <v>0</v>
      </c>
      <c r="H37" s="73">
        <v>0</v>
      </c>
      <c r="I37" s="74">
        <v>0</v>
      </c>
      <c r="J37" s="75">
        <v>0</v>
      </c>
      <c r="L37" s="75">
        <v>81</v>
      </c>
      <c r="M37" s="73">
        <v>1</v>
      </c>
      <c r="N37" s="74">
        <v>9</v>
      </c>
      <c r="O37" s="74">
        <v>9</v>
      </c>
      <c r="Q37" s="210" t="e" vm="405">
        <f>IFERROR(INDEX(ImgDatabase!$O:$O, MATCH(WorldBoss[[#This Row],[Boss Name]], ImgDatabase!$P:$P, 0)), "")</f>
        <v>#VALUE!</v>
      </c>
      <c r="R37" s="208" t="s">
        <v>174</v>
      </c>
      <c r="S37" s="298" t="e">
        <f>(IF($E37&lt;=0,"0",IF($E37&lt;=40,"46",IF($E37&lt;=50,"44",IF($E37&lt;=60,"40",IF($E37&lt;=70,"32",IF($E37&lt;=80,"20","0")))))))+0</f>
        <v>#VALUE!</v>
      </c>
      <c r="U3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37" s="202" t="s">
        <v>535</v>
      </c>
      <c r="W37" s="203">
        <f>Z37+AC37+AF37</f>
        <v>22</v>
      </c>
      <c r="X37" s="203">
        <f>AA37+AD37+AG37</f>
        <v>19</v>
      </c>
      <c r="Y37" s="201">
        <f>AB37+AE37+AH37</f>
        <v>0</v>
      </c>
      <c r="Z37" s="204">
        <f>(IF($F37&lt;=0,"0",IF($F37&lt;=6,"22",IF($F37&lt;=7,"18",IF($F37&lt;=8,"12",0)))))+0</f>
        <v>22</v>
      </c>
      <c r="AA37" s="205">
        <f>(IF($F37&lt;=0,"0",IF($F37&lt;=2,"21",IF($F37&lt;=3,"19",IF($F37&lt;=4,"15",IF($F37&lt;=5,"9",0))))))+0</f>
        <v>19</v>
      </c>
      <c r="AB37" s="205">
        <f>(IF($F37&lt;=0,"0",IF($F37&lt;=1,"3",0)))+0</f>
        <v>0</v>
      </c>
      <c r="AC37" s="205">
        <f>(IF($G37&lt;=0,"0",IF($G37&lt;=6,"22",IF($G37&lt;=7,"18",IF($G37&lt;=8,"12",0)))))+0</f>
        <v>0</v>
      </c>
      <c r="AD37" s="205">
        <f>(IF($G37&lt;=0,"0",IF($G37&lt;=2,"21",IF($G37&lt;=3,"19",IF($G37&lt;=4,"15",IF($G37&lt;=5,"9",0))))))+0</f>
        <v>0</v>
      </c>
      <c r="AE37" s="205">
        <f>(IF($G37&lt;=0,"0",IF($G37&lt;=1,"3",0)))+0</f>
        <v>0</v>
      </c>
      <c r="AF37" s="205">
        <f>(IF($H37&lt;=0,"0",IF($H37&lt;=6,"22",IF($H37&lt;=7,"18",IF($H37&lt;=8,"12",0)))))+0</f>
        <v>0</v>
      </c>
      <c r="AG37" s="205">
        <f>(IF($H37&lt;=0,"0",IF($H37&lt;=2,"21",IF($H37&lt;=3,"19",IF($H37&lt;=4,"15",IF($H37&lt;=5,"9",0))))))+0</f>
        <v>0</v>
      </c>
      <c r="AH37" s="206">
        <f>(IF($H37&lt;=0,"0",IF($H37&lt;=1,"3",0)))+0</f>
        <v>0</v>
      </c>
      <c r="AI37" s="207" t="s">
        <v>176</v>
      </c>
      <c r="AJ37" s="208" t="s">
        <v>569</v>
      </c>
      <c r="AK37" s="209">
        <f>(IF($F37&lt;=0,"0",IF($F37&lt;=6,"4",IF($F37&lt;=7,"3",IF($F37&lt;=8,"2","0")))))+0</f>
        <v>4</v>
      </c>
      <c r="AL37" s="209">
        <f>(IF($G37&lt;=0,"0",IF($G37&lt;=6,"4",IF($G37&lt;=7,"3",IF($G37&lt;=8,"2","0")))))+0</f>
        <v>0</v>
      </c>
      <c r="AM37" s="209">
        <f>(IF($H37&lt;=0,"0",IF($H37&lt;=6,"4",IF($H37&lt;=7,"3",IF($H37&lt;=8,"2","0")))))+0</f>
        <v>0</v>
      </c>
      <c r="AN37" s="200">
        <f>SUM(AK37:AM37)</f>
        <v>4</v>
      </c>
      <c r="AO37" s="208" t="s">
        <v>585</v>
      </c>
      <c r="AP37" s="210" t="e">
        <f>(IF($E37&lt;=0,"0",IF($E37&lt;=20,"168",IF($E37&lt;=30,"165",IF($E37&lt;=50,"155",IF($E37&lt;=60,"135",IF($E37&lt;=70,"105",IF($E37&lt;=80,"60","0"))))))))+0</f>
        <v>#VALUE!</v>
      </c>
      <c r="AQ37" s="199" t="s">
        <v>530</v>
      </c>
      <c r="AR37" s="208" t="e">
        <f>(IF($E37&lt;=0,"0",IF($E37&lt;=80,"6","0")))+0</f>
        <v>#VALUE!</v>
      </c>
      <c r="AS37" s="208" t="e">
        <f>(IF($E37&lt;=0,"0",IF($E37&lt;=60,"9",IF($E37&lt;=70,"6","0"))))+0</f>
        <v>#VALUE!</v>
      </c>
      <c r="AT37" s="208" t="e">
        <f>(IF($E37&lt;=0,"0",IF($E37&lt;=40,"9",IF($E37&lt;=50,"6","0"))))+0</f>
        <v>#VALUE!</v>
      </c>
      <c r="AU37" s="211" t="e">
        <f>(IF($E37&lt;=0,"0",IF($E37&lt;=20,"1","0")))+0</f>
        <v>#VALUE!</v>
      </c>
      <c r="AV37" s="199" t="s">
        <v>288</v>
      </c>
      <c r="AW37" s="208" t="e">
        <f>(IF($E37&lt;=0,"0",IF($E37&lt;=70,"36",IF($E37&lt;=80,"24","0"))))+0</f>
        <v>#VALUE!</v>
      </c>
      <c r="AX37" s="208" t="e">
        <f>(IF($E37&lt;=0,"0",IF($E37&lt;=50,"30",IF($E37&lt;=60,"18","0"))))+0</f>
        <v>#VALUE!</v>
      </c>
      <c r="AY37" s="208" t="e">
        <f>(IF($E37&lt;=0,"0",IF($E37&lt;=20,"18",IF($E37&lt;=40,"15","0"))))+0</f>
        <v>#VALUE!</v>
      </c>
      <c r="AZ37" s="212">
        <f>Summary2831[[#This Row],[3*2]]+Summary2831[[#This Row],[3*22]]+Summary2831[[#This Row],[3*23]]</f>
        <v>0</v>
      </c>
      <c r="BA37" s="213">
        <f>Summary2831[[#This Row],[2*2]]+Summary2831[[#This Row],[2*23]]+Summary2831[[#This Row],[2*24]]</f>
        <v>0</v>
      </c>
      <c r="BB37" s="213">
        <f>Summary2831[[#This Row],[1*2]]+Summary2831[[#This Row],[1*24]]+Summary2831[[#This Row],[1*25]]</f>
        <v>0</v>
      </c>
      <c r="BC37" s="215">
        <f>IF($F37&lt;=0,"0",IF($F37&lt;=6,"19",IF($F37&lt;=7,"18",IF($F37&lt;=8,"9",0))))+0</f>
        <v>19</v>
      </c>
      <c r="BD37" s="215">
        <f>IF($F37&lt;=0,"0",IF($F37&lt;=2,"22",IF($F37&lt;=3,"19",IF($F37&lt;=4,"15",IF($F37&lt;=5,"9",0)))))+0</f>
        <v>19</v>
      </c>
      <c r="BE37" s="215">
        <f>IF($F37&lt;=0,"0",IF($F37&lt;=1,"6",0))+0</f>
        <v>0</v>
      </c>
      <c r="BF37" s="215">
        <f>IF($G37&lt;=0,"0",IF($G37&lt;=6,"19",IF($G37&lt;=7,"18",IF($G37&lt;=8,"9",0))))+0</f>
        <v>0</v>
      </c>
      <c r="BG37" s="215">
        <f>IF($G37&lt;=0,"0",IF($G37&lt;=2,"22",IF($G37&lt;=3,"19",IF($G37&lt;=4,"15",IF($G37&lt;=5,"9",0)))))+0</f>
        <v>0</v>
      </c>
      <c r="BH37" s="215">
        <f>IF($G37&lt;=0,"0",IF($G37&lt;=1,"6",0))+0</f>
        <v>0</v>
      </c>
      <c r="BI37" s="215">
        <f>IF($H37&lt;=0,"0",IF($H37&lt;=6,"19",IF($H37&lt;=7,"18",IF($H37&lt;=8,"9",0))))+0</f>
        <v>0</v>
      </c>
      <c r="BJ37" s="215">
        <f>IF($H37&lt;=0,"0",IF($H37&lt;=2,"22",IF($H37&lt;=3,"19",IF($H37&lt;=4,"15",IF($H37&lt;=5,"9",0)))))+0</f>
        <v>0</v>
      </c>
      <c r="BK37" s="215">
        <f>IF($H37&lt;=0,"0",IF($H37&lt;=1,"6",0))+0</f>
        <v>0</v>
      </c>
      <c r="BL37" s="199">
        <f>SUM(Summary2831[[#This Row],[3*
(Tal)]],Summary2831[[#This Row],[3*
(Asc)]])</f>
        <v>0</v>
      </c>
      <c r="BM37" s="208">
        <f>SUM(Summary2831[[#This Row],[2*
(Tal)]],Summary2831[[#This Row],[2*
(Asc)]])</f>
        <v>0</v>
      </c>
      <c r="BN37" s="211">
        <f>SUM(Summary2831[[#This Row],[1*
(Tal)]],Summary2831[[#This Row],[1*
(Asc)]])</f>
        <v>0</v>
      </c>
      <c r="BO37" s="216" t="e">
        <f>(IF($E37&lt;=0,"0",IF($E37&lt;=1,"2092530",IF($E37&lt;=10,"2087525",IF($E37&lt;=20,"2068495",IF($E37&lt;=30,"2005910",IF($E37&lt;=40,"1932830",IF($E37&lt;=50,"1777010",IF($E37&lt;=60,"1546185",IF($E37&lt;=70,"1227000",IF($E37&lt;=80,"804625",IF($E37&lt;=81,"647990",IF($E37&lt;=90,"0",0)))))))))))))+0</f>
        <v>#VALUE!</v>
      </c>
      <c r="BP37" s="217">
        <f>(IF($F37&lt;=0,"0",IF($F37&lt;=1,"952500",IF($F37&lt;=2,"940000",IF($F37&lt;=3,"922500",IF($F37&lt;=4,"897500",IF($F37&lt;=5,"867500",IF($F37&lt;=6,"830000",IF($F37&lt;=7,"710000",IF($F37&lt;=8,"450000",0))))))))))+0</f>
        <v>922500</v>
      </c>
      <c r="BQ37" s="217">
        <f>(IF($G37&lt;=0,"0",IF($G37&lt;=1,"952500",IF($G37&lt;=2,"940000",IF($G37&lt;=3,"922500",IF($G37&lt;=4,"897500",IF($G37&lt;=5,"867500",IF($G37&lt;=6,"830000",IF($G37&lt;=7,"710000",IF($G37&lt;=8,"450000",0))))))))))+0</f>
        <v>0</v>
      </c>
      <c r="BR37" s="217">
        <f>(IF($H37&lt;=0,"0",IF($H37&lt;=1,"952500",IF($H37&lt;=2,"940000",IF($H37&lt;=3,"922500",IF($H37&lt;=4,"897500",IF($H37&lt;=5,"867500",IF($H37&lt;=6,"830000",IF($H37&lt;=7,"710000",IF($H37&lt;=8,"450000",0))))))))))+0</f>
        <v>0</v>
      </c>
      <c r="BS37" s="218" t="e">
        <f>SUM(BO37,BP37,BQ37,BR37)</f>
        <v>#VALUE!</v>
      </c>
    </row>
    <row r="38" spans="1:71" ht="30" customHeight="1">
      <c r="A38" s="196">
        <f ca="1">SUBTOTAL(3,$C$3:Character[[#This Row],[Name]])</f>
        <v>36</v>
      </c>
      <c r="B38" s="192" t="e" vm="598">
        <f>ImgDatabase!D38</f>
        <v>#VALUE!</v>
      </c>
      <c r="C38" s="197" t="s">
        <v>418</v>
      </c>
      <c r="D38" s="194" t="e" vm="19">
        <f>IFERROR(INDEX(CharacterDetailss[Element], MATCH(Character[[#This Row],[Name]], CharacterDetailss[Name], 0)), "")</f>
        <v>#VALUE!</v>
      </c>
      <c r="E38" s="194" t="e" vm="292">
        <f>IFERROR(INDEX(CharacterDetailss[Weapon Type], MATCH(Character[[#This Row],[Name]], CharacterDetailss[Name], 0)), "")</f>
        <v>#VALUE!</v>
      </c>
      <c r="F38" s="198">
        <v>3.6</v>
      </c>
      <c r="G38" s="14">
        <v>22</v>
      </c>
      <c r="H38" s="9">
        <v>1</v>
      </c>
      <c r="I38" s="2">
        <v>1</v>
      </c>
      <c r="J38" s="10">
        <v>1</v>
      </c>
      <c r="L38" s="75">
        <v>81</v>
      </c>
      <c r="M38" s="73">
        <v>1</v>
      </c>
      <c r="N38" s="74">
        <v>9</v>
      </c>
      <c r="O38" s="74">
        <v>9</v>
      </c>
      <c r="Q38" s="230" t="e" vm="417">
        <f>IFERROR(INDEX(ImgDatabase!$O:$O, MATCH(WorldBoss[[#This Row],[Boss Name]], ImgDatabase!$P:$P, 0)), "")</f>
        <v>#VALUE!</v>
      </c>
      <c r="R38" s="228" t="s">
        <v>194</v>
      </c>
      <c r="S38" s="297" t="e">
        <f>(IF($E38&lt;=0,"0",IF($E38&lt;=40,"46",IF($E38&lt;=50,"44",IF($E38&lt;=60,"40",IF($E38&lt;=70,"32",IF($E38&lt;=80,"20","0")))))))+0</f>
        <v>#VALUE!</v>
      </c>
      <c r="U3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38" s="222" t="s">
        <v>535</v>
      </c>
      <c r="W38" s="223">
        <f>Z38+AC38+AF38</f>
        <v>44</v>
      </c>
      <c r="X38" s="223">
        <f>AA38+AD38+AG38</f>
        <v>36</v>
      </c>
      <c r="Y38" s="221">
        <f>AB38+AE38+AH38</f>
        <v>3</v>
      </c>
      <c r="Z38" s="224">
        <f>(IF($F38&lt;=0,"0",IF($F38&lt;=6,"22",IF($F38&lt;=7,"18",IF($F38&lt;=8,"12",0)))))+0</f>
        <v>22</v>
      </c>
      <c r="AA38" s="225">
        <f>(IF($F38&lt;=0,"0",IF($F38&lt;=2,"21",IF($F38&lt;=3,"19",IF($F38&lt;=4,"15",IF($F38&lt;=5,"9",0))))))+0</f>
        <v>15</v>
      </c>
      <c r="AB38" s="225">
        <f>(IF($F38&lt;=0,"0",IF($F38&lt;=1,"3",0)))+0</f>
        <v>0</v>
      </c>
      <c r="AC38" s="225">
        <f>(IF($G38&lt;=0,"0",IF($G38&lt;=6,"22",IF($G38&lt;=7,"18",IF($G38&lt;=8,"12",0)))))+0</f>
        <v>0</v>
      </c>
      <c r="AD38" s="225">
        <f>(IF($G38&lt;=0,"0",IF($G38&lt;=2,"21",IF($G38&lt;=3,"19",IF($G38&lt;=4,"15",IF($G38&lt;=5,"9",0))))))+0</f>
        <v>0</v>
      </c>
      <c r="AE38" s="225">
        <f>(IF($G38&lt;=0,"0",IF($G38&lt;=1,"3",0)))+0</f>
        <v>0</v>
      </c>
      <c r="AF38" s="225">
        <f>(IF($H38&lt;=0,"0",IF($H38&lt;=6,"22",IF($H38&lt;=7,"18",IF($H38&lt;=8,"12",0)))))+0</f>
        <v>22</v>
      </c>
      <c r="AG38" s="225">
        <f>(IF($H38&lt;=0,"0",IF($H38&lt;=2,"21",IF($H38&lt;=3,"19",IF($H38&lt;=4,"15",IF($H38&lt;=5,"9",0))))))+0</f>
        <v>21</v>
      </c>
      <c r="AH38" s="226">
        <f>(IF($H38&lt;=0,"0",IF($H38&lt;=1,"3",0)))+0</f>
        <v>3</v>
      </c>
      <c r="AI38" s="227" t="s">
        <v>553</v>
      </c>
      <c r="AJ38" s="228" t="s">
        <v>565</v>
      </c>
      <c r="AK38" s="229">
        <f>(IF($F38&lt;=0,"0",IF($F38&lt;=6,"4",IF($F38&lt;=7,"3",IF($F38&lt;=8,"2","0")))))+0</f>
        <v>4</v>
      </c>
      <c r="AL38" s="229">
        <f>(IF($G38&lt;=0,"0",IF($G38&lt;=6,"4",IF($G38&lt;=7,"3",IF($G38&lt;=8,"2","0")))))+0</f>
        <v>0</v>
      </c>
      <c r="AM38" s="229">
        <f>(IF($H38&lt;=0,"0",IF($H38&lt;=6,"4",IF($H38&lt;=7,"3",IF($H38&lt;=8,"2","0")))))+0</f>
        <v>4</v>
      </c>
      <c r="AN38" s="220">
        <f>SUM(AK38:AM38)</f>
        <v>8</v>
      </c>
      <c r="AO38" s="228" t="s">
        <v>585</v>
      </c>
      <c r="AP38" s="230" t="e">
        <f>(IF($E38&lt;=0,"0",IF($E38&lt;=20,"168",IF($E38&lt;=30,"165",IF($E38&lt;=50,"155",IF($E38&lt;=60,"135",IF($E38&lt;=70,"105",IF($E38&lt;=80,"60","0"))))))))+0</f>
        <v>#VALUE!</v>
      </c>
      <c r="AQ38" s="219" t="s">
        <v>546</v>
      </c>
      <c r="AR38" s="228" t="e">
        <f>(IF($E38&lt;=0,"0",IF($E38&lt;=80,"6","0")))+0</f>
        <v>#VALUE!</v>
      </c>
      <c r="AS38" s="228" t="e">
        <f>(IF($E38&lt;=0,"0",IF($E38&lt;=60,"9",IF($E38&lt;=70,"6","0"))))+0</f>
        <v>#VALUE!</v>
      </c>
      <c r="AT38" s="228" t="e">
        <f>(IF($E38&lt;=0,"0",IF($E38&lt;=40,"9",IF($E38&lt;=50,"6","0"))))+0</f>
        <v>#VALUE!</v>
      </c>
      <c r="AU38" s="231" t="e">
        <f>(IF($E38&lt;=0,"0",IF($E38&lt;=20,"1","0")))+0</f>
        <v>#VALUE!</v>
      </c>
      <c r="AV38" s="219" t="s">
        <v>288</v>
      </c>
      <c r="AW38" s="228" t="e">
        <f>(IF($E38&lt;=0,"0",IF($E38&lt;=70,"36",IF($E38&lt;=80,"24","0"))))+0</f>
        <v>#VALUE!</v>
      </c>
      <c r="AX38" s="228" t="e">
        <f>(IF($E38&lt;=0,"0",IF($E38&lt;=50,"30",IF($E38&lt;=60,"18","0"))))+0</f>
        <v>#VALUE!</v>
      </c>
      <c r="AY38" s="228" t="e">
        <f>(IF($E38&lt;=0,"0",IF($E38&lt;=20,"18",IF($E38&lt;=40,"15","0"))))+0</f>
        <v>#VALUE!</v>
      </c>
      <c r="AZ38" s="232">
        <f>Summary2831[[#This Row],[3*2]]+Summary2831[[#This Row],[3*22]]+Summary2831[[#This Row],[3*23]]</f>
        <v>0</v>
      </c>
      <c r="BA38" s="233">
        <f>Summary2831[[#This Row],[2*2]]+Summary2831[[#This Row],[2*23]]+Summary2831[[#This Row],[2*24]]</f>
        <v>0</v>
      </c>
      <c r="BB38" s="233">
        <f>Summary2831[[#This Row],[1*2]]+Summary2831[[#This Row],[1*24]]+Summary2831[[#This Row],[1*25]]</f>
        <v>0</v>
      </c>
      <c r="BC38" s="234">
        <f>IF($F38&lt;=0,"0",IF($F38&lt;=6,"19",IF($F38&lt;=7,"18",IF($F38&lt;=8,"9",0))))+0</f>
        <v>19</v>
      </c>
      <c r="BD38" s="234">
        <f>IF($F38&lt;=0,"0",IF($F38&lt;=2,"22",IF($F38&lt;=3,"19",IF($F38&lt;=4,"15",IF($F38&lt;=5,"9",0)))))+0</f>
        <v>15</v>
      </c>
      <c r="BE38" s="234">
        <f>IF($F38&lt;=0,"0",IF($F38&lt;=1,"6",0))+0</f>
        <v>0</v>
      </c>
      <c r="BF38" s="234">
        <f>IF($G38&lt;=0,"0",IF($G38&lt;=6,"19",IF($G38&lt;=7,"18",IF($G38&lt;=8,"9",0))))+0</f>
        <v>0</v>
      </c>
      <c r="BG38" s="234">
        <f>IF($G38&lt;=0,"0",IF($G38&lt;=2,"22",IF($G38&lt;=3,"19",IF($G38&lt;=4,"15",IF($G38&lt;=5,"9",0)))))+0</f>
        <v>0</v>
      </c>
      <c r="BH38" s="234">
        <f>IF($G38&lt;=0,"0",IF($G38&lt;=1,"6",0))+0</f>
        <v>0</v>
      </c>
      <c r="BI38" s="234">
        <f>IF($H38&lt;=0,"0",IF($H38&lt;=6,"19",IF($H38&lt;=7,"18",IF($H38&lt;=8,"9",0))))+0</f>
        <v>19</v>
      </c>
      <c r="BJ38" s="234">
        <f>IF($H38&lt;=0,"0",IF($H38&lt;=2,"22",IF($H38&lt;=3,"19",IF($H38&lt;=4,"15",IF($H38&lt;=5,"9",0)))))+0</f>
        <v>22</v>
      </c>
      <c r="BK38" s="234">
        <f>IF($H38&lt;=0,"0",IF($H38&lt;=1,"6",0))+0</f>
        <v>6</v>
      </c>
      <c r="BL38" s="219">
        <f>SUM(Summary2831[[#This Row],[3*
(Tal)]],Summary2831[[#This Row],[3*
(Asc)]])</f>
        <v>0</v>
      </c>
      <c r="BM38" s="228">
        <f>SUM(Summary2831[[#This Row],[2*
(Tal)]],Summary2831[[#This Row],[2*
(Asc)]])</f>
        <v>0</v>
      </c>
      <c r="BN38" s="231">
        <f>SUM(Summary2831[[#This Row],[1*
(Tal)]],Summary2831[[#This Row],[1*
(Asc)]])</f>
        <v>0</v>
      </c>
      <c r="BO38" s="235" t="e">
        <f>(IF($E38&lt;=0,"0",IF($E38&lt;=1,"2092530",IF($E38&lt;=10,"2087525",IF($E38&lt;=20,"2068495",IF($E38&lt;=30,"2005910",IF($E38&lt;=40,"1932830",IF($E38&lt;=50,"1777010",IF($E38&lt;=60,"1546185",IF($E38&lt;=70,"1227000",IF($E38&lt;=80,"804625",IF($E38&lt;=81,"647990",IF($E38&lt;=90,"0",0)))))))))))))+0</f>
        <v>#VALUE!</v>
      </c>
      <c r="BP38" s="236">
        <f>(IF($F38&lt;=0,"0",IF($F38&lt;=1,"952500",IF($F38&lt;=2,"940000",IF($F38&lt;=3,"922500",IF($F38&lt;=4,"897500",IF($F38&lt;=5,"867500",IF($F38&lt;=6,"830000",IF($F38&lt;=7,"710000",IF($F38&lt;=8,"450000",0))))))))))+0</f>
        <v>897500</v>
      </c>
      <c r="BQ38" s="236">
        <f>(IF($G38&lt;=0,"0",IF($G38&lt;=1,"952500",IF($G38&lt;=2,"940000",IF($G38&lt;=3,"922500",IF($G38&lt;=4,"897500",IF($G38&lt;=5,"867500",IF($G38&lt;=6,"830000",IF($G38&lt;=7,"710000",IF($G38&lt;=8,"450000",0))))))))))+0</f>
        <v>0</v>
      </c>
      <c r="BR38" s="236">
        <f>(IF($H38&lt;=0,"0",IF($H38&lt;=1,"952500",IF($H38&lt;=2,"940000",IF($H38&lt;=3,"922500",IF($H38&lt;=4,"897500",IF($H38&lt;=5,"867500",IF($H38&lt;=6,"830000",IF($H38&lt;=7,"710000",IF($H38&lt;=8,"450000",0))))))))))+0</f>
        <v>952500</v>
      </c>
      <c r="BS38" s="237" t="e">
        <f>SUM(BO38,BP38,BQ38,BR38)</f>
        <v>#VALUE!</v>
      </c>
    </row>
    <row r="39" spans="1:71" s="81" customFormat="1" ht="30" customHeight="1">
      <c r="A39" s="192">
        <f ca="1">SUBTOTAL(3,$C$3:Character[[#This Row],[Name]])</f>
        <v>37</v>
      </c>
      <c r="B39" s="192" t="e" vm="599">
        <f>ImgDatabase!D39</f>
        <v>#VALUE!</v>
      </c>
      <c r="C39" s="193" t="s">
        <v>586</v>
      </c>
      <c r="D39" s="194" t="str">
        <f>IFERROR(INDEX(CharacterDetailss[Element], MATCH(Character[[#This Row],[Name]], CharacterDetailss[Name], 0)), "")</f>
        <v/>
      </c>
      <c r="E39" s="194" t="str">
        <f>IFERROR(INDEX(CharacterDetailss[Weapon Type], MATCH(Character[[#This Row],[Name]], CharacterDetailss[Name], 0)), "")</f>
        <v/>
      </c>
      <c r="F39" s="195">
        <v>1.6</v>
      </c>
      <c r="G39" s="72">
        <v>90</v>
      </c>
      <c r="H39" s="73">
        <v>1</v>
      </c>
      <c r="I39" s="74">
        <v>9</v>
      </c>
      <c r="J39" s="75">
        <v>9</v>
      </c>
      <c r="K39"/>
      <c r="L39" s="75">
        <v>81</v>
      </c>
      <c r="M39" s="73">
        <v>1</v>
      </c>
      <c r="N39" s="74">
        <v>9</v>
      </c>
      <c r="O39" s="74">
        <v>9</v>
      </c>
      <c r="P39"/>
      <c r="Q39" s="245" t="e" vm="471">
        <f>IFERROR(INDEX(ImgDatabase!$O:$O, MATCH(WorldBoss[[#This Row],[Boss Name]], ImgDatabase!$P:$P, 0)), "")</f>
        <v>#VALUE!</v>
      </c>
      <c r="R39" s="244" t="s">
        <v>277</v>
      </c>
      <c r="S39" s="300">
        <f>(IF($E39&lt;=0,"0",IF($E39&lt;=40,"46",IF($E39&lt;=50,"44",IF($E39&lt;=60,"40",IF($E39&lt;=70,"32",IF($E39&lt;=80,"20","0")))))))+0</f>
        <v>0</v>
      </c>
      <c r="T39"/>
      <c r="U3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39" s="240" t="s">
        <v>522</v>
      </c>
      <c r="W39" s="241">
        <f>Z39+AC39+AF39</f>
        <v>44</v>
      </c>
      <c r="X39" s="241">
        <f>AA39+AD39+AG39</f>
        <v>42</v>
      </c>
      <c r="Y39" s="242">
        <f>AB39+AE39+AH39</f>
        <v>3</v>
      </c>
      <c r="Z39" s="204">
        <f>(IF($F39&lt;=0,"0",IF($F39&lt;=6,"22",IF($F39&lt;=7,"18",IF($F39&lt;=8,"12",0)))))+0</f>
        <v>22</v>
      </c>
      <c r="AA39" s="205">
        <f>(IF($F39&lt;=0,"0",IF($F39&lt;=2,"21",IF($F39&lt;=3,"19",IF($F39&lt;=4,"15",IF($F39&lt;=5,"9",0))))))+0</f>
        <v>21</v>
      </c>
      <c r="AB39" s="205">
        <f>(IF($F39&lt;=0,"0",IF($F39&lt;=1,"3",0)))+0</f>
        <v>0</v>
      </c>
      <c r="AC39" s="205">
        <f>(IF($G39&lt;=0,"0",IF($G39&lt;=6,"22",IF($G39&lt;=7,"18",IF($G39&lt;=8,"12",0)))))+0</f>
        <v>0</v>
      </c>
      <c r="AD39" s="205">
        <f>(IF($G39&lt;=0,"0",IF($G39&lt;=2,"21",IF($G39&lt;=3,"19",IF($G39&lt;=4,"15",IF($G39&lt;=5,"9",0))))))+0</f>
        <v>0</v>
      </c>
      <c r="AE39" s="205">
        <f>(IF($G39&lt;=0,"0",IF($G39&lt;=1,"3",0)))+0</f>
        <v>0</v>
      </c>
      <c r="AF39" s="205">
        <f>(IF($H39&lt;=0,"0",IF($H39&lt;=6,"22",IF($H39&lt;=7,"18",IF($H39&lt;=8,"12",0)))))+0</f>
        <v>22</v>
      </c>
      <c r="AG39" s="205">
        <f>(IF($H39&lt;=0,"0",IF($H39&lt;=2,"21",IF($H39&lt;=3,"19",IF($H39&lt;=4,"15",IF($H39&lt;=5,"9",0))))))+0</f>
        <v>21</v>
      </c>
      <c r="AH39" s="206">
        <f>(IF($H39&lt;=0,"0",IF($H39&lt;=1,"3",0)))+0</f>
        <v>3</v>
      </c>
      <c r="AI39" s="243" t="s">
        <v>541</v>
      </c>
      <c r="AJ39" s="244" t="s">
        <v>587</v>
      </c>
      <c r="AK39" s="209">
        <f>(IF($F39&lt;=0,"0",IF($F39&lt;=6,"4",IF($F39&lt;=7,"3",IF($F39&lt;=8,"2","0")))))+0</f>
        <v>4</v>
      </c>
      <c r="AL39" s="209">
        <f>(IF($G39&lt;=0,"0",IF($G39&lt;=6,"4",IF($G39&lt;=7,"3",IF($G39&lt;=8,"2","0")))))+0</f>
        <v>0</v>
      </c>
      <c r="AM39" s="209">
        <f>(IF($H39&lt;=0,"0",IF($H39&lt;=6,"4",IF($H39&lt;=7,"3",IF($H39&lt;=8,"2","0")))))+0</f>
        <v>4</v>
      </c>
      <c r="AN39" s="239">
        <f>SUM(AK39:AM39)</f>
        <v>8</v>
      </c>
      <c r="AO39" s="244" t="s">
        <v>588</v>
      </c>
      <c r="AP39" s="245">
        <f>(IF($E39&lt;=0,"0",IF($E39&lt;=20,"168",IF($E39&lt;=30,"165",IF($E39&lt;=50,"155",IF($E39&lt;=60,"135",IF($E39&lt;=70,"105",IF($E39&lt;=80,"60","0"))))))))+0</f>
        <v>0</v>
      </c>
      <c r="AQ39" s="238" t="s">
        <v>526</v>
      </c>
      <c r="AR39" s="244">
        <f>(IF($E39&lt;=0,"0",IF($E39&lt;=80,"6","0")))+0</f>
        <v>0</v>
      </c>
      <c r="AS39" s="244">
        <f>(IF($E39&lt;=0,"0",IF($E39&lt;=60,"9",IF($E39&lt;=70,"6","0"))))+0</f>
        <v>0</v>
      </c>
      <c r="AT39" s="244">
        <f>(IF($E39&lt;=0,"0",IF($E39&lt;=40,"9",IF($E39&lt;=50,"6","0"))))+0</f>
        <v>0</v>
      </c>
      <c r="AU39" s="246">
        <f>(IF($E39&lt;=0,"0",IF($E39&lt;=20,"1","0")))+0</f>
        <v>0</v>
      </c>
      <c r="AV39" s="199" t="s">
        <v>336</v>
      </c>
      <c r="AW39" s="244">
        <f>(IF($E39&lt;=0,"0",IF($E39&lt;=70,"36",IF($E39&lt;=80,"24","0"))))+0</f>
        <v>0</v>
      </c>
      <c r="AX39" s="244">
        <f>(IF($E39&lt;=0,"0",IF($E39&lt;=50,"30",IF($E39&lt;=60,"18","0"))))+0</f>
        <v>0</v>
      </c>
      <c r="AY39" s="244">
        <f>(IF($E39&lt;=0,"0",IF($E39&lt;=20,"18",IF($E39&lt;=40,"15","0"))))+0</f>
        <v>0</v>
      </c>
      <c r="AZ39" s="247">
        <f>Summary2831[[#This Row],[3*2]]+Summary2831[[#This Row],[3*22]]+Summary2831[[#This Row],[3*23]]</f>
        <v>57</v>
      </c>
      <c r="BA39" s="248">
        <f>Summary2831[[#This Row],[2*2]]+Summary2831[[#This Row],[2*23]]+Summary2831[[#This Row],[2*24]]</f>
        <v>66</v>
      </c>
      <c r="BB39" s="248">
        <f>Summary2831[[#This Row],[1*2]]+Summary2831[[#This Row],[1*24]]+Summary2831[[#This Row],[1*25]]</f>
        <v>18</v>
      </c>
      <c r="BC39" s="248">
        <f>IF($F39&lt;=0,"0",IF($F39&lt;=6,"19",IF($F39&lt;=7,"18",IF($F39&lt;=8,"9",0))))+0</f>
        <v>19</v>
      </c>
      <c r="BD39" s="248">
        <f>IF($F39&lt;=0,"0",IF($F39&lt;=2,"22",IF($F39&lt;=3,"19",IF($F39&lt;=4,"15",IF($F39&lt;=5,"9",0)))))+0</f>
        <v>22</v>
      </c>
      <c r="BE39" s="248">
        <f>IF($F39&lt;=0,"0",IF($F39&lt;=1,"6",0))+0</f>
        <v>0</v>
      </c>
      <c r="BF39" s="248">
        <f>IF($G39&lt;=0,"0",IF($G39&lt;=6,"19",IF($G39&lt;=7,"18",IF($G39&lt;=8,"9",0))))+0</f>
        <v>0</v>
      </c>
      <c r="BG39" s="248">
        <f>IF($G39&lt;=0,"0",IF($G39&lt;=2,"22",IF($G39&lt;=3,"19",IF($G39&lt;=4,"15",IF($G39&lt;=5,"9",0)))))+0</f>
        <v>0</v>
      </c>
      <c r="BH39" s="248">
        <f>IF($G39&lt;=0,"0",IF($G39&lt;=1,"6",0))+0</f>
        <v>0</v>
      </c>
      <c r="BI39" s="248">
        <f>IF($H39&lt;=0,"0",IF($H39&lt;=6,"19",IF($H39&lt;=7,"18",IF($H39&lt;=8,"9",0))))+0</f>
        <v>19</v>
      </c>
      <c r="BJ39" s="248">
        <f>IF($H39&lt;=0,"0",IF($H39&lt;=2,"22",IF($H39&lt;=3,"19",IF($H39&lt;=4,"15",IF($H39&lt;=5,"9",0)))))+0</f>
        <v>22</v>
      </c>
      <c r="BK39" s="248">
        <f>IF($H39&lt;=0,"0",IF($H39&lt;=1,"6",0))+0</f>
        <v>6</v>
      </c>
      <c r="BL39" s="238">
        <f>SUM(Summary2831[[#This Row],[3*
(Tal)]],Summary2831[[#This Row],[3*
(Asc)]])</f>
        <v>93</v>
      </c>
      <c r="BM39" s="244">
        <f>SUM(Summary2831[[#This Row],[2*
(Tal)]],Summary2831[[#This Row],[2*
(Asc)]])</f>
        <v>96</v>
      </c>
      <c r="BN39" s="246">
        <f>SUM(Summary2831[[#This Row],[1*
(Tal)]],Summary2831[[#This Row],[1*
(Asc)]])</f>
        <v>33</v>
      </c>
      <c r="BO39" s="216">
        <f>(IF($E39&lt;=0,"0",IF($E39&lt;=1,"2092530",IF($E39&lt;=10,"2087525",IF($E39&lt;=20,"2068495",IF($E39&lt;=30,"2005910",IF($E39&lt;=40,"1932830",IF($E39&lt;=50,"1777010",IF($E39&lt;=60,"1546185",IF($E39&lt;=70,"1227000",IF($E39&lt;=80,"804625",IF($E39&lt;=81,"647990",IF($E39&lt;=90,"0",0)))))))))))))+0</f>
        <v>0</v>
      </c>
      <c r="BP39" s="249">
        <f>(IF($F39&lt;=0,"0",IF($F39&lt;=1,"952500",IF($F39&lt;=2,"940000",IF($F39&lt;=3,"922500",IF($F39&lt;=4,"897500",IF($F39&lt;=5,"867500",IF($F39&lt;=6,"830000",IF($F39&lt;=7,"710000",IF($F39&lt;=8,"450000",0))))))))))+0</f>
        <v>940000</v>
      </c>
      <c r="BQ39" s="249">
        <f>(IF($G39&lt;=0,"0",IF($G39&lt;=1,"952500",IF($G39&lt;=2,"940000",IF($G39&lt;=3,"922500",IF($G39&lt;=4,"897500",IF($G39&lt;=5,"867500",IF($G39&lt;=6,"830000",IF($G39&lt;=7,"710000",IF($G39&lt;=8,"450000",0))))))))))+0</f>
        <v>0</v>
      </c>
      <c r="BR39" s="249">
        <f>(IF($H39&lt;=0,"0",IF($H39&lt;=1,"952500",IF($H39&lt;=2,"940000",IF($H39&lt;=3,"922500",IF($H39&lt;=4,"897500",IF($H39&lt;=5,"867500",IF($H39&lt;=6,"830000",IF($H39&lt;=7,"710000",IF($H39&lt;=8,"450000",0))))))))))+0</f>
        <v>952500</v>
      </c>
      <c r="BS39" s="250">
        <f>SUM(BO39,BP39,BQ39,BR39)</f>
        <v>1892500</v>
      </c>
    </row>
    <row r="40" spans="1:71" s="81" customFormat="1" ht="30" customHeight="1">
      <c r="A40" s="192">
        <f ca="1">SUBTOTAL(3,$C$3:Character[[#This Row],[Name]])</f>
        <v>38</v>
      </c>
      <c r="B40" s="192" t="e" vm="600">
        <f>ImgDatabase!D40</f>
        <v>#VALUE!</v>
      </c>
      <c r="C40" s="193" t="s">
        <v>193</v>
      </c>
      <c r="D40" s="194" t="e" vm="49">
        <f>IFERROR(INDEX(CharacterDetailss[Element], MATCH(Character[[#This Row],[Name]], CharacterDetailss[Name], 0)), "")</f>
        <v>#VALUE!</v>
      </c>
      <c r="E40" s="194" t="e" vm="3">
        <f>IFERROR(INDEX(CharacterDetailss[Weapon Type], MATCH(Character[[#This Row],[Name]], CharacterDetailss[Name], 0)), "")</f>
        <v>#VALUE!</v>
      </c>
      <c r="F40" s="198">
        <v>1</v>
      </c>
      <c r="G40" s="72">
        <v>70</v>
      </c>
      <c r="H40" s="73">
        <v>5</v>
      </c>
      <c r="I40" s="74">
        <v>5</v>
      </c>
      <c r="J40" s="75">
        <v>6</v>
      </c>
      <c r="K40"/>
      <c r="L40" s="75">
        <v>81</v>
      </c>
      <c r="M40" s="73">
        <v>1</v>
      </c>
      <c r="N40" s="74">
        <v>9</v>
      </c>
      <c r="O40" s="74">
        <v>9</v>
      </c>
      <c r="P40"/>
      <c r="Q40" s="230" t="e" vm="401">
        <f>IFERROR(INDEX(ImgDatabase!$O:$O, MATCH(WorldBoss[[#This Row],[Boss Name]], ImgDatabase!$P:$P, 0)), "")</f>
        <v>#VALUE!</v>
      </c>
      <c r="R40" s="228" t="s">
        <v>165</v>
      </c>
      <c r="S40" s="297" t="e">
        <f>(IF($E40&lt;=0,"0",IF($E40&lt;=40,"46",IF($E40&lt;=50,"44",IF($E40&lt;=60,"40",IF($E40&lt;=70,"32",IF($E40&lt;=80,"20","0")))))))+0</f>
        <v>#VALUE!</v>
      </c>
      <c r="T40"/>
      <c r="U4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0" s="222" t="s">
        <v>562</v>
      </c>
      <c r="W40" s="223">
        <f>Z40+AC40+AF40</f>
        <v>44</v>
      </c>
      <c r="X40" s="223">
        <f>AA40+AD40+AG40</f>
        <v>30</v>
      </c>
      <c r="Y40" s="221">
        <f>AB40+AE40+AH40</f>
        <v>3</v>
      </c>
      <c r="Z40" s="224">
        <f>(IF($F40&lt;=0,"0",IF($F40&lt;=6,"22",IF($F40&lt;=7,"18",IF($F40&lt;=8,"12",0)))))+0</f>
        <v>22</v>
      </c>
      <c r="AA40" s="225">
        <f>(IF($F40&lt;=0,"0",IF($F40&lt;=2,"21",IF($F40&lt;=3,"19",IF($F40&lt;=4,"15",IF($F40&lt;=5,"9",0))))))+0</f>
        <v>21</v>
      </c>
      <c r="AB40" s="225">
        <f>(IF($F40&lt;=0,"0",IF($F40&lt;=1,"3",0)))+0</f>
        <v>3</v>
      </c>
      <c r="AC40" s="225">
        <f>(IF($G40&lt;=0,"0",IF($G40&lt;=6,"22",IF($G40&lt;=7,"18",IF($G40&lt;=8,"12",0)))))+0</f>
        <v>0</v>
      </c>
      <c r="AD40" s="225">
        <f>(IF($G40&lt;=0,"0",IF($G40&lt;=2,"21",IF($G40&lt;=3,"19",IF($G40&lt;=4,"15",IF($G40&lt;=5,"9",0))))))+0</f>
        <v>0</v>
      </c>
      <c r="AE40" s="225">
        <f>(IF($G40&lt;=0,"0",IF($G40&lt;=1,"3",0)))+0</f>
        <v>0</v>
      </c>
      <c r="AF40" s="225">
        <f>(IF($H40&lt;=0,"0",IF($H40&lt;=6,"22",IF($H40&lt;=7,"18",IF($H40&lt;=8,"12",0)))))+0</f>
        <v>22</v>
      </c>
      <c r="AG40" s="225">
        <f>(IF($H40&lt;=0,"0",IF($H40&lt;=2,"21",IF($H40&lt;=3,"19",IF($H40&lt;=4,"15",IF($H40&lt;=5,"9",0))))))+0</f>
        <v>9</v>
      </c>
      <c r="AH40" s="226">
        <f>(IF($H40&lt;=0,"0",IF($H40&lt;=1,"3",0)))+0</f>
        <v>0</v>
      </c>
      <c r="AI40" s="227" t="s">
        <v>176</v>
      </c>
      <c r="AJ40" s="228" t="s">
        <v>589</v>
      </c>
      <c r="AK40" s="229">
        <f>(IF($F40&lt;=0,"0",IF($F40&lt;=6,"4",IF($F40&lt;=7,"3",IF($F40&lt;=8,"2","0")))))+0</f>
        <v>4</v>
      </c>
      <c r="AL40" s="229">
        <f>(IF($G40&lt;=0,"0",IF($G40&lt;=6,"4",IF($G40&lt;=7,"3",IF($G40&lt;=8,"2","0")))))+0</f>
        <v>0</v>
      </c>
      <c r="AM40" s="229">
        <f>(IF($H40&lt;=0,"0",IF($H40&lt;=6,"4",IF($H40&lt;=7,"3",IF($H40&lt;=8,"2","0")))))+0</f>
        <v>4</v>
      </c>
      <c r="AN40" s="220">
        <f>SUM(AK40:AM40)</f>
        <v>8</v>
      </c>
      <c r="AO40" s="228" t="s">
        <v>590</v>
      </c>
      <c r="AP40" s="230" t="e">
        <f>(IF($E40&lt;=0,"0",IF($E40&lt;=20,"168",IF($E40&lt;=30,"165",IF($E40&lt;=50,"155",IF($E40&lt;=60,"135",IF($E40&lt;=70,"105",IF($E40&lt;=80,"60","0"))))))))+0</f>
        <v>#VALUE!</v>
      </c>
      <c r="AQ40" s="219" t="s">
        <v>573</v>
      </c>
      <c r="AR40" s="228" t="e">
        <f>(IF($E40&lt;=0,"0",IF($E40&lt;=80,"6","0")))+0</f>
        <v>#VALUE!</v>
      </c>
      <c r="AS40" s="228" t="e">
        <f>(IF($E40&lt;=0,"0",IF($E40&lt;=60,"9",IF($E40&lt;=70,"6","0"))))+0</f>
        <v>#VALUE!</v>
      </c>
      <c r="AT40" s="228" t="e">
        <f>(IF($E40&lt;=0,"0",IF($E40&lt;=40,"9",IF($E40&lt;=50,"6","0"))))+0</f>
        <v>#VALUE!</v>
      </c>
      <c r="AU40" s="231" t="e">
        <f>(IF($E40&lt;=0,"0",IF($E40&lt;=20,"1","0")))+0</f>
        <v>#VALUE!</v>
      </c>
      <c r="AV40" s="219" t="s">
        <v>207</v>
      </c>
      <c r="AW40" s="228" t="e">
        <f>(IF($E40&lt;=0,"0",IF($E40&lt;=70,"36",IF($E40&lt;=80,"24","0"))))+0</f>
        <v>#VALUE!</v>
      </c>
      <c r="AX40" s="228" t="e">
        <f>(IF($E40&lt;=0,"0",IF($E40&lt;=50,"30",IF($E40&lt;=60,"18","0"))))+0</f>
        <v>#VALUE!</v>
      </c>
      <c r="AY40" s="228" t="e">
        <f>(IF($E40&lt;=0,"0",IF($E40&lt;=20,"18",IF($E40&lt;=40,"15","0"))))+0</f>
        <v>#VALUE!</v>
      </c>
      <c r="AZ40" s="232">
        <f>Summary2831[[#This Row],[3*2]]+Summary2831[[#This Row],[3*22]]+Summary2831[[#This Row],[3*23]]</f>
        <v>19</v>
      </c>
      <c r="BA40" s="233">
        <f>Summary2831[[#This Row],[2*2]]+Summary2831[[#This Row],[2*23]]+Summary2831[[#This Row],[2*24]]</f>
        <v>22</v>
      </c>
      <c r="BB40" s="233">
        <f>Summary2831[[#This Row],[1*2]]+Summary2831[[#This Row],[1*24]]+Summary2831[[#This Row],[1*25]]</f>
        <v>6</v>
      </c>
      <c r="BC40" s="234">
        <f>IF($F40&lt;=0,"0",IF($F40&lt;=6,"19",IF($F40&lt;=7,"18",IF($F40&lt;=8,"9",0))))+0</f>
        <v>19</v>
      </c>
      <c r="BD40" s="234">
        <f>IF($F40&lt;=0,"0",IF($F40&lt;=2,"22",IF($F40&lt;=3,"19",IF($F40&lt;=4,"15",IF($F40&lt;=5,"9",0)))))+0</f>
        <v>22</v>
      </c>
      <c r="BE40" s="234">
        <f>IF($F40&lt;=0,"0",IF($F40&lt;=1,"6",0))+0</f>
        <v>6</v>
      </c>
      <c r="BF40" s="234">
        <f>IF($G40&lt;=0,"0",IF($G40&lt;=6,"19",IF($G40&lt;=7,"18",IF($G40&lt;=8,"9",0))))+0</f>
        <v>0</v>
      </c>
      <c r="BG40" s="234">
        <f>IF($G40&lt;=0,"0",IF($G40&lt;=2,"22",IF($G40&lt;=3,"19",IF($G40&lt;=4,"15",IF($G40&lt;=5,"9",0)))))+0</f>
        <v>0</v>
      </c>
      <c r="BH40" s="234">
        <f>IF($G40&lt;=0,"0",IF($G40&lt;=1,"6",0))+0</f>
        <v>0</v>
      </c>
      <c r="BI40" s="234">
        <f>IF($H40&lt;=0,"0",IF($H40&lt;=6,"19",IF($H40&lt;=7,"18",IF($H40&lt;=8,"9",0))))+0</f>
        <v>19</v>
      </c>
      <c r="BJ40" s="234">
        <f>IF($H40&lt;=0,"0",IF($H40&lt;=2,"22",IF($H40&lt;=3,"19",IF($H40&lt;=4,"15",IF($H40&lt;=5,"9",0)))))+0</f>
        <v>9</v>
      </c>
      <c r="BK40" s="234">
        <f>IF($H40&lt;=0,"0",IF($H40&lt;=1,"6",0))+0</f>
        <v>0</v>
      </c>
      <c r="BL40" s="219">
        <f>SUM(Summary2831[[#This Row],[3*
(Tal)]],Summary2831[[#This Row],[3*
(Asc)]])</f>
        <v>19</v>
      </c>
      <c r="BM40" s="228">
        <f>SUM(Summary2831[[#This Row],[2*
(Tal)]],Summary2831[[#This Row],[2*
(Asc)]])</f>
        <v>22</v>
      </c>
      <c r="BN40" s="231">
        <f>SUM(Summary2831[[#This Row],[1*
(Tal)]],Summary2831[[#This Row],[1*
(Asc)]])</f>
        <v>6</v>
      </c>
      <c r="BO40" s="235" t="e">
        <f>(IF($E40&lt;=0,"0",IF($E40&lt;=1,"2092530",IF($E40&lt;=10,"2087525",IF($E40&lt;=20,"2068495",IF($E40&lt;=30,"2005910",IF($E40&lt;=40,"1932830",IF($E40&lt;=50,"1777010",IF($E40&lt;=60,"1546185",IF($E40&lt;=70,"1227000",IF($E40&lt;=80,"804625",IF($E40&lt;=81,"647990",IF($E40&lt;=90,"0",0)))))))))))))+0</f>
        <v>#VALUE!</v>
      </c>
      <c r="BP40" s="236">
        <f>(IF($F40&lt;=0,"0",IF($F40&lt;=1,"952500",IF($F40&lt;=2,"940000",IF($F40&lt;=3,"922500",IF($F40&lt;=4,"897500",IF($F40&lt;=5,"867500",IF($F40&lt;=6,"830000",IF($F40&lt;=7,"710000",IF($F40&lt;=8,"450000",0))))))))))+0</f>
        <v>952500</v>
      </c>
      <c r="BQ40" s="236">
        <f>(IF($G40&lt;=0,"0",IF($G40&lt;=1,"952500",IF($G40&lt;=2,"940000",IF($G40&lt;=3,"922500",IF($G40&lt;=4,"897500",IF($G40&lt;=5,"867500",IF($G40&lt;=6,"830000",IF($G40&lt;=7,"710000",IF($G40&lt;=8,"450000",0))))))))))+0</f>
        <v>0</v>
      </c>
      <c r="BR40" s="236">
        <f>(IF($H40&lt;=0,"0",IF($H40&lt;=1,"952500",IF($H40&lt;=2,"940000",IF($H40&lt;=3,"922500",IF($H40&lt;=4,"897500",IF($H40&lt;=5,"867500",IF($H40&lt;=6,"830000",IF($H40&lt;=7,"710000",IF($H40&lt;=8,"450000",0))))))))))+0</f>
        <v>867500</v>
      </c>
      <c r="BS40" s="237" t="e">
        <f>SUM(BO40,BP40,BQ40,BR40)</f>
        <v>#VALUE!</v>
      </c>
    </row>
    <row r="41" spans="1:71" ht="30" customHeight="1">
      <c r="A41" s="196">
        <f ca="1">SUBTOTAL(3,$C$3:Character[[#This Row],[Name]])</f>
        <v>39</v>
      </c>
      <c r="B41" s="192" t="e" vm="601">
        <f>ImgDatabase!D41</f>
        <v>#VALUE!</v>
      </c>
      <c r="C41" s="197" t="s">
        <v>202</v>
      </c>
      <c r="D41" s="194" t="e" vm="19">
        <f>IFERROR(INDEX(CharacterDetailss[Element], MATCH(Character[[#This Row],[Name]], CharacterDetailss[Name], 0)), "")</f>
        <v>#VALUE!</v>
      </c>
      <c r="E41" s="194" t="e" vm="3">
        <f>IFERROR(INDEX(CharacterDetailss[Weapon Type], MATCH(Character[[#This Row],[Name]], CharacterDetailss[Name], 0)), "")</f>
        <v>#VALUE!</v>
      </c>
      <c r="F41" s="198">
        <v>3.7</v>
      </c>
      <c r="G41" s="14">
        <v>21</v>
      </c>
      <c r="H41" s="9">
        <v>1</v>
      </c>
      <c r="I41" s="2">
        <v>1</v>
      </c>
      <c r="J41" s="10">
        <v>1</v>
      </c>
      <c r="L41" s="75">
        <v>81</v>
      </c>
      <c r="M41" s="73">
        <v>1</v>
      </c>
      <c r="N41" s="74">
        <v>9</v>
      </c>
      <c r="O41" s="74">
        <v>9</v>
      </c>
      <c r="Q41" s="210" t="e" vm="362">
        <f>IFERROR(INDEX(ImgDatabase!$O:$O, MATCH(WorldBoss[[#This Row],[Boss Name]], ImgDatabase!$P:$P, 0)), "")</f>
        <v>#VALUE!</v>
      </c>
      <c r="R41" s="208" t="s">
        <v>106</v>
      </c>
      <c r="S41" s="298" t="e">
        <f>(IF($E41&lt;=0,"0",IF($E41&lt;=40,"46",IF($E41&lt;=50,"44",IF($E41&lt;=60,"40",IF($E41&lt;=70,"32",IF($E41&lt;=80,"20","0")))))))+0</f>
        <v>#VALUE!</v>
      </c>
      <c r="U4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90</v>
      </c>
      <c r="V41" s="202" t="s">
        <v>578</v>
      </c>
      <c r="W41" s="203">
        <f>Z41+AC41+AF41</f>
        <v>44</v>
      </c>
      <c r="X41" s="203">
        <f>AA41+AD41+AG41</f>
        <v>36</v>
      </c>
      <c r="Y41" s="201">
        <f>AB41+AE41+AH41</f>
        <v>3</v>
      </c>
      <c r="Z41" s="204">
        <f>(IF($F41&lt;=0,"0",IF($F41&lt;=6,"22",IF($F41&lt;=7,"18",IF($F41&lt;=8,"12",0)))))+0</f>
        <v>22</v>
      </c>
      <c r="AA41" s="205">
        <f>(IF($F41&lt;=0,"0",IF($F41&lt;=2,"21",IF($F41&lt;=3,"19",IF($F41&lt;=4,"15",IF($F41&lt;=5,"9",0))))))+0</f>
        <v>15</v>
      </c>
      <c r="AB41" s="205">
        <f>(IF($F41&lt;=0,"0",IF($F41&lt;=1,"3",0)))+0</f>
        <v>0</v>
      </c>
      <c r="AC41" s="205">
        <f>(IF($G41&lt;=0,"0",IF($G41&lt;=6,"22",IF($G41&lt;=7,"18",IF($G41&lt;=8,"12",0)))))+0</f>
        <v>0</v>
      </c>
      <c r="AD41" s="205">
        <f>(IF($G41&lt;=0,"0",IF($G41&lt;=2,"21",IF($G41&lt;=3,"19",IF($G41&lt;=4,"15",IF($G41&lt;=5,"9",0))))))+0</f>
        <v>0</v>
      </c>
      <c r="AE41" s="205">
        <f>(IF($G41&lt;=0,"0",IF($G41&lt;=1,"3",0)))+0</f>
        <v>0</v>
      </c>
      <c r="AF41" s="205">
        <f>(IF($H41&lt;=0,"0",IF($H41&lt;=6,"22",IF($H41&lt;=7,"18",IF($H41&lt;=8,"12",0)))))+0</f>
        <v>22</v>
      </c>
      <c r="AG41" s="205">
        <f>(IF($H41&lt;=0,"0",IF($H41&lt;=2,"21",IF($H41&lt;=3,"19",IF($H41&lt;=4,"15",IF($H41&lt;=5,"9",0))))))+0</f>
        <v>21</v>
      </c>
      <c r="AH41" s="206">
        <f>(IF($H41&lt;=0,"0",IF($H41&lt;=1,"3",0)))+0</f>
        <v>3</v>
      </c>
      <c r="AI41" s="207" t="s">
        <v>543</v>
      </c>
      <c r="AJ41" s="208" t="s">
        <v>544</v>
      </c>
      <c r="AK41" s="209">
        <f>(IF($F41&lt;=0,"0",IF($F41&lt;=6,"4",IF($F41&lt;=7,"3",IF($F41&lt;=8,"2","0")))))+0</f>
        <v>4</v>
      </c>
      <c r="AL41" s="209">
        <f>(IF($G41&lt;=0,"0",IF($G41&lt;=6,"4",IF($G41&lt;=7,"3",IF($G41&lt;=8,"2","0")))))+0</f>
        <v>0</v>
      </c>
      <c r="AM41" s="209">
        <f>(IF($H41&lt;=0,"0",IF($H41&lt;=6,"4",IF($H41&lt;=7,"3",IF($H41&lt;=8,"2","0")))))+0</f>
        <v>4</v>
      </c>
      <c r="AN41" s="200">
        <f>SUM(AK41:AM41)</f>
        <v>8</v>
      </c>
      <c r="AO41" s="208" t="s">
        <v>563</v>
      </c>
      <c r="AP41" s="210" t="e">
        <f>(IF($E41&lt;=0,"0",IF($E41&lt;=20,"168",IF($E41&lt;=30,"165",IF($E41&lt;=50,"155",IF($E41&lt;=60,"135",IF($E41&lt;=70,"105",IF($E41&lt;=80,"60","0"))))))))+0</f>
        <v>#VALUE!</v>
      </c>
      <c r="AQ41" s="199" t="s">
        <v>548</v>
      </c>
      <c r="AR41" s="208" t="e">
        <f>(IF($E41&lt;=0,"0",IF($E41&lt;=80,"6","0")))+0</f>
        <v>#VALUE!</v>
      </c>
      <c r="AS41" s="208" t="e">
        <f>(IF($E41&lt;=0,"0",IF($E41&lt;=60,"9",IF($E41&lt;=70,"6","0"))))+0</f>
        <v>#VALUE!</v>
      </c>
      <c r="AT41" s="208" t="e">
        <f>(IF($E41&lt;=0,"0",IF($E41&lt;=40,"9",IF($E41&lt;=50,"6","0"))))+0</f>
        <v>#VALUE!</v>
      </c>
      <c r="AU41" s="211" t="e">
        <f>(IF($E41&lt;=0,"0",IF($E41&lt;=20,"1","0")))+0</f>
        <v>#VALUE!</v>
      </c>
      <c r="AV41" s="199" t="s">
        <v>264</v>
      </c>
      <c r="AW41" s="208" t="e">
        <f>(IF($E41&lt;=0,"0",IF($E41&lt;=70,"36",IF($E41&lt;=80,"24","0"))))+0</f>
        <v>#VALUE!</v>
      </c>
      <c r="AX41" s="208" t="e">
        <f>(IF($E41&lt;=0,"0",IF($E41&lt;=50,"30",IF($E41&lt;=60,"18","0"))))+0</f>
        <v>#VALUE!</v>
      </c>
      <c r="AY41" s="208" t="e">
        <f>(IF($E41&lt;=0,"0",IF($E41&lt;=20,"18",IF($E41&lt;=40,"15","0"))))+0</f>
        <v>#VALUE!</v>
      </c>
      <c r="AZ41" s="212">
        <f>Summary2831[[#This Row],[3*2]]+Summary2831[[#This Row],[3*22]]+Summary2831[[#This Row],[3*23]]</f>
        <v>57</v>
      </c>
      <c r="BA41" s="213">
        <f>Summary2831[[#This Row],[2*2]]+Summary2831[[#This Row],[2*23]]+Summary2831[[#This Row],[2*24]]</f>
        <v>18</v>
      </c>
      <c r="BB41" s="213">
        <f>Summary2831[[#This Row],[1*2]]+Summary2831[[#This Row],[1*24]]+Summary2831[[#This Row],[1*25]]</f>
        <v>0</v>
      </c>
      <c r="BC41" s="215">
        <f>IF($F41&lt;=0,"0",IF($F41&lt;=6,"19",IF($F41&lt;=7,"18",IF($F41&lt;=8,"9",0))))+0</f>
        <v>19</v>
      </c>
      <c r="BD41" s="215">
        <f>IF($F41&lt;=0,"0",IF($F41&lt;=2,"22",IF($F41&lt;=3,"19",IF($F41&lt;=4,"15",IF($F41&lt;=5,"9",0)))))+0</f>
        <v>15</v>
      </c>
      <c r="BE41" s="215">
        <f>IF($F41&lt;=0,"0",IF($F41&lt;=1,"6",0))+0</f>
        <v>0</v>
      </c>
      <c r="BF41" s="215">
        <f>IF($G41&lt;=0,"0",IF($G41&lt;=6,"19",IF($G41&lt;=7,"18",IF($G41&lt;=8,"9",0))))+0</f>
        <v>0</v>
      </c>
      <c r="BG41" s="215">
        <f>IF($G41&lt;=0,"0",IF($G41&lt;=2,"22",IF($G41&lt;=3,"19",IF($G41&lt;=4,"15",IF($G41&lt;=5,"9",0)))))+0</f>
        <v>0</v>
      </c>
      <c r="BH41" s="215">
        <f>IF($G41&lt;=0,"0",IF($G41&lt;=1,"6",0))+0</f>
        <v>0</v>
      </c>
      <c r="BI41" s="215">
        <f>IF($H41&lt;=0,"0",IF($H41&lt;=6,"19",IF($H41&lt;=7,"18",IF($H41&lt;=8,"9",0))))+0</f>
        <v>19</v>
      </c>
      <c r="BJ41" s="215">
        <f>IF($H41&lt;=0,"0",IF($H41&lt;=2,"22",IF($H41&lt;=3,"19",IF($H41&lt;=4,"15",IF($H41&lt;=5,"9",0)))))+0</f>
        <v>22</v>
      </c>
      <c r="BK41" s="215">
        <f>IF($H41&lt;=0,"0",IF($H41&lt;=1,"6",0))+0</f>
        <v>6</v>
      </c>
      <c r="BL41" s="199">
        <f>SUM(Summary2831[[#This Row],[3*
(Tal)]],Summary2831[[#This Row],[3*
(Asc)]])</f>
        <v>93</v>
      </c>
      <c r="BM41" s="208">
        <f>SUM(Summary2831[[#This Row],[2*
(Tal)]],Summary2831[[#This Row],[2*
(Asc)]])</f>
        <v>18</v>
      </c>
      <c r="BN41" s="211">
        <f>SUM(Summary2831[[#This Row],[1*
(Tal)]],Summary2831[[#This Row],[1*
(Asc)]])</f>
        <v>0</v>
      </c>
      <c r="BO41" s="216" t="e">
        <f>(IF($E41&lt;=0,"0",IF($E41&lt;=1,"2092530",IF($E41&lt;=10,"2087525",IF($E41&lt;=20,"2068495",IF($E41&lt;=30,"2005910",IF($E41&lt;=40,"1932830",IF($E41&lt;=50,"1777010",IF($E41&lt;=60,"1546185",IF($E41&lt;=70,"1227000",IF($E41&lt;=80,"804625",IF($E41&lt;=81,"647990",IF($E41&lt;=90,"0",0)))))))))))))+0</f>
        <v>#VALUE!</v>
      </c>
      <c r="BP41" s="217">
        <f>(IF($F41&lt;=0,"0",IF($F41&lt;=1,"952500",IF($F41&lt;=2,"940000",IF($F41&lt;=3,"922500",IF($F41&lt;=4,"897500",IF($F41&lt;=5,"867500",IF($F41&lt;=6,"830000",IF($F41&lt;=7,"710000",IF($F41&lt;=8,"450000",0))))))))))+0</f>
        <v>897500</v>
      </c>
      <c r="BQ41" s="217">
        <f>(IF($G41&lt;=0,"0",IF($G41&lt;=1,"952500",IF($G41&lt;=2,"940000",IF($G41&lt;=3,"922500",IF($G41&lt;=4,"897500",IF($G41&lt;=5,"867500",IF($G41&lt;=6,"830000",IF($G41&lt;=7,"710000",IF($G41&lt;=8,"450000",0))))))))))+0</f>
        <v>0</v>
      </c>
      <c r="BR41" s="217">
        <f>(IF($H41&lt;=0,"0",IF($H41&lt;=1,"952500",IF($H41&lt;=2,"940000",IF($H41&lt;=3,"922500",IF($H41&lt;=4,"897500",IF($H41&lt;=5,"867500",IF($H41&lt;=6,"830000",IF($H41&lt;=7,"710000",IF($H41&lt;=8,"450000",0))))))))))+0</f>
        <v>952500</v>
      </c>
      <c r="BS41" s="218" t="e">
        <f>SUM(BO41,BP41,BQ41,BR41)</f>
        <v>#VALUE!</v>
      </c>
    </row>
    <row r="42" spans="1:71" s="81" customFormat="1" ht="30" customHeight="1">
      <c r="A42" s="192">
        <f ca="1">SUBTOTAL(3,$C$3:Character[[#This Row],[Name]])</f>
        <v>40</v>
      </c>
      <c r="B42" s="192" t="e" vm="602">
        <f>ImgDatabase!D42</f>
        <v>#VALUE!</v>
      </c>
      <c r="C42" s="193" t="s">
        <v>428</v>
      </c>
      <c r="D42" s="194" t="e" vm="31">
        <f>IFERROR(INDEX(CharacterDetailss[Element], MATCH(Character[[#This Row],[Name]], CharacterDetailss[Name], 0)), "")</f>
        <v>#VALUE!</v>
      </c>
      <c r="E42" s="194" t="e" vm="312">
        <f>IFERROR(INDEX(CharacterDetailss[Weapon Type], MATCH(Character[[#This Row],[Name]], CharacterDetailss[Name], 0)), "")</f>
        <v>#VALUE!</v>
      </c>
      <c r="F42" s="198">
        <v>1</v>
      </c>
      <c r="G42" s="72">
        <v>0</v>
      </c>
      <c r="H42" s="73">
        <v>0</v>
      </c>
      <c r="I42" s="74">
        <v>0</v>
      </c>
      <c r="J42" s="75">
        <v>0</v>
      </c>
      <c r="K42"/>
      <c r="L42" s="75">
        <v>81</v>
      </c>
      <c r="M42" s="73">
        <v>1</v>
      </c>
      <c r="N42" s="74">
        <v>9</v>
      </c>
      <c r="O42" s="74">
        <v>9</v>
      </c>
      <c r="P42"/>
      <c r="Q42" s="258" t="e" vm="482">
        <f>IFERROR(INDEX(ImgDatabase!$O:$O, MATCH(WorldBoss[[#This Row],[Boss Name]], ImgDatabase!$P:$P, 0)), "")</f>
        <v>#VALUE!</v>
      </c>
      <c r="R42" s="257" t="s">
        <v>293</v>
      </c>
      <c r="S42" s="301" t="e">
        <f>(IF($E42&lt;=0,"0",IF($E42&lt;=40,"46",IF($E42&lt;=50,"44",IF($E42&lt;=60,"40",IF($E42&lt;=70,"32",IF($E42&lt;=80,"20","0")))))))+0</f>
        <v>#VALUE!</v>
      </c>
      <c r="T42"/>
      <c r="U4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42" s="253" t="s">
        <v>582</v>
      </c>
      <c r="W42" s="254">
        <f>Z42+AC42+AF42</f>
        <v>22</v>
      </c>
      <c r="X42" s="254">
        <f>AA42+AD42+AG42</f>
        <v>21</v>
      </c>
      <c r="Y42" s="255">
        <f>AB42+AE42+AH42</f>
        <v>3</v>
      </c>
      <c r="Z42" s="224">
        <f>(IF($F42&lt;=0,"0",IF($F42&lt;=6,"22",IF($F42&lt;=7,"18",IF($F42&lt;=8,"12",0)))))+0</f>
        <v>22</v>
      </c>
      <c r="AA42" s="225">
        <f>(IF($F42&lt;=0,"0",IF($F42&lt;=2,"21",IF($F42&lt;=3,"19",IF($F42&lt;=4,"15",IF($F42&lt;=5,"9",0))))))+0</f>
        <v>21</v>
      </c>
      <c r="AB42" s="225">
        <f>(IF($F42&lt;=0,"0",IF($F42&lt;=1,"3",0)))+0</f>
        <v>3</v>
      </c>
      <c r="AC42" s="225">
        <f>(IF($G42&lt;=0,"0",IF($G42&lt;=6,"22",IF($G42&lt;=7,"18",IF($G42&lt;=8,"12",0)))))+0</f>
        <v>0</v>
      </c>
      <c r="AD42" s="225">
        <f>(IF($G42&lt;=0,"0",IF($G42&lt;=2,"21",IF($G42&lt;=3,"19",IF($G42&lt;=4,"15",IF($G42&lt;=5,"9",0))))))+0</f>
        <v>0</v>
      </c>
      <c r="AE42" s="225">
        <f>(IF($G42&lt;=0,"0",IF($G42&lt;=1,"3",0)))+0</f>
        <v>0</v>
      </c>
      <c r="AF42" s="225">
        <f>(IF($H42&lt;=0,"0",IF($H42&lt;=6,"22",IF($H42&lt;=7,"18",IF($H42&lt;=8,"12",0)))))+0</f>
        <v>0</v>
      </c>
      <c r="AG42" s="225">
        <f>(IF($H42&lt;=0,"0",IF($H42&lt;=2,"21",IF($H42&lt;=3,"19",IF($H42&lt;=4,"15",IF($H42&lt;=5,"9",0))))))+0</f>
        <v>0</v>
      </c>
      <c r="AH42" s="226">
        <f>(IF($H42&lt;=0,"0",IF($H42&lt;=1,"3",0)))+0</f>
        <v>0</v>
      </c>
      <c r="AI42" s="256" t="s">
        <v>541</v>
      </c>
      <c r="AJ42" s="257" t="s">
        <v>295</v>
      </c>
      <c r="AK42" s="229">
        <f>(IF($F42&lt;=0,"0",IF($F42&lt;=6,"4",IF($F42&lt;=7,"3",IF($F42&lt;=8,"2","0")))))+0</f>
        <v>4</v>
      </c>
      <c r="AL42" s="229">
        <f>(IF($G42&lt;=0,"0",IF($G42&lt;=6,"4",IF($G42&lt;=7,"3",IF($G42&lt;=8,"2","0")))))+0</f>
        <v>0</v>
      </c>
      <c r="AM42" s="229">
        <f>(IF($H42&lt;=0,"0",IF($H42&lt;=6,"4",IF($H42&lt;=7,"3",IF($H42&lt;=8,"2","0")))))+0</f>
        <v>0</v>
      </c>
      <c r="AN42" s="252">
        <f>SUM(AK42:AM42)</f>
        <v>4</v>
      </c>
      <c r="AO42" s="257" t="s">
        <v>591</v>
      </c>
      <c r="AP42" s="258" t="e">
        <f>(IF($E42&lt;=0,"0",IF($E42&lt;=20,"168",IF($E42&lt;=30,"165",IF($E42&lt;=50,"155",IF($E42&lt;=60,"135",IF($E42&lt;=70,"105",IF($E42&lt;=80,"60","0"))))))))+0</f>
        <v>#VALUE!</v>
      </c>
      <c r="AQ42" s="251" t="s">
        <v>526</v>
      </c>
      <c r="AR42" s="257" t="e">
        <f>(IF($E42&lt;=0,"0",IF($E42&lt;=80,"6","0")))+0</f>
        <v>#VALUE!</v>
      </c>
      <c r="AS42" s="257" t="e">
        <f>(IF($E42&lt;=0,"0",IF($E42&lt;=60,"9",IF($E42&lt;=70,"6","0"))))+0</f>
        <v>#VALUE!</v>
      </c>
      <c r="AT42" s="257" t="e">
        <f>(IF($E42&lt;=0,"0",IF($E42&lt;=40,"9",IF($E42&lt;=50,"6","0"))))+0</f>
        <v>#VALUE!</v>
      </c>
      <c r="AU42" s="259" t="e">
        <f>(IF($E42&lt;=0,"0",IF($E42&lt;=20,"1","0")))+0</f>
        <v>#VALUE!</v>
      </c>
      <c r="AV42" s="251" t="s">
        <v>311</v>
      </c>
      <c r="AW42" s="257" t="e">
        <f>(IF($E42&lt;=0,"0",IF($E42&lt;=70,"36",IF($E42&lt;=80,"24","0"))))+0</f>
        <v>#VALUE!</v>
      </c>
      <c r="AX42" s="257" t="e">
        <f>(IF($E42&lt;=0,"0",IF($E42&lt;=50,"30",IF($E42&lt;=60,"18","0"))))+0</f>
        <v>#VALUE!</v>
      </c>
      <c r="AY42" s="257" t="e">
        <f>(IF($E42&lt;=0,"0",IF($E42&lt;=20,"18",IF($E42&lt;=40,"15","0"))))+0</f>
        <v>#VALUE!</v>
      </c>
      <c r="AZ42" s="260">
        <f>Summary2831[[#This Row],[3*2]]+Summary2831[[#This Row],[3*22]]+Summary2831[[#This Row],[3*23]]</f>
        <v>57</v>
      </c>
      <c r="BA42" s="261">
        <f>Summary2831[[#This Row],[2*2]]+Summary2831[[#This Row],[2*23]]+Summary2831[[#This Row],[2*24]]</f>
        <v>66</v>
      </c>
      <c r="BB42" s="261">
        <f>Summary2831[[#This Row],[1*2]]+Summary2831[[#This Row],[1*24]]+Summary2831[[#This Row],[1*25]]</f>
        <v>18</v>
      </c>
      <c r="BC42" s="261">
        <f>IF($F42&lt;=0,"0",IF($F42&lt;=6,"19",IF($F42&lt;=7,"18",IF($F42&lt;=8,"9",0))))+0</f>
        <v>19</v>
      </c>
      <c r="BD42" s="261">
        <f>IF($F42&lt;=0,"0",IF($F42&lt;=2,"22",IF($F42&lt;=3,"19",IF($F42&lt;=4,"15",IF($F42&lt;=5,"9",0)))))+0</f>
        <v>22</v>
      </c>
      <c r="BE42" s="261">
        <f>IF($F42&lt;=0,"0",IF($F42&lt;=1,"6",0))+0</f>
        <v>6</v>
      </c>
      <c r="BF42" s="261">
        <f>IF($G42&lt;=0,"0",IF($G42&lt;=6,"19",IF($G42&lt;=7,"18",IF($G42&lt;=8,"9",0))))+0</f>
        <v>0</v>
      </c>
      <c r="BG42" s="261">
        <f>IF($G42&lt;=0,"0",IF($G42&lt;=2,"22",IF($G42&lt;=3,"19",IF($G42&lt;=4,"15",IF($G42&lt;=5,"9",0)))))+0</f>
        <v>0</v>
      </c>
      <c r="BH42" s="261">
        <f>IF($G42&lt;=0,"0",IF($G42&lt;=1,"6",0))+0</f>
        <v>0</v>
      </c>
      <c r="BI42" s="261">
        <f>IF($H42&lt;=0,"0",IF($H42&lt;=6,"19",IF($H42&lt;=7,"18",IF($H42&lt;=8,"9",0))))+0</f>
        <v>0</v>
      </c>
      <c r="BJ42" s="261">
        <f>IF($H42&lt;=0,"0",IF($H42&lt;=2,"22",IF($H42&lt;=3,"19",IF($H42&lt;=4,"15",IF($H42&lt;=5,"9",0)))))+0</f>
        <v>0</v>
      </c>
      <c r="BK42" s="261">
        <f>IF($H42&lt;=0,"0",IF($H42&lt;=1,"6",0))+0</f>
        <v>0</v>
      </c>
      <c r="BL42" s="251">
        <f>SUM(Summary2831[[#This Row],[3*
(Tal)]],Summary2831[[#This Row],[3*
(Asc)]])</f>
        <v>93</v>
      </c>
      <c r="BM42" s="257">
        <f>SUM(Summary2831[[#This Row],[2*
(Tal)]],Summary2831[[#This Row],[2*
(Asc)]])</f>
        <v>96</v>
      </c>
      <c r="BN42" s="259">
        <f>SUM(Summary2831[[#This Row],[1*
(Tal)]],Summary2831[[#This Row],[1*
(Asc)]])</f>
        <v>33</v>
      </c>
      <c r="BO42" s="235" t="e">
        <f>(IF($E42&lt;=0,"0",IF($E42&lt;=1,"2092530",IF($E42&lt;=10,"2087525",IF($E42&lt;=20,"2068495",IF($E42&lt;=30,"2005910",IF($E42&lt;=40,"1932830",IF($E42&lt;=50,"1777010",IF($E42&lt;=60,"1546185",IF($E42&lt;=70,"1227000",IF($E42&lt;=80,"804625",IF($E42&lt;=81,"647990",IF($E42&lt;=90,"0",0)))))))))))))+0</f>
        <v>#VALUE!</v>
      </c>
      <c r="BP42" s="262">
        <f>(IF($F42&lt;=0,"0",IF($F42&lt;=1,"952500",IF($F42&lt;=2,"940000",IF($F42&lt;=3,"922500",IF($F42&lt;=4,"897500",IF($F42&lt;=5,"867500",IF($F42&lt;=6,"830000",IF($F42&lt;=7,"710000",IF($F42&lt;=8,"450000",0))))))))))+0</f>
        <v>952500</v>
      </c>
      <c r="BQ42" s="262">
        <f>(IF($G42&lt;=0,"0",IF($G42&lt;=1,"952500",IF($G42&lt;=2,"940000",IF($G42&lt;=3,"922500",IF($G42&lt;=4,"897500",IF($G42&lt;=5,"867500",IF($G42&lt;=6,"830000",IF($G42&lt;=7,"710000",IF($G42&lt;=8,"450000",0))))))))))+0</f>
        <v>0</v>
      </c>
      <c r="BR42" s="262">
        <f>(IF($H42&lt;=0,"0",IF($H42&lt;=1,"952500",IF($H42&lt;=2,"940000",IF($H42&lt;=3,"922500",IF($H42&lt;=4,"897500",IF($H42&lt;=5,"867500",IF($H42&lt;=6,"830000",IF($H42&lt;=7,"710000",IF($H42&lt;=8,"450000",0))))))))))+0</f>
        <v>0</v>
      </c>
      <c r="BS42" s="263" t="e">
        <f>SUM(BO42,BP42,BQ42,BR42)</f>
        <v>#VALUE!</v>
      </c>
    </row>
    <row r="43" spans="1:71" s="81" customFormat="1" ht="30" customHeight="1">
      <c r="A43" s="196">
        <f ca="1">SUBTOTAL(3,$C$3:Character[[#This Row],[Name]])</f>
        <v>41</v>
      </c>
      <c r="B43" s="192" t="e" vm="603">
        <f>ImgDatabase!D43</f>
        <v>#VALUE!</v>
      </c>
      <c r="C43" s="197" t="s">
        <v>592</v>
      </c>
      <c r="D43" s="194" t="str">
        <f>IFERROR(INDEX(CharacterDetailss[Element], MATCH(Character[[#This Row],[Name]], CharacterDetailss[Name], 0)), "")</f>
        <v/>
      </c>
      <c r="E43" s="194" t="str">
        <f>IFERROR(INDEX(CharacterDetailss[Weapon Type], MATCH(Character[[#This Row],[Name]], CharacterDetailss[Name], 0)), "")</f>
        <v/>
      </c>
      <c r="F43" s="195">
        <v>2.1</v>
      </c>
      <c r="G43" s="14">
        <v>21</v>
      </c>
      <c r="H43" s="9">
        <v>1</v>
      </c>
      <c r="I43" s="2">
        <v>1</v>
      </c>
      <c r="J43" s="10">
        <v>1</v>
      </c>
      <c r="K43"/>
      <c r="L43" s="75">
        <v>81</v>
      </c>
      <c r="M43" s="73">
        <v>1</v>
      </c>
      <c r="N43" s="74">
        <v>9</v>
      </c>
      <c r="O43" s="74">
        <v>9</v>
      </c>
      <c r="P43"/>
      <c r="Q43" s="210" t="e" vm="381">
        <f>IFERROR(INDEX(ImgDatabase!$O:$O, MATCH(WorldBoss[[#This Row],[Boss Name]], ImgDatabase!$P:$P, 0)), "")</f>
        <v>#VALUE!</v>
      </c>
      <c r="R43" s="208" t="s">
        <v>136</v>
      </c>
      <c r="S43" s="298">
        <f>(IF($E43&lt;=0,"0",IF($E43&lt;=40,"46",IF($E43&lt;=50,"44",IF($E43&lt;=60,"40",IF($E43&lt;=70,"32",IF($E43&lt;=80,"20","0")))))))+0</f>
        <v>0</v>
      </c>
      <c r="T43"/>
      <c r="U4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3" s="202" t="s">
        <v>527</v>
      </c>
      <c r="W43" s="203">
        <f>Z43+AC43+AF43</f>
        <v>44</v>
      </c>
      <c r="X43" s="203">
        <f>AA43+AD43+AG43</f>
        <v>40</v>
      </c>
      <c r="Y43" s="201">
        <f>AB43+AE43+AH43</f>
        <v>3</v>
      </c>
      <c r="Z43" s="204">
        <f>(IF($F43&lt;=0,"0",IF($F43&lt;=6,"22",IF($F43&lt;=7,"18",IF($F43&lt;=8,"12",0)))))+0</f>
        <v>22</v>
      </c>
      <c r="AA43" s="205">
        <f>(IF($F43&lt;=0,"0",IF($F43&lt;=2,"21",IF($F43&lt;=3,"19",IF($F43&lt;=4,"15",IF($F43&lt;=5,"9",0))))))+0</f>
        <v>19</v>
      </c>
      <c r="AB43" s="205">
        <f>(IF($F43&lt;=0,"0",IF($F43&lt;=1,"3",0)))+0</f>
        <v>0</v>
      </c>
      <c r="AC43" s="205">
        <f>(IF($G43&lt;=0,"0",IF($G43&lt;=6,"22",IF($G43&lt;=7,"18",IF($G43&lt;=8,"12",0)))))+0</f>
        <v>0</v>
      </c>
      <c r="AD43" s="205">
        <f>(IF($G43&lt;=0,"0",IF($G43&lt;=2,"21",IF($G43&lt;=3,"19",IF($G43&lt;=4,"15",IF($G43&lt;=5,"9",0))))))+0</f>
        <v>0</v>
      </c>
      <c r="AE43" s="205">
        <f>(IF($G43&lt;=0,"0",IF($G43&lt;=1,"3",0)))+0</f>
        <v>0</v>
      </c>
      <c r="AF43" s="205">
        <f>(IF($H43&lt;=0,"0",IF($H43&lt;=6,"22",IF($H43&lt;=7,"18",IF($H43&lt;=8,"12",0)))))+0</f>
        <v>22</v>
      </c>
      <c r="AG43" s="205">
        <f>(IF($H43&lt;=0,"0",IF($H43&lt;=2,"21",IF($H43&lt;=3,"19",IF($H43&lt;=4,"15",IF($H43&lt;=5,"9",0))))))+0</f>
        <v>21</v>
      </c>
      <c r="AH43" s="206">
        <f>(IF($H43&lt;=0,"0",IF($H43&lt;=1,"3",0)))+0</f>
        <v>3</v>
      </c>
      <c r="AI43" s="207" t="s">
        <v>543</v>
      </c>
      <c r="AJ43" s="208" t="s">
        <v>544</v>
      </c>
      <c r="AK43" s="209">
        <f>(IF($F43&lt;=0,"0",IF($F43&lt;=6,"4",IF($F43&lt;=7,"3",IF($F43&lt;=8,"2","0")))))+0</f>
        <v>4</v>
      </c>
      <c r="AL43" s="209">
        <f>(IF($G43&lt;=0,"0",IF($G43&lt;=6,"4",IF($G43&lt;=7,"3",IF($G43&lt;=8,"2","0")))))+0</f>
        <v>0</v>
      </c>
      <c r="AM43" s="209">
        <f>(IF($H43&lt;=0,"0",IF($H43&lt;=6,"4",IF($H43&lt;=7,"3",IF($H43&lt;=8,"2","0")))))+0</f>
        <v>4</v>
      </c>
      <c r="AN43" s="200">
        <f>SUM(AK43:AM43)</f>
        <v>8</v>
      </c>
      <c r="AO43" s="208" t="s">
        <v>545</v>
      </c>
      <c r="AP43" s="210">
        <f>(IF($E43&lt;=0,"0",IF($E43&lt;=20,"168",IF($E43&lt;=30,"165",IF($E43&lt;=50,"155",IF($E43&lt;=60,"135",IF($E43&lt;=70,"105",IF($E43&lt;=80,"60","0"))))))))+0</f>
        <v>0</v>
      </c>
      <c r="AQ43" s="199" t="s">
        <v>534</v>
      </c>
      <c r="AR43" s="208">
        <f>(IF($E43&lt;=0,"0",IF($E43&lt;=80,"6","0")))+0</f>
        <v>0</v>
      </c>
      <c r="AS43" s="208">
        <f>(IF($E43&lt;=0,"0",IF($E43&lt;=60,"9",IF($E43&lt;=70,"6","0"))))+0</f>
        <v>0</v>
      </c>
      <c r="AT43" s="208">
        <f>(IF($E43&lt;=0,"0",IF($E43&lt;=40,"9",IF($E43&lt;=50,"6","0"))))+0</f>
        <v>0</v>
      </c>
      <c r="AU43" s="211">
        <f>(IF($E43&lt;=0,"0",IF($E43&lt;=20,"1","0")))+0</f>
        <v>0</v>
      </c>
      <c r="AV43" s="199" t="s">
        <v>149</v>
      </c>
      <c r="AW43" s="208">
        <f>(IF($E43&lt;=0,"0",IF($E43&lt;=70,"36",IF($E43&lt;=80,"24","0"))))+0</f>
        <v>0</v>
      </c>
      <c r="AX43" s="208">
        <f>(IF($E43&lt;=0,"0",IF($E43&lt;=50,"30",IF($E43&lt;=60,"18","0"))))+0</f>
        <v>0</v>
      </c>
      <c r="AY43" s="208">
        <f>(IF($E43&lt;=0,"0",IF($E43&lt;=20,"18",IF($E43&lt;=40,"15","0"))))+0</f>
        <v>0</v>
      </c>
      <c r="AZ43" s="212">
        <f>Summary2831[[#This Row],[3*2]]+Summary2831[[#This Row],[3*22]]+Summary2831[[#This Row],[3*23]]</f>
        <v>0</v>
      </c>
      <c r="BA43" s="213">
        <f>Summary2831[[#This Row],[2*2]]+Summary2831[[#This Row],[2*23]]+Summary2831[[#This Row],[2*24]]</f>
        <v>0</v>
      </c>
      <c r="BB43" s="213">
        <f>Summary2831[[#This Row],[1*2]]+Summary2831[[#This Row],[1*24]]+Summary2831[[#This Row],[1*25]]</f>
        <v>0</v>
      </c>
      <c r="BC43" s="215">
        <f>IF($F43&lt;=0,"0",IF($F43&lt;=6,"19",IF($F43&lt;=7,"18",IF($F43&lt;=8,"9",0))))+0</f>
        <v>19</v>
      </c>
      <c r="BD43" s="215">
        <f>IF($F43&lt;=0,"0",IF($F43&lt;=2,"22",IF($F43&lt;=3,"19",IF($F43&lt;=4,"15",IF($F43&lt;=5,"9",0)))))+0</f>
        <v>19</v>
      </c>
      <c r="BE43" s="215">
        <f>IF($F43&lt;=0,"0",IF($F43&lt;=1,"6",0))+0</f>
        <v>0</v>
      </c>
      <c r="BF43" s="215">
        <f>IF($G43&lt;=0,"0",IF($G43&lt;=6,"19",IF($G43&lt;=7,"18",IF($G43&lt;=8,"9",0))))+0</f>
        <v>0</v>
      </c>
      <c r="BG43" s="215">
        <f>IF($G43&lt;=0,"0",IF($G43&lt;=2,"22",IF($G43&lt;=3,"19",IF($G43&lt;=4,"15",IF($G43&lt;=5,"9",0)))))+0</f>
        <v>0</v>
      </c>
      <c r="BH43" s="215">
        <f>IF($G43&lt;=0,"0",IF($G43&lt;=1,"6",0))+0</f>
        <v>0</v>
      </c>
      <c r="BI43" s="215">
        <f>IF($H43&lt;=0,"0",IF($H43&lt;=6,"19",IF($H43&lt;=7,"18",IF($H43&lt;=8,"9",0))))+0</f>
        <v>19</v>
      </c>
      <c r="BJ43" s="215">
        <f>IF($H43&lt;=0,"0",IF($H43&lt;=2,"22",IF($H43&lt;=3,"19",IF($H43&lt;=4,"15",IF($H43&lt;=5,"9",0)))))+0</f>
        <v>22</v>
      </c>
      <c r="BK43" s="215">
        <f>IF($H43&lt;=0,"0",IF($H43&lt;=1,"6",0))+0</f>
        <v>6</v>
      </c>
      <c r="BL43" s="199">
        <f>SUM(Summary2831[[#This Row],[3*
(Tal)]],Summary2831[[#This Row],[3*
(Asc)]])</f>
        <v>0</v>
      </c>
      <c r="BM43" s="208">
        <f>SUM(Summary2831[[#This Row],[2*
(Tal)]],Summary2831[[#This Row],[2*
(Asc)]])</f>
        <v>0</v>
      </c>
      <c r="BN43" s="211">
        <f>SUM(Summary2831[[#This Row],[1*
(Tal)]],Summary2831[[#This Row],[1*
(Asc)]])</f>
        <v>0</v>
      </c>
      <c r="BO43" s="216">
        <f>(IF($E43&lt;=0,"0",IF($E43&lt;=1,"2092530",IF($E43&lt;=10,"2087525",IF($E43&lt;=20,"2068495",IF($E43&lt;=30,"2005910",IF($E43&lt;=40,"1932830",IF($E43&lt;=50,"1777010",IF($E43&lt;=60,"1546185",IF($E43&lt;=70,"1227000",IF($E43&lt;=80,"804625",IF($E43&lt;=81,"647990",IF($E43&lt;=90,"0",0)))))))))))))+0</f>
        <v>0</v>
      </c>
      <c r="BP43" s="217">
        <f>(IF($F43&lt;=0,"0",IF($F43&lt;=1,"952500",IF($F43&lt;=2,"940000",IF($F43&lt;=3,"922500",IF($F43&lt;=4,"897500",IF($F43&lt;=5,"867500",IF($F43&lt;=6,"830000",IF($F43&lt;=7,"710000",IF($F43&lt;=8,"450000",0))))))))))+0</f>
        <v>922500</v>
      </c>
      <c r="BQ43" s="217">
        <f>(IF($G43&lt;=0,"0",IF($G43&lt;=1,"952500",IF($G43&lt;=2,"940000",IF($G43&lt;=3,"922500",IF($G43&lt;=4,"897500",IF($G43&lt;=5,"867500",IF($G43&lt;=6,"830000",IF($G43&lt;=7,"710000",IF($G43&lt;=8,"450000",0))))))))))+0</f>
        <v>0</v>
      </c>
      <c r="BR43" s="217">
        <f>(IF($H43&lt;=0,"0",IF($H43&lt;=1,"952500",IF($H43&lt;=2,"940000",IF($H43&lt;=3,"922500",IF($H43&lt;=4,"897500",IF($H43&lt;=5,"867500",IF($H43&lt;=6,"830000",IF($H43&lt;=7,"710000",IF($H43&lt;=8,"450000",0))))))))))+0</f>
        <v>952500</v>
      </c>
      <c r="BS43" s="218">
        <f>SUM(BO43,BP43,BQ43,BR43)</f>
        <v>1875000</v>
      </c>
    </row>
    <row r="44" spans="1:71" ht="30" customHeight="1">
      <c r="A44" s="196">
        <f ca="1">SUBTOTAL(3,$C$3:Character[[#This Row],[Name]])</f>
        <v>42</v>
      </c>
      <c r="B44" s="192" t="e" vm="604">
        <f>ImgDatabase!D44</f>
        <v>#VALUE!</v>
      </c>
      <c r="C44" s="197" t="s">
        <v>213</v>
      </c>
      <c r="D44" s="194" t="e" vm="49">
        <f>IFERROR(INDEX(CharacterDetailss[Element], MATCH(Character[[#This Row],[Name]], CharacterDetailss[Name], 0)), "")</f>
        <v>#VALUE!</v>
      </c>
      <c r="E44" s="194" t="e" vm="3">
        <f>IFERROR(INDEX(CharacterDetailss[Weapon Type], MATCH(Character[[#This Row],[Name]], CharacterDetailss[Name], 0)), "")</f>
        <v>#VALUE!</v>
      </c>
      <c r="F44" s="198">
        <v>2.7</v>
      </c>
      <c r="G44" s="14">
        <v>90</v>
      </c>
      <c r="H44" s="9">
        <v>1</v>
      </c>
      <c r="I44" s="2">
        <v>9</v>
      </c>
      <c r="J44" s="10">
        <v>6</v>
      </c>
      <c r="L44" s="75">
        <v>81</v>
      </c>
      <c r="M44" s="73">
        <v>1</v>
      </c>
      <c r="N44" s="74">
        <v>9</v>
      </c>
      <c r="O44" s="74">
        <v>9</v>
      </c>
      <c r="Q44" s="230" t="e" vm="417">
        <f>IFERROR(INDEX(ImgDatabase!$O:$O, MATCH(WorldBoss[[#This Row],[Boss Name]], ImgDatabase!$P:$P, 0)), "")</f>
        <v>#VALUE!</v>
      </c>
      <c r="R44" s="228" t="s">
        <v>194</v>
      </c>
      <c r="S44" s="297" t="e">
        <f>(IF($E44&lt;=0,"0",IF($E44&lt;=40,"46",IF($E44&lt;=50,"44",IF($E44&lt;=60,"40",IF($E44&lt;=70,"32",IF($E44&lt;=80,"20","0")))))))+0</f>
        <v>#VALUE!</v>
      </c>
      <c r="U4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4" s="222" t="s">
        <v>582</v>
      </c>
      <c r="W44" s="223">
        <f>Z44+AC44+AF44</f>
        <v>44</v>
      </c>
      <c r="X44" s="223">
        <f>AA44+AD44+AG44</f>
        <v>40</v>
      </c>
      <c r="Y44" s="221">
        <f>AB44+AE44+AH44</f>
        <v>3</v>
      </c>
      <c r="Z44" s="224">
        <f>(IF($F44&lt;=0,"0",IF($F44&lt;=6,"22",IF($F44&lt;=7,"18",IF($F44&lt;=8,"12",0)))))+0</f>
        <v>22</v>
      </c>
      <c r="AA44" s="225">
        <f>(IF($F44&lt;=0,"0",IF($F44&lt;=2,"21",IF($F44&lt;=3,"19",IF($F44&lt;=4,"15",IF($F44&lt;=5,"9",0))))))+0</f>
        <v>19</v>
      </c>
      <c r="AB44" s="225">
        <f>(IF($F44&lt;=0,"0",IF($F44&lt;=1,"3",0)))+0</f>
        <v>0</v>
      </c>
      <c r="AC44" s="225">
        <f>(IF($G44&lt;=0,"0",IF($G44&lt;=6,"22",IF($G44&lt;=7,"18",IF($G44&lt;=8,"12",0)))))+0</f>
        <v>0</v>
      </c>
      <c r="AD44" s="225">
        <f>(IF($G44&lt;=0,"0",IF($G44&lt;=2,"21",IF($G44&lt;=3,"19",IF($G44&lt;=4,"15",IF($G44&lt;=5,"9",0))))))+0</f>
        <v>0</v>
      </c>
      <c r="AE44" s="225">
        <f>(IF($G44&lt;=0,"0",IF($G44&lt;=1,"3",0)))+0</f>
        <v>0</v>
      </c>
      <c r="AF44" s="225">
        <f>(IF($H44&lt;=0,"0",IF($H44&lt;=6,"22",IF($H44&lt;=7,"18",IF($H44&lt;=8,"12",0)))))+0</f>
        <v>22</v>
      </c>
      <c r="AG44" s="225">
        <f>(IF($H44&lt;=0,"0",IF($H44&lt;=2,"21",IF($H44&lt;=3,"19",IF($H44&lt;=4,"15",IF($H44&lt;=5,"9",0))))))+0</f>
        <v>21</v>
      </c>
      <c r="AH44" s="226">
        <f>(IF($H44&lt;=0,"0",IF($H44&lt;=1,"3",0)))+0</f>
        <v>3</v>
      </c>
      <c r="AI44" s="227" t="s">
        <v>205</v>
      </c>
      <c r="AJ44" s="228" t="s">
        <v>593</v>
      </c>
      <c r="AK44" s="229">
        <f>(IF($F44&lt;=0,"0",IF($F44&lt;=6,"4",IF($F44&lt;=7,"3",IF($F44&lt;=8,"2","0")))))+0</f>
        <v>4</v>
      </c>
      <c r="AL44" s="229">
        <f>(IF($G44&lt;=0,"0",IF($G44&lt;=6,"4",IF($G44&lt;=7,"3",IF($G44&lt;=8,"2","0")))))+0</f>
        <v>0</v>
      </c>
      <c r="AM44" s="229">
        <f>(IF($H44&lt;=0,"0",IF($H44&lt;=6,"4",IF($H44&lt;=7,"3",IF($H44&lt;=8,"2","0")))))+0</f>
        <v>4</v>
      </c>
      <c r="AN44" s="220">
        <f>SUM(AK44:AM44)</f>
        <v>8</v>
      </c>
      <c r="AO44" s="228" t="s">
        <v>580</v>
      </c>
      <c r="AP44" s="230" t="e">
        <f>(IF($E44&lt;=0,"0",IF($E44&lt;=20,"168",IF($E44&lt;=30,"165",IF($E44&lt;=50,"155",IF($E44&lt;=60,"135",IF($E44&lt;=70,"105",IF($E44&lt;=80,"60","0"))))))))+0</f>
        <v>#VALUE!</v>
      </c>
      <c r="AQ44" s="219" t="s">
        <v>546</v>
      </c>
      <c r="AR44" s="228" t="e">
        <f>(IF($E44&lt;=0,"0",IF($E44&lt;=80,"6","0")))+0</f>
        <v>#VALUE!</v>
      </c>
      <c r="AS44" s="228" t="e">
        <f>(IF($E44&lt;=0,"0",IF($E44&lt;=60,"9",IF($E44&lt;=70,"6","0"))))+0</f>
        <v>#VALUE!</v>
      </c>
      <c r="AT44" s="228" t="e">
        <f>(IF($E44&lt;=0,"0",IF($E44&lt;=40,"9",IF($E44&lt;=50,"6","0"))))+0</f>
        <v>#VALUE!</v>
      </c>
      <c r="AU44" s="231" t="e">
        <f>(IF($E44&lt;=0,"0",IF($E44&lt;=20,"1","0")))+0</f>
        <v>#VALUE!</v>
      </c>
      <c r="AV44" s="251" t="s">
        <v>311</v>
      </c>
      <c r="AW44" s="228" t="e">
        <f>(IF($E44&lt;=0,"0",IF($E44&lt;=70,"36",IF($E44&lt;=80,"24","0"))))+0</f>
        <v>#VALUE!</v>
      </c>
      <c r="AX44" s="228" t="e">
        <f>(IF($E44&lt;=0,"0",IF($E44&lt;=50,"30",IF($E44&lt;=60,"18","0"))))+0</f>
        <v>#VALUE!</v>
      </c>
      <c r="AY44" s="228" t="e">
        <f>(IF($E44&lt;=0,"0",IF($E44&lt;=20,"18",IF($E44&lt;=40,"15","0"))))+0</f>
        <v>#VALUE!</v>
      </c>
      <c r="AZ44" s="232">
        <f>Summary2831[[#This Row],[3*2]]+Summary2831[[#This Row],[3*22]]+Summary2831[[#This Row],[3*23]]</f>
        <v>19</v>
      </c>
      <c r="BA44" s="233">
        <f>Summary2831[[#This Row],[2*2]]+Summary2831[[#This Row],[2*23]]+Summary2831[[#This Row],[2*24]]</f>
        <v>22</v>
      </c>
      <c r="BB44" s="233">
        <f>Summary2831[[#This Row],[1*2]]+Summary2831[[#This Row],[1*24]]+Summary2831[[#This Row],[1*25]]</f>
        <v>6</v>
      </c>
      <c r="BC44" s="234">
        <f>IF($F44&lt;=0,"0",IF($F44&lt;=6,"19",IF($F44&lt;=7,"18",IF($F44&lt;=8,"9",0))))+0</f>
        <v>19</v>
      </c>
      <c r="BD44" s="234">
        <f>IF($F44&lt;=0,"0",IF($F44&lt;=2,"22",IF($F44&lt;=3,"19",IF($F44&lt;=4,"15",IF($F44&lt;=5,"9",0)))))+0</f>
        <v>19</v>
      </c>
      <c r="BE44" s="234">
        <f>IF($F44&lt;=0,"0",IF($F44&lt;=1,"6",0))+0</f>
        <v>0</v>
      </c>
      <c r="BF44" s="234">
        <f>IF($G44&lt;=0,"0",IF($G44&lt;=6,"19",IF($G44&lt;=7,"18",IF($G44&lt;=8,"9",0))))+0</f>
        <v>0</v>
      </c>
      <c r="BG44" s="234">
        <f>IF($G44&lt;=0,"0",IF($G44&lt;=2,"22",IF($G44&lt;=3,"19",IF($G44&lt;=4,"15",IF($G44&lt;=5,"9",0)))))+0</f>
        <v>0</v>
      </c>
      <c r="BH44" s="234">
        <f>IF($G44&lt;=0,"0",IF($G44&lt;=1,"6",0))+0</f>
        <v>0</v>
      </c>
      <c r="BI44" s="234">
        <f>IF($H44&lt;=0,"0",IF($H44&lt;=6,"19",IF($H44&lt;=7,"18",IF($H44&lt;=8,"9",0))))+0</f>
        <v>19</v>
      </c>
      <c r="BJ44" s="234">
        <f>IF($H44&lt;=0,"0",IF($H44&lt;=2,"22",IF($H44&lt;=3,"19",IF($H44&lt;=4,"15",IF($H44&lt;=5,"9",0)))))+0</f>
        <v>22</v>
      </c>
      <c r="BK44" s="234">
        <f>IF($H44&lt;=0,"0",IF($H44&lt;=1,"6",0))+0</f>
        <v>6</v>
      </c>
      <c r="BL44" s="219">
        <f>SUM(Summary2831[[#This Row],[3*
(Tal)]],Summary2831[[#This Row],[3*
(Asc)]])</f>
        <v>19</v>
      </c>
      <c r="BM44" s="228">
        <f>SUM(Summary2831[[#This Row],[2*
(Tal)]],Summary2831[[#This Row],[2*
(Asc)]])</f>
        <v>22</v>
      </c>
      <c r="BN44" s="231">
        <f>SUM(Summary2831[[#This Row],[1*
(Tal)]],Summary2831[[#This Row],[1*
(Asc)]])</f>
        <v>6</v>
      </c>
      <c r="BO44" s="235" t="e">
        <f>(IF($E44&lt;=0,"0",IF($E44&lt;=1,"2092530",IF($E44&lt;=10,"2087525",IF($E44&lt;=20,"2068495",IF($E44&lt;=30,"2005910",IF($E44&lt;=40,"1932830",IF($E44&lt;=50,"1777010",IF($E44&lt;=60,"1546185",IF($E44&lt;=70,"1227000",IF($E44&lt;=80,"804625",IF($E44&lt;=81,"647990",IF($E44&lt;=90,"0",0)))))))))))))+0</f>
        <v>#VALUE!</v>
      </c>
      <c r="BP44" s="236">
        <f>(IF($F44&lt;=0,"0",IF($F44&lt;=1,"952500",IF($F44&lt;=2,"940000",IF($F44&lt;=3,"922500",IF($F44&lt;=4,"897500",IF($F44&lt;=5,"867500",IF($F44&lt;=6,"830000",IF($F44&lt;=7,"710000",IF($F44&lt;=8,"450000",0))))))))))+0</f>
        <v>922500</v>
      </c>
      <c r="BQ44" s="236">
        <f>(IF($G44&lt;=0,"0",IF($G44&lt;=1,"952500",IF($G44&lt;=2,"940000",IF($G44&lt;=3,"922500",IF($G44&lt;=4,"897500",IF($G44&lt;=5,"867500",IF($G44&lt;=6,"830000",IF($G44&lt;=7,"710000",IF($G44&lt;=8,"450000",0))))))))))+0</f>
        <v>0</v>
      </c>
      <c r="BR44" s="236">
        <f>(IF($H44&lt;=0,"0",IF($H44&lt;=1,"952500",IF($H44&lt;=2,"940000",IF($H44&lt;=3,"922500",IF($H44&lt;=4,"897500",IF($H44&lt;=5,"867500",IF($H44&lt;=6,"830000",IF($H44&lt;=7,"710000",IF($H44&lt;=8,"450000",0))))))))))+0</f>
        <v>952500</v>
      </c>
      <c r="BS44" s="237" t="e">
        <f>SUM(BO44,BP44,BQ44,BR44)</f>
        <v>#VALUE!</v>
      </c>
    </row>
    <row r="45" spans="1:71" s="81" customFormat="1" ht="30" customHeight="1">
      <c r="A45" s="196">
        <f ca="1">SUBTOTAL(3,$C$3:Character[[#This Row],[Name]])</f>
        <v>43</v>
      </c>
      <c r="B45" s="192" t="e" vm="605">
        <f>ImgDatabase!D45</f>
        <v>#VALUE!</v>
      </c>
      <c r="C45" s="197" t="s">
        <v>222</v>
      </c>
      <c r="D45" s="194" t="e" vm="84">
        <f>IFERROR(INDEX(CharacterDetailss[Element], MATCH(Character[[#This Row],[Name]], CharacterDetailss[Name], 0)), "")</f>
        <v>#VALUE!</v>
      </c>
      <c r="E45" s="194" t="e" vm="3">
        <f>IFERROR(INDEX(CharacterDetailss[Weapon Type], MATCH(Character[[#This Row],[Name]], CharacterDetailss[Name], 0)), "")</f>
        <v>#VALUE!</v>
      </c>
      <c r="F45" s="198">
        <v>3.2</v>
      </c>
      <c r="G45" s="14">
        <v>90</v>
      </c>
      <c r="H45" s="9">
        <v>1</v>
      </c>
      <c r="I45" s="2">
        <v>9</v>
      </c>
      <c r="J45" s="10">
        <v>7</v>
      </c>
      <c r="K45"/>
      <c r="L45" s="75">
        <v>81</v>
      </c>
      <c r="M45" s="73">
        <v>1</v>
      </c>
      <c r="N45" s="74">
        <v>9</v>
      </c>
      <c r="O45" s="74">
        <v>9</v>
      </c>
      <c r="P45"/>
      <c r="Q45" s="245" t="e" vm="423">
        <f>IFERROR(INDEX(ImgDatabase!$O:$O, MATCH(WorldBoss[[#This Row],[Boss Name]], ImgDatabase!$P:$P, 0)), "")</f>
        <v>#VALUE!</v>
      </c>
      <c r="R45" s="244" t="s">
        <v>203</v>
      </c>
      <c r="S45" s="300" t="e">
        <f>(IF($E45&lt;=0,"0",IF($E45&lt;=40,"46",IF($E45&lt;=50,"44",IF($E45&lt;=60,"40",IF($E45&lt;=70,"32",IF($E45&lt;=80,"20","0")))))))+0</f>
        <v>#VALUE!</v>
      </c>
      <c r="T45"/>
      <c r="U4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45" s="240" t="s">
        <v>535</v>
      </c>
      <c r="W45" s="241">
        <f>Z45+AC45+AF45</f>
        <v>44</v>
      </c>
      <c r="X45" s="241">
        <f>AA45+AD45+AG45</f>
        <v>36</v>
      </c>
      <c r="Y45" s="242">
        <f>AB45+AE45+AH45</f>
        <v>3</v>
      </c>
      <c r="Z45" s="204">
        <f>(IF($F45&lt;=0,"0",IF($F45&lt;=6,"22",IF($F45&lt;=7,"18",IF($F45&lt;=8,"12",0)))))+0</f>
        <v>22</v>
      </c>
      <c r="AA45" s="205">
        <f>(IF($F45&lt;=0,"0",IF($F45&lt;=2,"21",IF($F45&lt;=3,"19",IF($F45&lt;=4,"15",IF($F45&lt;=5,"9",0))))))+0</f>
        <v>15</v>
      </c>
      <c r="AB45" s="205">
        <f>(IF($F45&lt;=0,"0",IF($F45&lt;=1,"3",0)))+0</f>
        <v>0</v>
      </c>
      <c r="AC45" s="205">
        <f>(IF($G45&lt;=0,"0",IF($G45&lt;=6,"22",IF($G45&lt;=7,"18",IF($G45&lt;=8,"12",0)))))+0</f>
        <v>0</v>
      </c>
      <c r="AD45" s="205">
        <f>(IF($G45&lt;=0,"0",IF($G45&lt;=2,"21",IF($G45&lt;=3,"19",IF($G45&lt;=4,"15",IF($G45&lt;=5,"9",0))))))+0</f>
        <v>0</v>
      </c>
      <c r="AE45" s="205">
        <f>(IF($G45&lt;=0,"0",IF($G45&lt;=1,"3",0)))+0</f>
        <v>0</v>
      </c>
      <c r="AF45" s="205">
        <f>(IF($H45&lt;=0,"0",IF($H45&lt;=6,"22",IF($H45&lt;=7,"18",IF($H45&lt;=8,"12",0)))))+0</f>
        <v>22</v>
      </c>
      <c r="AG45" s="205">
        <f>(IF($H45&lt;=0,"0",IF($H45&lt;=2,"21",IF($H45&lt;=3,"19",IF($H45&lt;=4,"15",IF($H45&lt;=5,"9",0))))))+0</f>
        <v>21</v>
      </c>
      <c r="AH45" s="206">
        <f>(IF($H45&lt;=0,"0",IF($H45&lt;=1,"3",0)))+0</f>
        <v>3</v>
      </c>
      <c r="AI45" s="243" t="s">
        <v>205</v>
      </c>
      <c r="AJ45" s="244" t="s">
        <v>536</v>
      </c>
      <c r="AK45" s="209">
        <f>(IF($F45&lt;=0,"0",IF($F45&lt;=6,"4",IF($F45&lt;=7,"3",IF($F45&lt;=8,"2","0")))))+0</f>
        <v>4</v>
      </c>
      <c r="AL45" s="209">
        <f>(IF($G45&lt;=0,"0",IF($G45&lt;=6,"4",IF($G45&lt;=7,"3",IF($G45&lt;=8,"2","0")))))+0</f>
        <v>0</v>
      </c>
      <c r="AM45" s="209">
        <f>(IF($H45&lt;=0,"0",IF($H45&lt;=6,"4",IF($H45&lt;=7,"3",IF($H45&lt;=8,"2","0")))))+0</f>
        <v>4</v>
      </c>
      <c r="AN45" s="239">
        <f>SUM(AK45:AM45)</f>
        <v>8</v>
      </c>
      <c r="AO45" s="244" t="s">
        <v>170</v>
      </c>
      <c r="AP45" s="245" t="e">
        <f>(IF($E45&lt;=0,"0",IF($E45&lt;=20,"168",IF($E45&lt;=30,"165",IF($E45&lt;=50,"155",IF($E45&lt;=60,"135",IF($E45&lt;=70,"105",IF($E45&lt;=80,"60","0"))))))))+0</f>
        <v>#VALUE!</v>
      </c>
      <c r="AQ45" s="238" t="s">
        <v>548</v>
      </c>
      <c r="AR45" s="244" t="e">
        <f>(IF($E45&lt;=0,"0",IF($E45&lt;=80,"6","0")))+0</f>
        <v>#VALUE!</v>
      </c>
      <c r="AS45" s="244" t="e">
        <f>(IF($E45&lt;=0,"0",IF($E45&lt;=60,"9",IF($E45&lt;=70,"6","0"))))+0</f>
        <v>#VALUE!</v>
      </c>
      <c r="AT45" s="244" t="e">
        <f>(IF($E45&lt;=0,"0",IF($E45&lt;=40,"9",IF($E45&lt;=50,"6","0"))))+0</f>
        <v>#VALUE!</v>
      </c>
      <c r="AU45" s="246" t="e">
        <f>(IF($E45&lt;=0,"0",IF($E45&lt;=20,"1","0")))+0</f>
        <v>#VALUE!</v>
      </c>
      <c r="AV45" s="238" t="s">
        <v>89</v>
      </c>
      <c r="AW45" s="244" t="e">
        <f>(IF($E45&lt;=0,"0",IF($E45&lt;=70,"36",IF($E45&lt;=80,"24","0"))))+0</f>
        <v>#VALUE!</v>
      </c>
      <c r="AX45" s="244" t="e">
        <f>(IF($E45&lt;=0,"0",IF($E45&lt;=50,"30",IF($E45&lt;=60,"18","0"))))+0</f>
        <v>#VALUE!</v>
      </c>
      <c r="AY45" s="244" t="e">
        <f>(IF($E45&lt;=0,"0",IF($E45&lt;=20,"18",IF($E45&lt;=40,"15","0"))))+0</f>
        <v>#VALUE!</v>
      </c>
      <c r="AZ45" s="247">
        <f>Summary2831[[#This Row],[3*2]]+Summary2831[[#This Row],[3*22]]+Summary2831[[#This Row],[3*23]]</f>
        <v>57</v>
      </c>
      <c r="BA45" s="248">
        <f>Summary2831[[#This Row],[2*2]]+Summary2831[[#This Row],[2*23]]+Summary2831[[#This Row],[2*24]]</f>
        <v>66</v>
      </c>
      <c r="BB45" s="248">
        <f>Summary2831[[#This Row],[1*2]]+Summary2831[[#This Row],[1*24]]+Summary2831[[#This Row],[1*25]]</f>
        <v>18</v>
      </c>
      <c r="BC45" s="248">
        <f>IF($F45&lt;=0,"0",IF($F45&lt;=6,"19",IF($F45&lt;=7,"18",IF($F45&lt;=8,"9",0))))+0</f>
        <v>19</v>
      </c>
      <c r="BD45" s="248">
        <f>IF($F45&lt;=0,"0",IF($F45&lt;=2,"22",IF($F45&lt;=3,"19",IF($F45&lt;=4,"15",IF($F45&lt;=5,"9",0)))))+0</f>
        <v>15</v>
      </c>
      <c r="BE45" s="248">
        <f>IF($F45&lt;=0,"0",IF($F45&lt;=1,"6",0))+0</f>
        <v>0</v>
      </c>
      <c r="BF45" s="248">
        <f>IF($G45&lt;=0,"0",IF($G45&lt;=6,"19",IF($G45&lt;=7,"18",IF($G45&lt;=8,"9",0))))+0</f>
        <v>0</v>
      </c>
      <c r="BG45" s="248">
        <f>IF($G45&lt;=0,"0",IF($G45&lt;=2,"22",IF($G45&lt;=3,"19",IF($G45&lt;=4,"15",IF($G45&lt;=5,"9",0)))))+0</f>
        <v>0</v>
      </c>
      <c r="BH45" s="248">
        <f>IF($G45&lt;=0,"0",IF($G45&lt;=1,"6",0))+0</f>
        <v>0</v>
      </c>
      <c r="BI45" s="248">
        <f>IF($H45&lt;=0,"0",IF($H45&lt;=6,"19",IF($H45&lt;=7,"18",IF($H45&lt;=8,"9",0))))+0</f>
        <v>19</v>
      </c>
      <c r="BJ45" s="248">
        <f>IF($H45&lt;=0,"0",IF($H45&lt;=2,"22",IF($H45&lt;=3,"19",IF($H45&lt;=4,"15",IF($H45&lt;=5,"9",0)))))+0</f>
        <v>22</v>
      </c>
      <c r="BK45" s="248">
        <f>IF($H45&lt;=0,"0",IF($H45&lt;=1,"6",0))+0</f>
        <v>6</v>
      </c>
      <c r="BL45" s="238">
        <f>SUM(Summary2831[[#This Row],[3*
(Tal)]],Summary2831[[#This Row],[3*
(Asc)]])</f>
        <v>93</v>
      </c>
      <c r="BM45" s="244">
        <f>SUM(Summary2831[[#This Row],[2*
(Tal)]],Summary2831[[#This Row],[2*
(Asc)]])</f>
        <v>96</v>
      </c>
      <c r="BN45" s="246">
        <f>SUM(Summary2831[[#This Row],[1*
(Tal)]],Summary2831[[#This Row],[1*
(Asc)]])</f>
        <v>33</v>
      </c>
      <c r="BO45" s="216" t="e">
        <f>(IF($E45&lt;=0,"0",IF($E45&lt;=1,"2092530",IF($E45&lt;=10,"2087525",IF($E45&lt;=20,"2068495",IF($E45&lt;=30,"2005910",IF($E45&lt;=40,"1932830",IF($E45&lt;=50,"1777010",IF($E45&lt;=60,"1546185",IF($E45&lt;=70,"1227000",IF($E45&lt;=80,"804625",IF($E45&lt;=81,"647990",IF($E45&lt;=90,"0",0)))))))))))))+0</f>
        <v>#VALUE!</v>
      </c>
      <c r="BP45" s="249">
        <f>(IF($F45&lt;=0,"0",IF($F45&lt;=1,"952500",IF($F45&lt;=2,"940000",IF($F45&lt;=3,"922500",IF($F45&lt;=4,"897500",IF($F45&lt;=5,"867500",IF($F45&lt;=6,"830000",IF($F45&lt;=7,"710000",IF($F45&lt;=8,"450000",0))))))))))+0</f>
        <v>897500</v>
      </c>
      <c r="BQ45" s="249">
        <f>(IF($G45&lt;=0,"0",IF($G45&lt;=1,"952500",IF($G45&lt;=2,"940000",IF($G45&lt;=3,"922500",IF($G45&lt;=4,"897500",IF($G45&lt;=5,"867500",IF($G45&lt;=6,"830000",IF($G45&lt;=7,"710000",IF($G45&lt;=8,"450000",0))))))))))+0</f>
        <v>0</v>
      </c>
      <c r="BR45" s="249">
        <f>(IF($H45&lt;=0,"0",IF($H45&lt;=1,"952500",IF($H45&lt;=2,"940000",IF($H45&lt;=3,"922500",IF($H45&lt;=4,"897500",IF($H45&lt;=5,"867500",IF($H45&lt;=6,"830000",IF($H45&lt;=7,"710000",IF($H45&lt;=8,"450000",0))))))))))+0</f>
        <v>952500</v>
      </c>
      <c r="BS45" s="250" t="e">
        <f>SUM(BO45,BP45,BQ45,BR45)</f>
        <v>#VALUE!</v>
      </c>
    </row>
    <row r="46" spans="1:71" s="81" customFormat="1" ht="30" customHeight="1">
      <c r="A46" s="196">
        <f ca="1">SUBTOTAL(3,$C$3:Character[[#This Row],[Name]])</f>
        <v>44</v>
      </c>
      <c r="B46" s="192" t="e" vm="606">
        <f>ImgDatabase!D46</f>
        <v>#VALUE!</v>
      </c>
      <c r="C46" s="197" t="s">
        <v>429</v>
      </c>
      <c r="D46" s="194" t="e" vm="49">
        <f>IFERROR(INDEX(CharacterDetailss[Element], MATCH(Character[[#This Row],[Name]], CharacterDetailss[Name], 0)), "")</f>
        <v>#VALUE!</v>
      </c>
      <c r="E46" s="194" t="e" vm="312">
        <f>IFERROR(INDEX(CharacterDetailss[Weapon Type], MATCH(Character[[#This Row],[Name]], CharacterDetailss[Name], 0)), "")</f>
        <v>#VALUE!</v>
      </c>
      <c r="F46" s="198">
        <v>1</v>
      </c>
      <c r="G46" s="14">
        <v>61</v>
      </c>
      <c r="H46" s="9">
        <v>1</v>
      </c>
      <c r="I46" s="2">
        <v>1</v>
      </c>
      <c r="J46" s="10">
        <v>1</v>
      </c>
      <c r="K46"/>
      <c r="L46" s="75">
        <v>81</v>
      </c>
      <c r="M46" s="73">
        <v>1</v>
      </c>
      <c r="N46" s="74">
        <v>9</v>
      </c>
      <c r="O46" s="74">
        <v>9</v>
      </c>
      <c r="P46"/>
      <c r="Q46" s="258" t="e" vm="441">
        <f>IFERROR(INDEX(ImgDatabase!$O:$O, MATCH(WorldBoss[[#This Row],[Boss Name]], ImgDatabase!$P:$P, 0)), "")</f>
        <v>#VALUE!</v>
      </c>
      <c r="R46" s="257" t="s">
        <v>232</v>
      </c>
      <c r="S46" s="301" t="e">
        <f>(IF($E46&lt;=0,"0",IF($E46&lt;=40,"46",IF($E46&lt;=50,"44",IF($E46&lt;=60,"40",IF($E46&lt;=70,"32",IF($E46&lt;=80,"20","0")))))))+0</f>
        <v>#VALUE!</v>
      </c>
      <c r="T46"/>
      <c r="U4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6" s="253" t="s">
        <v>535</v>
      </c>
      <c r="W46" s="254">
        <f>Z46+AC46+AF46</f>
        <v>44</v>
      </c>
      <c r="X46" s="254">
        <f>AA46+AD46+AG46</f>
        <v>42</v>
      </c>
      <c r="Y46" s="255">
        <f>AB46+AE46+AH46</f>
        <v>6</v>
      </c>
      <c r="Z46" s="224">
        <f>(IF($F46&lt;=0,"0",IF($F46&lt;=6,"22",IF($F46&lt;=7,"18",IF($F46&lt;=8,"12",0)))))+0</f>
        <v>22</v>
      </c>
      <c r="AA46" s="225">
        <f>(IF($F46&lt;=0,"0",IF($F46&lt;=2,"21",IF($F46&lt;=3,"19",IF($F46&lt;=4,"15",IF($F46&lt;=5,"9",0))))))+0</f>
        <v>21</v>
      </c>
      <c r="AB46" s="225">
        <f>(IF($F46&lt;=0,"0",IF($F46&lt;=1,"3",0)))+0</f>
        <v>3</v>
      </c>
      <c r="AC46" s="225">
        <f>(IF($G46&lt;=0,"0",IF($G46&lt;=6,"22",IF($G46&lt;=7,"18",IF($G46&lt;=8,"12",0)))))+0</f>
        <v>0</v>
      </c>
      <c r="AD46" s="225">
        <f>(IF($G46&lt;=0,"0",IF($G46&lt;=2,"21",IF($G46&lt;=3,"19",IF($G46&lt;=4,"15",IF($G46&lt;=5,"9",0))))))+0</f>
        <v>0</v>
      </c>
      <c r="AE46" s="225">
        <f>(IF($G46&lt;=0,"0",IF($G46&lt;=1,"3",0)))+0</f>
        <v>0</v>
      </c>
      <c r="AF46" s="225">
        <f>(IF($H46&lt;=0,"0",IF($H46&lt;=6,"22",IF($H46&lt;=7,"18",IF($H46&lt;=8,"12",0)))))+0</f>
        <v>22</v>
      </c>
      <c r="AG46" s="225">
        <f>(IF($H46&lt;=0,"0",IF($H46&lt;=2,"21",IF($H46&lt;=3,"19",IF($H46&lt;=4,"15",IF($H46&lt;=5,"9",0))))))+0</f>
        <v>21</v>
      </c>
      <c r="AH46" s="226">
        <f>(IF($H46&lt;=0,"0",IF($H46&lt;=1,"3",0)))+0</f>
        <v>3</v>
      </c>
      <c r="AI46" s="256" t="s">
        <v>553</v>
      </c>
      <c r="AJ46" s="257" t="s">
        <v>554</v>
      </c>
      <c r="AK46" s="229">
        <f>(IF($F46&lt;=0,"0",IF($F46&lt;=6,"4",IF($F46&lt;=7,"3",IF($F46&lt;=8,"2","0")))))+0</f>
        <v>4</v>
      </c>
      <c r="AL46" s="229">
        <f>(IF($G46&lt;=0,"0",IF($G46&lt;=6,"4",IF($G46&lt;=7,"3",IF($G46&lt;=8,"2","0")))))+0</f>
        <v>0</v>
      </c>
      <c r="AM46" s="229">
        <f>(IF($H46&lt;=0,"0",IF($H46&lt;=6,"4",IF($H46&lt;=7,"3",IF($H46&lt;=8,"2","0")))))+0</f>
        <v>4</v>
      </c>
      <c r="AN46" s="252">
        <f>SUM(AK46:AM46)</f>
        <v>8</v>
      </c>
      <c r="AO46" s="257" t="s">
        <v>594</v>
      </c>
      <c r="AP46" s="258" t="e">
        <f>(IF($E46&lt;=0,"0",IF($E46&lt;=20,"168",IF($E46&lt;=30,"165",IF($E46&lt;=50,"155",IF($E46&lt;=60,"135",IF($E46&lt;=70,"105",IF($E46&lt;=80,"60","0"))))))))+0</f>
        <v>#VALUE!</v>
      </c>
      <c r="AQ46" s="251" t="s">
        <v>548</v>
      </c>
      <c r="AR46" s="257" t="e">
        <f>(IF($E46&lt;=0,"0",IF($E46&lt;=80,"6","0")))+0</f>
        <v>#VALUE!</v>
      </c>
      <c r="AS46" s="257" t="e">
        <f>(IF($E46&lt;=0,"0",IF($E46&lt;=60,"9",IF($E46&lt;=70,"6","0"))))+0</f>
        <v>#VALUE!</v>
      </c>
      <c r="AT46" s="257" t="e">
        <f>(IF($E46&lt;=0,"0",IF($E46&lt;=40,"9",IF($E46&lt;=50,"6","0"))))+0</f>
        <v>#VALUE!</v>
      </c>
      <c r="AU46" s="259" t="e">
        <f>(IF($E46&lt;=0,"0",IF($E46&lt;=20,"1","0")))+0</f>
        <v>#VALUE!</v>
      </c>
      <c r="AV46" s="251" t="s">
        <v>311</v>
      </c>
      <c r="AW46" s="257" t="e">
        <f>(IF($E46&lt;=0,"0",IF($E46&lt;=70,"36",IF($E46&lt;=80,"24","0"))))+0</f>
        <v>#VALUE!</v>
      </c>
      <c r="AX46" s="257" t="e">
        <f>(IF($E46&lt;=0,"0",IF($E46&lt;=50,"30",IF($E46&lt;=60,"18","0"))))+0</f>
        <v>#VALUE!</v>
      </c>
      <c r="AY46" s="257" t="e">
        <f>(IF($E46&lt;=0,"0",IF($E46&lt;=20,"18",IF($E46&lt;=40,"15","0"))))+0</f>
        <v>#VALUE!</v>
      </c>
      <c r="AZ46" s="260">
        <f>Summary2831[[#This Row],[3*2]]+Summary2831[[#This Row],[3*22]]+Summary2831[[#This Row],[3*23]]</f>
        <v>38</v>
      </c>
      <c r="BA46" s="261">
        <f>Summary2831[[#This Row],[2*2]]+Summary2831[[#This Row],[2*23]]+Summary2831[[#This Row],[2*24]]</f>
        <v>22</v>
      </c>
      <c r="BB46" s="261">
        <f>Summary2831[[#This Row],[1*2]]+Summary2831[[#This Row],[1*24]]+Summary2831[[#This Row],[1*25]]</f>
        <v>6</v>
      </c>
      <c r="BC46" s="261">
        <f>IF($F46&lt;=0,"0",IF($F46&lt;=6,"19",IF($F46&lt;=7,"18",IF($F46&lt;=8,"9",0))))+0</f>
        <v>19</v>
      </c>
      <c r="BD46" s="261">
        <f>IF($F46&lt;=0,"0",IF($F46&lt;=2,"22",IF($F46&lt;=3,"19",IF($F46&lt;=4,"15",IF($F46&lt;=5,"9",0)))))+0</f>
        <v>22</v>
      </c>
      <c r="BE46" s="261">
        <f>IF($F46&lt;=0,"0",IF($F46&lt;=1,"6",0))+0</f>
        <v>6</v>
      </c>
      <c r="BF46" s="261">
        <f>IF($G46&lt;=0,"0",IF($G46&lt;=6,"19",IF($G46&lt;=7,"18",IF($G46&lt;=8,"9",0))))+0</f>
        <v>0</v>
      </c>
      <c r="BG46" s="261">
        <f>IF($G46&lt;=0,"0",IF($G46&lt;=2,"22",IF($G46&lt;=3,"19",IF($G46&lt;=4,"15",IF($G46&lt;=5,"9",0)))))+0</f>
        <v>0</v>
      </c>
      <c r="BH46" s="261">
        <f>IF($G46&lt;=0,"0",IF($G46&lt;=1,"6",0))+0</f>
        <v>0</v>
      </c>
      <c r="BI46" s="261">
        <f>IF($H46&lt;=0,"0",IF($H46&lt;=6,"19",IF($H46&lt;=7,"18",IF($H46&lt;=8,"9",0))))+0</f>
        <v>19</v>
      </c>
      <c r="BJ46" s="261">
        <f>IF($H46&lt;=0,"0",IF($H46&lt;=2,"22",IF($H46&lt;=3,"19",IF($H46&lt;=4,"15",IF($H46&lt;=5,"9",0)))))+0</f>
        <v>22</v>
      </c>
      <c r="BK46" s="261">
        <f>IF($H46&lt;=0,"0",IF($H46&lt;=1,"6",0))+0</f>
        <v>6</v>
      </c>
      <c r="BL46" s="251">
        <f>SUM(Summary2831[[#This Row],[3*
(Tal)]],Summary2831[[#This Row],[3*
(Asc)]])</f>
        <v>38</v>
      </c>
      <c r="BM46" s="257">
        <f>SUM(Summary2831[[#This Row],[2*
(Tal)]],Summary2831[[#This Row],[2*
(Asc)]])</f>
        <v>22</v>
      </c>
      <c r="BN46" s="259">
        <f>SUM(Summary2831[[#This Row],[1*
(Tal)]],Summary2831[[#This Row],[1*
(Asc)]])</f>
        <v>6</v>
      </c>
      <c r="BO46" s="235" t="e">
        <f>(IF($E46&lt;=0,"0",IF($E46&lt;=1,"2092530",IF($E46&lt;=10,"2087525",IF($E46&lt;=20,"2068495",IF($E46&lt;=30,"2005910",IF($E46&lt;=40,"1932830",IF($E46&lt;=50,"1777010",IF($E46&lt;=60,"1546185",IF($E46&lt;=70,"1227000",IF($E46&lt;=80,"804625",IF($E46&lt;=81,"647990",IF($E46&lt;=90,"0",0)))))))))))))+0</f>
        <v>#VALUE!</v>
      </c>
      <c r="BP46" s="262">
        <f>(IF($F46&lt;=0,"0",IF($F46&lt;=1,"952500",IF($F46&lt;=2,"940000",IF($F46&lt;=3,"922500",IF($F46&lt;=4,"897500",IF($F46&lt;=5,"867500",IF($F46&lt;=6,"830000",IF($F46&lt;=7,"710000",IF($F46&lt;=8,"450000",0))))))))))+0</f>
        <v>952500</v>
      </c>
      <c r="BQ46" s="262">
        <f>(IF($G46&lt;=0,"0",IF($G46&lt;=1,"952500",IF($G46&lt;=2,"940000",IF($G46&lt;=3,"922500",IF($G46&lt;=4,"897500",IF($G46&lt;=5,"867500",IF($G46&lt;=6,"830000",IF($G46&lt;=7,"710000",IF($G46&lt;=8,"450000",0))))))))))+0</f>
        <v>0</v>
      </c>
      <c r="BR46" s="262">
        <f>(IF($H46&lt;=0,"0",IF($H46&lt;=1,"952500",IF($H46&lt;=2,"940000",IF($H46&lt;=3,"922500",IF($H46&lt;=4,"897500",IF($H46&lt;=5,"867500",IF($H46&lt;=6,"830000",IF($H46&lt;=7,"710000",IF($H46&lt;=8,"450000",0))))))))))+0</f>
        <v>952500</v>
      </c>
      <c r="BS46" s="263" t="e">
        <f>SUM(BO46,BP46,BQ46,BR46)</f>
        <v>#VALUE!</v>
      </c>
    </row>
    <row r="47" spans="1:71" ht="30" customHeight="1">
      <c r="A47" s="196">
        <f ca="1">SUBTOTAL(3,$C$3:Character[[#This Row],[Name]])</f>
        <v>45</v>
      </c>
      <c r="B47" s="192" t="e" vm="607">
        <f>ImgDatabase!D47</f>
        <v>#VALUE!</v>
      </c>
      <c r="C47" s="197" t="s">
        <v>231</v>
      </c>
      <c r="D47" s="194" t="e" vm="67">
        <f>IFERROR(INDEX(CharacterDetailss[Element], MATCH(Character[[#This Row],[Name]], CharacterDetailss[Name], 0)), "")</f>
        <v>#VALUE!</v>
      </c>
      <c r="E47" s="194" t="e" vm="3">
        <f>IFERROR(INDEX(CharacterDetailss[Weapon Type], MATCH(Character[[#This Row],[Name]], CharacterDetailss[Name], 0)), "")</f>
        <v>#VALUE!</v>
      </c>
      <c r="F47" s="198">
        <v>4</v>
      </c>
      <c r="G47" s="14">
        <v>21</v>
      </c>
      <c r="H47" s="9">
        <v>1</v>
      </c>
      <c r="I47" s="2">
        <v>1</v>
      </c>
      <c r="J47" s="10">
        <v>1</v>
      </c>
      <c r="L47" s="75">
        <v>81</v>
      </c>
      <c r="M47" s="73">
        <v>1</v>
      </c>
      <c r="N47" s="74">
        <v>9</v>
      </c>
      <c r="O47" s="74">
        <v>9</v>
      </c>
      <c r="Q47" s="245" t="e" vm="459">
        <f>IFERROR(INDEX(ImgDatabase!$O:$O, MATCH(WorldBoss[[#This Row],[Boss Name]], ImgDatabase!$P:$P, 0)), "")</f>
        <v>#VALUE!</v>
      </c>
      <c r="R47" s="244" t="s">
        <v>261</v>
      </c>
      <c r="S47" s="300" t="e">
        <f>(IF($E47&lt;=0,"0",IF($E47&lt;=40,"46",IF($E47&lt;=50,"44",IF($E47&lt;=60,"40",IF($E47&lt;=70,"32",IF($E47&lt;=80,"20","0")))))))+0</f>
        <v>#VALUE!</v>
      </c>
      <c r="U4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47" s="240" t="s">
        <v>522</v>
      </c>
      <c r="W47" s="241">
        <f>Z47+AC47+AF47</f>
        <v>44</v>
      </c>
      <c r="X47" s="241">
        <f>AA47+AD47+AG47</f>
        <v>36</v>
      </c>
      <c r="Y47" s="242">
        <f>AB47+AE47+AH47</f>
        <v>3</v>
      </c>
      <c r="Z47" s="204">
        <f>(IF($F47&lt;=0,"0",IF($F47&lt;=6,"22",IF($F47&lt;=7,"18",IF($F47&lt;=8,"12",0)))))+0</f>
        <v>22</v>
      </c>
      <c r="AA47" s="205">
        <f>(IF($F47&lt;=0,"0",IF($F47&lt;=2,"21",IF($F47&lt;=3,"19",IF($F47&lt;=4,"15",IF($F47&lt;=5,"9",0))))))+0</f>
        <v>15</v>
      </c>
      <c r="AB47" s="205">
        <f>(IF($F47&lt;=0,"0",IF($F47&lt;=1,"3",0)))+0</f>
        <v>0</v>
      </c>
      <c r="AC47" s="205">
        <f>(IF($G47&lt;=0,"0",IF($G47&lt;=6,"22",IF($G47&lt;=7,"18",IF($G47&lt;=8,"12",0)))))+0</f>
        <v>0</v>
      </c>
      <c r="AD47" s="205">
        <f>(IF($G47&lt;=0,"0",IF($G47&lt;=2,"21",IF($G47&lt;=3,"19",IF($G47&lt;=4,"15",IF($G47&lt;=5,"9",0))))))+0</f>
        <v>0</v>
      </c>
      <c r="AE47" s="205">
        <f>(IF($G47&lt;=0,"0",IF($G47&lt;=1,"3",0)))+0</f>
        <v>0</v>
      </c>
      <c r="AF47" s="205">
        <f>(IF($H47&lt;=0,"0",IF($H47&lt;=6,"22",IF($H47&lt;=7,"18",IF($H47&lt;=8,"12",0)))))+0</f>
        <v>22</v>
      </c>
      <c r="AG47" s="205">
        <f>(IF($H47&lt;=0,"0",IF($H47&lt;=2,"21",IF($H47&lt;=3,"19",IF($H47&lt;=4,"15",IF($H47&lt;=5,"9",0))))))+0</f>
        <v>21</v>
      </c>
      <c r="AH47" s="206">
        <f>(IF($H47&lt;=0,"0",IF($H47&lt;=1,"3",0)))+0</f>
        <v>3</v>
      </c>
      <c r="AI47" s="243" t="s">
        <v>523</v>
      </c>
      <c r="AJ47" s="244" t="s">
        <v>524</v>
      </c>
      <c r="AK47" s="209">
        <f>(IF($F47&lt;=0,"0",IF($F47&lt;=6,"4",IF($F47&lt;=7,"3",IF($F47&lt;=8,"2","0")))))+0</f>
        <v>4</v>
      </c>
      <c r="AL47" s="209">
        <f>(IF($G47&lt;=0,"0",IF($G47&lt;=6,"4",IF($G47&lt;=7,"3",IF($G47&lt;=8,"2","0")))))+0</f>
        <v>0</v>
      </c>
      <c r="AM47" s="209">
        <f>(IF($H47&lt;=0,"0",IF($H47&lt;=6,"4",IF($H47&lt;=7,"3",IF($H47&lt;=8,"2","0")))))+0</f>
        <v>4</v>
      </c>
      <c r="AN47" s="239">
        <f>SUM(AK47:AM47)</f>
        <v>8</v>
      </c>
      <c r="AO47" s="244" t="s">
        <v>595</v>
      </c>
      <c r="AP47" s="245" t="e">
        <f>(IF($E47&lt;=0,"0",IF($E47&lt;=20,"168",IF($E47&lt;=30,"165",IF($E47&lt;=50,"155",IF($E47&lt;=60,"135",IF($E47&lt;=70,"105",IF($E47&lt;=80,"60","0"))))))))+0</f>
        <v>#VALUE!</v>
      </c>
      <c r="AQ47" s="238" t="s">
        <v>530</v>
      </c>
      <c r="AR47" s="244" t="e">
        <f>(IF($E47&lt;=0,"0",IF($E47&lt;=80,"6","0")))+0</f>
        <v>#VALUE!</v>
      </c>
      <c r="AS47" s="244" t="e">
        <f>(IF($E47&lt;=0,"0",IF($E47&lt;=60,"9",IF($E47&lt;=70,"6","0"))))+0</f>
        <v>#VALUE!</v>
      </c>
      <c r="AT47" s="244" t="e">
        <f>(IF($E47&lt;=0,"0",IF($E47&lt;=40,"9",IF($E47&lt;=50,"6","0"))))+0</f>
        <v>#VALUE!</v>
      </c>
      <c r="AU47" s="246" t="e">
        <f>(IF($E47&lt;=0,"0",IF($E47&lt;=20,"1","0")))+0</f>
        <v>#VALUE!</v>
      </c>
      <c r="AV47" s="238" t="s">
        <v>149</v>
      </c>
      <c r="AW47" s="244" t="e">
        <f>(IF($E47&lt;=0,"0",IF($E47&lt;=70,"36",IF($E47&lt;=80,"24","0"))))+0</f>
        <v>#VALUE!</v>
      </c>
      <c r="AX47" s="244" t="e">
        <f>(IF($E47&lt;=0,"0",IF($E47&lt;=50,"30",IF($E47&lt;=60,"18","0"))))+0</f>
        <v>#VALUE!</v>
      </c>
      <c r="AY47" s="244" t="e">
        <f>(IF($E47&lt;=0,"0",IF($E47&lt;=20,"18",IF($E47&lt;=40,"15","0"))))+0</f>
        <v>#VALUE!</v>
      </c>
      <c r="AZ47" s="247">
        <f>Summary2831[[#This Row],[3*2]]+Summary2831[[#This Row],[3*22]]+Summary2831[[#This Row],[3*23]]</f>
        <v>37</v>
      </c>
      <c r="BA47" s="248">
        <f>Summary2831[[#This Row],[2*2]]+Summary2831[[#This Row],[2*23]]+Summary2831[[#This Row],[2*24]]</f>
        <v>22</v>
      </c>
      <c r="BB47" s="248">
        <f>Summary2831[[#This Row],[1*2]]+Summary2831[[#This Row],[1*24]]+Summary2831[[#This Row],[1*25]]</f>
        <v>6</v>
      </c>
      <c r="BC47" s="248">
        <f>IF($F47&lt;=0,"0",IF($F47&lt;=6,"19",IF($F47&lt;=7,"18",IF($F47&lt;=8,"9",0))))+0</f>
        <v>19</v>
      </c>
      <c r="BD47" s="248">
        <f>IF($F47&lt;=0,"0",IF($F47&lt;=2,"22",IF($F47&lt;=3,"19",IF($F47&lt;=4,"15",IF($F47&lt;=5,"9",0)))))+0</f>
        <v>15</v>
      </c>
      <c r="BE47" s="248">
        <f>IF($F47&lt;=0,"0",IF($F47&lt;=1,"6",0))+0</f>
        <v>0</v>
      </c>
      <c r="BF47" s="248">
        <f>IF($G47&lt;=0,"0",IF($G47&lt;=6,"19",IF($G47&lt;=7,"18",IF($G47&lt;=8,"9",0))))+0</f>
        <v>0</v>
      </c>
      <c r="BG47" s="248">
        <f>IF($G47&lt;=0,"0",IF($G47&lt;=2,"22",IF($G47&lt;=3,"19",IF($G47&lt;=4,"15",IF($G47&lt;=5,"9",0)))))+0</f>
        <v>0</v>
      </c>
      <c r="BH47" s="248">
        <f>IF($G47&lt;=0,"0",IF($G47&lt;=1,"6",0))+0</f>
        <v>0</v>
      </c>
      <c r="BI47" s="248">
        <f>IF($H47&lt;=0,"0",IF($H47&lt;=6,"19",IF($H47&lt;=7,"18",IF($H47&lt;=8,"9",0))))+0</f>
        <v>19</v>
      </c>
      <c r="BJ47" s="248">
        <f>IF($H47&lt;=0,"0",IF($H47&lt;=2,"22",IF($H47&lt;=3,"19",IF($H47&lt;=4,"15",IF($H47&lt;=5,"9",0)))))+0</f>
        <v>22</v>
      </c>
      <c r="BK47" s="248">
        <f>IF($H47&lt;=0,"0",IF($H47&lt;=1,"6",0))+0</f>
        <v>6</v>
      </c>
      <c r="BL47" s="238">
        <f>SUM(Summary2831[[#This Row],[3*
(Tal)]],Summary2831[[#This Row],[3*
(Asc)]])</f>
        <v>37</v>
      </c>
      <c r="BM47" s="244">
        <f>SUM(Summary2831[[#This Row],[2*
(Tal)]],Summary2831[[#This Row],[2*
(Asc)]])</f>
        <v>22</v>
      </c>
      <c r="BN47" s="246">
        <f>SUM(Summary2831[[#This Row],[1*
(Tal)]],Summary2831[[#This Row],[1*
(Asc)]])</f>
        <v>6</v>
      </c>
      <c r="BO47" s="216" t="e">
        <f>(IF($E47&lt;=0,"0",IF($E47&lt;=1,"2092530",IF($E47&lt;=10,"2087525",IF($E47&lt;=20,"2068495",IF($E47&lt;=30,"2005910",IF($E47&lt;=40,"1932830",IF($E47&lt;=50,"1777010",IF($E47&lt;=60,"1546185",IF($E47&lt;=70,"1227000",IF($E47&lt;=80,"804625",IF($E47&lt;=81,"647990",IF($E47&lt;=90,"0",0)))))))))))))+0</f>
        <v>#VALUE!</v>
      </c>
      <c r="BP47" s="249">
        <f>(IF($F47&lt;=0,"0",IF($F47&lt;=1,"952500",IF($F47&lt;=2,"940000",IF($F47&lt;=3,"922500",IF($F47&lt;=4,"897500",IF($F47&lt;=5,"867500",IF($F47&lt;=6,"830000",IF($F47&lt;=7,"710000",IF($F47&lt;=8,"450000",0))))))))))+0</f>
        <v>897500</v>
      </c>
      <c r="BQ47" s="249">
        <f>(IF($G47&lt;=0,"0",IF($G47&lt;=1,"952500",IF($G47&lt;=2,"940000",IF($G47&lt;=3,"922500",IF($G47&lt;=4,"897500",IF($G47&lt;=5,"867500",IF($G47&lt;=6,"830000",IF($G47&lt;=7,"710000",IF($G47&lt;=8,"450000",0))))))))))+0</f>
        <v>0</v>
      </c>
      <c r="BR47" s="249">
        <f>(IF($H47&lt;=0,"0",IF($H47&lt;=1,"952500",IF($H47&lt;=2,"940000",IF($H47&lt;=3,"922500",IF($H47&lt;=4,"897500",IF($H47&lt;=5,"867500",IF($H47&lt;=6,"830000",IF($H47&lt;=7,"710000",IF($H47&lt;=8,"450000",0))))))))))+0</f>
        <v>952500</v>
      </c>
      <c r="BS47" s="250" t="e">
        <f>SUM(BO47,BP47,BQ47,BR47)</f>
        <v>#VALUE!</v>
      </c>
    </row>
    <row r="48" spans="1:71" s="81" customFormat="1" ht="30" customHeight="1">
      <c r="A48" s="192">
        <f ca="1">SUBTOTAL(3,$C$3:Character[[#This Row],[Name]])</f>
        <v>46</v>
      </c>
      <c r="B48" s="192" t="e" vm="608">
        <f>ImgDatabase!D48</f>
        <v>#VALUE!</v>
      </c>
      <c r="C48" s="193" t="s">
        <v>381</v>
      </c>
      <c r="D48" s="194" t="e" vm="31">
        <f>IFERROR(INDEX(CharacterDetailss[Element], MATCH(Character[[#This Row],[Name]], CharacterDetailss[Name], 0)), "")</f>
        <v>#VALUE!</v>
      </c>
      <c r="E48" s="194" t="e" vm="216">
        <f>IFERROR(INDEX(CharacterDetailss[Weapon Type], MATCH(Character[[#This Row],[Name]], CharacterDetailss[Name], 0)), "")</f>
        <v>#VALUE!</v>
      </c>
      <c r="F48" s="198">
        <v>4</v>
      </c>
      <c r="G48" s="72">
        <v>0</v>
      </c>
      <c r="H48" s="73">
        <v>0</v>
      </c>
      <c r="I48" s="74">
        <v>0</v>
      </c>
      <c r="J48" s="75">
        <v>0</v>
      </c>
      <c r="K48"/>
      <c r="L48" s="75">
        <v>81</v>
      </c>
      <c r="M48" s="73">
        <v>1</v>
      </c>
      <c r="N48" s="74">
        <v>9</v>
      </c>
      <c r="O48" s="74">
        <v>9</v>
      </c>
      <c r="P48"/>
      <c r="Q48" s="258" t="e" vm="362">
        <f>IFERROR(INDEX(ImgDatabase!$O:$O, MATCH(WorldBoss[[#This Row],[Boss Name]], ImgDatabase!$P:$P, 0)), "")</f>
        <v>#VALUE!</v>
      </c>
      <c r="R48" s="257" t="s">
        <v>106</v>
      </c>
      <c r="S48" s="301" t="e">
        <f>(IF($E48&lt;=0,"0",IF($E48&lt;=40,"46",IF($E48&lt;=50,"44",IF($E48&lt;=60,"40",IF($E48&lt;=70,"32",IF($E48&lt;=80,"20","0")))))))+0</f>
        <v>#VALUE!</v>
      </c>
      <c r="T48"/>
      <c r="U4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145</v>
      </c>
      <c r="V48" s="253" t="s">
        <v>519</v>
      </c>
      <c r="W48" s="254">
        <f>Z48+AC48+AF48</f>
        <v>22</v>
      </c>
      <c r="X48" s="254">
        <f>AA48+AD48+AG48</f>
        <v>15</v>
      </c>
      <c r="Y48" s="255">
        <f>AB48+AE48+AH48</f>
        <v>0</v>
      </c>
      <c r="Z48" s="224">
        <f>(IF($F48&lt;=0,"0",IF($F48&lt;=6,"22",IF($F48&lt;=7,"18",IF($F48&lt;=8,"12",0)))))+0</f>
        <v>22</v>
      </c>
      <c r="AA48" s="225">
        <f>(IF($F48&lt;=0,"0",IF($F48&lt;=2,"21",IF($F48&lt;=3,"19",IF($F48&lt;=4,"15",IF($F48&lt;=5,"9",0))))))+0</f>
        <v>15</v>
      </c>
      <c r="AB48" s="225">
        <f>(IF($F48&lt;=0,"0",IF($F48&lt;=1,"3",0)))+0</f>
        <v>0</v>
      </c>
      <c r="AC48" s="225">
        <f>(IF($G48&lt;=0,"0",IF($G48&lt;=6,"22",IF($G48&lt;=7,"18",IF($G48&lt;=8,"12",0)))))+0</f>
        <v>0</v>
      </c>
      <c r="AD48" s="225">
        <f>(IF($G48&lt;=0,"0",IF($G48&lt;=2,"21",IF($G48&lt;=3,"19",IF($G48&lt;=4,"15",IF($G48&lt;=5,"9",0))))))+0</f>
        <v>0</v>
      </c>
      <c r="AE48" s="225">
        <f>(IF($G48&lt;=0,"0",IF($G48&lt;=1,"3",0)))+0</f>
        <v>0</v>
      </c>
      <c r="AF48" s="225">
        <f>(IF($H48&lt;=0,"0",IF($H48&lt;=6,"22",IF($H48&lt;=7,"18",IF($H48&lt;=8,"12",0)))))+0</f>
        <v>0</v>
      </c>
      <c r="AG48" s="225">
        <f>(IF($H48&lt;=0,"0",IF($H48&lt;=2,"21",IF($H48&lt;=3,"19",IF($H48&lt;=4,"15",IF($H48&lt;=5,"9",0))))))+0</f>
        <v>0</v>
      </c>
      <c r="AH48" s="226">
        <f>(IF($H48&lt;=0,"0",IF($H48&lt;=1,"3",0)))+0</f>
        <v>0</v>
      </c>
      <c r="AI48" s="256" t="s">
        <v>531</v>
      </c>
      <c r="AJ48" s="257" t="s">
        <v>596</v>
      </c>
      <c r="AK48" s="229">
        <f>(IF($F48&lt;=0,"0",IF($F48&lt;=6,"4",IF($F48&lt;=7,"3",IF($F48&lt;=8,"2","0")))))+0</f>
        <v>4</v>
      </c>
      <c r="AL48" s="229">
        <f>(IF($G48&lt;=0,"0",IF($G48&lt;=6,"4",IF($G48&lt;=7,"3",IF($G48&lt;=8,"2","0")))))+0</f>
        <v>0</v>
      </c>
      <c r="AM48" s="229">
        <f>(IF($H48&lt;=0,"0",IF($H48&lt;=6,"4",IF($H48&lt;=7,"3",IF($H48&lt;=8,"2","0")))))+0</f>
        <v>0</v>
      </c>
      <c r="AN48" s="252">
        <f>SUM(AK48:AM48)</f>
        <v>4</v>
      </c>
      <c r="AO48" s="257" t="s">
        <v>398</v>
      </c>
      <c r="AP48" s="258" t="e">
        <f>(IF($E48&lt;=0,"0",IF($E48&lt;=20,"168",IF($E48&lt;=30,"165",IF($E48&lt;=50,"155",IF($E48&lt;=60,"135",IF($E48&lt;=70,"105",IF($E48&lt;=80,"60","0"))))))))+0</f>
        <v>#VALUE!</v>
      </c>
      <c r="AQ48" s="251" t="s">
        <v>548</v>
      </c>
      <c r="AR48" s="257" t="e">
        <f>(IF($E48&lt;=0,"0",IF($E48&lt;=80,"6","0")))+0</f>
        <v>#VALUE!</v>
      </c>
      <c r="AS48" s="257" t="e">
        <f>(IF($E48&lt;=0,"0",IF($E48&lt;=60,"9",IF($E48&lt;=70,"6","0"))))+0</f>
        <v>#VALUE!</v>
      </c>
      <c r="AT48" s="257" t="e">
        <f>(IF($E48&lt;=0,"0",IF($E48&lt;=40,"9",IF($E48&lt;=50,"6","0"))))+0</f>
        <v>#VALUE!</v>
      </c>
      <c r="AU48" s="259" t="e">
        <f>(IF($E48&lt;=0,"0",IF($E48&lt;=20,"1","0")))+0</f>
        <v>#VALUE!</v>
      </c>
      <c r="AV48" s="251" t="s">
        <v>178</v>
      </c>
      <c r="AW48" s="257" t="e">
        <f>(IF($E48&lt;=0,"0",IF($E48&lt;=70,"36",IF($E48&lt;=80,"24","0"))))+0</f>
        <v>#VALUE!</v>
      </c>
      <c r="AX48" s="257" t="e">
        <f>(IF($E48&lt;=0,"0",IF($E48&lt;=50,"30",IF($E48&lt;=60,"18","0"))))+0</f>
        <v>#VALUE!</v>
      </c>
      <c r="AY48" s="257" t="e">
        <f>(IF($E48&lt;=0,"0",IF($E48&lt;=20,"18",IF($E48&lt;=40,"15","0"))))+0</f>
        <v>#VALUE!</v>
      </c>
      <c r="AZ48" s="260">
        <f>Summary2831[[#This Row],[3*2]]+Summary2831[[#This Row],[3*22]]+Summary2831[[#This Row],[3*23]]</f>
        <v>57</v>
      </c>
      <c r="BA48" s="261">
        <f>Summary2831[[#This Row],[2*2]]+Summary2831[[#This Row],[2*23]]+Summary2831[[#This Row],[2*24]]</f>
        <v>66</v>
      </c>
      <c r="BB48" s="261">
        <f>Summary2831[[#This Row],[1*2]]+Summary2831[[#This Row],[1*24]]+Summary2831[[#This Row],[1*25]]</f>
        <v>18</v>
      </c>
      <c r="BC48" s="261">
        <f>IF($F48&lt;=0,"0",IF($F48&lt;=6,"19",IF($F48&lt;=7,"18",IF($F48&lt;=8,"9",0))))+0</f>
        <v>19</v>
      </c>
      <c r="BD48" s="261">
        <f>IF($F48&lt;=0,"0",IF($F48&lt;=2,"22",IF($F48&lt;=3,"19",IF($F48&lt;=4,"15",IF($F48&lt;=5,"9",0)))))+0</f>
        <v>15</v>
      </c>
      <c r="BE48" s="261">
        <f>IF($F48&lt;=0,"0",IF($F48&lt;=1,"6",0))+0</f>
        <v>0</v>
      </c>
      <c r="BF48" s="261">
        <f>IF($G48&lt;=0,"0",IF($G48&lt;=6,"19",IF($G48&lt;=7,"18",IF($G48&lt;=8,"9",0))))+0</f>
        <v>0</v>
      </c>
      <c r="BG48" s="261">
        <f>IF($G48&lt;=0,"0",IF($G48&lt;=2,"22",IF($G48&lt;=3,"19",IF($G48&lt;=4,"15",IF($G48&lt;=5,"9",0)))))+0</f>
        <v>0</v>
      </c>
      <c r="BH48" s="261">
        <f>IF($G48&lt;=0,"0",IF($G48&lt;=1,"6",0))+0</f>
        <v>0</v>
      </c>
      <c r="BI48" s="261">
        <f>IF($H48&lt;=0,"0",IF($H48&lt;=6,"19",IF($H48&lt;=7,"18",IF($H48&lt;=8,"9",0))))+0</f>
        <v>0</v>
      </c>
      <c r="BJ48" s="261">
        <f>IF($H48&lt;=0,"0",IF($H48&lt;=2,"22",IF($H48&lt;=3,"19",IF($H48&lt;=4,"15",IF($H48&lt;=5,"9",0)))))+0</f>
        <v>0</v>
      </c>
      <c r="BK48" s="261">
        <f>IF($H48&lt;=0,"0",IF($H48&lt;=1,"6",0))+0</f>
        <v>0</v>
      </c>
      <c r="BL48" s="251">
        <f>SUM(Summary2831[[#This Row],[3*
(Tal)]],Summary2831[[#This Row],[3*
(Asc)]])</f>
        <v>93</v>
      </c>
      <c r="BM48" s="257">
        <f>SUM(Summary2831[[#This Row],[2*
(Tal)]],Summary2831[[#This Row],[2*
(Asc)]])</f>
        <v>66</v>
      </c>
      <c r="BN48" s="259">
        <f>SUM(Summary2831[[#This Row],[1*
(Tal)]],Summary2831[[#This Row],[1*
(Asc)]])</f>
        <v>18</v>
      </c>
      <c r="BO48" s="235" t="e">
        <f>(IF($E48&lt;=0,"0",IF($E48&lt;=1,"2092530",IF($E48&lt;=10,"2087525",IF($E48&lt;=20,"2068495",IF($E48&lt;=30,"2005910",IF($E48&lt;=40,"1932830",IF($E48&lt;=50,"1777010",IF($E48&lt;=60,"1546185",IF($E48&lt;=70,"1227000",IF($E48&lt;=80,"804625",IF($E48&lt;=81,"647990",IF($E48&lt;=90,"0",0)))))))))))))+0</f>
        <v>#VALUE!</v>
      </c>
      <c r="BP48" s="262">
        <f>(IF($F48&lt;=0,"0",IF($F48&lt;=1,"952500",IF($F48&lt;=2,"940000",IF($F48&lt;=3,"922500",IF($F48&lt;=4,"897500",IF($F48&lt;=5,"867500",IF($F48&lt;=6,"830000",IF($F48&lt;=7,"710000",IF($F48&lt;=8,"450000",0))))))))))+0</f>
        <v>897500</v>
      </c>
      <c r="BQ48" s="262">
        <f>(IF($G48&lt;=0,"0",IF($G48&lt;=1,"952500",IF($G48&lt;=2,"940000",IF($G48&lt;=3,"922500",IF($G48&lt;=4,"897500",IF($G48&lt;=5,"867500",IF($G48&lt;=6,"830000",IF($G48&lt;=7,"710000",IF($G48&lt;=8,"450000",0))))))))))+0</f>
        <v>0</v>
      </c>
      <c r="BR48" s="262">
        <f>(IF($H48&lt;=0,"0",IF($H48&lt;=1,"952500",IF($H48&lt;=2,"940000",IF($H48&lt;=3,"922500",IF($H48&lt;=4,"897500",IF($H48&lt;=5,"867500",IF($H48&lt;=6,"830000",IF($H48&lt;=7,"710000",IF($H48&lt;=8,"450000",0))))))))))+0</f>
        <v>0</v>
      </c>
      <c r="BS48" s="263" t="e">
        <f>SUM(BO48,BP48,BQ48,BR48)</f>
        <v>#VALUE!</v>
      </c>
    </row>
    <row r="49" spans="1:71" s="81" customFormat="1" ht="30" customHeight="1">
      <c r="A49" s="196">
        <f ca="1">SUBTOTAL(3,$C$3:Character[[#This Row],[Name]])</f>
        <v>47</v>
      </c>
      <c r="B49" s="192" t="e" vm="609">
        <f>ImgDatabase!D49</f>
        <v>#VALUE!</v>
      </c>
      <c r="C49" s="197" t="s">
        <v>446</v>
      </c>
      <c r="D49" s="194" t="e" vm="84">
        <f>IFERROR(INDEX(CharacterDetailss[Element], MATCH(Character[[#This Row],[Name]], CharacterDetailss[Name], 0)), "")</f>
        <v>#VALUE!</v>
      </c>
      <c r="E49" s="194" t="e" vm="331">
        <f>IFERROR(INDEX(CharacterDetailss[Weapon Type], MATCH(Character[[#This Row],[Name]], CharacterDetailss[Name], 0)), "")</f>
        <v>#VALUE!</v>
      </c>
      <c r="F49" s="198">
        <v>3.5</v>
      </c>
      <c r="G49" s="14">
        <v>60</v>
      </c>
      <c r="H49" s="9">
        <v>1</v>
      </c>
      <c r="I49" s="2">
        <v>1</v>
      </c>
      <c r="J49" s="10">
        <v>1</v>
      </c>
      <c r="K49"/>
      <c r="L49" s="75">
        <v>81</v>
      </c>
      <c r="M49" s="73">
        <v>1</v>
      </c>
      <c r="N49" s="74">
        <v>9</v>
      </c>
      <c r="O49" s="74">
        <v>9</v>
      </c>
      <c r="P49"/>
      <c r="Q49" s="245" t="e" vm="488">
        <f>IFERROR(INDEX(ImgDatabase!$O:$O, MATCH(WorldBoss[[#This Row],[Boss Name]], ImgDatabase!$P:$P, 0)), "")</f>
        <v>#VALUE!</v>
      </c>
      <c r="R49" s="244" t="s">
        <v>300</v>
      </c>
      <c r="S49" s="300" t="e">
        <f>(IF($E49&lt;=0,"0",IF($E49&lt;=40,"46",IF($E49&lt;=50,"44",IF($E49&lt;=60,"40",IF($E49&lt;=70,"32",IF($E49&lt;=80,"20","0")))))))+0</f>
        <v>#VALUE!</v>
      </c>
      <c r="T49"/>
      <c r="U4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49" s="240" t="s">
        <v>537</v>
      </c>
      <c r="W49" s="241">
        <f>Z49+AC49+AF49</f>
        <v>44</v>
      </c>
      <c r="X49" s="241">
        <f>AA49+AD49+AG49</f>
        <v>36</v>
      </c>
      <c r="Y49" s="242">
        <f>AB49+AE49+AH49</f>
        <v>3</v>
      </c>
      <c r="Z49" s="204">
        <f>(IF($F49&lt;=0,"0",IF($F49&lt;=6,"22",IF($F49&lt;=7,"18",IF($F49&lt;=8,"12",0)))))+0</f>
        <v>22</v>
      </c>
      <c r="AA49" s="205">
        <f>(IF($F49&lt;=0,"0",IF($F49&lt;=2,"21",IF($F49&lt;=3,"19",IF($F49&lt;=4,"15",IF($F49&lt;=5,"9",0))))))+0</f>
        <v>15</v>
      </c>
      <c r="AB49" s="205">
        <f>(IF($F49&lt;=0,"0",IF($F49&lt;=1,"3",0)))+0</f>
        <v>0</v>
      </c>
      <c r="AC49" s="205">
        <f>(IF($G49&lt;=0,"0",IF($G49&lt;=6,"22",IF($G49&lt;=7,"18",IF($G49&lt;=8,"12",0)))))+0</f>
        <v>0</v>
      </c>
      <c r="AD49" s="205">
        <f>(IF($G49&lt;=0,"0",IF($G49&lt;=2,"21",IF($G49&lt;=3,"19",IF($G49&lt;=4,"15",IF($G49&lt;=5,"9",0))))))+0</f>
        <v>0</v>
      </c>
      <c r="AE49" s="205">
        <f>(IF($G49&lt;=0,"0",IF($G49&lt;=1,"3",0)))+0</f>
        <v>0</v>
      </c>
      <c r="AF49" s="205">
        <f>(IF($H49&lt;=0,"0",IF($H49&lt;=6,"22",IF($H49&lt;=7,"18",IF($H49&lt;=8,"12",0)))))+0</f>
        <v>22</v>
      </c>
      <c r="AG49" s="205">
        <f>(IF($H49&lt;=0,"0",IF($H49&lt;=2,"21",IF($H49&lt;=3,"19",IF($H49&lt;=4,"15",IF($H49&lt;=5,"9",0))))))+0</f>
        <v>21</v>
      </c>
      <c r="AH49" s="206">
        <f>(IF($H49&lt;=0,"0",IF($H49&lt;=1,"3",0)))+0</f>
        <v>3</v>
      </c>
      <c r="AI49" s="243" t="s">
        <v>541</v>
      </c>
      <c r="AJ49" s="244" t="s">
        <v>295</v>
      </c>
      <c r="AK49" s="209">
        <f>(IF($F49&lt;=0,"0",IF($F49&lt;=6,"4",IF($F49&lt;=7,"3",IF($F49&lt;=8,"2","0")))))+0</f>
        <v>4</v>
      </c>
      <c r="AL49" s="209">
        <f>(IF($G49&lt;=0,"0",IF($G49&lt;=6,"4",IF($G49&lt;=7,"3",IF($G49&lt;=8,"2","0")))))+0</f>
        <v>0</v>
      </c>
      <c r="AM49" s="209">
        <f>(IF($H49&lt;=0,"0",IF($H49&lt;=6,"4",IF($H49&lt;=7,"3",IF($H49&lt;=8,"2","0")))))+0</f>
        <v>4</v>
      </c>
      <c r="AN49" s="239">
        <f>SUM(AK49:AM49)</f>
        <v>8</v>
      </c>
      <c r="AO49" s="244" t="s">
        <v>560</v>
      </c>
      <c r="AP49" s="245" t="e">
        <f>(IF($E49&lt;=0,"0",IF($E49&lt;=20,"168",IF($E49&lt;=30,"165",IF($E49&lt;=50,"155",IF($E49&lt;=60,"135",IF($E49&lt;=70,"105",IF($E49&lt;=80,"60","0"))))))))+0</f>
        <v>#VALUE!</v>
      </c>
      <c r="AQ49" s="238" t="s">
        <v>573</v>
      </c>
      <c r="AR49" s="244" t="e">
        <f>(IF($E49&lt;=0,"0",IF($E49&lt;=80,"6","0")))+0</f>
        <v>#VALUE!</v>
      </c>
      <c r="AS49" s="244" t="e">
        <f>(IF($E49&lt;=0,"0",IF($E49&lt;=60,"9",IF($E49&lt;=70,"6","0"))))+0</f>
        <v>#VALUE!</v>
      </c>
      <c r="AT49" s="244" t="e">
        <f>(IF($E49&lt;=0,"0",IF($E49&lt;=40,"9",IF($E49&lt;=50,"6","0"))))+0</f>
        <v>#VALUE!</v>
      </c>
      <c r="AU49" s="246" t="e">
        <f>(IF($E49&lt;=0,"0",IF($E49&lt;=20,"1","0")))+0</f>
        <v>#VALUE!</v>
      </c>
      <c r="AV49" s="238" t="s">
        <v>385</v>
      </c>
      <c r="AW49" s="244" t="e">
        <f>(IF($E49&lt;=0,"0",IF($E49&lt;=70,"36",IF($E49&lt;=80,"24","0"))))+0</f>
        <v>#VALUE!</v>
      </c>
      <c r="AX49" s="244" t="e">
        <f>(IF($E49&lt;=0,"0",IF($E49&lt;=50,"30",IF($E49&lt;=60,"18","0"))))+0</f>
        <v>#VALUE!</v>
      </c>
      <c r="AY49" s="244" t="e">
        <f>(IF($E49&lt;=0,"0",IF($E49&lt;=20,"18",IF($E49&lt;=40,"15","0"))))+0</f>
        <v>#VALUE!</v>
      </c>
      <c r="AZ49" s="247">
        <f>Summary2831[[#This Row],[3*2]]+Summary2831[[#This Row],[3*22]]+Summary2831[[#This Row],[3*23]]</f>
        <v>57</v>
      </c>
      <c r="BA49" s="248">
        <f>Summary2831[[#This Row],[2*2]]+Summary2831[[#This Row],[2*23]]+Summary2831[[#This Row],[2*24]]</f>
        <v>66</v>
      </c>
      <c r="BB49" s="248">
        <f>Summary2831[[#This Row],[1*2]]+Summary2831[[#This Row],[1*24]]+Summary2831[[#This Row],[1*25]]</f>
        <v>18</v>
      </c>
      <c r="BC49" s="248">
        <f>IF($F49&lt;=0,"0",IF($F49&lt;=6,"19",IF($F49&lt;=7,"18",IF($F49&lt;=8,"9",0))))+0</f>
        <v>19</v>
      </c>
      <c r="BD49" s="248">
        <f>IF($F49&lt;=0,"0",IF($F49&lt;=2,"22",IF($F49&lt;=3,"19",IF($F49&lt;=4,"15",IF($F49&lt;=5,"9",0)))))+0</f>
        <v>15</v>
      </c>
      <c r="BE49" s="248">
        <f>IF($F49&lt;=0,"0",IF($F49&lt;=1,"6",0))+0</f>
        <v>0</v>
      </c>
      <c r="BF49" s="248">
        <f>IF($G49&lt;=0,"0",IF($G49&lt;=6,"19",IF($G49&lt;=7,"18",IF($G49&lt;=8,"9",0))))+0</f>
        <v>0</v>
      </c>
      <c r="BG49" s="248">
        <f>IF($G49&lt;=0,"0",IF($G49&lt;=2,"22",IF($G49&lt;=3,"19",IF($G49&lt;=4,"15",IF($G49&lt;=5,"9",0)))))+0</f>
        <v>0</v>
      </c>
      <c r="BH49" s="248">
        <f>IF($G49&lt;=0,"0",IF($G49&lt;=1,"6",0))+0</f>
        <v>0</v>
      </c>
      <c r="BI49" s="248">
        <f>IF($H49&lt;=0,"0",IF($H49&lt;=6,"19",IF($H49&lt;=7,"18",IF($H49&lt;=8,"9",0))))+0</f>
        <v>19</v>
      </c>
      <c r="BJ49" s="248">
        <f>IF($H49&lt;=0,"0",IF($H49&lt;=2,"22",IF($H49&lt;=3,"19",IF($H49&lt;=4,"15",IF($H49&lt;=5,"9",0)))))+0</f>
        <v>22</v>
      </c>
      <c r="BK49" s="248">
        <f>IF($H49&lt;=0,"0",IF($H49&lt;=1,"6",0))+0</f>
        <v>6</v>
      </c>
      <c r="BL49" s="238">
        <f>SUM(Summary2831[[#This Row],[3*
(Tal)]],Summary2831[[#This Row],[3*
(Asc)]])</f>
        <v>93</v>
      </c>
      <c r="BM49" s="244">
        <f>SUM(Summary2831[[#This Row],[2*
(Tal)]],Summary2831[[#This Row],[2*
(Asc)]])</f>
        <v>96</v>
      </c>
      <c r="BN49" s="246">
        <f>SUM(Summary2831[[#This Row],[1*
(Tal)]],Summary2831[[#This Row],[1*
(Asc)]])</f>
        <v>33</v>
      </c>
      <c r="BO49" s="216" t="e">
        <f>(IF($E49&lt;=0,"0",IF($E49&lt;=1,"2092530",IF($E49&lt;=10,"2087525",IF($E49&lt;=20,"2068495",IF($E49&lt;=30,"2005910",IF($E49&lt;=40,"1932830",IF($E49&lt;=50,"1777010",IF($E49&lt;=60,"1546185",IF($E49&lt;=70,"1227000",IF($E49&lt;=80,"804625",IF($E49&lt;=81,"647990",IF($E49&lt;=90,"0",0)))))))))))))+0</f>
        <v>#VALUE!</v>
      </c>
      <c r="BP49" s="249">
        <f>(IF($F49&lt;=0,"0",IF($F49&lt;=1,"952500",IF($F49&lt;=2,"940000",IF($F49&lt;=3,"922500",IF($F49&lt;=4,"897500",IF($F49&lt;=5,"867500",IF($F49&lt;=6,"830000",IF($F49&lt;=7,"710000",IF($F49&lt;=8,"450000",0))))))))))+0</f>
        <v>897500</v>
      </c>
      <c r="BQ49" s="249">
        <f>(IF($G49&lt;=0,"0",IF($G49&lt;=1,"952500",IF($G49&lt;=2,"940000",IF($G49&lt;=3,"922500",IF($G49&lt;=4,"897500",IF($G49&lt;=5,"867500",IF($G49&lt;=6,"830000",IF($G49&lt;=7,"710000",IF($G49&lt;=8,"450000",0))))))))))+0</f>
        <v>0</v>
      </c>
      <c r="BR49" s="249">
        <f>(IF($H49&lt;=0,"0",IF($H49&lt;=1,"952500",IF($H49&lt;=2,"940000",IF($H49&lt;=3,"922500",IF($H49&lt;=4,"897500",IF($H49&lt;=5,"867500",IF($H49&lt;=6,"830000",IF($H49&lt;=7,"710000",IF($H49&lt;=8,"450000",0))))))))))+0</f>
        <v>952500</v>
      </c>
      <c r="BS49" s="250" t="e">
        <f>SUM(BO49,BP49,BQ49,BR49)</f>
        <v>#VALUE!</v>
      </c>
    </row>
    <row r="50" spans="1:71" ht="30" customHeight="1">
      <c r="A50" s="192">
        <f ca="1">SUBTOTAL(3,$C$3:Character[[#This Row],[Name]])</f>
        <v>48</v>
      </c>
      <c r="B50" s="192" t="e" vm="610">
        <f>ImgDatabase!D50</f>
        <v>#VALUE!</v>
      </c>
      <c r="C50" s="193" t="s">
        <v>430</v>
      </c>
      <c r="D50" s="194" t="e" vm="58">
        <f>IFERROR(INDEX(CharacterDetailss[Element], MATCH(Character[[#This Row],[Name]], CharacterDetailss[Name], 0)), "")</f>
        <v>#VALUE!</v>
      </c>
      <c r="E50" s="194" t="e" vm="312">
        <f>IFERROR(INDEX(CharacterDetailss[Weapon Type], MATCH(Character[[#This Row],[Name]], CharacterDetailss[Name], 0)), "")</f>
        <v>#VALUE!</v>
      </c>
      <c r="F50" s="198">
        <v>1</v>
      </c>
      <c r="G50" s="72">
        <v>81</v>
      </c>
      <c r="H50" s="73">
        <v>1</v>
      </c>
      <c r="I50" s="74">
        <v>1</v>
      </c>
      <c r="J50" s="75">
        <v>10</v>
      </c>
      <c r="L50" s="75">
        <v>81</v>
      </c>
      <c r="M50" s="73">
        <v>1</v>
      </c>
      <c r="N50" s="74">
        <v>9</v>
      </c>
      <c r="O50" s="74">
        <v>9</v>
      </c>
      <c r="Q50" s="230" t="e" vm="500">
        <f>IFERROR(INDEX(ImgDatabase!$O:$O, MATCH(WorldBoss[[#This Row],[Boss Name]], ImgDatabase!$P:$P, 0)), "")</f>
        <v>#VALUE!</v>
      </c>
      <c r="R50" s="228" t="s">
        <v>317</v>
      </c>
      <c r="S50" s="297" t="e">
        <f>(IF($E50&lt;=0,"0",IF($E50&lt;=40,"46",IF($E50&lt;=50,"44",IF($E50&lt;=60,"40",IF($E50&lt;=70,"32",IF($E50&lt;=80,"20","0")))))))+0</f>
        <v>#VALUE!</v>
      </c>
      <c r="U5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0" s="222" t="s">
        <v>10</v>
      </c>
      <c r="W50" s="223">
        <f>Z50+AC50+AF50</f>
        <v>44</v>
      </c>
      <c r="X50" s="223">
        <f>AA50+AD50+AG50</f>
        <v>42</v>
      </c>
      <c r="Y50" s="221">
        <f>AB50+AE50+AH50</f>
        <v>6</v>
      </c>
      <c r="Z50" s="224">
        <f>(IF($F50&lt;=0,"0",IF($F50&lt;=6,"22",IF($F50&lt;=7,"18",IF($F50&lt;=8,"12",0)))))+0</f>
        <v>22</v>
      </c>
      <c r="AA50" s="225">
        <f>(IF($F50&lt;=0,"0",IF($F50&lt;=2,"21",IF($F50&lt;=3,"19",IF($F50&lt;=4,"15",IF($F50&lt;=5,"9",0))))))+0</f>
        <v>21</v>
      </c>
      <c r="AB50" s="225">
        <f>(IF($F50&lt;=0,"0",IF($F50&lt;=1,"3",0)))+0</f>
        <v>3</v>
      </c>
      <c r="AC50" s="225">
        <f>(IF($G50&lt;=0,"0",IF($G50&lt;=6,"22",IF($G50&lt;=7,"18",IF($G50&lt;=8,"12",0)))))+0</f>
        <v>0</v>
      </c>
      <c r="AD50" s="225">
        <f>(IF($G50&lt;=0,"0",IF($G50&lt;=2,"21",IF($G50&lt;=3,"19",IF($G50&lt;=4,"15",IF($G50&lt;=5,"9",0))))))+0</f>
        <v>0</v>
      </c>
      <c r="AE50" s="225">
        <f>(IF($G50&lt;=0,"0",IF($G50&lt;=1,"3",0)))+0</f>
        <v>0</v>
      </c>
      <c r="AF50" s="225">
        <f>(IF($H50&lt;=0,"0",IF($H50&lt;=6,"22",IF($H50&lt;=7,"18",IF($H50&lt;=8,"12",0)))))+0</f>
        <v>22</v>
      </c>
      <c r="AG50" s="225">
        <f>(IF($H50&lt;=0,"0",IF($H50&lt;=2,"21",IF($H50&lt;=3,"19",IF($H50&lt;=4,"15",IF($H50&lt;=5,"9",0))))))+0</f>
        <v>21</v>
      </c>
      <c r="AH50" s="226">
        <f>(IF($H50&lt;=0,"0",IF($H50&lt;=1,"3",0)))+0</f>
        <v>3</v>
      </c>
      <c r="AI50" s="227" t="s">
        <v>541</v>
      </c>
      <c r="AJ50" s="228" t="s">
        <v>587</v>
      </c>
      <c r="AK50" s="229">
        <f>(IF($F50&lt;=0,"0",IF($F50&lt;=6,"4",IF($F50&lt;=7,"3",IF($F50&lt;=8,"2","0")))))+0</f>
        <v>4</v>
      </c>
      <c r="AL50" s="229">
        <f>(IF($G50&lt;=0,"0",IF($G50&lt;=6,"4",IF($G50&lt;=7,"3",IF($G50&lt;=8,"2","0")))))+0</f>
        <v>0</v>
      </c>
      <c r="AM50" s="229">
        <f>(IF($H50&lt;=0,"0",IF($H50&lt;=6,"4",IF($H50&lt;=7,"3",IF($H50&lt;=8,"2","0")))))+0</f>
        <v>4</v>
      </c>
      <c r="AN50" s="220">
        <f>SUM(AK50:AM50)</f>
        <v>8</v>
      </c>
      <c r="AO50" s="228" t="s">
        <v>539</v>
      </c>
      <c r="AP50" s="230" t="e">
        <f>(IF($E50&lt;=0,"0",IF($E50&lt;=20,"168",IF($E50&lt;=30,"165",IF($E50&lt;=50,"155",IF($E50&lt;=60,"135",IF($E50&lt;=70,"105",IF($E50&lt;=80,"60","0"))))))))+0</f>
        <v>#VALUE!</v>
      </c>
      <c r="AQ50" s="219" t="s">
        <v>534</v>
      </c>
      <c r="AR50" s="228" t="e">
        <f>(IF($E50&lt;=0,"0",IF($E50&lt;=80,"6","0")))+0</f>
        <v>#VALUE!</v>
      </c>
      <c r="AS50" s="228" t="e">
        <f>(IF($E50&lt;=0,"0",IF($E50&lt;=60,"9",IF($E50&lt;=70,"6","0"))))+0</f>
        <v>#VALUE!</v>
      </c>
      <c r="AT50" s="228" t="e">
        <f>(IF($E50&lt;=0,"0",IF($E50&lt;=40,"9",IF($E50&lt;=50,"6","0"))))+0</f>
        <v>#VALUE!</v>
      </c>
      <c r="AU50" s="231" t="e">
        <f>(IF($E50&lt;=0,"0",IF($E50&lt;=20,"1","0")))+0</f>
        <v>#VALUE!</v>
      </c>
      <c r="AV50" s="219" t="s">
        <v>236</v>
      </c>
      <c r="AW50" s="228" t="e">
        <f>(IF($E50&lt;=0,"0",IF($E50&lt;=70,"36",IF($E50&lt;=80,"24","0"))))+0</f>
        <v>#VALUE!</v>
      </c>
      <c r="AX50" s="228" t="e">
        <f>(IF($E50&lt;=0,"0",IF($E50&lt;=50,"30",IF($E50&lt;=60,"18","0"))))+0</f>
        <v>#VALUE!</v>
      </c>
      <c r="AY50" s="228" t="e">
        <f>(IF($E50&lt;=0,"0",IF($E50&lt;=20,"18",IF($E50&lt;=40,"15","0"))))+0</f>
        <v>#VALUE!</v>
      </c>
      <c r="AZ50" s="232">
        <f>Summary2831[[#This Row],[3*2]]+Summary2831[[#This Row],[3*22]]+Summary2831[[#This Row],[3*23]]</f>
        <v>0</v>
      </c>
      <c r="BA50" s="233">
        <f>Summary2831[[#This Row],[2*2]]+Summary2831[[#This Row],[2*23]]+Summary2831[[#This Row],[2*24]]</f>
        <v>0</v>
      </c>
      <c r="BB50" s="233">
        <f>Summary2831[[#This Row],[1*2]]+Summary2831[[#This Row],[1*24]]+Summary2831[[#This Row],[1*25]]</f>
        <v>0</v>
      </c>
      <c r="BC50" s="234">
        <f>IF($F50&lt;=0,"0",IF($F50&lt;=6,"19",IF($F50&lt;=7,"18",IF($F50&lt;=8,"9",0))))+0</f>
        <v>19</v>
      </c>
      <c r="BD50" s="234">
        <f>IF($F50&lt;=0,"0",IF($F50&lt;=2,"22",IF($F50&lt;=3,"19",IF($F50&lt;=4,"15",IF($F50&lt;=5,"9",0)))))+0</f>
        <v>22</v>
      </c>
      <c r="BE50" s="234">
        <f>IF($F50&lt;=0,"0",IF($F50&lt;=1,"6",0))+0</f>
        <v>6</v>
      </c>
      <c r="BF50" s="234">
        <f>IF($G50&lt;=0,"0",IF($G50&lt;=6,"19",IF($G50&lt;=7,"18",IF($G50&lt;=8,"9",0))))+0</f>
        <v>0</v>
      </c>
      <c r="BG50" s="234">
        <f>IF($G50&lt;=0,"0",IF($G50&lt;=2,"22",IF($G50&lt;=3,"19",IF($G50&lt;=4,"15",IF($G50&lt;=5,"9",0)))))+0</f>
        <v>0</v>
      </c>
      <c r="BH50" s="234">
        <f>IF($G50&lt;=0,"0",IF($G50&lt;=1,"6",0))+0</f>
        <v>0</v>
      </c>
      <c r="BI50" s="234">
        <f>IF($H50&lt;=0,"0",IF($H50&lt;=6,"19",IF($H50&lt;=7,"18",IF($H50&lt;=8,"9",0))))+0</f>
        <v>19</v>
      </c>
      <c r="BJ50" s="234">
        <f>IF($H50&lt;=0,"0",IF($H50&lt;=2,"22",IF($H50&lt;=3,"19",IF($H50&lt;=4,"15",IF($H50&lt;=5,"9",0)))))+0</f>
        <v>22</v>
      </c>
      <c r="BK50" s="234">
        <f>IF($H50&lt;=0,"0",IF($H50&lt;=1,"6",0))+0</f>
        <v>6</v>
      </c>
      <c r="BL50" s="219">
        <f>SUM(Summary2831[[#This Row],[3*
(Tal)]],Summary2831[[#This Row],[3*
(Asc)]])</f>
        <v>0</v>
      </c>
      <c r="BM50" s="228">
        <f>SUM(Summary2831[[#This Row],[2*
(Tal)]],Summary2831[[#This Row],[2*
(Asc)]])</f>
        <v>0</v>
      </c>
      <c r="BN50" s="231">
        <f>SUM(Summary2831[[#This Row],[1*
(Tal)]],Summary2831[[#This Row],[1*
(Asc)]])</f>
        <v>0</v>
      </c>
      <c r="BO50" s="235" t="e">
        <f>(IF($E50&lt;=0,"0",IF($E50&lt;=1,"2092530",IF($E50&lt;=10,"2087525",IF($E50&lt;=20,"2068495",IF($E50&lt;=30,"2005910",IF($E50&lt;=40,"1932830",IF($E50&lt;=50,"1777010",IF($E50&lt;=60,"1546185",IF($E50&lt;=70,"1227000",IF($E50&lt;=80,"804625",IF($E50&lt;=81,"647990",IF($E50&lt;=90,"0",0)))))))))))))+0</f>
        <v>#VALUE!</v>
      </c>
      <c r="BP50" s="236">
        <f>(IF($F50&lt;=0,"0",IF($F50&lt;=1,"952500",IF($F50&lt;=2,"940000",IF($F50&lt;=3,"922500",IF($F50&lt;=4,"897500",IF($F50&lt;=5,"867500",IF($F50&lt;=6,"830000",IF($F50&lt;=7,"710000",IF($F50&lt;=8,"450000",0))))))))))+0</f>
        <v>952500</v>
      </c>
      <c r="BQ50" s="236">
        <f>(IF($G50&lt;=0,"0",IF($G50&lt;=1,"952500",IF($G50&lt;=2,"940000",IF($G50&lt;=3,"922500",IF($G50&lt;=4,"897500",IF($G50&lt;=5,"867500",IF($G50&lt;=6,"830000",IF($G50&lt;=7,"710000",IF($G50&lt;=8,"450000",0))))))))))+0</f>
        <v>0</v>
      </c>
      <c r="BR50" s="236">
        <f>(IF($H50&lt;=0,"0",IF($H50&lt;=1,"952500",IF($H50&lt;=2,"940000",IF($H50&lt;=3,"922500",IF($H50&lt;=4,"897500",IF($H50&lt;=5,"867500",IF($H50&lt;=6,"830000",IF($H50&lt;=7,"710000",IF($H50&lt;=8,"450000",0))))))))))+0</f>
        <v>952500</v>
      </c>
      <c r="BS50" s="237" t="e">
        <f>SUM(BO50,BP50,BQ50,BR50)</f>
        <v>#VALUE!</v>
      </c>
    </row>
    <row r="51" spans="1:71" ht="30" customHeight="1">
      <c r="A51" s="192">
        <f ca="1">SUBTOTAL(3,$C$3:Character[[#This Row],[Name]])</f>
        <v>49</v>
      </c>
      <c r="B51" s="192" t="e" vm="611">
        <f>ImgDatabase!D51</f>
        <v>#VALUE!</v>
      </c>
      <c r="C51" s="193" t="s">
        <v>431</v>
      </c>
      <c r="D51" s="194" t="e" vm="19">
        <f>IFERROR(INDEX(CharacterDetailss[Element], MATCH(Character[[#This Row],[Name]], CharacterDetailss[Name], 0)), "")</f>
        <v>#VALUE!</v>
      </c>
      <c r="E51" s="194" t="e" vm="312">
        <f>IFERROR(INDEX(CharacterDetailss[Weapon Type], MATCH(Character[[#This Row],[Name]], CharacterDetailss[Name], 0)), "")</f>
        <v>#VALUE!</v>
      </c>
      <c r="F51" s="198">
        <v>3.2</v>
      </c>
      <c r="G51" s="72">
        <v>90</v>
      </c>
      <c r="H51" s="73">
        <v>6</v>
      </c>
      <c r="I51" s="74">
        <v>10</v>
      </c>
      <c r="J51" s="75">
        <v>10</v>
      </c>
      <c r="L51" s="75">
        <v>81</v>
      </c>
      <c r="M51" s="73">
        <v>1</v>
      </c>
      <c r="N51" s="74">
        <v>9</v>
      </c>
      <c r="O51" s="74">
        <v>9</v>
      </c>
      <c r="Q51" s="245" t="e" vm="20">
        <f>IFERROR(INDEX(ImgDatabase!$O:$O, MATCH(WorldBoss[[#This Row],[Boss Name]], ImgDatabase!$P:$P, 0)), "")</f>
        <v>#VALUE!</v>
      </c>
      <c r="R51" s="244" t="s">
        <v>284</v>
      </c>
      <c r="S51" s="300" t="e">
        <f>(IF($E51&lt;=0,"0",IF($E51&lt;=40,"46",IF($E51&lt;=50,"44",IF($E51&lt;=60,"40",IF($E51&lt;=70,"32",IF($E51&lt;=80,"20","0")))))))+0</f>
        <v>#VALUE!</v>
      </c>
      <c r="U5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V51" s="240" t="s">
        <v>519</v>
      </c>
      <c r="W51" s="241">
        <f>Z51+AC51+AF51</f>
        <v>44</v>
      </c>
      <c r="X51" s="241">
        <f>AA51+AD51+AG51</f>
        <v>15</v>
      </c>
      <c r="Y51" s="242">
        <f>AB51+AE51+AH51</f>
        <v>0</v>
      </c>
      <c r="Z51" s="204">
        <f>(IF($F51&lt;=0,"0",IF($F51&lt;=6,"22",IF($F51&lt;=7,"18",IF($F51&lt;=8,"12",0)))))+0</f>
        <v>22</v>
      </c>
      <c r="AA51" s="205">
        <f>(IF($F51&lt;=0,"0",IF($F51&lt;=2,"21",IF($F51&lt;=3,"19",IF($F51&lt;=4,"15",IF($F51&lt;=5,"9",0))))))+0</f>
        <v>15</v>
      </c>
      <c r="AB51" s="205">
        <f>(IF($F51&lt;=0,"0",IF($F51&lt;=1,"3",0)))+0</f>
        <v>0</v>
      </c>
      <c r="AC51" s="205">
        <f>(IF($G51&lt;=0,"0",IF($G51&lt;=6,"22",IF($G51&lt;=7,"18",IF($G51&lt;=8,"12",0)))))+0</f>
        <v>0</v>
      </c>
      <c r="AD51" s="205">
        <f>(IF($G51&lt;=0,"0",IF($G51&lt;=2,"21",IF($G51&lt;=3,"19",IF($G51&lt;=4,"15",IF($G51&lt;=5,"9",0))))))+0</f>
        <v>0</v>
      </c>
      <c r="AE51" s="205">
        <f>(IF($G51&lt;=0,"0",IF($G51&lt;=1,"3",0)))+0</f>
        <v>0</v>
      </c>
      <c r="AF51" s="205">
        <f>(IF($H51&lt;=0,"0",IF($H51&lt;=6,"22",IF($H51&lt;=7,"18",IF($H51&lt;=8,"12",0)))))+0</f>
        <v>22</v>
      </c>
      <c r="AG51" s="205">
        <f>(IF($H51&lt;=0,"0",IF($H51&lt;=2,"21",IF($H51&lt;=3,"19",IF($H51&lt;=4,"15",IF($H51&lt;=5,"9",0))))))+0</f>
        <v>0</v>
      </c>
      <c r="AH51" s="206">
        <f>(IF($H51&lt;=0,"0",IF($H51&lt;=1,"3",0)))+0</f>
        <v>0</v>
      </c>
      <c r="AI51" s="243" t="s">
        <v>523</v>
      </c>
      <c r="AJ51" s="244" t="s">
        <v>524</v>
      </c>
      <c r="AK51" s="209">
        <f>(IF($F51&lt;=0,"0",IF($F51&lt;=6,"4",IF($F51&lt;=7,"3",IF($F51&lt;=8,"2","0")))))+0</f>
        <v>4</v>
      </c>
      <c r="AL51" s="209">
        <f>(IF($G51&lt;=0,"0",IF($G51&lt;=6,"4",IF($G51&lt;=7,"3",IF($G51&lt;=8,"2","0")))))+0</f>
        <v>0</v>
      </c>
      <c r="AM51" s="209">
        <f>(IF($H51&lt;=0,"0",IF($H51&lt;=6,"4",IF($H51&lt;=7,"3",IF($H51&lt;=8,"2","0")))))+0</f>
        <v>4</v>
      </c>
      <c r="AN51" s="239">
        <f>SUM(AK51:AM51)</f>
        <v>8</v>
      </c>
      <c r="AO51" s="244" t="s">
        <v>407</v>
      </c>
      <c r="AP51" s="245" t="e">
        <f>(IF($E51&lt;=0,"0",IF($E51&lt;=20,"168",IF($E51&lt;=30,"165",IF($E51&lt;=50,"155",IF($E51&lt;=60,"135",IF($E51&lt;=70,"105",IF($E51&lt;=80,"60","0"))))))))+0</f>
        <v>#VALUE!</v>
      </c>
      <c r="AQ51" s="238" t="s">
        <v>530</v>
      </c>
      <c r="AR51" s="244" t="e">
        <f>(IF($E51&lt;=0,"0",IF($E51&lt;=80,"6","0")))+0</f>
        <v>#VALUE!</v>
      </c>
      <c r="AS51" s="244" t="e">
        <f>(IF($E51&lt;=0,"0",IF($E51&lt;=60,"9",IF($E51&lt;=70,"6","0"))))+0</f>
        <v>#VALUE!</v>
      </c>
      <c r="AT51" s="244" t="e">
        <f>(IF($E51&lt;=0,"0",IF($E51&lt;=40,"9",IF($E51&lt;=50,"6","0"))))+0</f>
        <v>#VALUE!</v>
      </c>
      <c r="AU51" s="246" t="e">
        <f>(IF($E51&lt;=0,"0",IF($E51&lt;=20,"1","0")))+0</f>
        <v>#VALUE!</v>
      </c>
      <c r="AV51" s="238" t="s">
        <v>236</v>
      </c>
      <c r="AW51" s="244" t="e">
        <f>(IF($E51&lt;=0,"0",IF($E51&lt;=70,"36",IF($E51&lt;=80,"24","0"))))+0</f>
        <v>#VALUE!</v>
      </c>
      <c r="AX51" s="244" t="e">
        <f>(IF($E51&lt;=0,"0",IF($E51&lt;=50,"30",IF($E51&lt;=60,"18","0"))))+0</f>
        <v>#VALUE!</v>
      </c>
      <c r="AY51" s="244" t="e">
        <f>(IF($E51&lt;=0,"0",IF($E51&lt;=20,"18",IF($E51&lt;=40,"15","0"))))+0</f>
        <v>#VALUE!</v>
      </c>
      <c r="AZ51" s="247">
        <f>Summary2831[[#This Row],[3*2]]+Summary2831[[#This Row],[3*22]]+Summary2831[[#This Row],[3*23]]</f>
        <v>57</v>
      </c>
      <c r="BA51" s="248">
        <f>Summary2831[[#This Row],[2*2]]+Summary2831[[#This Row],[2*23]]+Summary2831[[#This Row],[2*24]]</f>
        <v>66</v>
      </c>
      <c r="BB51" s="248">
        <f>Summary2831[[#This Row],[1*2]]+Summary2831[[#This Row],[1*24]]+Summary2831[[#This Row],[1*25]]</f>
        <v>18</v>
      </c>
      <c r="BC51" s="248">
        <f>IF($F51&lt;=0,"0",IF($F51&lt;=6,"19",IF($F51&lt;=7,"18",IF($F51&lt;=8,"9",0))))+0</f>
        <v>19</v>
      </c>
      <c r="BD51" s="248">
        <f>IF($F51&lt;=0,"0",IF($F51&lt;=2,"22",IF($F51&lt;=3,"19",IF($F51&lt;=4,"15",IF($F51&lt;=5,"9",0)))))+0</f>
        <v>15</v>
      </c>
      <c r="BE51" s="248">
        <f>IF($F51&lt;=0,"0",IF($F51&lt;=1,"6",0))+0</f>
        <v>0</v>
      </c>
      <c r="BF51" s="248">
        <f>IF($G51&lt;=0,"0",IF($G51&lt;=6,"19",IF($G51&lt;=7,"18",IF($G51&lt;=8,"9",0))))+0</f>
        <v>0</v>
      </c>
      <c r="BG51" s="248">
        <f>IF($G51&lt;=0,"0",IF($G51&lt;=2,"22",IF($G51&lt;=3,"19",IF($G51&lt;=4,"15",IF($G51&lt;=5,"9",0)))))+0</f>
        <v>0</v>
      </c>
      <c r="BH51" s="248">
        <f>IF($G51&lt;=0,"0",IF($G51&lt;=1,"6",0))+0</f>
        <v>0</v>
      </c>
      <c r="BI51" s="248">
        <f>IF($H51&lt;=0,"0",IF($H51&lt;=6,"19",IF($H51&lt;=7,"18",IF($H51&lt;=8,"9",0))))+0</f>
        <v>19</v>
      </c>
      <c r="BJ51" s="248">
        <f>IF($H51&lt;=0,"0",IF($H51&lt;=2,"22",IF($H51&lt;=3,"19",IF($H51&lt;=4,"15",IF($H51&lt;=5,"9",0)))))+0</f>
        <v>0</v>
      </c>
      <c r="BK51" s="248">
        <f>IF($H51&lt;=0,"0",IF($H51&lt;=1,"6",0))+0</f>
        <v>0</v>
      </c>
      <c r="BL51" s="238">
        <f>SUM(Summary2831[[#This Row],[3*
(Tal)]],Summary2831[[#This Row],[3*
(Asc)]])</f>
        <v>93</v>
      </c>
      <c r="BM51" s="244">
        <f>SUM(Summary2831[[#This Row],[2*
(Tal)]],Summary2831[[#This Row],[2*
(Asc)]])</f>
        <v>84</v>
      </c>
      <c r="BN51" s="246">
        <f>SUM(Summary2831[[#This Row],[1*
(Tal)]],Summary2831[[#This Row],[1*
(Asc)]])</f>
        <v>18</v>
      </c>
      <c r="BO51" s="216" t="e">
        <f>(IF($E51&lt;=0,"0",IF($E51&lt;=1,"2092530",IF($E51&lt;=10,"2087525",IF($E51&lt;=20,"2068495",IF($E51&lt;=30,"2005910",IF($E51&lt;=40,"1932830",IF($E51&lt;=50,"1777010",IF($E51&lt;=60,"1546185",IF($E51&lt;=70,"1227000",IF($E51&lt;=80,"804625",IF($E51&lt;=81,"647990",IF($E51&lt;=90,"0",0)))))))))))))+0</f>
        <v>#VALUE!</v>
      </c>
      <c r="BP51" s="249">
        <f>(IF($F51&lt;=0,"0",IF($F51&lt;=1,"952500",IF($F51&lt;=2,"940000",IF($F51&lt;=3,"922500",IF($F51&lt;=4,"897500",IF($F51&lt;=5,"867500",IF($F51&lt;=6,"830000",IF($F51&lt;=7,"710000",IF($F51&lt;=8,"450000",0))))))))))+0</f>
        <v>897500</v>
      </c>
      <c r="BQ51" s="249">
        <f>(IF($G51&lt;=0,"0",IF($G51&lt;=1,"952500",IF($G51&lt;=2,"940000",IF($G51&lt;=3,"922500",IF($G51&lt;=4,"897500",IF($G51&lt;=5,"867500",IF($G51&lt;=6,"830000",IF($G51&lt;=7,"710000",IF($G51&lt;=8,"450000",0))))))))))+0</f>
        <v>0</v>
      </c>
      <c r="BR51" s="249">
        <f>(IF($H51&lt;=0,"0",IF($H51&lt;=1,"952500",IF($H51&lt;=2,"940000",IF($H51&lt;=3,"922500",IF($H51&lt;=4,"897500",IF($H51&lt;=5,"867500",IF($H51&lt;=6,"830000",IF($H51&lt;=7,"710000",IF($H51&lt;=8,"450000",0))))))))))+0</f>
        <v>830000</v>
      </c>
      <c r="BS51" s="250" t="e">
        <f>SUM(BO51,BP51,BQ51,BR51)</f>
        <v>#VALUE!</v>
      </c>
    </row>
    <row r="52" spans="1:71" ht="30" customHeight="1">
      <c r="A52" s="192">
        <f ca="1">SUBTOTAL(3,$C$3:Character[[#This Row],[Name]])</f>
        <v>50</v>
      </c>
      <c r="B52" s="192" t="e" vm="612">
        <f>ImgDatabase!D52</f>
        <v>#VALUE!</v>
      </c>
      <c r="C52" s="193" t="s">
        <v>419</v>
      </c>
      <c r="D52" s="194" t="e" vm="4">
        <f>IFERROR(INDEX(CharacterDetailss[Element], MATCH(Character[[#This Row],[Name]], CharacterDetailss[Name], 0)), "")</f>
        <v>#VALUE!</v>
      </c>
      <c r="E52" s="194" t="e" vm="292">
        <f>IFERROR(INDEX(CharacterDetailss[Weapon Type], MATCH(Character[[#This Row],[Name]], CharacterDetailss[Name], 0)), "")</f>
        <v>#VALUE!</v>
      </c>
      <c r="F52" s="195">
        <v>4.3</v>
      </c>
      <c r="G52" s="72">
        <v>0</v>
      </c>
      <c r="H52" s="73">
        <v>0</v>
      </c>
      <c r="I52" s="74">
        <v>0</v>
      </c>
      <c r="J52" s="75">
        <v>0</v>
      </c>
      <c r="L52" s="75">
        <v>81</v>
      </c>
      <c r="M52" s="73">
        <v>1</v>
      </c>
      <c r="N52" s="74">
        <v>9</v>
      </c>
      <c r="O52" s="74">
        <v>9</v>
      </c>
      <c r="Q52" s="230" t="e" vm="374">
        <f>IFERROR(INDEX(ImgDatabase!$O:$O, MATCH(WorldBoss[[#This Row],[Boss Name]], ImgDatabase!$P:$P, 0)), "")</f>
        <v>#VALUE!</v>
      </c>
      <c r="R52" s="228" t="s">
        <v>127</v>
      </c>
      <c r="S52" s="297" t="e">
        <f>(IF($E52&lt;=0,"0",IF($E52&lt;=40,"46",IF($E52&lt;=50,"44",IF($E52&lt;=60,"40",IF($E52&lt;=70,"32",IF($E52&lt;=80,"20","0")))))))+0</f>
        <v>#VALUE!</v>
      </c>
      <c r="U5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2" s="222" t="s">
        <v>549</v>
      </c>
      <c r="W52" s="223">
        <f>Z52+AC52+AF52</f>
        <v>22</v>
      </c>
      <c r="X52" s="223">
        <f>AA52+AD52+AG52</f>
        <v>9</v>
      </c>
      <c r="Y52" s="221">
        <f>AB52+AE52+AH52</f>
        <v>0</v>
      </c>
      <c r="Z52" s="224">
        <f>(IF($F52&lt;=0,"0",IF($F52&lt;=6,"22",IF($F52&lt;=7,"18",IF($F52&lt;=8,"12",0)))))+0</f>
        <v>22</v>
      </c>
      <c r="AA52" s="225">
        <f>(IF($F52&lt;=0,"0",IF($F52&lt;=2,"21",IF($F52&lt;=3,"19",IF($F52&lt;=4,"15",IF($F52&lt;=5,"9",0))))))+0</f>
        <v>9</v>
      </c>
      <c r="AB52" s="225">
        <f>(IF($F52&lt;=0,"0",IF($F52&lt;=1,"3",0)))+0</f>
        <v>0</v>
      </c>
      <c r="AC52" s="225">
        <f>(IF($G52&lt;=0,"0",IF($G52&lt;=6,"22",IF($G52&lt;=7,"18",IF($G52&lt;=8,"12",0)))))+0</f>
        <v>0</v>
      </c>
      <c r="AD52" s="225">
        <f>(IF($G52&lt;=0,"0",IF($G52&lt;=2,"21",IF($G52&lt;=3,"19",IF($G52&lt;=4,"15",IF($G52&lt;=5,"9",0))))))+0</f>
        <v>0</v>
      </c>
      <c r="AE52" s="225">
        <f>(IF($G52&lt;=0,"0",IF($G52&lt;=1,"3",0)))+0</f>
        <v>0</v>
      </c>
      <c r="AF52" s="225">
        <f>(IF($H52&lt;=0,"0",IF($H52&lt;=6,"22",IF($H52&lt;=7,"18",IF($H52&lt;=8,"12",0)))))+0</f>
        <v>0</v>
      </c>
      <c r="AG52" s="225">
        <f>(IF($H52&lt;=0,"0",IF($H52&lt;=2,"21",IF($H52&lt;=3,"19",IF($H52&lt;=4,"15",IF($H52&lt;=5,"9",0))))))+0</f>
        <v>0</v>
      </c>
      <c r="AH52" s="226">
        <f>(IF($H52&lt;=0,"0",IF($H52&lt;=1,"3",0)))+0</f>
        <v>0</v>
      </c>
      <c r="AI52" s="227" t="s">
        <v>543</v>
      </c>
      <c r="AJ52" s="228" t="s">
        <v>544</v>
      </c>
      <c r="AK52" s="229">
        <f>(IF($F52&lt;=0,"0",IF($F52&lt;=6,"4",IF($F52&lt;=7,"3",IF($F52&lt;=8,"2","0")))))+0</f>
        <v>4</v>
      </c>
      <c r="AL52" s="229">
        <f>(IF($G52&lt;=0,"0",IF($G52&lt;=6,"4",IF($G52&lt;=7,"3",IF($G52&lt;=8,"2","0")))))+0</f>
        <v>0</v>
      </c>
      <c r="AM52" s="229">
        <f>(IF($H52&lt;=0,"0",IF($H52&lt;=6,"4",IF($H52&lt;=7,"3",IF($H52&lt;=8,"2","0")))))+0</f>
        <v>0</v>
      </c>
      <c r="AN52" s="220">
        <f>SUM(AK52:AM52)</f>
        <v>4</v>
      </c>
      <c r="AO52" s="228" t="s">
        <v>545</v>
      </c>
      <c r="AP52" s="230" t="e">
        <f>(IF($E52&lt;=0,"0",IF($E52&lt;=20,"168",IF($E52&lt;=30,"165",IF($E52&lt;=50,"155",IF($E52&lt;=60,"135",IF($E52&lt;=70,"105",IF($E52&lt;=80,"60","0"))))))))+0</f>
        <v>#VALUE!</v>
      </c>
      <c r="AQ52" s="219" t="s">
        <v>546</v>
      </c>
      <c r="AR52" s="228" t="e">
        <f>(IF($E52&lt;=0,"0",IF($E52&lt;=80,"6","0")))+0</f>
        <v>#VALUE!</v>
      </c>
      <c r="AS52" s="228" t="e">
        <f>(IF($E52&lt;=0,"0",IF($E52&lt;=60,"9",IF($E52&lt;=70,"6","0"))))+0</f>
        <v>#VALUE!</v>
      </c>
      <c r="AT52" s="228" t="e">
        <f>(IF($E52&lt;=0,"0",IF($E52&lt;=40,"9",IF($E52&lt;=50,"6","0"))))+0</f>
        <v>#VALUE!</v>
      </c>
      <c r="AU52" s="231" t="e">
        <f>(IF($E52&lt;=0,"0",IF($E52&lt;=20,"1","0")))+0</f>
        <v>#VALUE!</v>
      </c>
      <c r="AV52" s="219" t="s">
        <v>264</v>
      </c>
      <c r="AW52" s="228" t="e">
        <f>(IF($E52&lt;=0,"0",IF($E52&lt;=70,"36",IF($E52&lt;=80,"24","0"))))+0</f>
        <v>#VALUE!</v>
      </c>
      <c r="AX52" s="228" t="e">
        <f>(IF($E52&lt;=0,"0",IF($E52&lt;=50,"30",IF($E52&lt;=60,"18","0"))))+0</f>
        <v>#VALUE!</v>
      </c>
      <c r="AY52" s="228" t="e">
        <f>(IF($E52&lt;=0,"0",IF($E52&lt;=20,"18",IF($E52&lt;=40,"15","0"))))+0</f>
        <v>#VALUE!</v>
      </c>
      <c r="AZ52" s="232">
        <f>Summary2831[[#This Row],[3*2]]+Summary2831[[#This Row],[3*22]]+Summary2831[[#This Row],[3*23]]</f>
        <v>38</v>
      </c>
      <c r="BA52" s="233">
        <f>Summary2831[[#This Row],[2*2]]+Summary2831[[#This Row],[2*23]]+Summary2831[[#This Row],[2*24]]</f>
        <v>44</v>
      </c>
      <c r="BB52" s="233">
        <f>Summary2831[[#This Row],[1*2]]+Summary2831[[#This Row],[1*24]]+Summary2831[[#This Row],[1*25]]</f>
        <v>12</v>
      </c>
      <c r="BC52" s="234">
        <f>IF($F52&lt;=0,"0",IF($F52&lt;=6,"19",IF($F52&lt;=7,"18",IF($F52&lt;=8,"9",0))))+0</f>
        <v>19</v>
      </c>
      <c r="BD52" s="234">
        <f>IF($F52&lt;=0,"0",IF($F52&lt;=2,"22",IF($F52&lt;=3,"19",IF($F52&lt;=4,"15",IF($F52&lt;=5,"9",0)))))+0</f>
        <v>9</v>
      </c>
      <c r="BE52" s="234">
        <f>IF($F52&lt;=0,"0",IF($F52&lt;=1,"6",0))+0</f>
        <v>0</v>
      </c>
      <c r="BF52" s="234">
        <f>IF($G52&lt;=0,"0",IF($G52&lt;=6,"19",IF($G52&lt;=7,"18",IF($G52&lt;=8,"9",0))))+0</f>
        <v>0</v>
      </c>
      <c r="BG52" s="234">
        <f>IF($G52&lt;=0,"0",IF($G52&lt;=2,"22",IF($G52&lt;=3,"19",IF($G52&lt;=4,"15",IF($G52&lt;=5,"9",0)))))+0</f>
        <v>0</v>
      </c>
      <c r="BH52" s="234">
        <f>IF($G52&lt;=0,"0",IF($G52&lt;=1,"6",0))+0</f>
        <v>0</v>
      </c>
      <c r="BI52" s="234">
        <f>IF($H52&lt;=0,"0",IF($H52&lt;=6,"19",IF($H52&lt;=7,"18",IF($H52&lt;=8,"9",0))))+0</f>
        <v>0</v>
      </c>
      <c r="BJ52" s="234">
        <f>IF($H52&lt;=0,"0",IF($H52&lt;=2,"22",IF($H52&lt;=3,"19",IF($H52&lt;=4,"15",IF($H52&lt;=5,"9",0)))))+0</f>
        <v>0</v>
      </c>
      <c r="BK52" s="234">
        <f>IF($H52&lt;=0,"0",IF($H52&lt;=1,"6",0))+0</f>
        <v>0</v>
      </c>
      <c r="BL52" s="219">
        <f>SUM(Summary2831[[#This Row],[3*
(Tal)]],Summary2831[[#This Row],[3*
(Asc)]])</f>
        <v>38</v>
      </c>
      <c r="BM52" s="228">
        <f>SUM(Summary2831[[#This Row],[2*
(Tal)]],Summary2831[[#This Row],[2*
(Asc)]])</f>
        <v>44</v>
      </c>
      <c r="BN52" s="231">
        <f>SUM(Summary2831[[#This Row],[1*
(Tal)]],Summary2831[[#This Row],[1*
(Asc)]])</f>
        <v>12</v>
      </c>
      <c r="BO52" s="235" t="e">
        <f>(IF($E52&lt;=0,"0",IF($E52&lt;=1,"2092530",IF($E52&lt;=10,"2087525",IF($E52&lt;=20,"2068495",IF($E52&lt;=30,"2005910",IF($E52&lt;=40,"1932830",IF($E52&lt;=50,"1777010",IF($E52&lt;=60,"1546185",IF($E52&lt;=70,"1227000",IF($E52&lt;=80,"804625",IF($E52&lt;=81,"647990",IF($E52&lt;=90,"0",0)))))))))))))+0</f>
        <v>#VALUE!</v>
      </c>
      <c r="BP52" s="236">
        <f>(IF($F52&lt;=0,"0",IF($F52&lt;=1,"952500",IF($F52&lt;=2,"940000",IF($F52&lt;=3,"922500",IF($F52&lt;=4,"897500",IF($F52&lt;=5,"867500",IF($F52&lt;=6,"830000",IF($F52&lt;=7,"710000",IF($F52&lt;=8,"450000",0))))))))))+0</f>
        <v>867500</v>
      </c>
      <c r="BQ52" s="236">
        <f>(IF($G52&lt;=0,"0",IF($G52&lt;=1,"952500",IF($G52&lt;=2,"940000",IF($G52&lt;=3,"922500",IF($G52&lt;=4,"897500",IF($G52&lt;=5,"867500",IF($G52&lt;=6,"830000",IF($G52&lt;=7,"710000",IF($G52&lt;=8,"450000",0))))))))))+0</f>
        <v>0</v>
      </c>
      <c r="BR52" s="236">
        <f>(IF($H52&lt;=0,"0",IF($H52&lt;=1,"952500",IF($H52&lt;=2,"940000",IF($H52&lt;=3,"922500",IF($H52&lt;=4,"897500",IF($H52&lt;=5,"867500",IF($H52&lt;=6,"830000",IF($H52&lt;=7,"710000",IF($H52&lt;=8,"450000",0))))))))))+0</f>
        <v>0</v>
      </c>
      <c r="BS52" s="237" t="e">
        <f>SUM(BO52,BP52,BQ52,BR52)</f>
        <v>#VALUE!</v>
      </c>
    </row>
    <row r="53" spans="1:71" ht="30" customHeight="1">
      <c r="A53" s="192">
        <f ca="1">SUBTOTAL(3,$C$3:Character[[#This Row],[Name]])</f>
        <v>51</v>
      </c>
      <c r="B53" s="192" t="e" vm="613">
        <f>ImgDatabase!D53</f>
        <v>#VALUE!</v>
      </c>
      <c r="C53" s="193" t="s">
        <v>432</v>
      </c>
      <c r="D53" s="194" t="e" vm="58">
        <f>IFERROR(INDEX(CharacterDetailss[Element], MATCH(Character[[#This Row],[Name]], CharacterDetailss[Name], 0)), "")</f>
        <v>#VALUE!</v>
      </c>
      <c r="E53" s="194" t="e" vm="312">
        <f>IFERROR(INDEX(CharacterDetailss[Weapon Type], MATCH(Character[[#This Row],[Name]], CharacterDetailss[Name], 0)), "")</f>
        <v>#VALUE!</v>
      </c>
      <c r="F53" s="195">
        <v>4.0999999999999996</v>
      </c>
      <c r="G53" s="72">
        <v>90</v>
      </c>
      <c r="H53" s="73">
        <v>10</v>
      </c>
      <c r="I53" s="74">
        <v>10</v>
      </c>
      <c r="J53" s="75">
        <v>10</v>
      </c>
      <c r="L53" s="75">
        <v>81</v>
      </c>
      <c r="M53" s="73">
        <v>1</v>
      </c>
      <c r="N53" s="74">
        <v>9</v>
      </c>
      <c r="O53" s="74">
        <v>9</v>
      </c>
      <c r="Q53" s="210" t="e" vm="471">
        <f>IFERROR(INDEX(ImgDatabase!$O:$O, MATCH(WorldBoss[[#This Row],[Boss Name]], ImgDatabase!$P:$P, 0)), "")</f>
        <v>#VALUE!</v>
      </c>
      <c r="R53" s="208" t="s">
        <v>277</v>
      </c>
      <c r="S53" s="298" t="e">
        <f>(IF($E53&lt;=0,"0",IF($E53&lt;=40,"46",IF($E53&lt;=50,"44",IF($E53&lt;=60,"40",IF($E53&lt;=70,"32",IF($E53&lt;=80,"20","0")))))))+0</f>
        <v>#VALUE!</v>
      </c>
      <c r="U5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3" s="202" t="s">
        <v>522</v>
      </c>
      <c r="W53" s="203">
        <f>Z53+AC53+AF53</f>
        <v>22</v>
      </c>
      <c r="X53" s="203">
        <f>AA53+AD53+AG53</f>
        <v>9</v>
      </c>
      <c r="Y53" s="201">
        <f>AB53+AE53+AH53</f>
        <v>0</v>
      </c>
      <c r="Z53" s="204">
        <f>(IF($F53&lt;=0,"0",IF($F53&lt;=6,"22",IF($F53&lt;=7,"18",IF($F53&lt;=8,"12",0)))))+0</f>
        <v>22</v>
      </c>
      <c r="AA53" s="205">
        <f>(IF($F53&lt;=0,"0",IF($F53&lt;=2,"21",IF($F53&lt;=3,"19",IF($F53&lt;=4,"15",IF($F53&lt;=5,"9",0))))))+0</f>
        <v>9</v>
      </c>
      <c r="AB53" s="205">
        <f>(IF($F53&lt;=0,"0",IF($F53&lt;=1,"3",0)))+0</f>
        <v>0</v>
      </c>
      <c r="AC53" s="205">
        <f>(IF($G53&lt;=0,"0",IF($G53&lt;=6,"22",IF($G53&lt;=7,"18",IF($G53&lt;=8,"12",0)))))+0</f>
        <v>0</v>
      </c>
      <c r="AD53" s="205">
        <f>(IF($G53&lt;=0,"0",IF($G53&lt;=2,"21",IF($G53&lt;=3,"19",IF($G53&lt;=4,"15",IF($G53&lt;=5,"9",0))))))+0</f>
        <v>0</v>
      </c>
      <c r="AE53" s="205">
        <f>(IF($G53&lt;=0,"0",IF($G53&lt;=1,"3",0)))+0</f>
        <v>0</v>
      </c>
      <c r="AF53" s="205">
        <f>(IF($H53&lt;=0,"0",IF($H53&lt;=6,"22",IF($H53&lt;=7,"18",IF($H53&lt;=8,"12",0)))))+0</f>
        <v>0</v>
      </c>
      <c r="AG53" s="205">
        <f>(IF($H53&lt;=0,"0",IF($H53&lt;=2,"21",IF($H53&lt;=3,"19",IF($H53&lt;=4,"15",IF($H53&lt;=5,"9",0))))))+0</f>
        <v>0</v>
      </c>
      <c r="AH53" s="206">
        <f>(IF($H53&lt;=0,"0",IF($H53&lt;=1,"3",0)))+0</f>
        <v>0</v>
      </c>
      <c r="AI53" s="207" t="s">
        <v>523</v>
      </c>
      <c r="AJ53" s="208" t="s">
        <v>566</v>
      </c>
      <c r="AK53" s="209">
        <f>(IF($F53&lt;=0,"0",IF($F53&lt;=6,"4",IF($F53&lt;=7,"3",IF($F53&lt;=8,"2","0")))))+0</f>
        <v>4</v>
      </c>
      <c r="AL53" s="209">
        <f>(IF($G53&lt;=0,"0",IF($G53&lt;=6,"4",IF($G53&lt;=7,"3",IF($G53&lt;=8,"2","0")))))+0</f>
        <v>0</v>
      </c>
      <c r="AM53" s="209">
        <f>(IF($H53&lt;=0,"0",IF($H53&lt;=6,"4",IF($H53&lt;=7,"3",IF($H53&lt;=8,"2","0")))))+0</f>
        <v>0</v>
      </c>
      <c r="AN53" s="200">
        <f>SUM(AK53:AM53)</f>
        <v>4</v>
      </c>
      <c r="AO53" s="208" t="s">
        <v>570</v>
      </c>
      <c r="AP53" s="210" t="e">
        <f>(IF($E53&lt;=0,"0",IF($E53&lt;=20,"168",IF($E53&lt;=30,"165",IF($E53&lt;=50,"155",IF($E53&lt;=60,"135",IF($E53&lt;=70,"105",IF($E53&lt;=80,"60","0"))))))))+0</f>
        <v>#VALUE!</v>
      </c>
      <c r="AQ53" s="199" t="s">
        <v>526</v>
      </c>
      <c r="AR53" s="208" t="e">
        <f>(IF($E53&lt;=0,"0",IF($E53&lt;=80,"6","0")))+0</f>
        <v>#VALUE!</v>
      </c>
      <c r="AS53" s="208" t="e">
        <f>(IF($E53&lt;=0,"0",IF($E53&lt;=60,"9",IF($E53&lt;=70,"6","0"))))+0</f>
        <v>#VALUE!</v>
      </c>
      <c r="AT53" s="208" t="e">
        <f>(IF($E53&lt;=0,"0",IF($E53&lt;=40,"9",IF($E53&lt;=50,"6","0"))))+0</f>
        <v>#VALUE!</v>
      </c>
      <c r="AU53" s="211" t="e">
        <f>(IF($E53&lt;=0,"0",IF($E53&lt;=20,"1","0")))+0</f>
        <v>#VALUE!</v>
      </c>
      <c r="AV53" s="199" t="s">
        <v>336</v>
      </c>
      <c r="AW53" s="208" t="e">
        <f>(IF($E53&lt;=0,"0",IF($E53&lt;=70,"36",IF($E53&lt;=80,"24","0"))))+0</f>
        <v>#VALUE!</v>
      </c>
      <c r="AX53" s="208" t="e">
        <f>(IF($E53&lt;=0,"0",IF($E53&lt;=50,"30",IF($E53&lt;=60,"18","0"))))+0</f>
        <v>#VALUE!</v>
      </c>
      <c r="AY53" s="208" t="e">
        <f>(IF($E53&lt;=0,"0",IF($E53&lt;=20,"18",IF($E53&lt;=40,"15","0"))))+0</f>
        <v>#VALUE!</v>
      </c>
      <c r="AZ53" s="212">
        <f>Summary2831[[#This Row],[3*2]]+Summary2831[[#This Row],[3*22]]+Summary2831[[#This Row],[3*23]]</f>
        <v>19</v>
      </c>
      <c r="BA53" s="213">
        <f>Summary2831[[#This Row],[2*2]]+Summary2831[[#This Row],[2*23]]+Summary2831[[#This Row],[2*24]]</f>
        <v>0</v>
      </c>
      <c r="BB53" s="213">
        <f>Summary2831[[#This Row],[1*2]]+Summary2831[[#This Row],[1*24]]+Summary2831[[#This Row],[1*25]]</f>
        <v>0</v>
      </c>
      <c r="BC53" s="215">
        <f>IF($F53&lt;=0,"0",IF($F53&lt;=6,"19",IF($F53&lt;=7,"18",IF($F53&lt;=8,"9",0))))+0</f>
        <v>19</v>
      </c>
      <c r="BD53" s="215">
        <f>IF($F53&lt;=0,"0",IF($F53&lt;=2,"22",IF($F53&lt;=3,"19",IF($F53&lt;=4,"15",IF($F53&lt;=5,"9",0)))))+0</f>
        <v>9</v>
      </c>
      <c r="BE53" s="215">
        <f>IF($F53&lt;=0,"0",IF($F53&lt;=1,"6",0))+0</f>
        <v>0</v>
      </c>
      <c r="BF53" s="215">
        <f>IF($G53&lt;=0,"0",IF($G53&lt;=6,"19",IF($G53&lt;=7,"18",IF($G53&lt;=8,"9",0))))+0</f>
        <v>0</v>
      </c>
      <c r="BG53" s="215">
        <f>IF($G53&lt;=0,"0",IF($G53&lt;=2,"22",IF($G53&lt;=3,"19",IF($G53&lt;=4,"15",IF($G53&lt;=5,"9",0)))))+0</f>
        <v>0</v>
      </c>
      <c r="BH53" s="215">
        <f>IF($G53&lt;=0,"0",IF($G53&lt;=1,"6",0))+0</f>
        <v>0</v>
      </c>
      <c r="BI53" s="215">
        <f>IF($H53&lt;=0,"0",IF($H53&lt;=6,"19",IF($H53&lt;=7,"18",IF($H53&lt;=8,"9",0))))+0</f>
        <v>0</v>
      </c>
      <c r="BJ53" s="215">
        <f>IF($H53&lt;=0,"0",IF($H53&lt;=2,"22",IF($H53&lt;=3,"19",IF($H53&lt;=4,"15",IF($H53&lt;=5,"9",0)))))+0</f>
        <v>0</v>
      </c>
      <c r="BK53" s="215">
        <f>IF($H53&lt;=0,"0",IF($H53&lt;=1,"6",0))+0</f>
        <v>0</v>
      </c>
      <c r="BL53" s="199">
        <f>SUM(Summary2831[[#This Row],[3*
(Tal)]],Summary2831[[#This Row],[3*
(Asc)]])</f>
        <v>19</v>
      </c>
      <c r="BM53" s="208">
        <f>SUM(Summary2831[[#This Row],[2*
(Tal)]],Summary2831[[#This Row],[2*
(Asc)]])</f>
        <v>0</v>
      </c>
      <c r="BN53" s="211">
        <f>SUM(Summary2831[[#This Row],[1*
(Tal)]],Summary2831[[#This Row],[1*
(Asc)]])</f>
        <v>0</v>
      </c>
      <c r="BO53" s="216" t="e">
        <f>(IF($E53&lt;=0,"0",IF($E53&lt;=1,"2092530",IF($E53&lt;=10,"2087525",IF($E53&lt;=20,"2068495",IF($E53&lt;=30,"2005910",IF($E53&lt;=40,"1932830",IF($E53&lt;=50,"1777010",IF($E53&lt;=60,"1546185",IF($E53&lt;=70,"1227000",IF($E53&lt;=80,"804625",IF($E53&lt;=81,"647990",IF($E53&lt;=90,"0",0)))))))))))))+0</f>
        <v>#VALUE!</v>
      </c>
      <c r="BP53" s="217">
        <f>(IF($F53&lt;=0,"0",IF($F53&lt;=1,"952500",IF($F53&lt;=2,"940000",IF($F53&lt;=3,"922500",IF($F53&lt;=4,"897500",IF($F53&lt;=5,"867500",IF($F53&lt;=6,"830000",IF($F53&lt;=7,"710000",IF($F53&lt;=8,"450000",0))))))))))+0</f>
        <v>867500</v>
      </c>
      <c r="BQ53" s="217">
        <f>(IF($G53&lt;=0,"0",IF($G53&lt;=1,"952500",IF($G53&lt;=2,"940000",IF($G53&lt;=3,"922500",IF($G53&lt;=4,"897500",IF($G53&lt;=5,"867500",IF($G53&lt;=6,"830000",IF($G53&lt;=7,"710000",IF($G53&lt;=8,"450000",0))))))))))+0</f>
        <v>0</v>
      </c>
      <c r="BR53" s="217">
        <f>(IF($H53&lt;=0,"0",IF($H53&lt;=1,"952500",IF($H53&lt;=2,"940000",IF($H53&lt;=3,"922500",IF($H53&lt;=4,"897500",IF($H53&lt;=5,"867500",IF($H53&lt;=6,"830000",IF($H53&lt;=7,"710000",IF($H53&lt;=8,"450000",0))))))))))+0</f>
        <v>0</v>
      </c>
      <c r="BS53" s="218" t="e">
        <f>SUM(BO53,BP53,BQ53,BR53)</f>
        <v>#VALUE!</v>
      </c>
    </row>
    <row r="54" spans="1:71" ht="30" customHeight="1">
      <c r="A54" s="192">
        <f ca="1">SUBTOTAL(3,$C$3:Character[[#This Row],[Name]])</f>
        <v>52</v>
      </c>
      <c r="B54" s="192" t="e" vm="614">
        <f>ImgDatabase!D54</f>
        <v>#VALUE!</v>
      </c>
      <c r="C54" s="193" t="s">
        <v>242</v>
      </c>
      <c r="D54" s="194" t="e" vm="58">
        <f>IFERROR(INDEX(CharacterDetailss[Element], MATCH(Character[[#This Row],[Name]], CharacterDetailss[Name], 0)), "")</f>
        <v>#VALUE!</v>
      </c>
      <c r="E54" s="194" t="e" vm="3">
        <f>IFERROR(INDEX(CharacterDetailss[Weapon Type], MATCH(Character[[#This Row],[Name]], CharacterDetailss[Name], 0)), "")</f>
        <v>#VALUE!</v>
      </c>
      <c r="F54" s="195">
        <v>3.1</v>
      </c>
      <c r="G54" s="72">
        <v>0</v>
      </c>
      <c r="H54" s="73">
        <v>0</v>
      </c>
      <c r="I54" s="74">
        <v>0</v>
      </c>
      <c r="J54" s="75">
        <v>0</v>
      </c>
      <c r="L54" s="75">
        <v>81</v>
      </c>
      <c r="M54" s="73">
        <v>1</v>
      </c>
      <c r="N54" s="74">
        <v>9</v>
      </c>
      <c r="O54" s="74">
        <v>9</v>
      </c>
      <c r="Q54" s="230" t="e" vm="494">
        <f>IFERROR(INDEX(ImgDatabase!$O:$O, MATCH(WorldBoss[[#This Row],[Boss Name]], ImgDatabase!$P:$P, 0)), "")</f>
        <v>#VALUE!</v>
      </c>
      <c r="R54" s="228" t="s">
        <v>307</v>
      </c>
      <c r="S54" s="297" t="e">
        <f>(IF($E54&lt;=0,"0",IF($E54&lt;=40,"46",IF($E54&lt;=50,"44",IF($E54&lt;=60,"40",IF($E54&lt;=70,"32",IF($E54&lt;=80,"20","0")))))))+0</f>
        <v>#VALUE!</v>
      </c>
      <c r="U5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4" s="222" t="s">
        <v>597</v>
      </c>
      <c r="W54" s="223">
        <f>Z54+AC54+AF54</f>
        <v>22</v>
      </c>
      <c r="X54" s="223">
        <f>AA54+AD54+AG54</f>
        <v>15</v>
      </c>
      <c r="Y54" s="221">
        <f>AB54+AE54+AH54</f>
        <v>0</v>
      </c>
      <c r="Z54" s="224">
        <f>(IF($F54&lt;=0,"0",IF($F54&lt;=6,"22",IF($F54&lt;=7,"18",IF($F54&lt;=8,"12",0)))))+0</f>
        <v>22</v>
      </c>
      <c r="AA54" s="225">
        <f>(IF($F54&lt;=0,"0",IF($F54&lt;=2,"21",IF($F54&lt;=3,"19",IF($F54&lt;=4,"15",IF($F54&lt;=5,"9",0))))))+0</f>
        <v>15</v>
      </c>
      <c r="AB54" s="225">
        <f>(IF($F54&lt;=0,"0",IF($F54&lt;=1,"3",0)))+0</f>
        <v>0</v>
      </c>
      <c r="AC54" s="225">
        <f>(IF($G54&lt;=0,"0",IF($G54&lt;=6,"22",IF($G54&lt;=7,"18",IF($G54&lt;=8,"12",0)))))+0</f>
        <v>0</v>
      </c>
      <c r="AD54" s="225">
        <f>(IF($G54&lt;=0,"0",IF($G54&lt;=2,"21",IF($G54&lt;=3,"19",IF($G54&lt;=4,"15",IF($G54&lt;=5,"9",0))))))+0</f>
        <v>0</v>
      </c>
      <c r="AE54" s="225">
        <f>(IF($G54&lt;=0,"0",IF($G54&lt;=1,"3",0)))+0</f>
        <v>0</v>
      </c>
      <c r="AF54" s="225">
        <f>(IF($H54&lt;=0,"0",IF($H54&lt;=6,"22",IF($H54&lt;=7,"18",IF($H54&lt;=8,"12",0)))))+0</f>
        <v>0</v>
      </c>
      <c r="AG54" s="225">
        <f>(IF($H54&lt;=0,"0",IF($H54&lt;=2,"21",IF($H54&lt;=3,"19",IF($H54&lt;=4,"15",IF($H54&lt;=5,"9",0))))))+0</f>
        <v>0</v>
      </c>
      <c r="AH54" s="226">
        <f>(IF($H54&lt;=0,"0",IF($H54&lt;=1,"3",0)))+0</f>
        <v>0</v>
      </c>
      <c r="AI54" s="227" t="s">
        <v>557</v>
      </c>
      <c r="AJ54" s="228" t="s">
        <v>558</v>
      </c>
      <c r="AK54" s="229">
        <f>(IF($F54&lt;=0,"0",IF($F54&lt;=6,"4",IF($F54&lt;=7,"3",IF($F54&lt;=8,"2","0")))))+0</f>
        <v>4</v>
      </c>
      <c r="AL54" s="229">
        <f>(IF($G54&lt;=0,"0",IF($G54&lt;=6,"4",IF($G54&lt;=7,"3",IF($G54&lt;=8,"2","0")))))+0</f>
        <v>0</v>
      </c>
      <c r="AM54" s="229">
        <f>(IF($H54&lt;=0,"0",IF($H54&lt;=6,"4",IF($H54&lt;=7,"3",IF($H54&lt;=8,"2","0")))))+0</f>
        <v>0</v>
      </c>
      <c r="AN54" s="220">
        <f>SUM(AK54:AM54)</f>
        <v>4</v>
      </c>
      <c r="AO54" s="228" t="s">
        <v>598</v>
      </c>
      <c r="AP54" s="230" t="e">
        <f>(IF($E54&lt;=0,"0",IF($E54&lt;=20,"168",IF($E54&lt;=30,"165",IF($E54&lt;=50,"155",IF($E54&lt;=60,"135",IF($E54&lt;=70,"105",IF($E54&lt;=80,"60","0"))))))))+0</f>
        <v>#VALUE!</v>
      </c>
      <c r="AQ54" s="219" t="s">
        <v>521</v>
      </c>
      <c r="AR54" s="228" t="e">
        <f>(IF($E54&lt;=0,"0",IF($E54&lt;=80,"6","0")))+0</f>
        <v>#VALUE!</v>
      </c>
      <c r="AS54" s="228" t="e">
        <f>(IF($E54&lt;=0,"0",IF($E54&lt;=60,"9",IF($E54&lt;=70,"6","0"))))+0</f>
        <v>#VALUE!</v>
      </c>
      <c r="AT54" s="228" t="e">
        <f>(IF($E54&lt;=0,"0",IF($E54&lt;=40,"9",IF($E54&lt;=50,"6","0"))))+0</f>
        <v>#VALUE!</v>
      </c>
      <c r="AU54" s="231" t="e">
        <f>(IF($E54&lt;=0,"0",IF($E54&lt;=20,"1","0")))+0</f>
        <v>#VALUE!</v>
      </c>
      <c r="AV54" s="219" t="s">
        <v>373</v>
      </c>
      <c r="AW54" s="228" t="e">
        <f>(IF($E54&lt;=0,"0",IF($E54&lt;=70,"36",IF($E54&lt;=80,"24","0"))))+0</f>
        <v>#VALUE!</v>
      </c>
      <c r="AX54" s="228" t="e">
        <f>(IF($E54&lt;=0,"0",IF($E54&lt;=50,"30",IF($E54&lt;=60,"18","0"))))+0</f>
        <v>#VALUE!</v>
      </c>
      <c r="AY54" s="228" t="e">
        <f>(IF($E54&lt;=0,"0",IF($E54&lt;=20,"18",IF($E54&lt;=40,"15","0"))))+0</f>
        <v>#VALUE!</v>
      </c>
      <c r="AZ54" s="232">
        <f>Summary2831[[#This Row],[3*2]]+Summary2831[[#This Row],[3*22]]+Summary2831[[#This Row],[3*23]]</f>
        <v>0</v>
      </c>
      <c r="BA54" s="233">
        <f>Summary2831[[#This Row],[2*2]]+Summary2831[[#This Row],[2*23]]+Summary2831[[#This Row],[2*24]]</f>
        <v>0</v>
      </c>
      <c r="BB54" s="233">
        <f>Summary2831[[#This Row],[1*2]]+Summary2831[[#This Row],[1*24]]+Summary2831[[#This Row],[1*25]]</f>
        <v>0</v>
      </c>
      <c r="BC54" s="234">
        <f>IF($F54&lt;=0,"0",IF($F54&lt;=6,"19",IF($F54&lt;=7,"18",IF($F54&lt;=8,"9",0))))+0</f>
        <v>19</v>
      </c>
      <c r="BD54" s="234">
        <f>IF($F54&lt;=0,"0",IF($F54&lt;=2,"22",IF($F54&lt;=3,"19",IF($F54&lt;=4,"15",IF($F54&lt;=5,"9",0)))))+0</f>
        <v>15</v>
      </c>
      <c r="BE54" s="234">
        <f>IF($F54&lt;=0,"0",IF($F54&lt;=1,"6",0))+0</f>
        <v>0</v>
      </c>
      <c r="BF54" s="234">
        <f>IF($G54&lt;=0,"0",IF($G54&lt;=6,"19",IF($G54&lt;=7,"18",IF($G54&lt;=8,"9",0))))+0</f>
        <v>0</v>
      </c>
      <c r="BG54" s="234">
        <f>IF($G54&lt;=0,"0",IF($G54&lt;=2,"22",IF($G54&lt;=3,"19",IF($G54&lt;=4,"15",IF($G54&lt;=5,"9",0)))))+0</f>
        <v>0</v>
      </c>
      <c r="BH54" s="234">
        <f>IF($G54&lt;=0,"0",IF($G54&lt;=1,"6",0))+0</f>
        <v>0</v>
      </c>
      <c r="BI54" s="234">
        <f>IF($H54&lt;=0,"0",IF($H54&lt;=6,"19",IF($H54&lt;=7,"18",IF($H54&lt;=8,"9",0))))+0</f>
        <v>0</v>
      </c>
      <c r="BJ54" s="234">
        <f>IF($H54&lt;=0,"0",IF($H54&lt;=2,"22",IF($H54&lt;=3,"19",IF($H54&lt;=4,"15",IF($H54&lt;=5,"9",0)))))+0</f>
        <v>0</v>
      </c>
      <c r="BK54" s="234">
        <f>IF($H54&lt;=0,"0",IF($H54&lt;=1,"6",0))+0</f>
        <v>0</v>
      </c>
      <c r="BL54" s="219">
        <f>SUM(Summary2831[[#This Row],[3*
(Tal)]],Summary2831[[#This Row],[3*
(Asc)]])</f>
        <v>0</v>
      </c>
      <c r="BM54" s="228">
        <f>SUM(Summary2831[[#This Row],[2*
(Tal)]],Summary2831[[#This Row],[2*
(Asc)]])</f>
        <v>0</v>
      </c>
      <c r="BN54" s="231">
        <f>SUM(Summary2831[[#This Row],[1*
(Tal)]],Summary2831[[#This Row],[1*
(Asc)]])</f>
        <v>0</v>
      </c>
      <c r="BO54" s="235" t="e">
        <f>(IF($E54&lt;=0,"0",IF($E54&lt;=1,"2092530",IF($E54&lt;=10,"2087525",IF($E54&lt;=20,"2068495",IF($E54&lt;=30,"2005910",IF($E54&lt;=40,"1932830",IF($E54&lt;=50,"1777010",IF($E54&lt;=60,"1546185",IF($E54&lt;=70,"1227000",IF($E54&lt;=80,"804625",IF($E54&lt;=81,"647990",IF($E54&lt;=90,"0",0)))))))))))))+0</f>
        <v>#VALUE!</v>
      </c>
      <c r="BP54" s="236">
        <f>(IF($F54&lt;=0,"0",IF($F54&lt;=1,"952500",IF($F54&lt;=2,"940000",IF($F54&lt;=3,"922500",IF($F54&lt;=4,"897500",IF($F54&lt;=5,"867500",IF($F54&lt;=6,"830000",IF($F54&lt;=7,"710000",IF($F54&lt;=8,"450000",0))))))))))+0</f>
        <v>897500</v>
      </c>
      <c r="BQ54" s="236">
        <f>(IF($G54&lt;=0,"0",IF($G54&lt;=1,"952500",IF($G54&lt;=2,"940000",IF($G54&lt;=3,"922500",IF($G54&lt;=4,"897500",IF($G54&lt;=5,"867500",IF($G54&lt;=6,"830000",IF($G54&lt;=7,"710000",IF($G54&lt;=8,"450000",0))))))))))+0</f>
        <v>0</v>
      </c>
      <c r="BR54" s="236">
        <f>(IF($H54&lt;=0,"0",IF($H54&lt;=1,"952500",IF($H54&lt;=2,"940000",IF($H54&lt;=3,"922500",IF($H54&lt;=4,"897500",IF($H54&lt;=5,"867500",IF($H54&lt;=6,"830000",IF($H54&lt;=7,"710000",IF($H54&lt;=8,"450000",0))))))))))+0</f>
        <v>0</v>
      </c>
      <c r="BS54" s="237" t="e">
        <f>SUM(BO54,BP54,BQ54,BR54)</f>
        <v>#VALUE!</v>
      </c>
    </row>
    <row r="55" spans="1:71" s="81" customFormat="1" ht="30" customHeight="1">
      <c r="A55" s="196">
        <f ca="1">SUBTOTAL(3,$C$3:Character[[#This Row],[Name]])</f>
        <v>53</v>
      </c>
      <c r="B55" s="192" t="e" vm="615">
        <f>ImgDatabase!D55</f>
        <v>#VALUE!</v>
      </c>
      <c r="C55" s="197" t="s">
        <v>433</v>
      </c>
      <c r="D55" s="194" t="e" vm="4">
        <f>IFERROR(INDEX(CharacterDetailss[Element], MATCH(Character[[#This Row],[Name]], CharacterDetailss[Name], 0)), "")</f>
        <v>#VALUE!</v>
      </c>
      <c r="E55" s="194" t="e" vm="312">
        <f>IFERROR(INDEX(CharacterDetailss[Weapon Type], MATCH(Character[[#This Row],[Name]], CharacterDetailss[Name], 0)), "")</f>
        <v>#VALUE!</v>
      </c>
      <c r="F55" s="198">
        <v>1</v>
      </c>
      <c r="G55" s="14">
        <v>81</v>
      </c>
      <c r="H55" s="9">
        <v>8</v>
      </c>
      <c r="I55" s="2">
        <v>8</v>
      </c>
      <c r="J55" s="10">
        <v>8</v>
      </c>
      <c r="K55"/>
      <c r="L55" s="75">
        <v>81</v>
      </c>
      <c r="M55" s="73">
        <v>1</v>
      </c>
      <c r="N55" s="74">
        <v>9</v>
      </c>
      <c r="O55" s="74">
        <v>9</v>
      </c>
      <c r="P55"/>
      <c r="Q55" s="210" t="e" vm="512">
        <f>IFERROR(INDEX(ImgDatabase!$O:$O, MATCH(WorldBoss[[#This Row],[Boss Name]], ImgDatabase!$P:$P, 0)), "")</f>
        <v>#VALUE!</v>
      </c>
      <c r="R55" s="208" t="s">
        <v>333</v>
      </c>
      <c r="S55" s="298" t="e">
        <f>(IF($E55&lt;=0,"0",IF($E55&lt;=40,"46",IF($E55&lt;=50,"44",IF($E55&lt;=60,"40",IF($E55&lt;=70,"32",IF($E55&lt;=80,"20","0")))))))+0</f>
        <v>#VALUE!</v>
      </c>
      <c r="T55"/>
      <c r="U5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5" s="202" t="s">
        <v>597</v>
      </c>
      <c r="W55" s="203">
        <f>Z55+AC55+AF55</f>
        <v>34</v>
      </c>
      <c r="X55" s="203">
        <f>AA55+AD55+AG55</f>
        <v>21</v>
      </c>
      <c r="Y55" s="201">
        <f>AB55+AE55+AH55</f>
        <v>3</v>
      </c>
      <c r="Z55" s="204">
        <f>(IF($F55&lt;=0,"0",IF($F55&lt;=6,"22",IF($F55&lt;=7,"18",IF($F55&lt;=8,"12",0)))))+0</f>
        <v>22</v>
      </c>
      <c r="AA55" s="205">
        <f>(IF($F55&lt;=0,"0",IF($F55&lt;=2,"21",IF($F55&lt;=3,"19",IF($F55&lt;=4,"15",IF($F55&lt;=5,"9",0))))))+0</f>
        <v>21</v>
      </c>
      <c r="AB55" s="205">
        <f>(IF($F55&lt;=0,"0",IF($F55&lt;=1,"3",0)))+0</f>
        <v>3</v>
      </c>
      <c r="AC55" s="205">
        <f>(IF($G55&lt;=0,"0",IF($G55&lt;=6,"22",IF($G55&lt;=7,"18",IF($G55&lt;=8,"12",0)))))+0</f>
        <v>0</v>
      </c>
      <c r="AD55" s="205">
        <f>(IF($G55&lt;=0,"0",IF($G55&lt;=2,"21",IF($G55&lt;=3,"19",IF($G55&lt;=4,"15",IF($G55&lt;=5,"9",0))))))+0</f>
        <v>0</v>
      </c>
      <c r="AE55" s="205">
        <f>(IF($G55&lt;=0,"0",IF($G55&lt;=1,"3",0)))+0</f>
        <v>0</v>
      </c>
      <c r="AF55" s="205">
        <f>(IF($H55&lt;=0,"0",IF($H55&lt;=6,"22",IF($H55&lt;=7,"18",IF($H55&lt;=8,"12",0)))))+0</f>
        <v>12</v>
      </c>
      <c r="AG55" s="205">
        <f>(IF($H55&lt;=0,"0",IF($H55&lt;=2,"21",IF($H55&lt;=3,"19",IF($H55&lt;=4,"15",IF($H55&lt;=5,"9",0))))))+0</f>
        <v>0</v>
      </c>
      <c r="AH55" s="206">
        <f>(IF($H55&lt;=0,"0",IF($H55&lt;=1,"3",0)))+0</f>
        <v>0</v>
      </c>
      <c r="AI55" s="207" t="s">
        <v>541</v>
      </c>
      <c r="AJ55" s="208" t="s">
        <v>295</v>
      </c>
      <c r="AK55" s="209">
        <f>(IF($F55&lt;=0,"0",IF($F55&lt;=6,"4",IF($F55&lt;=7,"3",IF($F55&lt;=8,"2","0")))))+0</f>
        <v>4</v>
      </c>
      <c r="AL55" s="209">
        <f>(IF($G55&lt;=0,"0",IF($G55&lt;=6,"4",IF($G55&lt;=7,"3",IF($G55&lt;=8,"2","0")))))+0</f>
        <v>0</v>
      </c>
      <c r="AM55" s="209">
        <f>(IF($H55&lt;=0,"0",IF($H55&lt;=6,"4",IF($H55&lt;=7,"3",IF($H55&lt;=8,"2","0")))))+0</f>
        <v>2</v>
      </c>
      <c r="AN55" s="200">
        <f>SUM(AK55:AM55)</f>
        <v>6</v>
      </c>
      <c r="AO55" s="208" t="s">
        <v>248</v>
      </c>
      <c r="AP55" s="210" t="e">
        <f>(IF($E55&lt;=0,"0",IF($E55&lt;=20,"168",IF($E55&lt;=30,"165",IF($E55&lt;=50,"155",IF($E55&lt;=60,"135",IF($E55&lt;=70,"105",IF($E55&lt;=80,"60","0"))))))))+0</f>
        <v>#VALUE!</v>
      </c>
      <c r="AQ55" s="199" t="s">
        <v>546</v>
      </c>
      <c r="AR55" s="208" t="e">
        <f>(IF($E55&lt;=0,"0",IF($E55&lt;=80,"6","0")))+0</f>
        <v>#VALUE!</v>
      </c>
      <c r="AS55" s="208" t="e">
        <f>(IF($E55&lt;=0,"0",IF($E55&lt;=60,"9",IF($E55&lt;=70,"6","0"))))+0</f>
        <v>#VALUE!</v>
      </c>
      <c r="AT55" s="208" t="e">
        <f>(IF($E55&lt;=0,"0",IF($E55&lt;=40,"9",IF($E55&lt;=50,"6","0"))))+0</f>
        <v>#VALUE!</v>
      </c>
      <c r="AU55" s="211" t="e">
        <f>(IF($E55&lt;=0,"0",IF($E55&lt;=20,"1","0")))+0</f>
        <v>#VALUE!</v>
      </c>
      <c r="AV55" s="199" t="s">
        <v>373</v>
      </c>
      <c r="AW55" s="208" t="e">
        <f>(IF($E55&lt;=0,"0",IF($E55&lt;=70,"36",IF($E55&lt;=80,"24","0"))))+0</f>
        <v>#VALUE!</v>
      </c>
      <c r="AX55" s="208" t="e">
        <f>(IF($E55&lt;=0,"0",IF($E55&lt;=50,"30",IF($E55&lt;=60,"18","0"))))+0</f>
        <v>#VALUE!</v>
      </c>
      <c r="AY55" s="208" t="e">
        <f>(IF($E55&lt;=0,"0",IF($E55&lt;=20,"18",IF($E55&lt;=40,"15","0"))))+0</f>
        <v>#VALUE!</v>
      </c>
      <c r="AZ55" s="212">
        <f>Summary2831[[#This Row],[3*2]]+Summary2831[[#This Row],[3*22]]+Summary2831[[#This Row],[3*23]]</f>
        <v>0</v>
      </c>
      <c r="BA55" s="213">
        <f>Summary2831[[#This Row],[2*2]]+Summary2831[[#This Row],[2*23]]+Summary2831[[#This Row],[2*24]]</f>
        <v>0</v>
      </c>
      <c r="BB55" s="213">
        <f>Summary2831[[#This Row],[1*2]]+Summary2831[[#This Row],[1*24]]+Summary2831[[#This Row],[1*25]]</f>
        <v>0</v>
      </c>
      <c r="BC55" s="215">
        <f>IF($F55&lt;=0,"0",IF($F55&lt;=6,"19",IF($F55&lt;=7,"18",IF($F55&lt;=8,"9",0))))+0</f>
        <v>19</v>
      </c>
      <c r="BD55" s="215">
        <f>IF($F55&lt;=0,"0",IF($F55&lt;=2,"22",IF($F55&lt;=3,"19",IF($F55&lt;=4,"15",IF($F55&lt;=5,"9",0)))))+0</f>
        <v>22</v>
      </c>
      <c r="BE55" s="215">
        <f>IF($F55&lt;=0,"0",IF($F55&lt;=1,"6",0))+0</f>
        <v>6</v>
      </c>
      <c r="BF55" s="215">
        <f>IF($G55&lt;=0,"0",IF($G55&lt;=6,"19",IF($G55&lt;=7,"18",IF($G55&lt;=8,"9",0))))+0</f>
        <v>0</v>
      </c>
      <c r="BG55" s="215">
        <f>IF($G55&lt;=0,"0",IF($G55&lt;=2,"22",IF($G55&lt;=3,"19",IF($G55&lt;=4,"15",IF($G55&lt;=5,"9",0)))))+0</f>
        <v>0</v>
      </c>
      <c r="BH55" s="215">
        <f>IF($G55&lt;=0,"0",IF($G55&lt;=1,"6",0))+0</f>
        <v>0</v>
      </c>
      <c r="BI55" s="215">
        <f>IF($H55&lt;=0,"0",IF($H55&lt;=6,"19",IF($H55&lt;=7,"18",IF($H55&lt;=8,"9",0))))+0</f>
        <v>9</v>
      </c>
      <c r="BJ55" s="215">
        <f>IF($H55&lt;=0,"0",IF($H55&lt;=2,"22",IF($H55&lt;=3,"19",IF($H55&lt;=4,"15",IF($H55&lt;=5,"9",0)))))+0</f>
        <v>0</v>
      </c>
      <c r="BK55" s="215">
        <f>IF($H55&lt;=0,"0",IF($H55&lt;=1,"6",0))+0</f>
        <v>0</v>
      </c>
      <c r="BL55" s="199">
        <f>SUM(Summary2831[[#This Row],[3*
(Tal)]],Summary2831[[#This Row],[3*
(Asc)]])</f>
        <v>0</v>
      </c>
      <c r="BM55" s="208">
        <f>SUM(Summary2831[[#This Row],[2*
(Tal)]],Summary2831[[#This Row],[2*
(Asc)]])</f>
        <v>0</v>
      </c>
      <c r="BN55" s="211">
        <f>SUM(Summary2831[[#This Row],[1*
(Tal)]],Summary2831[[#This Row],[1*
(Asc)]])</f>
        <v>0</v>
      </c>
      <c r="BO55" s="216" t="e">
        <f>(IF($E55&lt;=0,"0",IF($E55&lt;=1,"2092530",IF($E55&lt;=10,"2087525",IF($E55&lt;=20,"2068495",IF($E55&lt;=30,"2005910",IF($E55&lt;=40,"1932830",IF($E55&lt;=50,"1777010",IF($E55&lt;=60,"1546185",IF($E55&lt;=70,"1227000",IF($E55&lt;=80,"804625",IF($E55&lt;=81,"647990",IF($E55&lt;=90,"0",0)))))))))))))+0</f>
        <v>#VALUE!</v>
      </c>
      <c r="BP55" s="217">
        <f>(IF($F55&lt;=0,"0",IF($F55&lt;=1,"952500",IF($F55&lt;=2,"940000",IF($F55&lt;=3,"922500",IF($F55&lt;=4,"897500",IF($F55&lt;=5,"867500",IF($F55&lt;=6,"830000",IF($F55&lt;=7,"710000",IF($F55&lt;=8,"450000",0))))))))))+0</f>
        <v>952500</v>
      </c>
      <c r="BQ55" s="217">
        <f>(IF($G55&lt;=0,"0",IF($G55&lt;=1,"952500",IF($G55&lt;=2,"940000",IF($G55&lt;=3,"922500",IF($G55&lt;=4,"897500",IF($G55&lt;=5,"867500",IF($G55&lt;=6,"830000",IF($G55&lt;=7,"710000",IF($G55&lt;=8,"450000",0))))))))))+0</f>
        <v>0</v>
      </c>
      <c r="BR55" s="217">
        <f>(IF($H55&lt;=0,"0",IF($H55&lt;=1,"952500",IF($H55&lt;=2,"940000",IF($H55&lt;=3,"922500",IF($H55&lt;=4,"897500",IF($H55&lt;=5,"867500",IF($H55&lt;=6,"830000",IF($H55&lt;=7,"710000",IF($H55&lt;=8,"450000",0))))))))))+0</f>
        <v>450000</v>
      </c>
      <c r="BS55" s="218" t="e">
        <f>SUM(BO55,BP55,BQ55,BR55)</f>
        <v>#VALUE!</v>
      </c>
    </row>
    <row r="56" spans="1:71" ht="30" customHeight="1">
      <c r="A56" s="196">
        <f ca="1">SUBTOTAL(3,$C$3:Character[[#This Row],[Name]])</f>
        <v>54</v>
      </c>
      <c r="B56" s="192" t="e" vm="616">
        <f>ImgDatabase!D56</f>
        <v>#VALUE!</v>
      </c>
      <c r="C56" s="197" t="s">
        <v>420</v>
      </c>
      <c r="D56" s="194" t="e" vm="4">
        <f>IFERROR(INDEX(CharacterDetailss[Element], MATCH(Character[[#This Row],[Name]], CharacterDetailss[Name], 0)), "")</f>
        <v>#VALUE!</v>
      </c>
      <c r="E56" s="194" t="e" vm="292">
        <f>IFERROR(INDEX(CharacterDetailss[Weapon Type], MATCH(Character[[#This Row],[Name]], CharacterDetailss[Name], 0)), "")</f>
        <v>#VALUE!</v>
      </c>
      <c r="F56" s="198">
        <v>1</v>
      </c>
      <c r="G56" s="14">
        <v>81</v>
      </c>
      <c r="H56" s="9">
        <v>1</v>
      </c>
      <c r="I56" s="2">
        <v>5</v>
      </c>
      <c r="J56" s="10">
        <v>1</v>
      </c>
      <c r="L56" s="75">
        <v>81</v>
      </c>
      <c r="M56" s="73">
        <v>1</v>
      </c>
      <c r="N56" s="74">
        <v>9</v>
      </c>
      <c r="O56" s="74">
        <v>9</v>
      </c>
      <c r="Q56" s="230" t="e" vm="459">
        <f>IFERROR(INDEX(ImgDatabase!$O:$O, MATCH(WorldBoss[[#This Row],[Boss Name]], ImgDatabase!$P:$P, 0)), "")</f>
        <v>#VALUE!</v>
      </c>
      <c r="R56" s="228" t="s">
        <v>261</v>
      </c>
      <c r="S56" s="297" t="e">
        <f>(IF($E56&lt;=0,"0",IF($E56&lt;=40,"46",IF($E56&lt;=50,"44",IF($E56&lt;=60,"40",IF($E56&lt;=70,"32",IF($E56&lt;=80,"20","0")))))))+0</f>
        <v>#VALUE!</v>
      </c>
      <c r="U5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6" s="222" t="s">
        <v>39</v>
      </c>
      <c r="W56" s="223">
        <f>Z56+AC56+AF56</f>
        <v>44</v>
      </c>
      <c r="X56" s="223">
        <f>AA56+AD56+AG56</f>
        <v>42</v>
      </c>
      <c r="Y56" s="221">
        <f>AB56+AE56+AH56</f>
        <v>6</v>
      </c>
      <c r="Z56" s="224">
        <f>(IF($F56&lt;=0,"0",IF($F56&lt;=6,"22",IF($F56&lt;=7,"18",IF($F56&lt;=8,"12",0)))))+0</f>
        <v>22</v>
      </c>
      <c r="AA56" s="225">
        <f>(IF($F56&lt;=0,"0",IF($F56&lt;=2,"21",IF($F56&lt;=3,"19",IF($F56&lt;=4,"15",IF($F56&lt;=5,"9",0))))))+0</f>
        <v>21</v>
      </c>
      <c r="AB56" s="225">
        <f>(IF($F56&lt;=0,"0",IF($F56&lt;=1,"3",0)))+0</f>
        <v>3</v>
      </c>
      <c r="AC56" s="225">
        <f>(IF($G56&lt;=0,"0",IF($G56&lt;=6,"22",IF($G56&lt;=7,"18",IF($G56&lt;=8,"12",0)))))+0</f>
        <v>0</v>
      </c>
      <c r="AD56" s="225">
        <f>(IF($G56&lt;=0,"0",IF($G56&lt;=2,"21",IF($G56&lt;=3,"19",IF($G56&lt;=4,"15",IF($G56&lt;=5,"9",0))))))+0</f>
        <v>0</v>
      </c>
      <c r="AE56" s="225">
        <f>(IF($G56&lt;=0,"0",IF($G56&lt;=1,"3",0)))+0</f>
        <v>0</v>
      </c>
      <c r="AF56" s="225">
        <f>(IF($H56&lt;=0,"0",IF($H56&lt;=6,"22",IF($H56&lt;=7,"18",IF($H56&lt;=8,"12",0)))))+0</f>
        <v>22</v>
      </c>
      <c r="AG56" s="225">
        <f>(IF($H56&lt;=0,"0",IF($H56&lt;=2,"21",IF($H56&lt;=3,"19",IF($H56&lt;=4,"15",IF($H56&lt;=5,"9",0))))))+0</f>
        <v>21</v>
      </c>
      <c r="AH56" s="226">
        <f>(IF($H56&lt;=0,"0",IF($H56&lt;=1,"3",0)))+0</f>
        <v>3</v>
      </c>
      <c r="AI56" s="227" t="s">
        <v>553</v>
      </c>
      <c r="AJ56" s="228" t="s">
        <v>554</v>
      </c>
      <c r="AK56" s="229">
        <f>(IF($F56&lt;=0,"0",IF($F56&lt;=6,"4",IF($F56&lt;=7,"3",IF($F56&lt;=8,"2","0")))))+0</f>
        <v>4</v>
      </c>
      <c r="AL56" s="229">
        <f>(IF($G56&lt;=0,"0",IF($G56&lt;=6,"4",IF($G56&lt;=7,"3",IF($G56&lt;=8,"2","0")))))+0</f>
        <v>0</v>
      </c>
      <c r="AM56" s="229">
        <f>(IF($H56&lt;=0,"0",IF($H56&lt;=6,"4",IF($H56&lt;=7,"3",IF($H56&lt;=8,"2","0")))))+0</f>
        <v>4</v>
      </c>
      <c r="AN56" s="220">
        <f>SUM(AK56:AM56)</f>
        <v>8</v>
      </c>
      <c r="AO56" s="228" t="s">
        <v>298</v>
      </c>
      <c r="AP56" s="230" t="e">
        <f>(IF($E56&lt;=0,"0",IF($E56&lt;=20,"168",IF($E56&lt;=30,"165",IF($E56&lt;=50,"155",IF($E56&lt;=60,"135",IF($E56&lt;=70,"105",IF($E56&lt;=80,"60","0"))))))))+0</f>
        <v>#VALUE!</v>
      </c>
      <c r="AQ56" s="219" t="s">
        <v>546</v>
      </c>
      <c r="AR56" s="228" t="e">
        <f>(IF($E56&lt;=0,"0",IF($E56&lt;=80,"6","0")))+0</f>
        <v>#VALUE!</v>
      </c>
      <c r="AS56" s="228" t="e">
        <f>(IF($E56&lt;=0,"0",IF($E56&lt;=60,"9",IF($E56&lt;=70,"6","0"))))+0</f>
        <v>#VALUE!</v>
      </c>
      <c r="AT56" s="228" t="e">
        <f>(IF($E56&lt;=0,"0",IF($E56&lt;=40,"9",IF($E56&lt;=50,"6","0"))))+0</f>
        <v>#VALUE!</v>
      </c>
      <c r="AU56" s="231" t="e">
        <f>(IF($E56&lt;=0,"0",IF($E56&lt;=20,"1","0")))+0</f>
        <v>#VALUE!</v>
      </c>
      <c r="AV56" s="219" t="s">
        <v>336</v>
      </c>
      <c r="AW56" s="228" t="e">
        <f>(IF($E56&lt;=0,"0",IF($E56&lt;=70,"36",IF($E56&lt;=80,"24","0"))))+0</f>
        <v>#VALUE!</v>
      </c>
      <c r="AX56" s="228" t="e">
        <f>(IF($E56&lt;=0,"0",IF($E56&lt;=50,"30",IF($E56&lt;=60,"18","0"))))+0</f>
        <v>#VALUE!</v>
      </c>
      <c r="AY56" s="228" t="e">
        <f>(IF($E56&lt;=0,"0",IF($E56&lt;=20,"18",IF($E56&lt;=40,"15","0"))))+0</f>
        <v>#VALUE!</v>
      </c>
      <c r="AZ56" s="232">
        <f>Summary2831[[#This Row],[3*2]]+Summary2831[[#This Row],[3*22]]+Summary2831[[#This Row],[3*23]]</f>
        <v>0</v>
      </c>
      <c r="BA56" s="233">
        <f>Summary2831[[#This Row],[2*2]]+Summary2831[[#This Row],[2*23]]+Summary2831[[#This Row],[2*24]]</f>
        <v>0</v>
      </c>
      <c r="BB56" s="233">
        <f>Summary2831[[#This Row],[1*2]]+Summary2831[[#This Row],[1*24]]+Summary2831[[#This Row],[1*25]]</f>
        <v>0</v>
      </c>
      <c r="BC56" s="234">
        <f>IF($F56&lt;=0,"0",IF($F56&lt;=6,"19",IF($F56&lt;=7,"18",IF($F56&lt;=8,"9",0))))+0</f>
        <v>19</v>
      </c>
      <c r="BD56" s="234">
        <f>IF($F56&lt;=0,"0",IF($F56&lt;=2,"22",IF($F56&lt;=3,"19",IF($F56&lt;=4,"15",IF($F56&lt;=5,"9",0)))))+0</f>
        <v>22</v>
      </c>
      <c r="BE56" s="234">
        <f>IF($F56&lt;=0,"0",IF($F56&lt;=1,"6",0))+0</f>
        <v>6</v>
      </c>
      <c r="BF56" s="234">
        <f>IF($G56&lt;=0,"0",IF($G56&lt;=6,"19",IF($G56&lt;=7,"18",IF($G56&lt;=8,"9",0))))+0</f>
        <v>0</v>
      </c>
      <c r="BG56" s="234">
        <f>IF($G56&lt;=0,"0",IF($G56&lt;=2,"22",IF($G56&lt;=3,"19",IF($G56&lt;=4,"15",IF($G56&lt;=5,"9",0)))))+0</f>
        <v>0</v>
      </c>
      <c r="BH56" s="234">
        <f>IF($G56&lt;=0,"0",IF($G56&lt;=1,"6",0))+0</f>
        <v>0</v>
      </c>
      <c r="BI56" s="234">
        <f>IF($H56&lt;=0,"0",IF($H56&lt;=6,"19",IF($H56&lt;=7,"18",IF($H56&lt;=8,"9",0))))+0</f>
        <v>19</v>
      </c>
      <c r="BJ56" s="234">
        <f>IF($H56&lt;=0,"0",IF($H56&lt;=2,"22",IF($H56&lt;=3,"19",IF($H56&lt;=4,"15",IF($H56&lt;=5,"9",0)))))+0</f>
        <v>22</v>
      </c>
      <c r="BK56" s="234">
        <f>IF($H56&lt;=0,"0",IF($H56&lt;=1,"6",0))+0</f>
        <v>6</v>
      </c>
      <c r="BL56" s="219">
        <f>SUM(Summary2831[[#This Row],[3*
(Tal)]],Summary2831[[#This Row],[3*
(Asc)]])</f>
        <v>0</v>
      </c>
      <c r="BM56" s="228">
        <f>SUM(Summary2831[[#This Row],[2*
(Tal)]],Summary2831[[#This Row],[2*
(Asc)]])</f>
        <v>0</v>
      </c>
      <c r="BN56" s="231">
        <f>SUM(Summary2831[[#This Row],[1*
(Tal)]],Summary2831[[#This Row],[1*
(Asc)]])</f>
        <v>0</v>
      </c>
      <c r="BO56" s="235" t="e">
        <f>(IF($E56&lt;=0,"0",IF($E56&lt;=1,"2092530",IF($E56&lt;=10,"2087525",IF($E56&lt;=20,"2068495",IF($E56&lt;=30,"2005910",IF($E56&lt;=40,"1932830",IF($E56&lt;=50,"1777010",IF($E56&lt;=60,"1546185",IF($E56&lt;=70,"1227000",IF($E56&lt;=80,"804625",IF($E56&lt;=81,"647990",IF($E56&lt;=90,"0",0)))))))))))))+0</f>
        <v>#VALUE!</v>
      </c>
      <c r="BP56" s="236">
        <f>(IF($F56&lt;=0,"0",IF($F56&lt;=1,"952500",IF($F56&lt;=2,"940000",IF($F56&lt;=3,"922500",IF($F56&lt;=4,"897500",IF($F56&lt;=5,"867500",IF($F56&lt;=6,"830000",IF($F56&lt;=7,"710000",IF($F56&lt;=8,"450000",0))))))))))+0</f>
        <v>952500</v>
      </c>
      <c r="BQ56" s="236">
        <f>(IF($G56&lt;=0,"0",IF($G56&lt;=1,"952500",IF($G56&lt;=2,"940000",IF($G56&lt;=3,"922500",IF($G56&lt;=4,"897500",IF($G56&lt;=5,"867500",IF($G56&lt;=6,"830000",IF($G56&lt;=7,"710000",IF($G56&lt;=8,"450000",0))))))))))+0</f>
        <v>0</v>
      </c>
      <c r="BR56" s="236">
        <f>(IF($H56&lt;=0,"0",IF($H56&lt;=1,"952500",IF($H56&lt;=2,"940000",IF($H56&lt;=3,"922500",IF($H56&lt;=4,"897500",IF($H56&lt;=5,"867500",IF($H56&lt;=6,"830000",IF($H56&lt;=7,"710000",IF($H56&lt;=8,"450000",0))))))))))+0</f>
        <v>952500</v>
      </c>
      <c r="BS56" s="237" t="e">
        <f>SUM(BO56,BP56,BQ56,BR56)</f>
        <v>#VALUE!</v>
      </c>
    </row>
    <row r="57" spans="1:71" s="81" customFormat="1" ht="30" customHeight="1">
      <c r="A57" s="192">
        <f ca="1">SUBTOTAL(3,$C$3:Character[[#This Row],[Name]])</f>
        <v>55</v>
      </c>
      <c r="B57" s="192" t="e" vm="617">
        <f>ImgDatabase!D57</f>
        <v>#VALUE!</v>
      </c>
      <c r="C57" s="193" t="s">
        <v>251</v>
      </c>
      <c r="D57" s="194" t="e" vm="84">
        <f>IFERROR(INDEX(CharacterDetailss[Element], MATCH(Character[[#This Row],[Name]], CharacterDetailss[Name], 0)), "")</f>
        <v>#VALUE!</v>
      </c>
      <c r="E57" s="194" t="e" vm="3">
        <f>IFERROR(INDEX(CharacterDetailss[Weapon Type], MATCH(Character[[#This Row],[Name]], CharacterDetailss[Name], 0)), "")</f>
        <v>#VALUE!</v>
      </c>
      <c r="F57" s="198">
        <v>1</v>
      </c>
      <c r="G57" s="72">
        <v>80</v>
      </c>
      <c r="H57" s="73">
        <v>2</v>
      </c>
      <c r="I57" s="74">
        <v>5</v>
      </c>
      <c r="J57" s="75">
        <v>5</v>
      </c>
      <c r="K57"/>
      <c r="L57" s="75">
        <v>81</v>
      </c>
      <c r="M57" s="73">
        <v>1</v>
      </c>
      <c r="N57" s="74">
        <v>9</v>
      </c>
      <c r="O57" s="74">
        <v>9</v>
      </c>
      <c r="P57"/>
      <c r="Q57" s="245" t="e" vm="5">
        <f>IFERROR(INDEX(ImgDatabase!$O:$O, MATCH(WorldBoss[[#This Row],[Boss Name]], ImgDatabase!$P:$P, 0)), "")</f>
        <v>#VALUE!</v>
      </c>
      <c r="R57" s="244" t="s">
        <v>116</v>
      </c>
      <c r="S57" s="300" t="e">
        <f>(IF($E57&lt;=0,"0",IF($E57&lt;=40,"46",IF($E57&lt;=50,"44",IF($E57&lt;=60,"40",IF($E57&lt;=70,"32",IF($E57&lt;=80,"20","0")))))))+0</f>
        <v>#VALUE!</v>
      </c>
      <c r="T57"/>
      <c r="U5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7" s="240" t="s">
        <v>578</v>
      </c>
      <c r="W57" s="241">
        <f>Z57+AC57+AF57</f>
        <v>44</v>
      </c>
      <c r="X57" s="241">
        <f>AA57+AD57+AG57</f>
        <v>42</v>
      </c>
      <c r="Y57" s="242">
        <f>AB57+AE57+AH57</f>
        <v>3</v>
      </c>
      <c r="Z57" s="204">
        <f>(IF($F57&lt;=0,"0",IF($F57&lt;=6,"22",IF($F57&lt;=7,"18",IF($F57&lt;=8,"12",0)))))+0</f>
        <v>22</v>
      </c>
      <c r="AA57" s="205">
        <f>(IF($F57&lt;=0,"0",IF($F57&lt;=2,"21",IF($F57&lt;=3,"19",IF($F57&lt;=4,"15",IF($F57&lt;=5,"9",0))))))+0</f>
        <v>21</v>
      </c>
      <c r="AB57" s="205">
        <f>(IF($F57&lt;=0,"0",IF($F57&lt;=1,"3",0)))+0</f>
        <v>3</v>
      </c>
      <c r="AC57" s="205">
        <f>(IF($G57&lt;=0,"0",IF($G57&lt;=6,"22",IF($G57&lt;=7,"18",IF($G57&lt;=8,"12",0)))))+0</f>
        <v>0</v>
      </c>
      <c r="AD57" s="205">
        <f>(IF($G57&lt;=0,"0",IF($G57&lt;=2,"21",IF($G57&lt;=3,"19",IF($G57&lt;=4,"15",IF($G57&lt;=5,"9",0))))))+0</f>
        <v>0</v>
      </c>
      <c r="AE57" s="205">
        <f>(IF($G57&lt;=0,"0",IF($G57&lt;=1,"3",0)))+0</f>
        <v>0</v>
      </c>
      <c r="AF57" s="205">
        <f>(IF($H57&lt;=0,"0",IF($H57&lt;=6,"22",IF($H57&lt;=7,"18",IF($H57&lt;=8,"12",0)))))+0</f>
        <v>22</v>
      </c>
      <c r="AG57" s="205">
        <f>(IF($H57&lt;=0,"0",IF($H57&lt;=2,"21",IF($H57&lt;=3,"19",IF($H57&lt;=4,"15",IF($H57&lt;=5,"9",0))))))+0</f>
        <v>21</v>
      </c>
      <c r="AH57" s="206">
        <f>(IF($H57&lt;=0,"0",IF($H57&lt;=1,"3",0)))+0</f>
        <v>0</v>
      </c>
      <c r="AI57" s="243" t="s">
        <v>543</v>
      </c>
      <c r="AJ57" s="244" t="s">
        <v>574</v>
      </c>
      <c r="AK57" s="209">
        <f>(IF($F57&lt;=0,"0",IF($F57&lt;=6,"4",IF($F57&lt;=7,"3",IF($F57&lt;=8,"2","0")))))+0</f>
        <v>4</v>
      </c>
      <c r="AL57" s="209">
        <f>(IF($G57&lt;=0,"0",IF($G57&lt;=6,"4",IF($G57&lt;=7,"3",IF($G57&lt;=8,"2","0")))))+0</f>
        <v>0</v>
      </c>
      <c r="AM57" s="209">
        <f>(IF($H57&lt;=0,"0",IF($H57&lt;=6,"4",IF($H57&lt;=7,"3",IF($H57&lt;=8,"2","0")))))+0</f>
        <v>4</v>
      </c>
      <c r="AN57" s="239">
        <f>SUM(AK57:AM57)</f>
        <v>8</v>
      </c>
      <c r="AO57" s="244" t="s">
        <v>599</v>
      </c>
      <c r="AP57" s="245" t="e">
        <f>(IF($E57&lt;=0,"0",IF($E57&lt;=20,"168",IF($E57&lt;=30,"165",IF($E57&lt;=50,"155",IF($E57&lt;=60,"135",IF($E57&lt;=70,"105",IF($E57&lt;=80,"60","0"))))))))+0</f>
        <v>#VALUE!</v>
      </c>
      <c r="AQ57" s="238" t="s">
        <v>521</v>
      </c>
      <c r="AR57" s="244" t="e">
        <f>(IF($E57&lt;=0,"0",IF($E57&lt;=80,"6","0")))+0</f>
        <v>#VALUE!</v>
      </c>
      <c r="AS57" s="244" t="e">
        <f>(IF($E57&lt;=0,"0",IF($E57&lt;=60,"9",IF($E57&lt;=70,"6","0"))))+0</f>
        <v>#VALUE!</v>
      </c>
      <c r="AT57" s="244" t="e">
        <f>(IF($E57&lt;=0,"0",IF($E57&lt;=40,"9",IF($E57&lt;=50,"6","0"))))+0</f>
        <v>#VALUE!</v>
      </c>
      <c r="AU57" s="246" t="e">
        <f>(IF($E57&lt;=0,"0",IF($E57&lt;=20,"1","0")))+0</f>
        <v>#VALUE!</v>
      </c>
      <c r="AV57" s="238" t="s">
        <v>236</v>
      </c>
      <c r="AW57" s="244" t="e">
        <f>(IF($E57&lt;=0,"0",IF($E57&lt;=70,"36",IF($E57&lt;=80,"24","0"))))+0</f>
        <v>#VALUE!</v>
      </c>
      <c r="AX57" s="244" t="e">
        <f>(IF($E57&lt;=0,"0",IF($E57&lt;=50,"30",IF($E57&lt;=60,"18","0"))))+0</f>
        <v>#VALUE!</v>
      </c>
      <c r="AY57" s="244" t="e">
        <f>(IF($E57&lt;=0,"0",IF($E57&lt;=20,"18",IF($E57&lt;=40,"15","0"))))+0</f>
        <v>#VALUE!</v>
      </c>
      <c r="AZ57" s="247">
        <f>Summary2831[[#This Row],[3*2]]+Summary2831[[#This Row],[3*22]]+Summary2831[[#This Row],[3*23]]</f>
        <v>27</v>
      </c>
      <c r="BA57" s="248">
        <f>Summary2831[[#This Row],[2*2]]+Summary2831[[#This Row],[2*23]]+Summary2831[[#This Row],[2*24]]</f>
        <v>0</v>
      </c>
      <c r="BB57" s="248">
        <f>Summary2831[[#This Row],[1*2]]+Summary2831[[#This Row],[1*24]]+Summary2831[[#This Row],[1*25]]</f>
        <v>0</v>
      </c>
      <c r="BC57" s="248">
        <f>IF($F57&lt;=0,"0",IF($F57&lt;=6,"19",IF($F57&lt;=7,"18",IF($F57&lt;=8,"9",0))))+0</f>
        <v>19</v>
      </c>
      <c r="BD57" s="248">
        <f>IF($F57&lt;=0,"0",IF($F57&lt;=2,"22",IF($F57&lt;=3,"19",IF($F57&lt;=4,"15",IF($F57&lt;=5,"9",0)))))+0</f>
        <v>22</v>
      </c>
      <c r="BE57" s="248">
        <f>IF($F57&lt;=0,"0",IF($F57&lt;=1,"6",0))+0</f>
        <v>6</v>
      </c>
      <c r="BF57" s="248">
        <f>IF($G57&lt;=0,"0",IF($G57&lt;=6,"19",IF($G57&lt;=7,"18",IF($G57&lt;=8,"9",0))))+0</f>
        <v>0</v>
      </c>
      <c r="BG57" s="248">
        <f>IF($G57&lt;=0,"0",IF($G57&lt;=2,"22",IF($G57&lt;=3,"19",IF($G57&lt;=4,"15",IF($G57&lt;=5,"9",0)))))+0</f>
        <v>0</v>
      </c>
      <c r="BH57" s="248">
        <f>IF($G57&lt;=0,"0",IF($G57&lt;=1,"6",0))+0</f>
        <v>0</v>
      </c>
      <c r="BI57" s="248">
        <f>IF($H57&lt;=0,"0",IF($H57&lt;=6,"19",IF($H57&lt;=7,"18",IF($H57&lt;=8,"9",0))))+0</f>
        <v>19</v>
      </c>
      <c r="BJ57" s="248">
        <f>IF($H57&lt;=0,"0",IF($H57&lt;=2,"22",IF($H57&lt;=3,"19",IF($H57&lt;=4,"15",IF($H57&lt;=5,"9",0)))))+0</f>
        <v>22</v>
      </c>
      <c r="BK57" s="248">
        <f>IF($H57&lt;=0,"0",IF($H57&lt;=1,"6",0))+0</f>
        <v>0</v>
      </c>
      <c r="BL57" s="238">
        <f>SUM(Summary2831[[#This Row],[3*
(Tal)]],Summary2831[[#This Row],[3*
(Asc)]])</f>
        <v>27</v>
      </c>
      <c r="BM57" s="244">
        <f>SUM(Summary2831[[#This Row],[2*
(Tal)]],Summary2831[[#This Row],[2*
(Asc)]])</f>
        <v>0</v>
      </c>
      <c r="BN57" s="246">
        <f>SUM(Summary2831[[#This Row],[1*
(Tal)]],Summary2831[[#This Row],[1*
(Asc)]])</f>
        <v>0</v>
      </c>
      <c r="BO57" s="216" t="e">
        <f>(IF($E57&lt;=0,"0",IF($E57&lt;=1,"2092530",IF($E57&lt;=10,"2087525",IF($E57&lt;=20,"2068495",IF($E57&lt;=30,"2005910",IF($E57&lt;=40,"1932830",IF($E57&lt;=50,"1777010",IF($E57&lt;=60,"1546185",IF($E57&lt;=70,"1227000",IF($E57&lt;=80,"804625",IF($E57&lt;=81,"647990",IF($E57&lt;=90,"0",0)))))))))))))+0</f>
        <v>#VALUE!</v>
      </c>
      <c r="BP57" s="249">
        <f>(IF($F57&lt;=0,"0",IF($F57&lt;=1,"952500",IF($F57&lt;=2,"940000",IF($F57&lt;=3,"922500",IF($F57&lt;=4,"897500",IF($F57&lt;=5,"867500",IF($F57&lt;=6,"830000",IF($F57&lt;=7,"710000",IF($F57&lt;=8,"450000",0))))))))))+0</f>
        <v>952500</v>
      </c>
      <c r="BQ57" s="249">
        <f>(IF($G57&lt;=0,"0",IF($G57&lt;=1,"952500",IF($G57&lt;=2,"940000",IF($G57&lt;=3,"922500",IF($G57&lt;=4,"897500",IF($G57&lt;=5,"867500",IF($G57&lt;=6,"830000",IF($G57&lt;=7,"710000",IF($G57&lt;=8,"450000",0))))))))))+0</f>
        <v>0</v>
      </c>
      <c r="BR57" s="249">
        <f>(IF($H57&lt;=0,"0",IF($H57&lt;=1,"952500",IF($H57&lt;=2,"940000",IF($H57&lt;=3,"922500",IF($H57&lt;=4,"897500",IF($H57&lt;=5,"867500",IF($H57&lt;=6,"830000",IF($H57&lt;=7,"710000",IF($H57&lt;=8,"450000",0))))))))))+0</f>
        <v>940000</v>
      </c>
      <c r="BS57" s="250" t="e">
        <f>SUM(BO57,BP57,BQ57,BR57)</f>
        <v>#VALUE!</v>
      </c>
    </row>
    <row r="58" spans="1:71" s="81" customFormat="1" ht="30" customHeight="1">
      <c r="A58" s="192">
        <f ca="1">SUBTOTAL(3,$C$3:Character[[#This Row],[Name]])</f>
        <v>56</v>
      </c>
      <c r="B58" s="192" t="e" vm="618">
        <f>ImgDatabase!D58</f>
        <v>#VALUE!</v>
      </c>
      <c r="C58" s="193" t="s">
        <v>447</v>
      </c>
      <c r="D58" s="194" t="e" vm="49">
        <f>IFERROR(INDEX(CharacterDetailss[Element], MATCH(Character[[#This Row],[Name]], CharacterDetailss[Name], 0)), "")</f>
        <v>#VALUE!</v>
      </c>
      <c r="E58" s="194" t="e" vm="331">
        <f>IFERROR(INDEX(CharacterDetailss[Weapon Type], MATCH(Character[[#This Row],[Name]], CharacterDetailss[Name], 0)), "")</f>
        <v>#VALUE!</v>
      </c>
      <c r="F58" s="195">
        <v>2.1</v>
      </c>
      <c r="G58" s="72">
        <v>90</v>
      </c>
      <c r="H58" s="73">
        <v>1</v>
      </c>
      <c r="I58" s="74">
        <v>9</v>
      </c>
      <c r="J58" s="75">
        <v>10</v>
      </c>
      <c r="K58"/>
      <c r="L58" s="75">
        <v>81</v>
      </c>
      <c r="M58" s="73">
        <v>1</v>
      </c>
      <c r="N58" s="74">
        <v>9</v>
      </c>
      <c r="O58" s="74">
        <v>9</v>
      </c>
      <c r="P58"/>
      <c r="Q58" s="258" t="e" vm="5">
        <f>IFERROR(INDEX(ImgDatabase!$O:$O, MATCH(WorldBoss[[#This Row],[Boss Name]], ImgDatabase!$P:$P, 0)), "")</f>
        <v>#VALUE!</v>
      </c>
      <c r="R58" s="257" t="s">
        <v>116</v>
      </c>
      <c r="S58" s="301" t="e">
        <f>(IF($E58&lt;=0,"0",IF($E58&lt;=40,"46",IF($E58&lt;=50,"44",IF($E58&lt;=60,"40",IF($E58&lt;=70,"32",IF($E58&lt;=80,"20","0")))))))+0</f>
        <v>#VALUE!</v>
      </c>
      <c r="T58"/>
      <c r="U5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58" s="253" t="s">
        <v>549</v>
      </c>
      <c r="W58" s="254">
        <f>Z58+AC58+AF58</f>
        <v>44</v>
      </c>
      <c r="X58" s="254">
        <f>AA58+AD58+AG58</f>
        <v>40</v>
      </c>
      <c r="Y58" s="255">
        <f>AB58+AE58+AH58</f>
        <v>3</v>
      </c>
      <c r="Z58" s="224">
        <f>(IF($F58&lt;=0,"0",IF($F58&lt;=6,"22",IF($F58&lt;=7,"18",IF($F58&lt;=8,"12",0)))))+0</f>
        <v>22</v>
      </c>
      <c r="AA58" s="225">
        <f>(IF($F58&lt;=0,"0",IF($F58&lt;=2,"21",IF($F58&lt;=3,"19",IF($F58&lt;=4,"15",IF($F58&lt;=5,"9",0))))))+0</f>
        <v>19</v>
      </c>
      <c r="AB58" s="225">
        <f>(IF($F58&lt;=0,"0",IF($F58&lt;=1,"3",0)))+0</f>
        <v>0</v>
      </c>
      <c r="AC58" s="225">
        <f>(IF($G58&lt;=0,"0",IF($G58&lt;=6,"22",IF($G58&lt;=7,"18",IF($G58&lt;=8,"12",0)))))+0</f>
        <v>0</v>
      </c>
      <c r="AD58" s="225">
        <f>(IF($G58&lt;=0,"0",IF($G58&lt;=2,"21",IF($G58&lt;=3,"19",IF($G58&lt;=4,"15",IF($G58&lt;=5,"9",0))))))+0</f>
        <v>0</v>
      </c>
      <c r="AE58" s="225">
        <f>(IF($G58&lt;=0,"0",IF($G58&lt;=1,"3",0)))+0</f>
        <v>0</v>
      </c>
      <c r="AF58" s="225">
        <f>(IF($H58&lt;=0,"0",IF($H58&lt;=6,"22",IF($H58&lt;=7,"18",IF($H58&lt;=8,"12",0)))))+0</f>
        <v>22</v>
      </c>
      <c r="AG58" s="225">
        <f>(IF($H58&lt;=0,"0",IF($H58&lt;=2,"21",IF($H58&lt;=3,"19",IF($H58&lt;=4,"15",IF($H58&lt;=5,"9",0))))))+0</f>
        <v>21</v>
      </c>
      <c r="AH58" s="226">
        <f>(IF($H58&lt;=0,"0",IF($H58&lt;=1,"3",0)))+0</f>
        <v>3</v>
      </c>
      <c r="AI58" s="256" t="s">
        <v>531</v>
      </c>
      <c r="AJ58" s="257" t="s">
        <v>596</v>
      </c>
      <c r="AK58" s="229">
        <f>(IF($F58&lt;=0,"0",IF($F58&lt;=6,"4",IF($F58&lt;=7,"3",IF($F58&lt;=8,"2","0")))))+0</f>
        <v>4</v>
      </c>
      <c r="AL58" s="229">
        <f>(IF($G58&lt;=0,"0",IF($G58&lt;=6,"4",IF($G58&lt;=7,"3",IF($G58&lt;=8,"2","0")))))+0</f>
        <v>0</v>
      </c>
      <c r="AM58" s="229">
        <f>(IF($H58&lt;=0,"0",IF($H58&lt;=6,"4",IF($H58&lt;=7,"3",IF($H58&lt;=8,"2","0")))))+0</f>
        <v>4</v>
      </c>
      <c r="AN58" s="252">
        <f>SUM(AK58:AM58)</f>
        <v>8</v>
      </c>
      <c r="AO58" s="257" t="s">
        <v>398</v>
      </c>
      <c r="AP58" s="258" t="e">
        <f>(IF($E58&lt;=0,"0",IF($E58&lt;=20,"168",IF($E58&lt;=30,"165",IF($E58&lt;=50,"155",IF($E58&lt;=60,"135",IF($E58&lt;=70,"105",IF($E58&lt;=80,"60","0"))))))))+0</f>
        <v>#VALUE!</v>
      </c>
      <c r="AQ58" s="251" t="s">
        <v>521</v>
      </c>
      <c r="AR58" s="257" t="e">
        <f>(IF($E58&lt;=0,"0",IF($E58&lt;=80,"6","0")))+0</f>
        <v>#VALUE!</v>
      </c>
      <c r="AS58" s="257" t="e">
        <f>(IF($E58&lt;=0,"0",IF($E58&lt;=60,"9",IF($E58&lt;=70,"6","0"))))+0</f>
        <v>#VALUE!</v>
      </c>
      <c r="AT58" s="257" t="e">
        <f>(IF($E58&lt;=0,"0",IF($E58&lt;=40,"9",IF($E58&lt;=50,"6","0"))))+0</f>
        <v>#VALUE!</v>
      </c>
      <c r="AU58" s="259" t="e">
        <f>(IF($E58&lt;=0,"0",IF($E58&lt;=20,"1","0")))+0</f>
        <v>#VALUE!</v>
      </c>
      <c r="AV58" s="251" t="s">
        <v>89</v>
      </c>
      <c r="AW58" s="257" t="e">
        <f>(IF($E58&lt;=0,"0",IF($E58&lt;=70,"36",IF($E58&lt;=80,"24","0"))))+0</f>
        <v>#VALUE!</v>
      </c>
      <c r="AX58" s="257" t="e">
        <f>(IF($E58&lt;=0,"0",IF($E58&lt;=50,"30",IF($E58&lt;=60,"18","0"))))+0</f>
        <v>#VALUE!</v>
      </c>
      <c r="AY58" s="257" t="e">
        <f>(IF($E58&lt;=0,"0",IF($E58&lt;=20,"18",IF($E58&lt;=40,"15","0"))))+0</f>
        <v>#VALUE!</v>
      </c>
      <c r="AZ58" s="260">
        <f>Summary2831[[#This Row],[3*2]]+Summary2831[[#This Row],[3*22]]+Summary2831[[#This Row],[3*23]]</f>
        <v>57</v>
      </c>
      <c r="BA58" s="261">
        <f>Summary2831[[#This Row],[2*2]]+Summary2831[[#This Row],[2*23]]+Summary2831[[#This Row],[2*24]]</f>
        <v>53</v>
      </c>
      <c r="BB58" s="261">
        <f>Summary2831[[#This Row],[1*2]]+Summary2831[[#This Row],[1*24]]+Summary2831[[#This Row],[1*25]]</f>
        <v>12</v>
      </c>
      <c r="BC58" s="261">
        <f>IF($F58&lt;=0,"0",IF($F58&lt;=6,"19",IF($F58&lt;=7,"18",IF($F58&lt;=8,"9",0))))+0</f>
        <v>19</v>
      </c>
      <c r="BD58" s="261">
        <f>IF($F58&lt;=0,"0",IF($F58&lt;=2,"22",IF($F58&lt;=3,"19",IF($F58&lt;=4,"15",IF($F58&lt;=5,"9",0)))))+0</f>
        <v>19</v>
      </c>
      <c r="BE58" s="261">
        <f>IF($F58&lt;=0,"0",IF($F58&lt;=1,"6",0))+0</f>
        <v>0</v>
      </c>
      <c r="BF58" s="261">
        <f>IF($G58&lt;=0,"0",IF($G58&lt;=6,"19",IF($G58&lt;=7,"18",IF($G58&lt;=8,"9",0))))+0</f>
        <v>0</v>
      </c>
      <c r="BG58" s="261">
        <f>IF($G58&lt;=0,"0",IF($G58&lt;=2,"22",IF($G58&lt;=3,"19",IF($G58&lt;=4,"15",IF($G58&lt;=5,"9",0)))))+0</f>
        <v>0</v>
      </c>
      <c r="BH58" s="261">
        <f>IF($G58&lt;=0,"0",IF($G58&lt;=1,"6",0))+0</f>
        <v>0</v>
      </c>
      <c r="BI58" s="261">
        <f>IF($H58&lt;=0,"0",IF($H58&lt;=6,"19",IF($H58&lt;=7,"18",IF($H58&lt;=8,"9",0))))+0</f>
        <v>19</v>
      </c>
      <c r="BJ58" s="261">
        <f>IF($H58&lt;=0,"0",IF($H58&lt;=2,"22",IF($H58&lt;=3,"19",IF($H58&lt;=4,"15",IF($H58&lt;=5,"9",0)))))+0</f>
        <v>22</v>
      </c>
      <c r="BK58" s="261">
        <f>IF($H58&lt;=0,"0",IF($H58&lt;=1,"6",0))+0</f>
        <v>6</v>
      </c>
      <c r="BL58" s="251">
        <f>SUM(Summary2831[[#This Row],[3*
(Tal)]],Summary2831[[#This Row],[3*
(Asc)]])</f>
        <v>57</v>
      </c>
      <c r="BM58" s="257">
        <f>SUM(Summary2831[[#This Row],[2*
(Tal)]],Summary2831[[#This Row],[2*
(Asc)]])</f>
        <v>53</v>
      </c>
      <c r="BN58" s="259">
        <f>SUM(Summary2831[[#This Row],[1*
(Tal)]],Summary2831[[#This Row],[1*
(Asc)]])</f>
        <v>12</v>
      </c>
      <c r="BO58" s="235" t="e">
        <f>(IF($E58&lt;=0,"0",IF($E58&lt;=1,"2092530",IF($E58&lt;=10,"2087525",IF($E58&lt;=20,"2068495",IF($E58&lt;=30,"2005910",IF($E58&lt;=40,"1932830",IF($E58&lt;=50,"1777010",IF($E58&lt;=60,"1546185",IF($E58&lt;=70,"1227000",IF($E58&lt;=80,"804625",IF($E58&lt;=81,"647990",IF($E58&lt;=90,"0",0)))))))))))))+0</f>
        <v>#VALUE!</v>
      </c>
      <c r="BP58" s="262">
        <f>(IF($F58&lt;=0,"0",IF($F58&lt;=1,"952500",IF($F58&lt;=2,"940000",IF($F58&lt;=3,"922500",IF($F58&lt;=4,"897500",IF($F58&lt;=5,"867500",IF($F58&lt;=6,"830000",IF($F58&lt;=7,"710000",IF($F58&lt;=8,"450000",0))))))))))+0</f>
        <v>922500</v>
      </c>
      <c r="BQ58" s="262">
        <f>(IF($G58&lt;=0,"0",IF($G58&lt;=1,"952500",IF($G58&lt;=2,"940000",IF($G58&lt;=3,"922500",IF($G58&lt;=4,"897500",IF($G58&lt;=5,"867500",IF($G58&lt;=6,"830000",IF($G58&lt;=7,"710000",IF($G58&lt;=8,"450000",0))))))))))+0</f>
        <v>0</v>
      </c>
      <c r="BR58" s="262">
        <f>(IF($H58&lt;=0,"0",IF($H58&lt;=1,"952500",IF($H58&lt;=2,"940000",IF($H58&lt;=3,"922500",IF($H58&lt;=4,"897500",IF($H58&lt;=5,"867500",IF($H58&lt;=6,"830000",IF($H58&lt;=7,"710000",IF($H58&lt;=8,"450000",0))))))))))+0</f>
        <v>952500</v>
      </c>
      <c r="BS58" s="263" t="e">
        <f>SUM(BO58,BP58,BQ58,BR58)</f>
        <v>#VALUE!</v>
      </c>
    </row>
    <row r="59" spans="1:71" s="81" customFormat="1" ht="30" customHeight="1">
      <c r="A59" s="196">
        <f ca="1">SUBTOTAL(3,$C$3:Character[[#This Row],[Name]])</f>
        <v>57</v>
      </c>
      <c r="B59" s="192" t="e" vm="619">
        <f>ImgDatabase!D59</f>
        <v>#VALUE!</v>
      </c>
      <c r="C59" s="197" t="s">
        <v>421</v>
      </c>
      <c r="D59" s="194" t="e" vm="49">
        <f>IFERROR(INDEX(CharacterDetailss[Element], MATCH(Character[[#This Row],[Name]], CharacterDetailss[Name], 0)), "")</f>
        <v>#VALUE!</v>
      </c>
      <c r="E59" s="194" t="e" vm="292">
        <f>IFERROR(INDEX(CharacterDetailss[Weapon Type], MATCH(Character[[#This Row],[Name]], CharacterDetailss[Name], 0)), "")</f>
        <v>#VALUE!</v>
      </c>
      <c r="F59" s="198">
        <v>1</v>
      </c>
      <c r="G59" s="14">
        <v>80</v>
      </c>
      <c r="H59" s="9">
        <v>8</v>
      </c>
      <c r="I59" s="2">
        <v>6</v>
      </c>
      <c r="J59" s="10">
        <v>8</v>
      </c>
      <c r="K59"/>
      <c r="L59" s="75">
        <v>81</v>
      </c>
      <c r="M59" s="73">
        <v>1</v>
      </c>
      <c r="N59" s="74">
        <v>9</v>
      </c>
      <c r="O59" s="74">
        <v>9</v>
      </c>
      <c r="P59"/>
      <c r="Q59" s="210" t="e" vm="354">
        <f>IFERROR(INDEX(ImgDatabase!$O:$O, MATCH(WorldBoss[[#This Row],[Boss Name]], ImgDatabase!$P:$P, 0)), "")</f>
        <v>#VALUE!</v>
      </c>
      <c r="R59" s="208" t="s">
        <v>96</v>
      </c>
      <c r="S59" s="298" t="e">
        <f>(IF($E59&lt;=0,"0",IF($E59&lt;=40,"46",IF($E59&lt;=50,"44",IF($E59&lt;=60,"40",IF($E59&lt;=70,"32",IF($E59&lt;=80,"20","0")))))))+0</f>
        <v>#VALUE!</v>
      </c>
      <c r="T59"/>
      <c r="U5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V59" s="202" t="s">
        <v>578</v>
      </c>
      <c r="W59" s="203">
        <f>Z59+AC59+AF59</f>
        <v>34</v>
      </c>
      <c r="X59" s="203">
        <f>AA59+AD59+AG59</f>
        <v>21</v>
      </c>
      <c r="Y59" s="201">
        <f>AB59+AE59+AH59</f>
        <v>3</v>
      </c>
      <c r="Z59" s="204">
        <f>(IF($F59&lt;=0,"0",IF($F59&lt;=6,"22",IF($F59&lt;=7,"18",IF($F59&lt;=8,"12",0)))))+0</f>
        <v>22</v>
      </c>
      <c r="AA59" s="205">
        <f>(IF($F59&lt;=0,"0",IF($F59&lt;=2,"21",IF($F59&lt;=3,"19",IF($F59&lt;=4,"15",IF($F59&lt;=5,"9",0))))))+0</f>
        <v>21</v>
      </c>
      <c r="AB59" s="205">
        <f>(IF($F59&lt;=0,"0",IF($F59&lt;=1,"3",0)))+0</f>
        <v>3</v>
      </c>
      <c r="AC59" s="205">
        <f>(IF($G59&lt;=0,"0",IF($G59&lt;=6,"22",IF($G59&lt;=7,"18",IF($G59&lt;=8,"12",0)))))+0</f>
        <v>0</v>
      </c>
      <c r="AD59" s="205">
        <f>(IF($G59&lt;=0,"0",IF($G59&lt;=2,"21",IF($G59&lt;=3,"19",IF($G59&lt;=4,"15",IF($G59&lt;=5,"9",0))))))+0</f>
        <v>0</v>
      </c>
      <c r="AE59" s="205">
        <f>(IF($G59&lt;=0,"0",IF($G59&lt;=1,"3",0)))+0</f>
        <v>0</v>
      </c>
      <c r="AF59" s="205">
        <f>(IF($H59&lt;=0,"0",IF($H59&lt;=6,"22",IF($H59&lt;=7,"18",IF($H59&lt;=8,"12",0)))))+0</f>
        <v>12</v>
      </c>
      <c r="AG59" s="205">
        <f>(IF($H59&lt;=0,"0",IF($H59&lt;=2,"21",IF($H59&lt;=3,"19",IF($H59&lt;=4,"15",IF($H59&lt;=5,"9",0))))))+0</f>
        <v>0</v>
      </c>
      <c r="AH59" s="206">
        <f>(IF($H59&lt;=0,"0",IF($H59&lt;=1,"3",0)))+0</f>
        <v>0</v>
      </c>
      <c r="AI59" s="207" t="s">
        <v>543</v>
      </c>
      <c r="AJ59" s="208" t="s">
        <v>600</v>
      </c>
      <c r="AK59" s="209">
        <f>(IF($F59&lt;=0,"0",IF($F59&lt;=6,"4",IF($F59&lt;=7,"3",IF($F59&lt;=8,"2","0")))))+0</f>
        <v>4</v>
      </c>
      <c r="AL59" s="209">
        <f>(IF($G59&lt;=0,"0",IF($G59&lt;=6,"4",IF($G59&lt;=7,"3",IF($G59&lt;=8,"2","0")))))+0</f>
        <v>0</v>
      </c>
      <c r="AM59" s="209">
        <f>(IF($H59&lt;=0,"0",IF($H59&lt;=6,"4",IF($H59&lt;=7,"3",IF($H59&lt;=8,"2","0")))))+0</f>
        <v>2</v>
      </c>
      <c r="AN59" s="200">
        <f>SUM(AK59:AM59)</f>
        <v>6</v>
      </c>
      <c r="AO59" s="208" t="s">
        <v>401</v>
      </c>
      <c r="AP59" s="210" t="e">
        <f>(IF($E59&lt;=0,"0",IF($E59&lt;=20,"168",IF($E59&lt;=30,"165",IF($E59&lt;=50,"155",IF($E59&lt;=60,"135",IF($E59&lt;=70,"105",IF($E59&lt;=80,"60","0"))))))))+0</f>
        <v>#VALUE!</v>
      </c>
      <c r="AQ59" s="199" t="s">
        <v>530</v>
      </c>
      <c r="AR59" s="208" t="e">
        <f>(IF($E59&lt;=0,"0",IF($E59&lt;=80,"6","0")))+0</f>
        <v>#VALUE!</v>
      </c>
      <c r="AS59" s="208" t="e">
        <f>(IF($E59&lt;=0,"0",IF($E59&lt;=60,"9",IF($E59&lt;=70,"6","0"))))+0</f>
        <v>#VALUE!</v>
      </c>
      <c r="AT59" s="208" t="e">
        <f>(IF($E59&lt;=0,"0",IF($E59&lt;=40,"9",IF($E59&lt;=50,"6","0"))))+0</f>
        <v>#VALUE!</v>
      </c>
      <c r="AU59" s="211" t="e">
        <f>(IF($E59&lt;=0,"0",IF($E59&lt;=20,"1","0")))+0</f>
        <v>#VALUE!</v>
      </c>
      <c r="AV59" s="199" t="s">
        <v>149</v>
      </c>
      <c r="AW59" s="208" t="e">
        <f>(IF($E59&lt;=0,"0",IF($E59&lt;=70,"36",IF($E59&lt;=80,"24","0"))))+0</f>
        <v>#VALUE!</v>
      </c>
      <c r="AX59" s="208" t="e">
        <f>(IF($E59&lt;=0,"0",IF($E59&lt;=50,"30",IF($E59&lt;=60,"18","0"))))+0</f>
        <v>#VALUE!</v>
      </c>
      <c r="AY59" s="208" t="e">
        <f>(IF($E59&lt;=0,"0",IF($E59&lt;=20,"18",IF($E59&lt;=40,"15","0"))))+0</f>
        <v>#VALUE!</v>
      </c>
      <c r="AZ59" s="212">
        <f>Summary2831[[#This Row],[3*2]]+Summary2831[[#This Row],[3*22]]+Summary2831[[#This Row],[3*23]]</f>
        <v>57</v>
      </c>
      <c r="BA59" s="213">
        <f>Summary2831[[#This Row],[2*2]]+Summary2831[[#This Row],[2*23]]+Summary2831[[#This Row],[2*24]]</f>
        <v>40</v>
      </c>
      <c r="BB59" s="213">
        <f>Summary2831[[#This Row],[1*2]]+Summary2831[[#This Row],[1*24]]+Summary2831[[#This Row],[1*25]]</f>
        <v>0</v>
      </c>
      <c r="BC59" s="215">
        <f>IF($F59&lt;=0,"0",IF($F59&lt;=6,"19",IF($F59&lt;=7,"18",IF($F59&lt;=8,"9",0))))+0</f>
        <v>19</v>
      </c>
      <c r="BD59" s="215">
        <f>IF($F59&lt;=0,"0",IF($F59&lt;=2,"22",IF($F59&lt;=3,"19",IF($F59&lt;=4,"15",IF($F59&lt;=5,"9",0)))))+0</f>
        <v>22</v>
      </c>
      <c r="BE59" s="215">
        <f>IF($F59&lt;=0,"0",IF($F59&lt;=1,"6",0))+0</f>
        <v>6</v>
      </c>
      <c r="BF59" s="215">
        <f>IF($G59&lt;=0,"0",IF($G59&lt;=6,"19",IF($G59&lt;=7,"18",IF($G59&lt;=8,"9",0))))+0</f>
        <v>0</v>
      </c>
      <c r="BG59" s="215">
        <f>IF($G59&lt;=0,"0",IF($G59&lt;=2,"22",IF($G59&lt;=3,"19",IF($G59&lt;=4,"15",IF($G59&lt;=5,"9",0)))))+0</f>
        <v>0</v>
      </c>
      <c r="BH59" s="215">
        <f>IF($G59&lt;=0,"0",IF($G59&lt;=1,"6",0))+0</f>
        <v>0</v>
      </c>
      <c r="BI59" s="215">
        <f>IF($H59&lt;=0,"0",IF($H59&lt;=6,"19",IF($H59&lt;=7,"18",IF($H59&lt;=8,"9",0))))+0</f>
        <v>9</v>
      </c>
      <c r="BJ59" s="215">
        <f>IF($H59&lt;=0,"0",IF($H59&lt;=2,"22",IF($H59&lt;=3,"19",IF($H59&lt;=4,"15",IF($H59&lt;=5,"9",0)))))+0</f>
        <v>0</v>
      </c>
      <c r="BK59" s="215">
        <f>IF($H59&lt;=0,"0",IF($H59&lt;=1,"6",0))+0</f>
        <v>0</v>
      </c>
      <c r="BL59" s="199">
        <f>SUM(Summary2831[[#This Row],[3*
(Tal)]],Summary2831[[#This Row],[3*
(Asc)]])</f>
        <v>81</v>
      </c>
      <c r="BM59" s="208">
        <f>SUM(Summary2831[[#This Row],[2*
(Tal)]],Summary2831[[#This Row],[2*
(Asc)]])</f>
        <v>40</v>
      </c>
      <c r="BN59" s="211">
        <f>SUM(Summary2831[[#This Row],[1*
(Tal)]],Summary2831[[#This Row],[1*
(Asc)]])</f>
        <v>0</v>
      </c>
      <c r="BO59" s="216" t="e">
        <f>(IF($E59&lt;=0,"0",IF($E59&lt;=1,"2092530",IF($E59&lt;=10,"2087525",IF($E59&lt;=20,"2068495",IF($E59&lt;=30,"2005910",IF($E59&lt;=40,"1932830",IF($E59&lt;=50,"1777010",IF($E59&lt;=60,"1546185",IF($E59&lt;=70,"1227000",IF($E59&lt;=80,"804625",IF($E59&lt;=81,"647990",IF($E59&lt;=90,"0",0)))))))))))))+0</f>
        <v>#VALUE!</v>
      </c>
      <c r="BP59" s="217">
        <f>(IF($F59&lt;=0,"0",IF($F59&lt;=1,"952500",IF($F59&lt;=2,"940000",IF($F59&lt;=3,"922500",IF($F59&lt;=4,"897500",IF($F59&lt;=5,"867500",IF($F59&lt;=6,"830000",IF($F59&lt;=7,"710000",IF($F59&lt;=8,"450000",0))))))))))+0</f>
        <v>952500</v>
      </c>
      <c r="BQ59" s="217">
        <f>(IF($G59&lt;=0,"0",IF($G59&lt;=1,"952500",IF($G59&lt;=2,"940000",IF($G59&lt;=3,"922500",IF($G59&lt;=4,"897500",IF($G59&lt;=5,"867500",IF($G59&lt;=6,"830000",IF($G59&lt;=7,"710000",IF($G59&lt;=8,"450000",0))))))))))+0</f>
        <v>0</v>
      </c>
      <c r="BR59" s="217">
        <f>(IF($H59&lt;=0,"0",IF($H59&lt;=1,"952500",IF($H59&lt;=2,"940000",IF($H59&lt;=3,"922500",IF($H59&lt;=4,"897500",IF($H59&lt;=5,"867500",IF($H59&lt;=6,"830000",IF($H59&lt;=7,"710000",IF($H59&lt;=8,"450000",0))))))))))+0</f>
        <v>450000</v>
      </c>
      <c r="BS59" s="218" t="e">
        <f>SUM(BO59,BP59,BQ59,BR59)</f>
        <v>#VALUE!</v>
      </c>
    </row>
    <row r="60" spans="1:71" s="81" customFormat="1" ht="30" customHeight="1">
      <c r="A60" s="196">
        <f ca="1">SUBTOTAL(3,$C$3:Character[[#This Row],[Name]])</f>
        <v>58</v>
      </c>
      <c r="B60" s="192" t="e" vm="620">
        <f>ImgDatabase!D60</f>
        <v>#VALUE!</v>
      </c>
      <c r="C60" s="197" t="s">
        <v>448</v>
      </c>
      <c r="D60" s="194" t="e" vm="84">
        <f>IFERROR(INDEX(CharacterDetailss[Element], MATCH(Character[[#This Row],[Name]], CharacterDetailss[Name], 0)), "")</f>
        <v>#VALUE!</v>
      </c>
      <c r="E60" s="194" t="e" vm="331">
        <f>IFERROR(INDEX(CharacterDetailss[Weapon Type], MATCH(Character[[#This Row],[Name]], CharacterDetailss[Name], 0)), "")</f>
        <v>#VALUE!</v>
      </c>
      <c r="F60" s="198">
        <v>1.4</v>
      </c>
      <c r="G60" s="14">
        <v>21</v>
      </c>
      <c r="H60" s="9">
        <v>1</v>
      </c>
      <c r="I60" s="2">
        <v>1</v>
      </c>
      <c r="J60" s="10">
        <v>1</v>
      </c>
      <c r="K60"/>
      <c r="L60" s="75">
        <v>81</v>
      </c>
      <c r="M60" s="73">
        <v>1</v>
      </c>
      <c r="N60" s="74">
        <v>9</v>
      </c>
      <c r="O60" s="74">
        <v>9</v>
      </c>
      <c r="P60"/>
      <c r="Q60" s="230" t="e" vm="423">
        <f>IFERROR(INDEX(ImgDatabase!$O:$O, MATCH(WorldBoss[[#This Row],[Boss Name]], ImgDatabase!$P:$P, 0)), "")</f>
        <v>#VALUE!</v>
      </c>
      <c r="R60" s="228" t="s">
        <v>203</v>
      </c>
      <c r="S60" s="297" t="e">
        <f>(IF($E60&lt;=0,"0",IF($E60&lt;=40,"46",IF($E60&lt;=50,"44",IF($E60&lt;=60,"40",IF($E60&lt;=70,"32",IF($E60&lt;=80,"20","0")))))))+0</f>
        <v>#VALUE!</v>
      </c>
      <c r="T60"/>
      <c r="U6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60" s="222" t="s">
        <v>561</v>
      </c>
      <c r="W60" s="223">
        <f>Z60+AC60+AF60</f>
        <v>44</v>
      </c>
      <c r="X60" s="223">
        <f>AA60+AD60+AG60</f>
        <v>42</v>
      </c>
      <c r="Y60" s="221">
        <f>AB60+AE60+AH60</f>
        <v>3</v>
      </c>
      <c r="Z60" s="224">
        <f>(IF($F60&lt;=0,"0",IF($F60&lt;=6,"22",IF($F60&lt;=7,"18",IF($F60&lt;=8,"12",0)))))+0</f>
        <v>22</v>
      </c>
      <c r="AA60" s="225">
        <f>(IF($F60&lt;=0,"0",IF($F60&lt;=2,"21",IF($F60&lt;=3,"19",IF($F60&lt;=4,"15",IF($F60&lt;=5,"9",0))))))+0</f>
        <v>21</v>
      </c>
      <c r="AB60" s="225">
        <f>(IF($F60&lt;=0,"0",IF($F60&lt;=1,"3",0)))+0</f>
        <v>0</v>
      </c>
      <c r="AC60" s="225">
        <f>(IF($G60&lt;=0,"0",IF($G60&lt;=6,"22",IF($G60&lt;=7,"18",IF($G60&lt;=8,"12",0)))))+0</f>
        <v>0</v>
      </c>
      <c r="AD60" s="225">
        <f>(IF($G60&lt;=0,"0",IF($G60&lt;=2,"21",IF($G60&lt;=3,"19",IF($G60&lt;=4,"15",IF($G60&lt;=5,"9",0))))))+0</f>
        <v>0</v>
      </c>
      <c r="AE60" s="225">
        <f>(IF($G60&lt;=0,"0",IF($G60&lt;=1,"3",0)))+0</f>
        <v>0</v>
      </c>
      <c r="AF60" s="225">
        <f>(IF($H60&lt;=0,"0",IF($H60&lt;=6,"22",IF($H60&lt;=7,"18",IF($H60&lt;=8,"12",0)))))+0</f>
        <v>22</v>
      </c>
      <c r="AG60" s="225">
        <f>(IF($H60&lt;=0,"0",IF($H60&lt;=2,"21",IF($H60&lt;=3,"19",IF($H60&lt;=4,"15",IF($H60&lt;=5,"9",0))))))+0</f>
        <v>21</v>
      </c>
      <c r="AH60" s="226">
        <f>(IF($H60&lt;=0,"0",IF($H60&lt;=1,"3",0)))+0</f>
        <v>3</v>
      </c>
      <c r="AI60" s="227" t="s">
        <v>205</v>
      </c>
      <c r="AJ60" s="228" t="s">
        <v>528</v>
      </c>
      <c r="AK60" s="229">
        <f>(IF($F60&lt;=0,"0",IF($F60&lt;=6,"4",IF($F60&lt;=7,"3",IF($F60&lt;=8,"2","0")))))+0</f>
        <v>4</v>
      </c>
      <c r="AL60" s="229">
        <f>(IF($G60&lt;=0,"0",IF($G60&lt;=6,"4",IF($G60&lt;=7,"3",IF($G60&lt;=8,"2","0")))))+0</f>
        <v>0</v>
      </c>
      <c r="AM60" s="229">
        <f>(IF($H60&lt;=0,"0",IF($H60&lt;=6,"4",IF($H60&lt;=7,"3",IF($H60&lt;=8,"2","0")))))+0</f>
        <v>4</v>
      </c>
      <c r="AN60" s="220">
        <f>SUM(AK60:AM60)</f>
        <v>8</v>
      </c>
      <c r="AO60" s="228" t="s">
        <v>591</v>
      </c>
      <c r="AP60" s="230" t="e">
        <f>(IF($E60&lt;=0,"0",IF($E60&lt;=20,"168",IF($E60&lt;=30,"165",IF($E60&lt;=50,"155",IF($E60&lt;=60,"135",IF($E60&lt;=70,"105",IF($E60&lt;=80,"60","0"))))))))+0</f>
        <v>#VALUE!</v>
      </c>
      <c r="AQ60" s="219" t="s">
        <v>548</v>
      </c>
      <c r="AR60" s="228" t="e">
        <f>(IF($E60&lt;=0,"0",IF($E60&lt;=80,"6","0")))+0</f>
        <v>#VALUE!</v>
      </c>
      <c r="AS60" s="228" t="e">
        <f>(IF($E60&lt;=0,"0",IF($E60&lt;=60,"9",IF($E60&lt;=70,"6","0"))))+0</f>
        <v>#VALUE!</v>
      </c>
      <c r="AT60" s="228" t="e">
        <f>(IF($E60&lt;=0,"0",IF($E60&lt;=40,"9",IF($E60&lt;=50,"6","0"))))+0</f>
        <v>#VALUE!</v>
      </c>
      <c r="AU60" s="231" t="e">
        <f>(IF($E60&lt;=0,"0",IF($E60&lt;=20,"1","0")))+0</f>
        <v>#VALUE!</v>
      </c>
      <c r="AV60" s="219" t="s">
        <v>288</v>
      </c>
      <c r="AW60" s="228" t="e">
        <f>(IF($E60&lt;=0,"0",IF($E60&lt;=70,"36",IF($E60&lt;=80,"24","0"))))+0</f>
        <v>#VALUE!</v>
      </c>
      <c r="AX60" s="228" t="e">
        <f>(IF($E60&lt;=0,"0",IF($E60&lt;=50,"30",IF($E60&lt;=60,"18","0"))))+0</f>
        <v>#VALUE!</v>
      </c>
      <c r="AY60" s="228" t="e">
        <f>(IF($E60&lt;=0,"0",IF($E60&lt;=20,"18",IF($E60&lt;=40,"15","0"))))+0</f>
        <v>#VALUE!</v>
      </c>
      <c r="AZ60" s="232">
        <f>Summary2831[[#This Row],[3*2]]+Summary2831[[#This Row],[3*22]]+Summary2831[[#This Row],[3*23]]</f>
        <v>19</v>
      </c>
      <c r="BA60" s="233">
        <f>Summary2831[[#This Row],[2*2]]+Summary2831[[#This Row],[2*23]]+Summary2831[[#This Row],[2*24]]</f>
        <v>22</v>
      </c>
      <c r="BB60" s="233">
        <f>Summary2831[[#This Row],[1*2]]+Summary2831[[#This Row],[1*24]]+Summary2831[[#This Row],[1*25]]</f>
        <v>6</v>
      </c>
      <c r="BC60" s="234">
        <f>IF($F60&lt;=0,"0",IF($F60&lt;=6,"19",IF($F60&lt;=7,"18",IF($F60&lt;=8,"9",0))))+0</f>
        <v>19</v>
      </c>
      <c r="BD60" s="234">
        <f>IF($F60&lt;=0,"0",IF($F60&lt;=2,"22",IF($F60&lt;=3,"19",IF($F60&lt;=4,"15",IF($F60&lt;=5,"9",0)))))+0</f>
        <v>22</v>
      </c>
      <c r="BE60" s="234">
        <f>IF($F60&lt;=0,"0",IF($F60&lt;=1,"6",0))+0</f>
        <v>0</v>
      </c>
      <c r="BF60" s="234">
        <f>IF($G60&lt;=0,"0",IF($G60&lt;=6,"19",IF($G60&lt;=7,"18",IF($G60&lt;=8,"9",0))))+0</f>
        <v>0</v>
      </c>
      <c r="BG60" s="234">
        <f>IF($G60&lt;=0,"0",IF($G60&lt;=2,"22",IF($G60&lt;=3,"19",IF($G60&lt;=4,"15",IF($G60&lt;=5,"9",0)))))+0</f>
        <v>0</v>
      </c>
      <c r="BH60" s="234">
        <f>IF($G60&lt;=0,"0",IF($G60&lt;=1,"6",0))+0</f>
        <v>0</v>
      </c>
      <c r="BI60" s="234">
        <f>IF($H60&lt;=0,"0",IF($H60&lt;=6,"19",IF($H60&lt;=7,"18",IF($H60&lt;=8,"9",0))))+0</f>
        <v>19</v>
      </c>
      <c r="BJ60" s="234">
        <f>IF($H60&lt;=0,"0",IF($H60&lt;=2,"22",IF($H60&lt;=3,"19",IF($H60&lt;=4,"15",IF($H60&lt;=5,"9",0)))))+0</f>
        <v>22</v>
      </c>
      <c r="BK60" s="234">
        <f>IF($H60&lt;=0,"0",IF($H60&lt;=1,"6",0))+0</f>
        <v>6</v>
      </c>
      <c r="BL60" s="219">
        <f>SUM(Summary2831[[#This Row],[3*
(Tal)]],Summary2831[[#This Row],[3*
(Asc)]])</f>
        <v>19</v>
      </c>
      <c r="BM60" s="228">
        <f>SUM(Summary2831[[#This Row],[2*
(Tal)]],Summary2831[[#This Row],[2*
(Asc)]])</f>
        <v>22</v>
      </c>
      <c r="BN60" s="231">
        <f>SUM(Summary2831[[#This Row],[1*
(Tal)]],Summary2831[[#This Row],[1*
(Asc)]])</f>
        <v>6</v>
      </c>
      <c r="BO60" s="235" t="e">
        <f>(IF($E60&lt;=0,"0",IF($E60&lt;=1,"2092530",IF($E60&lt;=10,"2087525",IF($E60&lt;=20,"2068495",IF($E60&lt;=30,"2005910",IF($E60&lt;=40,"1932830",IF($E60&lt;=50,"1777010",IF($E60&lt;=60,"1546185",IF($E60&lt;=70,"1227000",IF($E60&lt;=80,"804625",IF($E60&lt;=81,"647990",IF($E60&lt;=90,"0",0)))))))))))))+0</f>
        <v>#VALUE!</v>
      </c>
      <c r="BP60" s="236">
        <f>(IF($F60&lt;=0,"0",IF($F60&lt;=1,"952500",IF($F60&lt;=2,"940000",IF($F60&lt;=3,"922500",IF($F60&lt;=4,"897500",IF($F60&lt;=5,"867500",IF($F60&lt;=6,"830000",IF($F60&lt;=7,"710000",IF($F60&lt;=8,"450000",0))))))))))+0</f>
        <v>940000</v>
      </c>
      <c r="BQ60" s="236">
        <f>(IF($G60&lt;=0,"0",IF($G60&lt;=1,"952500",IF($G60&lt;=2,"940000",IF($G60&lt;=3,"922500",IF($G60&lt;=4,"897500",IF($G60&lt;=5,"867500",IF($G60&lt;=6,"830000",IF($G60&lt;=7,"710000",IF($G60&lt;=8,"450000",0))))))))))+0</f>
        <v>0</v>
      </c>
      <c r="BR60" s="236">
        <f>(IF($H60&lt;=0,"0",IF($H60&lt;=1,"952500",IF($H60&lt;=2,"940000",IF($H60&lt;=3,"922500",IF($H60&lt;=4,"897500",IF($H60&lt;=5,"867500",IF($H60&lt;=6,"830000",IF($H60&lt;=7,"710000",IF($H60&lt;=8,"450000",0))))))))))+0</f>
        <v>952500</v>
      </c>
      <c r="BS60" s="237" t="e">
        <f>SUM(BO60,BP60,BQ60,BR60)</f>
        <v>#VALUE!</v>
      </c>
    </row>
    <row r="61" spans="1:71" s="81" customFormat="1" ht="30" customHeight="1">
      <c r="A61" s="192">
        <f ca="1">SUBTOTAL(3,$C$3:Character[[#This Row],[Name]])</f>
        <v>59</v>
      </c>
      <c r="B61" s="192" t="e" vm="621">
        <f>ImgDatabase!D61</f>
        <v>#VALUE!</v>
      </c>
      <c r="C61" s="193" t="s">
        <v>434</v>
      </c>
      <c r="D61" s="194" t="e" vm="58">
        <f>IFERROR(INDEX(CharacterDetailss[Element], MATCH(Character[[#This Row],[Name]], CharacterDetailss[Name], 0)), "")</f>
        <v>#VALUE!</v>
      </c>
      <c r="E61" s="194" t="e" vm="312">
        <f>IFERROR(INDEX(CharacterDetailss[Weapon Type], MATCH(Character[[#This Row],[Name]], CharacterDetailss[Name], 0)), "")</f>
        <v>#VALUE!</v>
      </c>
      <c r="F61" s="195">
        <v>2.1</v>
      </c>
      <c r="G61" s="72">
        <v>90</v>
      </c>
      <c r="H61" s="73">
        <v>1</v>
      </c>
      <c r="I61" s="74">
        <v>9</v>
      </c>
      <c r="J61" s="75">
        <v>9</v>
      </c>
      <c r="K61"/>
      <c r="L61" s="75">
        <v>81</v>
      </c>
      <c r="M61" s="73">
        <v>1</v>
      </c>
      <c r="N61" s="74">
        <v>9</v>
      </c>
      <c r="O61" s="74">
        <v>9</v>
      </c>
      <c r="P61"/>
      <c r="Q61" s="245" t="e" vm="362">
        <f>IFERROR(INDEX(ImgDatabase!$O:$O, MATCH(WorldBoss[[#This Row],[Boss Name]], ImgDatabase!$P:$P, 0)), "")</f>
        <v>#VALUE!</v>
      </c>
      <c r="R61" s="244" t="s">
        <v>106</v>
      </c>
      <c r="S61" s="300" t="e">
        <f>(IF($E61&lt;=0,"0",IF($E61&lt;=40,"46",IF($E61&lt;=50,"44",IF($E61&lt;=60,"40",IF($E61&lt;=70,"32",IF($E61&lt;=80,"20","0")))))))+0</f>
        <v>#VALUE!</v>
      </c>
      <c r="T61"/>
      <c r="U6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V61" s="240" t="s">
        <v>549</v>
      </c>
      <c r="W61" s="241">
        <f>Z61+AC61+AF61</f>
        <v>44</v>
      </c>
      <c r="X61" s="241">
        <f>AA61+AD61+AG61</f>
        <v>40</v>
      </c>
      <c r="Y61" s="242">
        <f>AB61+AE61+AH61</f>
        <v>3</v>
      </c>
      <c r="Z61" s="204">
        <f>(IF($F61&lt;=0,"0",IF($F61&lt;=6,"22",IF($F61&lt;=7,"18",IF($F61&lt;=8,"12",0)))))+0</f>
        <v>22</v>
      </c>
      <c r="AA61" s="205">
        <f>(IF($F61&lt;=0,"0",IF($F61&lt;=2,"21",IF($F61&lt;=3,"19",IF($F61&lt;=4,"15",IF($F61&lt;=5,"9",0))))))+0</f>
        <v>19</v>
      </c>
      <c r="AB61" s="205">
        <f>(IF($F61&lt;=0,"0",IF($F61&lt;=1,"3",0)))+0</f>
        <v>0</v>
      </c>
      <c r="AC61" s="205">
        <f>(IF($G61&lt;=0,"0",IF($G61&lt;=6,"22",IF($G61&lt;=7,"18",IF($G61&lt;=8,"12",0)))))+0</f>
        <v>0</v>
      </c>
      <c r="AD61" s="205">
        <f>(IF($G61&lt;=0,"0",IF($G61&lt;=2,"21",IF($G61&lt;=3,"19",IF($G61&lt;=4,"15",IF($G61&lt;=5,"9",0))))))+0</f>
        <v>0</v>
      </c>
      <c r="AE61" s="205">
        <f>(IF($G61&lt;=0,"0",IF($G61&lt;=1,"3",0)))+0</f>
        <v>0</v>
      </c>
      <c r="AF61" s="205">
        <f>(IF($H61&lt;=0,"0",IF($H61&lt;=6,"22",IF($H61&lt;=7,"18",IF($H61&lt;=8,"12",0)))))+0</f>
        <v>22</v>
      </c>
      <c r="AG61" s="205">
        <f>(IF($H61&lt;=0,"0",IF($H61&lt;=2,"21",IF($H61&lt;=3,"19",IF($H61&lt;=4,"15",IF($H61&lt;=5,"9",0))))))+0</f>
        <v>21</v>
      </c>
      <c r="AH61" s="206">
        <f>(IF($H61&lt;=0,"0",IF($H61&lt;=1,"3",0)))+0</f>
        <v>3</v>
      </c>
      <c r="AI61" s="243" t="s">
        <v>531</v>
      </c>
      <c r="AJ61" s="244" t="s">
        <v>596</v>
      </c>
      <c r="AK61" s="209">
        <f>(IF($F61&lt;=0,"0",IF($F61&lt;=6,"4",IF($F61&lt;=7,"3",IF($F61&lt;=8,"2","0")))))+0</f>
        <v>4</v>
      </c>
      <c r="AL61" s="209">
        <f>(IF($G61&lt;=0,"0",IF($G61&lt;=6,"4",IF($G61&lt;=7,"3",IF($G61&lt;=8,"2","0")))))+0</f>
        <v>0</v>
      </c>
      <c r="AM61" s="209">
        <f>(IF($H61&lt;=0,"0",IF($H61&lt;=6,"4",IF($H61&lt;=7,"3",IF($H61&lt;=8,"2","0")))))+0</f>
        <v>4</v>
      </c>
      <c r="AN61" s="239">
        <f>SUM(AK61:AM61)</f>
        <v>8</v>
      </c>
      <c r="AO61" s="244" t="s">
        <v>407</v>
      </c>
      <c r="AP61" s="245" t="e">
        <f>(IF($E61&lt;=0,"0",IF($E61&lt;=20,"168",IF($E61&lt;=30,"165",IF($E61&lt;=50,"155",IF($E61&lt;=60,"135",IF($E61&lt;=70,"105",IF($E61&lt;=80,"60","0"))))))))+0</f>
        <v>#VALUE!</v>
      </c>
      <c r="AQ61" s="238" t="s">
        <v>548</v>
      </c>
      <c r="AR61" s="244" t="e">
        <f>(IF($E61&lt;=0,"0",IF($E61&lt;=80,"6","0")))+0</f>
        <v>#VALUE!</v>
      </c>
      <c r="AS61" s="244" t="e">
        <f>(IF($E61&lt;=0,"0",IF($E61&lt;=60,"9",IF($E61&lt;=70,"6","0"))))+0</f>
        <v>#VALUE!</v>
      </c>
      <c r="AT61" s="244" t="e">
        <f>(IF($E61&lt;=0,"0",IF($E61&lt;=40,"9",IF($E61&lt;=50,"6","0"))))+0</f>
        <v>#VALUE!</v>
      </c>
      <c r="AU61" s="246" t="e">
        <f>(IF($E61&lt;=0,"0",IF($E61&lt;=20,"1","0")))+0</f>
        <v>#VALUE!</v>
      </c>
      <c r="AV61" s="238" t="s">
        <v>89</v>
      </c>
      <c r="AW61" s="244" t="e">
        <f>(IF($E61&lt;=0,"0",IF($E61&lt;=70,"36",IF($E61&lt;=80,"24","0"))))+0</f>
        <v>#VALUE!</v>
      </c>
      <c r="AX61" s="244" t="e">
        <f>(IF($E61&lt;=0,"0",IF($E61&lt;=50,"30",IF($E61&lt;=60,"18","0"))))+0</f>
        <v>#VALUE!</v>
      </c>
      <c r="AY61" s="244" t="e">
        <f>(IF($E61&lt;=0,"0",IF($E61&lt;=20,"18",IF($E61&lt;=40,"15","0"))))+0</f>
        <v>#VALUE!</v>
      </c>
      <c r="AZ61" s="247">
        <f>Summary2831[[#This Row],[3*2]]+Summary2831[[#This Row],[3*22]]+Summary2831[[#This Row],[3*23]]</f>
        <v>37</v>
      </c>
      <c r="BA61" s="248">
        <f>Summary2831[[#This Row],[2*2]]+Summary2831[[#This Row],[2*23]]+Summary2831[[#This Row],[2*24]]</f>
        <v>0</v>
      </c>
      <c r="BB61" s="248">
        <f>Summary2831[[#This Row],[1*2]]+Summary2831[[#This Row],[1*24]]+Summary2831[[#This Row],[1*25]]</f>
        <v>0</v>
      </c>
      <c r="BC61" s="248">
        <f>IF($F61&lt;=0,"0",IF($F61&lt;=6,"19",IF($F61&lt;=7,"18",IF($F61&lt;=8,"9",0))))+0</f>
        <v>19</v>
      </c>
      <c r="BD61" s="248">
        <f>IF($F61&lt;=0,"0",IF($F61&lt;=2,"22",IF($F61&lt;=3,"19",IF($F61&lt;=4,"15",IF($F61&lt;=5,"9",0)))))+0</f>
        <v>19</v>
      </c>
      <c r="BE61" s="248">
        <f>IF($F61&lt;=0,"0",IF($F61&lt;=1,"6",0))+0</f>
        <v>0</v>
      </c>
      <c r="BF61" s="248">
        <f>IF($G61&lt;=0,"0",IF($G61&lt;=6,"19",IF($G61&lt;=7,"18",IF($G61&lt;=8,"9",0))))+0</f>
        <v>0</v>
      </c>
      <c r="BG61" s="248">
        <f>IF($G61&lt;=0,"0",IF($G61&lt;=2,"22",IF($G61&lt;=3,"19",IF($G61&lt;=4,"15",IF($G61&lt;=5,"9",0)))))+0</f>
        <v>0</v>
      </c>
      <c r="BH61" s="248">
        <f>IF($G61&lt;=0,"0",IF($G61&lt;=1,"6",0))+0</f>
        <v>0</v>
      </c>
      <c r="BI61" s="248">
        <f>IF($H61&lt;=0,"0",IF($H61&lt;=6,"19",IF($H61&lt;=7,"18",IF($H61&lt;=8,"9",0))))+0</f>
        <v>19</v>
      </c>
      <c r="BJ61" s="248">
        <f>IF($H61&lt;=0,"0",IF($H61&lt;=2,"22",IF($H61&lt;=3,"19",IF($H61&lt;=4,"15",IF($H61&lt;=5,"9",0)))))+0</f>
        <v>22</v>
      </c>
      <c r="BK61" s="248">
        <f>IF($H61&lt;=0,"0",IF($H61&lt;=1,"6",0))+0</f>
        <v>6</v>
      </c>
      <c r="BL61" s="238">
        <f>SUM(Summary2831[[#This Row],[3*
(Tal)]],Summary2831[[#This Row],[3*
(Asc)]])</f>
        <v>61</v>
      </c>
      <c r="BM61" s="244">
        <f>SUM(Summary2831[[#This Row],[2*
(Tal)]],Summary2831[[#This Row],[2*
(Asc)]])</f>
        <v>0</v>
      </c>
      <c r="BN61" s="246">
        <f>SUM(Summary2831[[#This Row],[1*
(Tal)]],Summary2831[[#This Row],[1*
(Asc)]])</f>
        <v>0</v>
      </c>
      <c r="BO61" s="216" t="e">
        <f>(IF($E61&lt;=0,"0",IF($E61&lt;=1,"2092530",IF($E61&lt;=10,"2087525",IF($E61&lt;=20,"2068495",IF($E61&lt;=30,"2005910",IF($E61&lt;=40,"1932830",IF($E61&lt;=50,"1777010",IF($E61&lt;=60,"1546185",IF($E61&lt;=70,"1227000",IF($E61&lt;=80,"804625",IF($E61&lt;=81,"647990",IF($E61&lt;=90,"0",0)))))))))))))+0</f>
        <v>#VALUE!</v>
      </c>
      <c r="BP61" s="249">
        <f>(IF($F61&lt;=0,"0",IF($F61&lt;=1,"952500",IF($F61&lt;=2,"940000",IF($F61&lt;=3,"922500",IF($F61&lt;=4,"897500",IF($F61&lt;=5,"867500",IF($F61&lt;=6,"830000",IF($F61&lt;=7,"710000",IF($F61&lt;=8,"450000",0))))))))))+0</f>
        <v>922500</v>
      </c>
      <c r="BQ61" s="249">
        <f>(IF($G61&lt;=0,"0",IF($G61&lt;=1,"952500",IF($G61&lt;=2,"940000",IF($G61&lt;=3,"922500",IF($G61&lt;=4,"897500",IF($G61&lt;=5,"867500",IF($G61&lt;=6,"830000",IF($G61&lt;=7,"710000",IF($G61&lt;=8,"450000",0))))))))))+0</f>
        <v>0</v>
      </c>
      <c r="BR61" s="249">
        <f>(IF($H61&lt;=0,"0",IF($H61&lt;=1,"952500",IF($H61&lt;=2,"940000",IF($H61&lt;=3,"922500",IF($H61&lt;=4,"897500",IF($H61&lt;=5,"867500",IF($H61&lt;=6,"830000",IF($H61&lt;=7,"710000",IF($H61&lt;=8,"450000",0))))))))))+0</f>
        <v>952500</v>
      </c>
      <c r="BS61" s="250" t="e">
        <f>SUM(BO61,BP61,BQ61,BR61)</f>
        <v>#VALUE!</v>
      </c>
    </row>
    <row r="62" spans="1:71" ht="30" customHeight="1">
      <c r="A62" s="196">
        <f ca="1">SUBTOTAL(3,$C$3:Character[[#This Row],[Name]])</f>
        <v>60</v>
      </c>
      <c r="B62" s="192" t="e" vm="622">
        <f>ImgDatabase!D62</f>
        <v>#VALUE!</v>
      </c>
      <c r="C62" s="197" t="s">
        <v>422</v>
      </c>
      <c r="D62" s="194" t="e" vm="67">
        <f>IFERROR(INDEX(CharacterDetailss[Element], MATCH(Character[[#This Row],[Name]], CharacterDetailss[Name], 0)), "")</f>
        <v>#VALUE!</v>
      </c>
      <c r="E62" s="194" t="e" vm="292">
        <f>IFERROR(INDEX(CharacterDetailss[Weapon Type], MATCH(Character[[#This Row],[Name]], CharacterDetailss[Name], 0)), "")</f>
        <v>#VALUE!</v>
      </c>
      <c r="F62" s="195">
        <v>2</v>
      </c>
      <c r="G62" s="14">
        <v>22</v>
      </c>
      <c r="H62" s="9">
        <v>1</v>
      </c>
      <c r="I62" s="2">
        <v>1</v>
      </c>
      <c r="J62" s="10">
        <v>1</v>
      </c>
      <c r="L62" s="75">
        <v>81</v>
      </c>
      <c r="M62" s="73">
        <v>1</v>
      </c>
      <c r="N62" s="74">
        <v>9</v>
      </c>
      <c r="O62" s="74">
        <v>9</v>
      </c>
      <c r="Q62" s="258" t="e" vm="354">
        <f>IFERROR(INDEX(ImgDatabase!$O:$O, MATCH(WorldBoss[[#This Row],[Boss Name]], ImgDatabase!$P:$P, 0)), "")</f>
        <v>#VALUE!</v>
      </c>
      <c r="R62" s="257" t="s">
        <v>96</v>
      </c>
      <c r="S62" s="301" t="e">
        <f>(IF($E62&lt;=0,"0",IF($E62&lt;=40,"46",IF($E62&lt;=50,"44",IF($E62&lt;=60,"40",IF($E62&lt;=70,"32",IF($E62&lt;=80,"20","0")))))))+0</f>
        <v>#VALUE!</v>
      </c>
      <c r="U6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62" s="253" t="s">
        <v>519</v>
      </c>
      <c r="W62" s="254">
        <f>Z62+AC62+AF62</f>
        <v>44</v>
      </c>
      <c r="X62" s="254">
        <f>AA62+AD62+AG62</f>
        <v>42</v>
      </c>
      <c r="Y62" s="255">
        <f>AB62+AE62+AH62</f>
        <v>3</v>
      </c>
      <c r="Z62" s="224">
        <f>(IF($F62&lt;=0,"0",IF($F62&lt;=6,"22",IF($F62&lt;=7,"18",IF($F62&lt;=8,"12",0)))))+0</f>
        <v>22</v>
      </c>
      <c r="AA62" s="225">
        <f>(IF($F62&lt;=0,"0",IF($F62&lt;=2,"21",IF($F62&lt;=3,"19",IF($F62&lt;=4,"15",IF($F62&lt;=5,"9",0))))))+0</f>
        <v>21</v>
      </c>
      <c r="AB62" s="225">
        <f>(IF($F62&lt;=0,"0",IF($F62&lt;=1,"3",0)))+0</f>
        <v>0</v>
      </c>
      <c r="AC62" s="225">
        <f>(IF($G62&lt;=0,"0",IF($G62&lt;=6,"22",IF($G62&lt;=7,"18",IF($G62&lt;=8,"12",0)))))+0</f>
        <v>0</v>
      </c>
      <c r="AD62" s="225">
        <f>(IF($G62&lt;=0,"0",IF($G62&lt;=2,"21",IF($G62&lt;=3,"19",IF($G62&lt;=4,"15",IF($G62&lt;=5,"9",0))))))+0</f>
        <v>0</v>
      </c>
      <c r="AE62" s="225">
        <f>(IF($G62&lt;=0,"0",IF($G62&lt;=1,"3",0)))+0</f>
        <v>0</v>
      </c>
      <c r="AF62" s="225">
        <f>(IF($H62&lt;=0,"0",IF($H62&lt;=6,"22",IF($H62&lt;=7,"18",IF($H62&lt;=8,"12",0)))))+0</f>
        <v>22</v>
      </c>
      <c r="AG62" s="225">
        <f>(IF($H62&lt;=0,"0",IF($H62&lt;=2,"21",IF($H62&lt;=3,"19",IF($H62&lt;=4,"15",IF($H62&lt;=5,"9",0))))))+0</f>
        <v>21</v>
      </c>
      <c r="AH62" s="226">
        <f>(IF($H62&lt;=0,"0",IF($H62&lt;=1,"3",0)))+0</f>
        <v>3</v>
      </c>
      <c r="AI62" s="256" t="s">
        <v>389</v>
      </c>
      <c r="AJ62" s="257" t="s">
        <v>579</v>
      </c>
      <c r="AK62" s="229">
        <f>(IF($F62&lt;=0,"0",IF($F62&lt;=6,"4",IF($F62&lt;=7,"3",IF($F62&lt;=8,"2","0")))))+0</f>
        <v>4</v>
      </c>
      <c r="AL62" s="229">
        <f>(IF($G62&lt;=0,"0",IF($G62&lt;=6,"4",IF($G62&lt;=7,"3",IF($G62&lt;=8,"2","0")))))+0</f>
        <v>0</v>
      </c>
      <c r="AM62" s="229">
        <f>(IF($H62&lt;=0,"0",IF($H62&lt;=6,"4",IF($H62&lt;=7,"3",IF($H62&lt;=8,"2","0")))))+0</f>
        <v>4</v>
      </c>
      <c r="AN62" s="252">
        <f>SUM(AK62:AM62)</f>
        <v>8</v>
      </c>
      <c r="AO62" s="257" t="s">
        <v>398</v>
      </c>
      <c r="AP62" s="258" t="e">
        <f>(IF($E62&lt;=0,"0",IF($E62&lt;=20,"168",IF($E62&lt;=30,"165",IF($E62&lt;=50,"155",IF($E62&lt;=60,"135",IF($E62&lt;=70,"105",IF($E62&lt;=80,"60","0"))))))))+0</f>
        <v>#VALUE!</v>
      </c>
      <c r="AQ62" s="251" t="s">
        <v>530</v>
      </c>
      <c r="AR62" s="257" t="e">
        <f>(IF($E62&lt;=0,"0",IF($E62&lt;=80,"6","0")))+0</f>
        <v>#VALUE!</v>
      </c>
      <c r="AS62" s="257" t="e">
        <f>(IF($E62&lt;=0,"0",IF($E62&lt;=60,"9",IF($E62&lt;=70,"6","0"))))+0</f>
        <v>#VALUE!</v>
      </c>
      <c r="AT62" s="257" t="e">
        <f>(IF($E62&lt;=0,"0",IF($E62&lt;=40,"9",IF($E62&lt;=50,"6","0"))))+0</f>
        <v>#VALUE!</v>
      </c>
      <c r="AU62" s="259" t="e">
        <f>(IF($E62&lt;=0,"0",IF($E62&lt;=20,"1","0")))+0</f>
        <v>#VALUE!</v>
      </c>
      <c r="AV62" s="251" t="s">
        <v>236</v>
      </c>
      <c r="AW62" s="257" t="e">
        <f>(IF($E62&lt;=0,"0",IF($E62&lt;=70,"36",IF($E62&lt;=80,"24","0"))))+0</f>
        <v>#VALUE!</v>
      </c>
      <c r="AX62" s="257" t="e">
        <f>(IF($E62&lt;=0,"0",IF($E62&lt;=50,"30",IF($E62&lt;=60,"18","0"))))+0</f>
        <v>#VALUE!</v>
      </c>
      <c r="AY62" s="257" t="e">
        <f>(IF($E62&lt;=0,"0",IF($E62&lt;=20,"18",IF($E62&lt;=40,"15","0"))))+0</f>
        <v>#VALUE!</v>
      </c>
      <c r="AZ62" s="260">
        <f>Summary2831[[#This Row],[3*2]]+Summary2831[[#This Row],[3*22]]+Summary2831[[#This Row],[3*23]]</f>
        <v>57</v>
      </c>
      <c r="BA62" s="261">
        <f>Summary2831[[#This Row],[2*2]]+Summary2831[[#This Row],[2*23]]+Summary2831[[#This Row],[2*24]]</f>
        <v>66</v>
      </c>
      <c r="BB62" s="261">
        <f>Summary2831[[#This Row],[1*2]]+Summary2831[[#This Row],[1*24]]+Summary2831[[#This Row],[1*25]]</f>
        <v>18</v>
      </c>
      <c r="BC62" s="261">
        <f>IF($F62&lt;=0,"0",IF($F62&lt;=6,"19",IF($F62&lt;=7,"18",IF($F62&lt;=8,"9",0))))+0</f>
        <v>19</v>
      </c>
      <c r="BD62" s="261">
        <f>IF($F62&lt;=0,"0",IF($F62&lt;=2,"22",IF($F62&lt;=3,"19",IF($F62&lt;=4,"15",IF($F62&lt;=5,"9",0)))))+0</f>
        <v>22</v>
      </c>
      <c r="BE62" s="261">
        <f>IF($F62&lt;=0,"0",IF($F62&lt;=1,"6",0))+0</f>
        <v>0</v>
      </c>
      <c r="BF62" s="261">
        <f>IF($G62&lt;=0,"0",IF($G62&lt;=6,"19",IF($G62&lt;=7,"18",IF($G62&lt;=8,"9",0))))+0</f>
        <v>0</v>
      </c>
      <c r="BG62" s="261">
        <f>IF($G62&lt;=0,"0",IF($G62&lt;=2,"22",IF($G62&lt;=3,"19",IF($G62&lt;=4,"15",IF($G62&lt;=5,"9",0)))))+0</f>
        <v>0</v>
      </c>
      <c r="BH62" s="261">
        <f>IF($G62&lt;=0,"0",IF($G62&lt;=1,"6",0))+0</f>
        <v>0</v>
      </c>
      <c r="BI62" s="261">
        <f>IF($H62&lt;=0,"0",IF($H62&lt;=6,"19",IF($H62&lt;=7,"18",IF($H62&lt;=8,"9",0))))+0</f>
        <v>19</v>
      </c>
      <c r="BJ62" s="261">
        <f>IF($H62&lt;=0,"0",IF($H62&lt;=2,"22",IF($H62&lt;=3,"19",IF($H62&lt;=4,"15",IF($H62&lt;=5,"9",0)))))+0</f>
        <v>22</v>
      </c>
      <c r="BK62" s="261">
        <f>IF($H62&lt;=0,"0",IF($H62&lt;=1,"6",0))+0</f>
        <v>6</v>
      </c>
      <c r="BL62" s="251">
        <f>SUM(Summary2831[[#This Row],[3*
(Tal)]],Summary2831[[#This Row],[3*
(Asc)]])</f>
        <v>93</v>
      </c>
      <c r="BM62" s="257">
        <f>SUM(Summary2831[[#This Row],[2*
(Tal)]],Summary2831[[#This Row],[2*
(Asc)]])</f>
        <v>96</v>
      </c>
      <c r="BN62" s="259">
        <f>SUM(Summary2831[[#This Row],[1*
(Tal)]],Summary2831[[#This Row],[1*
(Asc)]])</f>
        <v>33</v>
      </c>
      <c r="BO62" s="235" t="e">
        <f>(IF($E62&lt;=0,"0",IF($E62&lt;=1,"2092530",IF($E62&lt;=10,"2087525",IF($E62&lt;=20,"2068495",IF($E62&lt;=30,"2005910",IF($E62&lt;=40,"1932830",IF($E62&lt;=50,"1777010",IF($E62&lt;=60,"1546185",IF($E62&lt;=70,"1227000",IF($E62&lt;=80,"804625",IF($E62&lt;=81,"647990",IF($E62&lt;=90,"0",0)))))))))))))+0</f>
        <v>#VALUE!</v>
      </c>
      <c r="BP62" s="262">
        <f>(IF($F62&lt;=0,"0",IF($F62&lt;=1,"952500",IF($F62&lt;=2,"940000",IF($F62&lt;=3,"922500",IF($F62&lt;=4,"897500",IF($F62&lt;=5,"867500",IF($F62&lt;=6,"830000",IF($F62&lt;=7,"710000",IF($F62&lt;=8,"450000",0))))))))))+0</f>
        <v>940000</v>
      </c>
      <c r="BQ62" s="262">
        <f>(IF($G62&lt;=0,"0",IF($G62&lt;=1,"952500",IF($G62&lt;=2,"940000",IF($G62&lt;=3,"922500",IF($G62&lt;=4,"897500",IF($G62&lt;=5,"867500",IF($G62&lt;=6,"830000",IF($G62&lt;=7,"710000",IF($G62&lt;=8,"450000",0))))))))))+0</f>
        <v>0</v>
      </c>
      <c r="BR62" s="262">
        <f>(IF($H62&lt;=0,"0",IF($H62&lt;=1,"952500",IF($H62&lt;=2,"940000",IF($H62&lt;=3,"922500",IF($H62&lt;=4,"897500",IF($H62&lt;=5,"867500",IF($H62&lt;=6,"830000",IF($H62&lt;=7,"710000",IF($H62&lt;=8,"450000",0))))))))))+0</f>
        <v>952500</v>
      </c>
      <c r="BS62" s="263" t="e">
        <f>SUM(BO62,BP62,BQ62,BR62)</f>
        <v>#VALUE!</v>
      </c>
    </row>
    <row r="63" spans="1:71" ht="30" customHeight="1">
      <c r="A63" s="196">
        <f ca="1">SUBTOTAL(3,$C$3:Character[[#This Row],[Name]])</f>
        <v>61</v>
      </c>
      <c r="B63" s="192" t="e" vm="623">
        <f>ImgDatabase!D63</f>
        <v>#VALUE!</v>
      </c>
      <c r="C63" s="197" t="s">
        <v>26</v>
      </c>
      <c r="D63" s="194" t="e" vm="49">
        <f>IFERROR(INDEX(CharacterDetailss[Element], MATCH(Character[[#This Row],[Name]], CharacterDetailss[Name], 0)), "")</f>
        <v>#VALUE!</v>
      </c>
      <c r="E63" s="194" t="e" vm="216">
        <f>IFERROR(INDEX(CharacterDetailss[Weapon Type], MATCH(Character[[#This Row],[Name]], CharacterDetailss[Name], 0)), "")</f>
        <v>#VALUE!</v>
      </c>
      <c r="F63" s="195">
        <v>4.8</v>
      </c>
      <c r="G63" s="72">
        <v>0</v>
      </c>
      <c r="H63" s="73">
        <v>0</v>
      </c>
      <c r="I63" s="74">
        <v>0</v>
      </c>
      <c r="J63" s="75">
        <v>0</v>
      </c>
      <c r="L63" s="75">
        <v>81</v>
      </c>
      <c r="M63" s="73">
        <v>1</v>
      </c>
      <c r="N63" s="74">
        <v>9</v>
      </c>
      <c r="O63" s="74">
        <v>9</v>
      </c>
      <c r="Q63" s="245" t="e" vm="401">
        <f>IFERROR(INDEX(ImgDatabase!$O:$O, MATCH(WorldBoss[[#This Row],[Boss Name]], ImgDatabase!$P:$P, 0)), "")</f>
        <v>#VALUE!</v>
      </c>
      <c r="R63" s="244" t="s">
        <v>165</v>
      </c>
      <c r="S63" s="300" t="e">
        <f>(IF($E63&lt;=0,"0",IF($E63&lt;=40,"46",IF($E63&lt;=50,"44",IF($E63&lt;=60,"40",IF($E63&lt;=70,"32",IF($E63&lt;=80,"20","0")))))))+0</f>
        <v>#VALUE!</v>
      </c>
      <c r="U6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63" s="240" t="s">
        <v>561</v>
      </c>
      <c r="W63" s="241">
        <f>Z63+AC63+AF63</f>
        <v>22</v>
      </c>
      <c r="X63" s="241">
        <f>AA63+AD63+AG63</f>
        <v>9</v>
      </c>
      <c r="Y63" s="242">
        <f>AB63+AE63+AH63</f>
        <v>0</v>
      </c>
      <c r="Z63" s="204">
        <f>(IF($F63&lt;=0,"0",IF($F63&lt;=6,"22",IF($F63&lt;=7,"18",IF($F63&lt;=8,"12",0)))))+0</f>
        <v>22</v>
      </c>
      <c r="AA63" s="205">
        <f>(IF($F63&lt;=0,"0",IF($F63&lt;=2,"21",IF($F63&lt;=3,"19",IF($F63&lt;=4,"15",IF($F63&lt;=5,"9",0))))))+0</f>
        <v>9</v>
      </c>
      <c r="AB63" s="205">
        <f>(IF($F63&lt;=0,"0",IF($F63&lt;=1,"3",0)))+0</f>
        <v>0</v>
      </c>
      <c r="AC63" s="205">
        <f>(IF($G63&lt;=0,"0",IF($G63&lt;=6,"22",IF($G63&lt;=7,"18",IF($G63&lt;=8,"12",0)))))+0</f>
        <v>0</v>
      </c>
      <c r="AD63" s="205">
        <f>(IF($G63&lt;=0,"0",IF($G63&lt;=2,"21",IF($G63&lt;=3,"19",IF($G63&lt;=4,"15",IF($G63&lt;=5,"9",0))))))+0</f>
        <v>0</v>
      </c>
      <c r="AE63" s="205">
        <f>(IF($G63&lt;=0,"0",IF($G63&lt;=1,"3",0)))+0</f>
        <v>0</v>
      </c>
      <c r="AF63" s="205">
        <f>(IF($H63&lt;=0,"0",IF($H63&lt;=6,"22",IF($H63&lt;=7,"18",IF($H63&lt;=8,"12",0)))))+0</f>
        <v>0</v>
      </c>
      <c r="AG63" s="205">
        <f>(IF($H63&lt;=0,"0",IF($H63&lt;=2,"21",IF($H63&lt;=3,"19",IF($H63&lt;=4,"15",IF($H63&lt;=5,"9",0))))))+0</f>
        <v>0</v>
      </c>
      <c r="AH63" s="206">
        <f>(IF($H63&lt;=0,"0",IF($H63&lt;=1,"3",0)))+0</f>
        <v>0</v>
      </c>
      <c r="AI63" s="243" t="s">
        <v>176</v>
      </c>
      <c r="AJ63" s="244" t="s">
        <v>589</v>
      </c>
      <c r="AK63" s="209">
        <f>(IF($F63&lt;=0,"0",IF($F63&lt;=6,"4",IF($F63&lt;=7,"3",IF($F63&lt;=8,"2","0")))))+0</f>
        <v>4</v>
      </c>
      <c r="AL63" s="209">
        <f>(IF($G63&lt;=0,"0",IF($G63&lt;=6,"4",IF($G63&lt;=7,"3",IF($G63&lt;=8,"2","0")))))+0</f>
        <v>0</v>
      </c>
      <c r="AM63" s="209">
        <f>(IF($H63&lt;=0,"0",IF($H63&lt;=6,"4",IF($H63&lt;=7,"3",IF($H63&lt;=8,"2","0")))))+0</f>
        <v>0</v>
      </c>
      <c r="AN63" s="239">
        <f>SUM(AK63:AM63)</f>
        <v>4</v>
      </c>
      <c r="AO63" s="244" t="s">
        <v>529</v>
      </c>
      <c r="AP63" s="245" t="e">
        <f>(IF($E63&lt;=0,"0",IF($E63&lt;=20,"168",IF($E63&lt;=30,"165",IF($E63&lt;=50,"155",IF($E63&lt;=60,"135",IF($E63&lt;=70,"105",IF($E63&lt;=80,"60","0"))))))))+0</f>
        <v>#VALUE!</v>
      </c>
      <c r="AQ63" s="238" t="s">
        <v>573</v>
      </c>
      <c r="AR63" s="244" t="e">
        <f>(IF($E63&lt;=0,"0",IF($E63&lt;=80,"6","0")))+0</f>
        <v>#VALUE!</v>
      </c>
      <c r="AS63" s="244" t="e">
        <f>(IF($E63&lt;=0,"0",IF($E63&lt;=60,"9",IF($E63&lt;=70,"6","0"))))+0</f>
        <v>#VALUE!</v>
      </c>
      <c r="AT63" s="244" t="e">
        <f>(IF($E63&lt;=0,"0",IF($E63&lt;=40,"9",IF($E63&lt;=50,"6","0"))))+0</f>
        <v>#VALUE!</v>
      </c>
      <c r="AU63" s="246" t="e">
        <f>(IF($E63&lt;=0,"0",IF($E63&lt;=20,"1","0")))+0</f>
        <v>#VALUE!</v>
      </c>
      <c r="AV63" s="238" t="s">
        <v>264</v>
      </c>
      <c r="AW63" s="244" t="e">
        <f>(IF($E63&lt;=0,"0",IF($E63&lt;=70,"36",IF($E63&lt;=80,"24","0"))))+0</f>
        <v>#VALUE!</v>
      </c>
      <c r="AX63" s="244" t="e">
        <f>(IF($E63&lt;=0,"0",IF($E63&lt;=50,"30",IF($E63&lt;=60,"18","0"))))+0</f>
        <v>#VALUE!</v>
      </c>
      <c r="AY63" s="244" t="e">
        <f>(IF($E63&lt;=0,"0",IF($E63&lt;=20,"18",IF($E63&lt;=40,"15","0"))))+0</f>
        <v>#VALUE!</v>
      </c>
      <c r="AZ63" s="247">
        <f>Summary2831[[#This Row],[3*2]]+Summary2831[[#This Row],[3*22]]+Summary2831[[#This Row],[3*23]]</f>
        <v>57</v>
      </c>
      <c r="BA63" s="248">
        <f>Summary2831[[#This Row],[2*2]]+Summary2831[[#This Row],[2*23]]+Summary2831[[#This Row],[2*24]]</f>
        <v>66</v>
      </c>
      <c r="BB63" s="248">
        <f>Summary2831[[#This Row],[1*2]]+Summary2831[[#This Row],[1*24]]+Summary2831[[#This Row],[1*25]]</f>
        <v>18</v>
      </c>
      <c r="BC63" s="248">
        <f>IF($F63&lt;=0,"0",IF($F63&lt;=6,"19",IF($F63&lt;=7,"18",IF($F63&lt;=8,"9",0))))+0</f>
        <v>19</v>
      </c>
      <c r="BD63" s="248">
        <f>IF($F63&lt;=0,"0",IF($F63&lt;=2,"22",IF($F63&lt;=3,"19",IF($F63&lt;=4,"15",IF($F63&lt;=5,"9",0)))))+0</f>
        <v>9</v>
      </c>
      <c r="BE63" s="248">
        <f>IF($F63&lt;=0,"0",IF($F63&lt;=1,"6",0))+0</f>
        <v>0</v>
      </c>
      <c r="BF63" s="248">
        <f>IF($G63&lt;=0,"0",IF($G63&lt;=6,"19",IF($G63&lt;=7,"18",IF($G63&lt;=8,"9",0))))+0</f>
        <v>0</v>
      </c>
      <c r="BG63" s="248">
        <f>IF($G63&lt;=0,"0",IF($G63&lt;=2,"22",IF($G63&lt;=3,"19",IF($G63&lt;=4,"15",IF($G63&lt;=5,"9",0)))))+0</f>
        <v>0</v>
      </c>
      <c r="BH63" s="248">
        <f>IF($G63&lt;=0,"0",IF($G63&lt;=1,"6",0))+0</f>
        <v>0</v>
      </c>
      <c r="BI63" s="248">
        <f>IF($H63&lt;=0,"0",IF($H63&lt;=6,"19",IF($H63&lt;=7,"18",IF($H63&lt;=8,"9",0))))+0</f>
        <v>0</v>
      </c>
      <c r="BJ63" s="248">
        <f>IF($H63&lt;=0,"0",IF($H63&lt;=2,"22",IF($H63&lt;=3,"19",IF($H63&lt;=4,"15",IF($H63&lt;=5,"9",0)))))+0</f>
        <v>0</v>
      </c>
      <c r="BK63" s="248">
        <f>IF($H63&lt;=0,"0",IF($H63&lt;=1,"6",0))+0</f>
        <v>0</v>
      </c>
      <c r="BL63" s="238">
        <f>SUM(Summary2831[[#This Row],[3*
(Tal)]],Summary2831[[#This Row],[3*
(Asc)]])</f>
        <v>93</v>
      </c>
      <c r="BM63" s="244">
        <f>SUM(Summary2831[[#This Row],[2*
(Tal)]],Summary2831[[#This Row],[2*
(Asc)]])</f>
        <v>96</v>
      </c>
      <c r="BN63" s="246">
        <f>SUM(Summary2831[[#This Row],[1*
(Tal)]],Summary2831[[#This Row],[1*
(Asc)]])</f>
        <v>33</v>
      </c>
      <c r="BO63" s="216" t="e">
        <f>(IF($E63&lt;=0,"0",IF($E63&lt;=1,"2092530",IF($E63&lt;=10,"2087525",IF($E63&lt;=20,"2068495",IF($E63&lt;=30,"2005910",IF($E63&lt;=40,"1932830",IF($E63&lt;=50,"1777010",IF($E63&lt;=60,"1546185",IF($E63&lt;=70,"1227000",IF($E63&lt;=80,"804625",IF($E63&lt;=81,"647990",IF($E63&lt;=90,"0",0)))))))))))))+0</f>
        <v>#VALUE!</v>
      </c>
      <c r="BP63" s="249">
        <f>(IF($F63&lt;=0,"0",IF($F63&lt;=1,"952500",IF($F63&lt;=2,"940000",IF($F63&lt;=3,"922500",IF($F63&lt;=4,"897500",IF($F63&lt;=5,"867500",IF($F63&lt;=6,"830000",IF($F63&lt;=7,"710000",IF($F63&lt;=8,"450000",0))))))))))+0</f>
        <v>867500</v>
      </c>
      <c r="BQ63" s="249">
        <f>(IF($G63&lt;=0,"0",IF($G63&lt;=1,"952500",IF($G63&lt;=2,"940000",IF($G63&lt;=3,"922500",IF($G63&lt;=4,"897500",IF($G63&lt;=5,"867500",IF($G63&lt;=6,"830000",IF($G63&lt;=7,"710000",IF($G63&lt;=8,"450000",0))))))))))+0</f>
        <v>0</v>
      </c>
      <c r="BR63" s="249">
        <f>(IF($H63&lt;=0,"0",IF($H63&lt;=1,"952500",IF($H63&lt;=2,"940000",IF($H63&lt;=3,"922500",IF($H63&lt;=4,"897500",IF($H63&lt;=5,"867500",IF($H63&lt;=6,"830000",IF($H63&lt;=7,"710000",IF($H63&lt;=8,"450000",0))))))))))+0</f>
        <v>0</v>
      </c>
      <c r="BS63" s="250" t="e">
        <f>SUM(BO63,BP63,BQ63,BR63)</f>
        <v>#VALUE!</v>
      </c>
    </row>
    <row r="64" spans="1:71" s="81" customFormat="1" ht="30" customHeight="1">
      <c r="A64" s="192">
        <f ca="1">SUBTOTAL(3,$C$3:Character[[#This Row],[Name]])</f>
        <v>62</v>
      </c>
      <c r="B64" s="192" t="e" vm="624">
        <f>ImgDatabase!D64</f>
        <v>#VALUE!</v>
      </c>
      <c r="C64" s="193" t="s">
        <v>449</v>
      </c>
      <c r="D64" s="194" t="e" vm="84">
        <f>IFERROR(INDEX(CharacterDetailss[Element], MATCH(Character[[#This Row],[Name]], CharacterDetailss[Name], 0)), "")</f>
        <v>#VALUE!</v>
      </c>
      <c r="E64" s="194" t="e" vm="331">
        <f>IFERROR(INDEX(CharacterDetailss[Weapon Type], MATCH(Character[[#This Row],[Name]], CharacterDetailss[Name], 0)), "")</f>
        <v>#VALUE!</v>
      </c>
      <c r="F64" s="195">
        <v>2.4</v>
      </c>
      <c r="G64" s="72">
        <v>90</v>
      </c>
      <c r="H64" s="73">
        <v>1</v>
      </c>
      <c r="I64" s="74">
        <v>10</v>
      </c>
      <c r="J64" s="75">
        <v>9</v>
      </c>
      <c r="K64"/>
      <c r="L64" s="75">
        <v>81</v>
      </c>
      <c r="M64" s="73">
        <v>1</v>
      </c>
      <c r="N64" s="74">
        <v>9</v>
      </c>
      <c r="O64" s="74">
        <v>9</v>
      </c>
      <c r="P64"/>
      <c r="Q64" s="230" t="e" vm="523">
        <f>IFERROR(INDEX(ImgDatabase!$O:$O, MATCH(WorldBoss[[#This Row],[Boss Name]], ImgDatabase!$P:$P, 0)), "")</f>
        <v>#VALUE!</v>
      </c>
      <c r="R64" s="228" t="s">
        <v>37</v>
      </c>
      <c r="S64" s="297" t="e">
        <f>(IF($E64&lt;=0,"0",IF($E64&lt;=40,"46",IF($E64&lt;=50,"44",IF($E64&lt;=60,"40",IF($E64&lt;=70,"32",IF($E64&lt;=80,"20","0")))))))+0</f>
        <v>#VALUE!</v>
      </c>
      <c r="T64"/>
      <c r="U6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64" s="222" t="s">
        <v>39</v>
      </c>
      <c r="W64" s="223">
        <f>Z64+AC64+AF64</f>
        <v>44</v>
      </c>
      <c r="X64" s="223">
        <f>AA64+AD64+AG64</f>
        <v>40</v>
      </c>
      <c r="Y64" s="221">
        <f>AB64+AE64+AH64</f>
        <v>3</v>
      </c>
      <c r="Z64" s="224">
        <f>(IF($F64&lt;=0,"0",IF($F64&lt;=6,"22",IF($F64&lt;=7,"18",IF($F64&lt;=8,"12",0)))))+0</f>
        <v>22</v>
      </c>
      <c r="AA64" s="225">
        <f>(IF($F64&lt;=0,"0",IF($F64&lt;=2,"21",IF($F64&lt;=3,"19",IF($F64&lt;=4,"15",IF($F64&lt;=5,"9",0))))))+0</f>
        <v>19</v>
      </c>
      <c r="AB64" s="225">
        <f>(IF($F64&lt;=0,"0",IF($F64&lt;=1,"3",0)))+0</f>
        <v>0</v>
      </c>
      <c r="AC64" s="225">
        <f>(IF($G64&lt;=0,"0",IF($G64&lt;=6,"22",IF($G64&lt;=7,"18",IF($G64&lt;=8,"12",0)))))+0</f>
        <v>0</v>
      </c>
      <c r="AD64" s="225">
        <f>(IF($G64&lt;=0,"0",IF($G64&lt;=2,"21",IF($G64&lt;=3,"19",IF($G64&lt;=4,"15",IF($G64&lt;=5,"9",0))))))+0</f>
        <v>0</v>
      </c>
      <c r="AE64" s="225">
        <f>(IF($G64&lt;=0,"0",IF($G64&lt;=1,"3",0)))+0</f>
        <v>0</v>
      </c>
      <c r="AF64" s="225">
        <f>(IF($H64&lt;=0,"0",IF($H64&lt;=6,"22",IF($H64&lt;=7,"18",IF($H64&lt;=8,"12",0)))))+0</f>
        <v>22</v>
      </c>
      <c r="AG64" s="225">
        <f>(IF($H64&lt;=0,"0",IF($H64&lt;=2,"21",IF($H64&lt;=3,"19",IF($H64&lt;=4,"15",IF($H64&lt;=5,"9",0))))))+0</f>
        <v>21</v>
      </c>
      <c r="AH64" s="226">
        <f>(IF($H64&lt;=0,"0",IF($H64&lt;=1,"3",0)))+0</f>
        <v>3</v>
      </c>
      <c r="AI64" s="227" t="s">
        <v>40</v>
      </c>
      <c r="AJ64" s="228" t="s">
        <v>42</v>
      </c>
      <c r="AK64" s="229">
        <f>(IF($F64&lt;=0,"0",IF($F64&lt;=6,"4",IF($F64&lt;=7,"3",IF($F64&lt;=8,"2","0")))))+0</f>
        <v>4</v>
      </c>
      <c r="AL64" s="229">
        <f>(IF($G64&lt;=0,"0",IF($G64&lt;=6,"4",IF($G64&lt;=7,"3",IF($G64&lt;=8,"2","0")))))+0</f>
        <v>0</v>
      </c>
      <c r="AM64" s="229">
        <f>(IF($H64&lt;=0,"0",IF($H64&lt;=6,"4",IF($H64&lt;=7,"3",IF($H64&lt;=8,"2","0")))))+0</f>
        <v>4</v>
      </c>
      <c r="AN64" s="220">
        <f>SUM(AK64:AM64)</f>
        <v>8</v>
      </c>
      <c r="AO64" s="228" t="s">
        <v>43</v>
      </c>
      <c r="AP64" s="230" t="e">
        <f>(IF($E64&lt;=0,"0",IF($E64&lt;=20,"168",IF($E64&lt;=30,"165",IF($E64&lt;=50,"155",IF($E64&lt;=60,"135",IF($E64&lt;=70,"105",IF($E64&lt;=80,"60","0"))))))))+0</f>
        <v>#VALUE!</v>
      </c>
      <c r="AQ64" s="219" t="s">
        <v>548</v>
      </c>
      <c r="AR64" s="228" t="e">
        <f>(IF($E64&lt;=0,"0",IF($E64&lt;=80,"6","0")))+0</f>
        <v>#VALUE!</v>
      </c>
      <c r="AS64" s="228" t="e">
        <f>(IF($E64&lt;=0,"0",IF($E64&lt;=60,"9",IF($E64&lt;=70,"6","0"))))+0</f>
        <v>#VALUE!</v>
      </c>
      <c r="AT64" s="228" t="e">
        <f>(IF($E64&lt;=0,"0",IF($E64&lt;=40,"9",IF($E64&lt;=50,"6","0"))))+0</f>
        <v>#VALUE!</v>
      </c>
      <c r="AU64" s="231" t="e">
        <f>(IF($E64&lt;=0,"0",IF($E64&lt;=20,"1","0")))+0</f>
        <v>#VALUE!</v>
      </c>
      <c r="AV64" s="219" t="s">
        <v>46</v>
      </c>
      <c r="AW64" s="228" t="e">
        <f>(IF($E64&lt;=0,"0",IF($E64&lt;=70,"36",IF($E64&lt;=80,"24","0"))))+0</f>
        <v>#VALUE!</v>
      </c>
      <c r="AX64" s="228" t="e">
        <f>(IF($E64&lt;=0,"0",IF($E64&lt;=50,"30",IF($E64&lt;=60,"18","0"))))+0</f>
        <v>#VALUE!</v>
      </c>
      <c r="AY64" s="228" t="e">
        <f>(IF($E64&lt;=0,"0",IF($E64&lt;=20,"18",IF($E64&lt;=40,"15","0"))))+0</f>
        <v>#VALUE!</v>
      </c>
      <c r="AZ64" s="264">
        <f>Summary2831[[#This Row],[3*2]]+Summary2831[[#This Row],[3*22]]+Summary2831[[#This Row],[3*23]]</f>
        <v>0</v>
      </c>
      <c r="BA64" s="233">
        <f>Summary2831[[#This Row],[2*2]]+Summary2831[[#This Row],[2*23]]+Summary2831[[#This Row],[2*24]]</f>
        <v>0</v>
      </c>
      <c r="BB64" s="233">
        <f>Summary2831[[#This Row],[1*2]]+Summary2831[[#This Row],[1*24]]+Summary2831[[#This Row],[1*25]]</f>
        <v>0</v>
      </c>
      <c r="BC64" s="234">
        <f>IF($F64&lt;=0,"0",IF($F64&lt;=6,"19",IF($F64&lt;=7,"18",IF($F64&lt;=8,"9",0))))+0</f>
        <v>19</v>
      </c>
      <c r="BD64" s="234">
        <f>IF($F64&lt;=0,"0",IF($F64&lt;=2,"22",IF($F64&lt;=3,"19",IF($F64&lt;=4,"15",IF($F64&lt;=5,"9",0)))))+0</f>
        <v>19</v>
      </c>
      <c r="BE64" s="234">
        <f>IF($F64&lt;=0,"0",IF($F64&lt;=1,"6",0))+0</f>
        <v>0</v>
      </c>
      <c r="BF64" s="234">
        <f>IF($G64&lt;=0,"0",IF($G64&lt;=6,"19",IF($G64&lt;=7,"18",IF($G64&lt;=8,"9",0))))+0</f>
        <v>0</v>
      </c>
      <c r="BG64" s="234">
        <f>IF($G64&lt;=0,"0",IF($G64&lt;=2,"22",IF($G64&lt;=3,"19",IF($G64&lt;=4,"15",IF($G64&lt;=5,"9",0)))))+0</f>
        <v>0</v>
      </c>
      <c r="BH64" s="234">
        <f>IF($G64&lt;=0,"0",IF($G64&lt;=1,"6",0))+0</f>
        <v>0</v>
      </c>
      <c r="BI64" s="234">
        <f>IF($H64&lt;=0,"0",IF($H64&lt;=6,"19",IF($H64&lt;=7,"18",IF($H64&lt;=8,"9",0))))+0</f>
        <v>19</v>
      </c>
      <c r="BJ64" s="234">
        <f>IF($H64&lt;=0,"0",IF($H64&lt;=2,"22",IF($H64&lt;=3,"19",IF($H64&lt;=4,"15",IF($H64&lt;=5,"9",0)))))+0</f>
        <v>22</v>
      </c>
      <c r="BK64" s="234">
        <f>IF($H64&lt;=0,"0",IF($H64&lt;=1,"6",0))+0</f>
        <v>6</v>
      </c>
      <c r="BL64" s="264">
        <f>SUM(Summary2831[[#This Row],[3*
(Tal)]],Summary2831[[#This Row],[3*
(Asc)]])</f>
        <v>0</v>
      </c>
      <c r="BM64" s="233">
        <f>SUM(Summary2831[[#This Row],[2*
(Tal)]],Summary2831[[#This Row],[2*
(Asc)]])</f>
        <v>0</v>
      </c>
      <c r="BN64" s="265">
        <f>SUM(Summary2831[[#This Row],[1*
(Tal)]],Summary2831[[#This Row],[1*
(Asc)]])</f>
        <v>0</v>
      </c>
      <c r="BO64" s="235" t="e">
        <f>(IF($E64&lt;=0,"0",IF($E64&lt;=1,"2092530",IF($E64&lt;=10,"2087525",IF($E64&lt;=20,"2068495",IF($E64&lt;=30,"2005910",IF($E64&lt;=40,"1932830",IF($E64&lt;=50,"1777010",IF($E64&lt;=60,"1546185",IF($E64&lt;=70,"1227000",IF($E64&lt;=80,"804625",IF($E64&lt;=81,"647990",IF($E64&lt;=90,"0",0)))))))))))))+0</f>
        <v>#VALUE!</v>
      </c>
      <c r="BP64" s="236">
        <f>(IF($F64&lt;=0,"0",IF($F64&lt;=1,"952500",IF($F64&lt;=2,"940000",IF($F64&lt;=3,"922500",IF($F64&lt;=4,"897500",IF($F64&lt;=5,"867500",IF($F64&lt;=6,"830000",IF($F64&lt;=7,"710000",IF($F64&lt;=8,"450000",0))))))))))+0</f>
        <v>922500</v>
      </c>
      <c r="BQ64" s="236">
        <f>(IF($G64&lt;=0,"0",IF($G64&lt;=1,"952500",IF($G64&lt;=2,"940000",IF($G64&lt;=3,"922500",IF($G64&lt;=4,"897500",IF($G64&lt;=5,"867500",IF($G64&lt;=6,"830000",IF($G64&lt;=7,"710000",IF($G64&lt;=8,"450000",0))))))))))+0</f>
        <v>0</v>
      </c>
      <c r="BR64" s="236">
        <f>(IF($H64&lt;=0,"0",IF($H64&lt;=1,"952500",IF($H64&lt;=2,"940000",IF($H64&lt;=3,"922500",IF($H64&lt;=4,"897500",IF($H64&lt;=5,"867500",IF($H64&lt;=6,"830000",IF($H64&lt;=7,"710000",IF($H64&lt;=8,"450000",0))))))))))+0</f>
        <v>952500</v>
      </c>
      <c r="BS64" s="237" t="e">
        <f>SUM(BO64,BP64,BQ64,BR64)</f>
        <v>#VALUE!</v>
      </c>
    </row>
    <row r="65" spans="1:71" s="81" customFormat="1" ht="30" customHeight="1">
      <c r="A65" s="196">
        <f ca="1">SUBTOTAL(3,$C$3:Character[[#This Row],[Name]])</f>
        <v>63</v>
      </c>
      <c r="B65" s="192" t="e" vm="625">
        <f>ImgDatabase!D65</f>
        <v>#VALUE!</v>
      </c>
      <c r="C65" s="197" t="s">
        <v>435</v>
      </c>
      <c r="D65" s="194" t="e" vm="67">
        <f>IFERROR(INDEX(CharacterDetailss[Element], MATCH(Character[[#This Row],[Name]], CharacterDetailss[Name], 0)), "")</f>
        <v>#VALUE!</v>
      </c>
      <c r="E65" s="194" t="e" vm="312">
        <f>IFERROR(INDEX(CharacterDetailss[Weapon Type], MATCH(Character[[#This Row],[Name]], CharacterDetailss[Name], 0)), "")</f>
        <v>#VALUE!</v>
      </c>
      <c r="F65" s="198">
        <v>2.8</v>
      </c>
      <c r="G65" s="14">
        <v>60</v>
      </c>
      <c r="H65" s="9">
        <v>1</v>
      </c>
      <c r="I65" s="2">
        <v>1</v>
      </c>
      <c r="J65" s="10">
        <v>1</v>
      </c>
      <c r="K65"/>
      <c r="L65" s="75">
        <v>81</v>
      </c>
      <c r="M65" s="73">
        <v>1</v>
      </c>
      <c r="N65" s="74">
        <v>9</v>
      </c>
      <c r="O65" s="74">
        <v>9</v>
      </c>
      <c r="P65"/>
      <c r="Q65" s="210" t="e" vm="435">
        <f>IFERROR(INDEX(ImgDatabase!$O:$O, MATCH(WorldBoss[[#This Row],[Boss Name]], ImgDatabase!$P:$P, 0)), "")</f>
        <v>#VALUE!</v>
      </c>
      <c r="R65" s="208" t="s">
        <v>223</v>
      </c>
      <c r="S65" s="298" t="e">
        <f>(IF($E65&lt;=0,"0",IF($E65&lt;=40,"46",IF($E65&lt;=50,"44",IF($E65&lt;=60,"40",IF($E65&lt;=70,"32",IF($E65&lt;=80,"20","0")))))))+0</f>
        <v>#VALUE!</v>
      </c>
      <c r="T65"/>
      <c r="U6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65" s="202" t="s">
        <v>578</v>
      </c>
      <c r="W65" s="203">
        <f>Z65+AC65+AF65</f>
        <v>44</v>
      </c>
      <c r="X65" s="203">
        <f>AA65+AD65+AG65</f>
        <v>40</v>
      </c>
      <c r="Y65" s="201">
        <f>AB65+AE65+AH65</f>
        <v>3</v>
      </c>
      <c r="Z65" s="204">
        <f>(IF($F65&lt;=0,"0",IF($F65&lt;=6,"22",IF($F65&lt;=7,"18",IF($F65&lt;=8,"12",0)))))+0</f>
        <v>22</v>
      </c>
      <c r="AA65" s="205">
        <f>(IF($F65&lt;=0,"0",IF($F65&lt;=2,"21",IF($F65&lt;=3,"19",IF($F65&lt;=4,"15",IF($F65&lt;=5,"9",0))))))+0</f>
        <v>19</v>
      </c>
      <c r="AB65" s="205">
        <f>(IF($F65&lt;=0,"0",IF($F65&lt;=1,"3",0)))+0</f>
        <v>0</v>
      </c>
      <c r="AC65" s="205">
        <f>(IF($G65&lt;=0,"0",IF($G65&lt;=6,"22",IF($G65&lt;=7,"18",IF($G65&lt;=8,"12",0)))))+0</f>
        <v>0</v>
      </c>
      <c r="AD65" s="205">
        <f>(IF($G65&lt;=0,"0",IF($G65&lt;=2,"21",IF($G65&lt;=3,"19",IF($G65&lt;=4,"15",IF($G65&lt;=5,"9",0))))))+0</f>
        <v>0</v>
      </c>
      <c r="AE65" s="205">
        <f>(IF($G65&lt;=0,"0",IF($G65&lt;=1,"3",0)))+0</f>
        <v>0</v>
      </c>
      <c r="AF65" s="205">
        <f>(IF($H65&lt;=0,"0",IF($H65&lt;=6,"22",IF($H65&lt;=7,"18",IF($H65&lt;=8,"12",0)))))+0</f>
        <v>22</v>
      </c>
      <c r="AG65" s="205">
        <f>(IF($H65&lt;=0,"0",IF($H65&lt;=2,"21",IF($H65&lt;=3,"19",IF($H65&lt;=4,"15",IF($H65&lt;=5,"9",0))))))+0</f>
        <v>21</v>
      </c>
      <c r="AH65" s="206">
        <f>(IF($H65&lt;=0,"0",IF($H65&lt;=1,"3",0)))+0</f>
        <v>3</v>
      </c>
      <c r="AI65" s="207" t="s">
        <v>205</v>
      </c>
      <c r="AJ65" s="208" t="s">
        <v>593</v>
      </c>
      <c r="AK65" s="209">
        <f>(IF($F65&lt;=0,"0",IF($F65&lt;=6,"4",IF($F65&lt;=7,"3",IF($F65&lt;=8,"2","0")))))+0</f>
        <v>4</v>
      </c>
      <c r="AL65" s="209">
        <f>(IF($G65&lt;=0,"0",IF($G65&lt;=6,"4",IF($G65&lt;=7,"3",IF($G65&lt;=8,"2","0")))))+0</f>
        <v>0</v>
      </c>
      <c r="AM65" s="209">
        <f>(IF($H65&lt;=0,"0",IF($H65&lt;=6,"4",IF($H65&lt;=7,"3",IF($H65&lt;=8,"2","0")))))+0</f>
        <v>4</v>
      </c>
      <c r="AN65" s="200">
        <f>SUM(AK65:AM65)</f>
        <v>8</v>
      </c>
      <c r="AO65" s="208" t="s">
        <v>314</v>
      </c>
      <c r="AP65" s="210" t="e">
        <f>(IF($E65&lt;=0,"0",IF($E65&lt;=20,"168",IF($E65&lt;=30,"165",IF($E65&lt;=50,"155",IF($E65&lt;=60,"135",IF($E65&lt;=70,"105",IF($E65&lt;=80,"60","0"))))))))+0</f>
        <v>#VALUE!</v>
      </c>
      <c r="AQ65" s="199" t="s">
        <v>530</v>
      </c>
      <c r="AR65" s="208" t="e">
        <f>(IF($E65&lt;=0,"0",IF($E65&lt;=80,"6","0")))+0</f>
        <v>#VALUE!</v>
      </c>
      <c r="AS65" s="208" t="e">
        <f>(IF($E65&lt;=0,"0",IF($E65&lt;=60,"9",IF($E65&lt;=70,"6","0"))))+0</f>
        <v>#VALUE!</v>
      </c>
      <c r="AT65" s="208" t="e">
        <f>(IF($E65&lt;=0,"0",IF($E65&lt;=40,"9",IF($E65&lt;=50,"6","0"))))+0</f>
        <v>#VALUE!</v>
      </c>
      <c r="AU65" s="211" t="e">
        <f>(IF($E65&lt;=0,"0",IF($E65&lt;=20,"1","0")))+0</f>
        <v>#VALUE!</v>
      </c>
      <c r="AV65" s="199" t="s">
        <v>264</v>
      </c>
      <c r="AW65" s="208" t="e">
        <f>(IF($E65&lt;=0,"0",IF($E65&lt;=70,"36",IF($E65&lt;=80,"24","0"))))+0</f>
        <v>#VALUE!</v>
      </c>
      <c r="AX65" s="208" t="e">
        <f>(IF($E65&lt;=0,"0",IF($E65&lt;=50,"30",IF($E65&lt;=60,"18","0"))))+0</f>
        <v>#VALUE!</v>
      </c>
      <c r="AY65" s="208" t="e">
        <f>(IF($E65&lt;=0,"0",IF($E65&lt;=20,"18",IF($E65&lt;=40,"15","0"))))+0</f>
        <v>#VALUE!</v>
      </c>
      <c r="AZ65" s="212">
        <f>Summary2831[[#This Row],[3*2]]+Summary2831[[#This Row],[3*22]]+Summary2831[[#This Row],[3*23]]</f>
        <v>19</v>
      </c>
      <c r="BA65" s="213">
        <f>Summary2831[[#This Row],[2*2]]+Summary2831[[#This Row],[2*23]]+Summary2831[[#This Row],[2*24]]</f>
        <v>22</v>
      </c>
      <c r="BB65" s="213">
        <f>Summary2831[[#This Row],[1*2]]+Summary2831[[#This Row],[1*24]]+Summary2831[[#This Row],[1*25]]</f>
        <v>6</v>
      </c>
      <c r="BC65" s="215">
        <f>IF($F65&lt;=0,"0",IF($F65&lt;=6,"19",IF($F65&lt;=7,"18",IF($F65&lt;=8,"9",0))))+0</f>
        <v>19</v>
      </c>
      <c r="BD65" s="215">
        <f>IF($F65&lt;=0,"0",IF($F65&lt;=2,"22",IF($F65&lt;=3,"19",IF($F65&lt;=4,"15",IF($F65&lt;=5,"9",0)))))+0</f>
        <v>19</v>
      </c>
      <c r="BE65" s="215">
        <f>IF($F65&lt;=0,"0",IF($F65&lt;=1,"6",0))+0</f>
        <v>0</v>
      </c>
      <c r="BF65" s="215">
        <f>IF($G65&lt;=0,"0",IF($G65&lt;=6,"19",IF($G65&lt;=7,"18",IF($G65&lt;=8,"9",0))))+0</f>
        <v>0</v>
      </c>
      <c r="BG65" s="215">
        <f>IF($G65&lt;=0,"0",IF($G65&lt;=2,"22",IF($G65&lt;=3,"19",IF($G65&lt;=4,"15",IF($G65&lt;=5,"9",0)))))+0</f>
        <v>0</v>
      </c>
      <c r="BH65" s="215">
        <f>IF($G65&lt;=0,"0",IF($G65&lt;=1,"6",0))+0</f>
        <v>0</v>
      </c>
      <c r="BI65" s="215">
        <f>IF($H65&lt;=0,"0",IF($H65&lt;=6,"19",IF($H65&lt;=7,"18",IF($H65&lt;=8,"9",0))))+0</f>
        <v>19</v>
      </c>
      <c r="BJ65" s="215">
        <f>IF($H65&lt;=0,"0",IF($H65&lt;=2,"22",IF($H65&lt;=3,"19",IF($H65&lt;=4,"15",IF($H65&lt;=5,"9",0)))))+0</f>
        <v>22</v>
      </c>
      <c r="BK65" s="215">
        <f>IF($H65&lt;=0,"0",IF($H65&lt;=1,"6",0))+0</f>
        <v>6</v>
      </c>
      <c r="BL65" s="199">
        <f>SUM(Summary2831[[#This Row],[3*
(Tal)]],Summary2831[[#This Row],[3*
(Asc)]])</f>
        <v>19</v>
      </c>
      <c r="BM65" s="208">
        <f>SUM(Summary2831[[#This Row],[2*
(Tal)]],Summary2831[[#This Row],[2*
(Asc)]])</f>
        <v>22</v>
      </c>
      <c r="BN65" s="211">
        <f>SUM(Summary2831[[#This Row],[1*
(Tal)]],Summary2831[[#This Row],[1*
(Asc)]])</f>
        <v>6</v>
      </c>
      <c r="BO65" s="216" t="e">
        <f>(IF($E65&lt;=0,"0",IF($E65&lt;=1,"2092530",IF($E65&lt;=10,"2087525",IF($E65&lt;=20,"2068495",IF($E65&lt;=30,"2005910",IF($E65&lt;=40,"1932830",IF($E65&lt;=50,"1777010",IF($E65&lt;=60,"1546185",IF($E65&lt;=70,"1227000",IF($E65&lt;=80,"804625",IF($E65&lt;=81,"647990",IF($E65&lt;=90,"0",0)))))))))))))+0</f>
        <v>#VALUE!</v>
      </c>
      <c r="BP65" s="217">
        <f>(IF($F65&lt;=0,"0",IF($F65&lt;=1,"952500",IF($F65&lt;=2,"940000",IF($F65&lt;=3,"922500",IF($F65&lt;=4,"897500",IF($F65&lt;=5,"867500",IF($F65&lt;=6,"830000",IF($F65&lt;=7,"710000",IF($F65&lt;=8,"450000",0))))))))))+0</f>
        <v>922500</v>
      </c>
      <c r="BQ65" s="217">
        <f>(IF($G65&lt;=0,"0",IF($G65&lt;=1,"952500",IF($G65&lt;=2,"940000",IF($G65&lt;=3,"922500",IF($G65&lt;=4,"897500",IF($G65&lt;=5,"867500",IF($G65&lt;=6,"830000",IF($G65&lt;=7,"710000",IF($G65&lt;=8,"450000",0))))))))))+0</f>
        <v>0</v>
      </c>
      <c r="BR65" s="217">
        <f>(IF($H65&lt;=0,"0",IF($H65&lt;=1,"952500",IF($H65&lt;=2,"940000",IF($H65&lt;=3,"922500",IF($H65&lt;=4,"897500",IF($H65&lt;=5,"867500",IF($H65&lt;=6,"830000",IF($H65&lt;=7,"710000",IF($H65&lt;=8,"450000",0))))))))))+0</f>
        <v>952500</v>
      </c>
      <c r="BS65" s="218" t="e">
        <f>SUM(BO65,BP65,BQ65,BR65)</f>
        <v>#VALUE!</v>
      </c>
    </row>
    <row r="66" spans="1:71" ht="30" customHeight="1">
      <c r="A66" s="196">
        <f ca="1">SUBTOTAL(3,$C$3:Character[[#This Row],[Name]])</f>
        <v>64</v>
      </c>
      <c r="B66" s="192" t="e" vm="626">
        <f>ImgDatabase!D66</f>
        <v>#VALUE!</v>
      </c>
      <c r="C66" s="197" t="s">
        <v>436</v>
      </c>
      <c r="D66" s="194" t="e" vm="67">
        <f>IFERROR(INDEX(CharacterDetailss[Element], MATCH(Character[[#This Row],[Name]], CharacterDetailss[Name], 0)), "")</f>
        <v>#VALUE!</v>
      </c>
      <c r="E66" s="194" t="e" vm="312">
        <f>IFERROR(INDEX(CharacterDetailss[Weapon Type], MATCH(Character[[#This Row],[Name]], CharacterDetailss[Name], 0)), "")</f>
        <v>#VALUE!</v>
      </c>
      <c r="F66" s="198">
        <v>1</v>
      </c>
      <c r="G66" s="14">
        <v>81</v>
      </c>
      <c r="H66" s="9">
        <v>1</v>
      </c>
      <c r="I66" s="2">
        <v>8</v>
      </c>
      <c r="J66" s="10">
        <v>9</v>
      </c>
      <c r="L66" s="75">
        <v>81</v>
      </c>
      <c r="M66" s="73">
        <v>1</v>
      </c>
      <c r="N66" s="74">
        <v>9</v>
      </c>
      <c r="O66" s="74">
        <v>9</v>
      </c>
      <c r="Q66" s="258" t="e" vm="346">
        <f>IFERROR(INDEX(ImgDatabase!$O:$O, MATCH(WorldBoss[[#This Row],[Boss Name]], ImgDatabase!$P:$P, 0)), "")</f>
        <v>#VALUE!</v>
      </c>
      <c r="R66" s="257" t="s">
        <v>85</v>
      </c>
      <c r="S66" s="301" t="e">
        <f>(IF($E66&lt;=0,"0",IF($E66&lt;=40,"46",IF($E66&lt;=50,"44",IF($E66&lt;=60,"40",IF($E66&lt;=70,"32",IF($E66&lt;=80,"20","0")))))))+0</f>
        <v>#VALUE!</v>
      </c>
      <c r="U6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66" s="253" t="s">
        <v>527</v>
      </c>
      <c r="W66" s="254">
        <f>Z66+AC66+AF66</f>
        <v>44</v>
      </c>
      <c r="X66" s="254">
        <f>AA66+AD66+AG66</f>
        <v>42</v>
      </c>
      <c r="Y66" s="255">
        <f>AB66+AE66+AH66</f>
        <v>6</v>
      </c>
      <c r="Z66" s="224">
        <f>(IF($F66&lt;=0,"0",IF($F66&lt;=6,"22",IF($F66&lt;=7,"18",IF($F66&lt;=8,"12",0)))))+0</f>
        <v>22</v>
      </c>
      <c r="AA66" s="225">
        <f>(IF($F66&lt;=0,"0",IF($F66&lt;=2,"21",IF($F66&lt;=3,"19",IF($F66&lt;=4,"15",IF($F66&lt;=5,"9",0))))))+0</f>
        <v>21</v>
      </c>
      <c r="AB66" s="225">
        <f>(IF($F66&lt;=0,"0",IF($F66&lt;=1,"3",0)))+0</f>
        <v>3</v>
      </c>
      <c r="AC66" s="225">
        <f>(IF($G66&lt;=0,"0",IF($G66&lt;=6,"22",IF($G66&lt;=7,"18",IF($G66&lt;=8,"12",0)))))+0</f>
        <v>0</v>
      </c>
      <c r="AD66" s="225">
        <f>(IF($G66&lt;=0,"0",IF($G66&lt;=2,"21",IF($G66&lt;=3,"19",IF($G66&lt;=4,"15",IF($G66&lt;=5,"9",0))))))+0</f>
        <v>0</v>
      </c>
      <c r="AE66" s="225">
        <f>(IF($G66&lt;=0,"0",IF($G66&lt;=1,"3",0)))+0</f>
        <v>0</v>
      </c>
      <c r="AF66" s="225">
        <f>(IF($H66&lt;=0,"0",IF($H66&lt;=6,"22",IF($H66&lt;=7,"18",IF($H66&lt;=8,"12",0)))))+0</f>
        <v>22</v>
      </c>
      <c r="AG66" s="225">
        <f>(IF($H66&lt;=0,"0",IF($H66&lt;=2,"21",IF($H66&lt;=3,"19",IF($H66&lt;=4,"15",IF($H66&lt;=5,"9",0))))))+0</f>
        <v>21</v>
      </c>
      <c r="AH66" s="226">
        <f>(IF($H66&lt;=0,"0",IF($H66&lt;=1,"3",0)))+0</f>
        <v>3</v>
      </c>
      <c r="AI66" s="256" t="s">
        <v>543</v>
      </c>
      <c r="AJ66" s="257" t="s">
        <v>574</v>
      </c>
      <c r="AK66" s="229">
        <f>(IF($F66&lt;=0,"0",IF($F66&lt;=6,"4",IF($F66&lt;=7,"3",IF($F66&lt;=8,"2","0")))))+0</f>
        <v>4</v>
      </c>
      <c r="AL66" s="229">
        <f>(IF($G66&lt;=0,"0",IF($G66&lt;=6,"4",IF($G66&lt;=7,"3",IF($G66&lt;=8,"2","0")))))+0</f>
        <v>0</v>
      </c>
      <c r="AM66" s="229">
        <f>(IF($H66&lt;=0,"0",IF($H66&lt;=6,"4",IF($H66&lt;=7,"3",IF($H66&lt;=8,"2","0")))))+0</f>
        <v>4</v>
      </c>
      <c r="AN66" s="252">
        <f>SUM(AK66:AM66)</f>
        <v>8</v>
      </c>
      <c r="AO66" s="257" t="s">
        <v>551</v>
      </c>
      <c r="AP66" s="258" t="e">
        <f>(IF($E66&lt;=0,"0",IF($E66&lt;=20,"168",IF($E66&lt;=30,"165",IF($E66&lt;=50,"155",IF($E66&lt;=60,"135",IF($E66&lt;=70,"105",IF($E66&lt;=80,"60","0"))))))))+0</f>
        <v>#VALUE!</v>
      </c>
      <c r="AQ66" s="251" t="s">
        <v>573</v>
      </c>
      <c r="AR66" s="257" t="e">
        <f>(IF($E66&lt;=0,"0",IF($E66&lt;=80,"6","0")))+0</f>
        <v>#VALUE!</v>
      </c>
      <c r="AS66" s="257" t="e">
        <f>(IF($E66&lt;=0,"0",IF($E66&lt;=60,"9",IF($E66&lt;=70,"6","0"))))+0</f>
        <v>#VALUE!</v>
      </c>
      <c r="AT66" s="257" t="e">
        <f>(IF($E66&lt;=0,"0",IF($E66&lt;=40,"9",IF($E66&lt;=50,"6","0"))))+0</f>
        <v>#VALUE!</v>
      </c>
      <c r="AU66" s="259" t="e">
        <f>(IF($E66&lt;=0,"0",IF($E66&lt;=20,"1","0")))+0</f>
        <v>#VALUE!</v>
      </c>
      <c r="AV66" s="251" t="s">
        <v>264</v>
      </c>
      <c r="AW66" s="257" t="e">
        <f>(IF($E66&lt;=0,"0",IF($E66&lt;=70,"36",IF($E66&lt;=80,"24","0"))))+0</f>
        <v>#VALUE!</v>
      </c>
      <c r="AX66" s="257" t="e">
        <f>(IF($E66&lt;=0,"0",IF($E66&lt;=50,"30",IF($E66&lt;=60,"18","0"))))+0</f>
        <v>#VALUE!</v>
      </c>
      <c r="AY66" s="257" t="e">
        <f>(IF($E66&lt;=0,"0",IF($E66&lt;=20,"18",IF($E66&lt;=40,"15","0"))))+0</f>
        <v>#VALUE!</v>
      </c>
      <c r="AZ66" s="260">
        <f>Summary2831[[#This Row],[3*2]]+Summary2831[[#This Row],[3*22]]+Summary2831[[#This Row],[3*23]]</f>
        <v>28</v>
      </c>
      <c r="BA66" s="261">
        <f>Summary2831[[#This Row],[2*2]]+Summary2831[[#This Row],[2*23]]+Summary2831[[#This Row],[2*24]]</f>
        <v>22</v>
      </c>
      <c r="BB66" s="261">
        <f>Summary2831[[#This Row],[1*2]]+Summary2831[[#This Row],[1*24]]+Summary2831[[#This Row],[1*25]]</f>
        <v>6</v>
      </c>
      <c r="BC66" s="261">
        <f>IF($F66&lt;=0,"0",IF($F66&lt;=6,"19",IF($F66&lt;=7,"18",IF($F66&lt;=8,"9",0))))+0</f>
        <v>19</v>
      </c>
      <c r="BD66" s="261">
        <f>IF($F66&lt;=0,"0",IF($F66&lt;=2,"22",IF($F66&lt;=3,"19",IF($F66&lt;=4,"15",IF($F66&lt;=5,"9",0)))))+0</f>
        <v>22</v>
      </c>
      <c r="BE66" s="261">
        <f>IF($F66&lt;=0,"0",IF($F66&lt;=1,"6",0))+0</f>
        <v>6</v>
      </c>
      <c r="BF66" s="261">
        <f>IF($G66&lt;=0,"0",IF($G66&lt;=6,"19",IF($G66&lt;=7,"18",IF($G66&lt;=8,"9",0))))+0</f>
        <v>0</v>
      </c>
      <c r="BG66" s="261">
        <f>IF($G66&lt;=0,"0",IF($G66&lt;=2,"22",IF($G66&lt;=3,"19",IF($G66&lt;=4,"15",IF($G66&lt;=5,"9",0)))))+0</f>
        <v>0</v>
      </c>
      <c r="BH66" s="261">
        <f>IF($G66&lt;=0,"0",IF($G66&lt;=1,"6",0))+0</f>
        <v>0</v>
      </c>
      <c r="BI66" s="261">
        <f>IF($H66&lt;=0,"0",IF($H66&lt;=6,"19",IF($H66&lt;=7,"18",IF($H66&lt;=8,"9",0))))+0</f>
        <v>19</v>
      </c>
      <c r="BJ66" s="261">
        <f>IF($H66&lt;=0,"0",IF($H66&lt;=2,"22",IF($H66&lt;=3,"19",IF($H66&lt;=4,"15",IF($H66&lt;=5,"9",0)))))+0</f>
        <v>22</v>
      </c>
      <c r="BK66" s="261">
        <f>IF($H66&lt;=0,"0",IF($H66&lt;=1,"6",0))+0</f>
        <v>6</v>
      </c>
      <c r="BL66" s="251">
        <f>SUM(Summary2831[[#This Row],[3*
(Tal)]],Summary2831[[#This Row],[3*
(Asc)]])</f>
        <v>28</v>
      </c>
      <c r="BM66" s="257">
        <f>SUM(Summary2831[[#This Row],[2*
(Tal)]],Summary2831[[#This Row],[2*
(Asc)]])</f>
        <v>22</v>
      </c>
      <c r="BN66" s="259">
        <f>SUM(Summary2831[[#This Row],[1*
(Tal)]],Summary2831[[#This Row],[1*
(Asc)]])</f>
        <v>6</v>
      </c>
      <c r="BO66" s="235" t="e">
        <f>(IF($E66&lt;=0,"0",IF($E66&lt;=1,"2092530",IF($E66&lt;=10,"2087525",IF($E66&lt;=20,"2068495",IF($E66&lt;=30,"2005910",IF($E66&lt;=40,"1932830",IF($E66&lt;=50,"1777010",IF($E66&lt;=60,"1546185",IF($E66&lt;=70,"1227000",IF($E66&lt;=80,"804625",IF($E66&lt;=81,"647990",IF($E66&lt;=90,"0",0)))))))))))))+0</f>
        <v>#VALUE!</v>
      </c>
      <c r="BP66" s="262">
        <f>(IF($F66&lt;=0,"0",IF($F66&lt;=1,"952500",IF($F66&lt;=2,"940000",IF($F66&lt;=3,"922500",IF($F66&lt;=4,"897500",IF($F66&lt;=5,"867500",IF($F66&lt;=6,"830000",IF($F66&lt;=7,"710000",IF($F66&lt;=8,"450000",0))))))))))+0</f>
        <v>952500</v>
      </c>
      <c r="BQ66" s="262">
        <f>(IF($G66&lt;=0,"0",IF($G66&lt;=1,"952500",IF($G66&lt;=2,"940000",IF($G66&lt;=3,"922500",IF($G66&lt;=4,"897500",IF($G66&lt;=5,"867500",IF($G66&lt;=6,"830000",IF($G66&lt;=7,"710000",IF($G66&lt;=8,"450000",0))))))))))+0</f>
        <v>0</v>
      </c>
      <c r="BR66" s="262">
        <f>(IF($H66&lt;=0,"0",IF($H66&lt;=1,"952500",IF($H66&lt;=2,"940000",IF($H66&lt;=3,"922500",IF($H66&lt;=4,"897500",IF($H66&lt;=5,"867500",IF($H66&lt;=6,"830000",IF($H66&lt;=7,"710000",IF($H66&lt;=8,"450000",0))))))))))+0</f>
        <v>952500</v>
      </c>
      <c r="BS66" s="263" t="e">
        <f>SUM(BO66,BP66,BQ66,BR66)</f>
        <v>#VALUE!</v>
      </c>
    </row>
    <row r="67" spans="1:71" ht="30" customHeight="1">
      <c r="A67" s="192">
        <f ca="1">SUBTOTAL(3,$C$3:Character[[#This Row],[Name]])</f>
        <v>65</v>
      </c>
      <c r="B67" s="192" t="e" vm="627">
        <f>ImgDatabase!D67</f>
        <v>#VALUE!</v>
      </c>
      <c r="C67" s="193" t="s">
        <v>389</v>
      </c>
      <c r="D67" s="194" t="e" vm="58">
        <f>IFERROR(INDEX(CharacterDetailss[Element], MATCH(Character[[#This Row],[Name]], CharacterDetailss[Name], 0)), "")</f>
        <v>#VALUE!</v>
      </c>
      <c r="E67" s="194" t="e" vm="216">
        <f>IFERROR(INDEX(CharacterDetailss[Weapon Type], MATCH(Character[[#This Row],[Name]], CharacterDetailss[Name], 0)), "")</f>
        <v>#VALUE!</v>
      </c>
      <c r="F67" s="195">
        <v>1.1000000000000001</v>
      </c>
      <c r="G67" s="72">
        <v>0</v>
      </c>
      <c r="H67" s="73">
        <v>0</v>
      </c>
      <c r="I67" s="74">
        <v>0</v>
      </c>
      <c r="J67" s="75">
        <v>0</v>
      </c>
      <c r="L67" s="75">
        <v>81</v>
      </c>
      <c r="M67" s="73">
        <v>1</v>
      </c>
      <c r="N67" s="74">
        <v>9</v>
      </c>
      <c r="O67" s="74">
        <v>9</v>
      </c>
      <c r="Q67" s="210" t="e" vm="374">
        <f>IFERROR(INDEX(ImgDatabase!$O:$O, MATCH(WorldBoss[[#This Row],[Boss Name]], ImgDatabase!$P:$P, 0)), "")</f>
        <v>#VALUE!</v>
      </c>
      <c r="R67" s="208" t="s">
        <v>127</v>
      </c>
      <c r="S67" s="298" t="e">
        <f>(IF($E67&lt;=0,"0",IF($E67&lt;=40,"46",IF($E67&lt;=50,"44",IF($E67&lt;=60,"40",IF($E67&lt;=70,"32",IF($E67&lt;=80,"20","0")))))))+0</f>
        <v>#VALUE!</v>
      </c>
      <c r="U6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67" s="202" t="s">
        <v>527</v>
      </c>
      <c r="W67" s="203">
        <f>Z67+AC67+AF67</f>
        <v>22</v>
      </c>
      <c r="X67" s="203">
        <f>AA67+AD67+AG67</f>
        <v>21</v>
      </c>
      <c r="Y67" s="201">
        <f>AB67+AE67+AH67</f>
        <v>0</v>
      </c>
      <c r="Z67" s="204">
        <f>(IF($F67&lt;=0,"0",IF($F67&lt;=6,"22",IF($F67&lt;=7,"18",IF($F67&lt;=8,"12",0)))))+0</f>
        <v>22</v>
      </c>
      <c r="AA67" s="205">
        <f>(IF($F67&lt;=0,"0",IF($F67&lt;=2,"21",IF($F67&lt;=3,"19",IF($F67&lt;=4,"15",IF($F67&lt;=5,"9",0))))))+0</f>
        <v>21</v>
      </c>
      <c r="AB67" s="205">
        <f>(IF($F67&lt;=0,"0",IF($F67&lt;=1,"3",0)))+0</f>
        <v>0</v>
      </c>
      <c r="AC67" s="205">
        <f>(IF($G67&lt;=0,"0",IF($G67&lt;=6,"22",IF($G67&lt;=7,"18",IF($G67&lt;=8,"12",0)))))+0</f>
        <v>0</v>
      </c>
      <c r="AD67" s="205">
        <f>(IF($G67&lt;=0,"0",IF($G67&lt;=2,"21",IF($G67&lt;=3,"19",IF($G67&lt;=4,"15",IF($G67&lt;=5,"9",0))))))+0</f>
        <v>0</v>
      </c>
      <c r="AE67" s="205">
        <f>(IF($G67&lt;=0,"0",IF($G67&lt;=1,"3",0)))+0</f>
        <v>0</v>
      </c>
      <c r="AF67" s="205">
        <f>(IF($H67&lt;=0,"0",IF($H67&lt;=6,"22",IF($H67&lt;=7,"18",IF($H67&lt;=8,"12",0)))))+0</f>
        <v>0</v>
      </c>
      <c r="AG67" s="205">
        <f>(IF($H67&lt;=0,"0",IF($H67&lt;=2,"21",IF($H67&lt;=3,"19",IF($H67&lt;=4,"15",IF($H67&lt;=5,"9",0))))))+0</f>
        <v>0</v>
      </c>
      <c r="AH67" s="206">
        <f>(IF($H67&lt;=0,"0",IF($H67&lt;=1,"3",0)))+0</f>
        <v>0</v>
      </c>
      <c r="AI67" s="207" t="s">
        <v>389</v>
      </c>
      <c r="AJ67" s="208" t="s">
        <v>567</v>
      </c>
      <c r="AK67" s="209">
        <f>(IF($F67&lt;=0,"0",IF($F67&lt;=6,"4",IF($F67&lt;=7,"3",IF($F67&lt;=8,"2","0")))))+0</f>
        <v>4</v>
      </c>
      <c r="AL67" s="209">
        <f>(IF($G67&lt;=0,"0",IF($G67&lt;=6,"4",IF($G67&lt;=7,"3",IF($G67&lt;=8,"2","0")))))+0</f>
        <v>0</v>
      </c>
      <c r="AM67" s="209">
        <f>(IF($H67&lt;=0,"0",IF($H67&lt;=6,"4",IF($H67&lt;=7,"3",IF($H67&lt;=8,"2","0")))))+0</f>
        <v>0</v>
      </c>
      <c r="AN67" s="200">
        <f>SUM(AK67:AM67)</f>
        <v>4</v>
      </c>
      <c r="AO67" s="208" t="s">
        <v>388</v>
      </c>
      <c r="AP67" s="210" t="e">
        <f>(IF($E67&lt;=0,"0",IF($E67&lt;=20,"168",IF($E67&lt;=30,"165",IF($E67&lt;=50,"155",IF($E67&lt;=60,"135",IF($E67&lt;=70,"105",IF($E67&lt;=80,"60","0"))))))))+0</f>
        <v>#VALUE!</v>
      </c>
      <c r="AQ67" s="199" t="s">
        <v>546</v>
      </c>
      <c r="AR67" s="208" t="e">
        <f>(IF($E67&lt;=0,"0",IF($E67&lt;=80,"6","0")))+0</f>
        <v>#VALUE!</v>
      </c>
      <c r="AS67" s="208" t="e">
        <f>(IF($E67&lt;=0,"0",IF($E67&lt;=60,"9",IF($E67&lt;=70,"6","0"))))+0</f>
        <v>#VALUE!</v>
      </c>
      <c r="AT67" s="208" t="e">
        <f>(IF($E67&lt;=0,"0",IF($E67&lt;=40,"9",IF($E67&lt;=50,"6","0"))))+0</f>
        <v>#VALUE!</v>
      </c>
      <c r="AU67" s="211" t="e">
        <f>(IF($E67&lt;=0,"0",IF($E67&lt;=20,"1","0")))+0</f>
        <v>#VALUE!</v>
      </c>
      <c r="AV67" s="199" t="s">
        <v>236</v>
      </c>
      <c r="AW67" s="208" t="e">
        <f>(IF($E67&lt;=0,"0",IF($E67&lt;=70,"36",IF($E67&lt;=80,"24","0"))))+0</f>
        <v>#VALUE!</v>
      </c>
      <c r="AX67" s="208" t="e">
        <f>(IF($E67&lt;=0,"0",IF($E67&lt;=50,"30",IF($E67&lt;=60,"18","0"))))+0</f>
        <v>#VALUE!</v>
      </c>
      <c r="AY67" s="208" t="e">
        <f>(IF($E67&lt;=0,"0",IF($E67&lt;=20,"18",IF($E67&lt;=40,"15","0"))))+0</f>
        <v>#VALUE!</v>
      </c>
      <c r="AZ67" s="212">
        <f>Summary2831[[#This Row],[3*2]]+Summary2831[[#This Row],[3*22]]+Summary2831[[#This Row],[3*23]]</f>
        <v>0</v>
      </c>
      <c r="BA67" s="213">
        <f>Summary2831[[#This Row],[2*2]]+Summary2831[[#This Row],[2*23]]+Summary2831[[#This Row],[2*24]]</f>
        <v>0</v>
      </c>
      <c r="BB67" s="213">
        <f>Summary2831[[#This Row],[1*2]]+Summary2831[[#This Row],[1*24]]+Summary2831[[#This Row],[1*25]]</f>
        <v>0</v>
      </c>
      <c r="BC67" s="215">
        <f>IF($F67&lt;=0,"0",IF($F67&lt;=6,"19",IF($F67&lt;=7,"18",IF($F67&lt;=8,"9",0))))+0</f>
        <v>19</v>
      </c>
      <c r="BD67" s="215">
        <f>IF($F67&lt;=0,"0",IF($F67&lt;=2,"22",IF($F67&lt;=3,"19",IF($F67&lt;=4,"15",IF($F67&lt;=5,"9",0)))))+0</f>
        <v>22</v>
      </c>
      <c r="BE67" s="215">
        <f>IF($F67&lt;=0,"0",IF($F67&lt;=1,"6",0))+0</f>
        <v>0</v>
      </c>
      <c r="BF67" s="215">
        <f>IF($G67&lt;=0,"0",IF($G67&lt;=6,"19",IF($G67&lt;=7,"18",IF($G67&lt;=8,"9",0))))+0</f>
        <v>0</v>
      </c>
      <c r="BG67" s="215">
        <f>IF($G67&lt;=0,"0",IF($G67&lt;=2,"22",IF($G67&lt;=3,"19",IF($G67&lt;=4,"15",IF($G67&lt;=5,"9",0)))))+0</f>
        <v>0</v>
      </c>
      <c r="BH67" s="215">
        <f>IF($G67&lt;=0,"0",IF($G67&lt;=1,"6",0))+0</f>
        <v>0</v>
      </c>
      <c r="BI67" s="215">
        <f>IF($H67&lt;=0,"0",IF($H67&lt;=6,"19",IF($H67&lt;=7,"18",IF($H67&lt;=8,"9",0))))+0</f>
        <v>0</v>
      </c>
      <c r="BJ67" s="215">
        <f>IF($H67&lt;=0,"0",IF($H67&lt;=2,"22",IF($H67&lt;=3,"19",IF($H67&lt;=4,"15",IF($H67&lt;=5,"9",0)))))+0</f>
        <v>0</v>
      </c>
      <c r="BK67" s="215">
        <f>IF($H67&lt;=0,"0",IF($H67&lt;=1,"6",0))+0</f>
        <v>0</v>
      </c>
      <c r="BL67" s="199">
        <f>SUM(Summary2831[[#This Row],[3*
(Tal)]],Summary2831[[#This Row],[3*
(Asc)]])</f>
        <v>0</v>
      </c>
      <c r="BM67" s="208">
        <f>SUM(Summary2831[[#This Row],[2*
(Tal)]],Summary2831[[#This Row],[2*
(Asc)]])</f>
        <v>0</v>
      </c>
      <c r="BN67" s="211">
        <f>SUM(Summary2831[[#This Row],[1*
(Tal)]],Summary2831[[#This Row],[1*
(Asc)]])</f>
        <v>0</v>
      </c>
      <c r="BO67" s="216" t="e">
        <f>(IF($E67&lt;=0,"0",IF($E67&lt;=1,"2092530",IF($E67&lt;=10,"2087525",IF($E67&lt;=20,"2068495",IF($E67&lt;=30,"2005910",IF($E67&lt;=40,"1932830",IF($E67&lt;=50,"1777010",IF($E67&lt;=60,"1546185",IF($E67&lt;=70,"1227000",IF($E67&lt;=80,"804625",IF($E67&lt;=81,"647990",IF($E67&lt;=90,"0",0)))))))))))))+0</f>
        <v>#VALUE!</v>
      </c>
      <c r="BP67" s="217">
        <f>(IF($F67&lt;=0,"0",IF($F67&lt;=1,"952500",IF($F67&lt;=2,"940000",IF($F67&lt;=3,"922500",IF($F67&lt;=4,"897500",IF($F67&lt;=5,"867500",IF($F67&lt;=6,"830000",IF($F67&lt;=7,"710000",IF($F67&lt;=8,"450000",0))))))))))+0</f>
        <v>940000</v>
      </c>
      <c r="BQ67" s="217">
        <f>(IF($G67&lt;=0,"0",IF($G67&lt;=1,"952500",IF($G67&lt;=2,"940000",IF($G67&lt;=3,"922500",IF($G67&lt;=4,"897500",IF($G67&lt;=5,"867500",IF($G67&lt;=6,"830000",IF($G67&lt;=7,"710000",IF($G67&lt;=8,"450000",0))))))))))+0</f>
        <v>0</v>
      </c>
      <c r="BR67" s="217">
        <f>(IF($H67&lt;=0,"0",IF($H67&lt;=1,"952500",IF($H67&lt;=2,"940000",IF($H67&lt;=3,"922500",IF($H67&lt;=4,"897500",IF($H67&lt;=5,"867500",IF($H67&lt;=6,"830000",IF($H67&lt;=7,"710000",IF($H67&lt;=8,"450000",0))))))))))+0</f>
        <v>0</v>
      </c>
      <c r="BS67" s="218" t="e">
        <f>SUM(BO67,BP67,BQ67,BR67)</f>
        <v>#VALUE!</v>
      </c>
    </row>
    <row r="68" spans="1:71" ht="30" customHeight="1">
      <c r="A68" s="196">
        <f ca="1">SUBTOTAL(3,$C$3:Character[[#This Row],[Name]])</f>
        <v>66</v>
      </c>
      <c r="B68" s="192" t="e" vm="628">
        <f>ImgDatabase!D68</f>
        <v>#VALUE!</v>
      </c>
      <c r="C68" s="197" t="s">
        <v>450</v>
      </c>
      <c r="D68" s="194" t="e" vm="31">
        <f>IFERROR(INDEX(CharacterDetailss[Element], MATCH(Character[[#This Row],[Name]], CharacterDetailss[Name], 0)), "")</f>
        <v>#VALUE!</v>
      </c>
      <c r="E68" s="194" t="e" vm="331">
        <f>IFERROR(INDEX(CharacterDetailss[Weapon Type], MATCH(Character[[#This Row],[Name]], CharacterDetailss[Name], 0)), "")</f>
        <v>#VALUE!</v>
      </c>
      <c r="F68" s="198">
        <v>2.2000000000000002</v>
      </c>
      <c r="G68" s="14">
        <v>21</v>
      </c>
      <c r="H68" s="9">
        <v>1</v>
      </c>
      <c r="I68" s="2">
        <v>1</v>
      </c>
      <c r="J68" s="10">
        <v>1</v>
      </c>
      <c r="L68" s="75">
        <v>81</v>
      </c>
      <c r="M68" s="73">
        <v>1</v>
      </c>
      <c r="N68" s="74">
        <v>9</v>
      </c>
      <c r="O68" s="74">
        <v>9</v>
      </c>
      <c r="Q68" s="258" t="e" vm="411">
        <f>IFERROR(INDEX(ImgDatabase!$O:$O, MATCH(WorldBoss[[#This Row],[Boss Name]], ImgDatabase!$P:$P, 0)), "")</f>
        <v>#VALUE!</v>
      </c>
      <c r="R68" s="257" t="s">
        <v>185</v>
      </c>
      <c r="S68" s="301" t="e">
        <f>(IF($E68&lt;=0,"0",IF($E68&lt;=40,"46",IF($E68&lt;=50,"44",IF($E68&lt;=60,"40",IF($E68&lt;=70,"32",IF($E68&lt;=80,"20","0")))))))+0</f>
        <v>#VALUE!</v>
      </c>
      <c r="U6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68" s="253" t="s">
        <v>582</v>
      </c>
      <c r="W68" s="254">
        <f>Z68+AC68+AF68</f>
        <v>44</v>
      </c>
      <c r="X68" s="254">
        <f>AA68+AD68+AG68</f>
        <v>40</v>
      </c>
      <c r="Y68" s="255">
        <f>AB68+AE68+AH68</f>
        <v>3</v>
      </c>
      <c r="Z68" s="224">
        <f>(IF($F68&lt;=0,"0",IF($F68&lt;=6,"22",IF($F68&lt;=7,"18",IF($F68&lt;=8,"12",0)))))+0</f>
        <v>22</v>
      </c>
      <c r="AA68" s="225">
        <f>(IF($F68&lt;=0,"0",IF($F68&lt;=2,"21",IF($F68&lt;=3,"19",IF($F68&lt;=4,"15",IF($F68&lt;=5,"9",0))))))+0</f>
        <v>19</v>
      </c>
      <c r="AB68" s="225">
        <f>(IF($F68&lt;=0,"0",IF($F68&lt;=1,"3",0)))+0</f>
        <v>0</v>
      </c>
      <c r="AC68" s="225">
        <f>(IF($G68&lt;=0,"0",IF($G68&lt;=6,"22",IF($G68&lt;=7,"18",IF($G68&lt;=8,"12",0)))))+0</f>
        <v>0</v>
      </c>
      <c r="AD68" s="225">
        <f>(IF($G68&lt;=0,"0",IF($G68&lt;=2,"21",IF($G68&lt;=3,"19",IF($G68&lt;=4,"15",IF($G68&lt;=5,"9",0))))))+0</f>
        <v>0</v>
      </c>
      <c r="AE68" s="225">
        <f>(IF($G68&lt;=0,"0",IF($G68&lt;=1,"3",0)))+0</f>
        <v>0</v>
      </c>
      <c r="AF68" s="225">
        <f>(IF($H68&lt;=0,"0",IF($H68&lt;=6,"22",IF($H68&lt;=7,"18",IF($H68&lt;=8,"12",0)))))+0</f>
        <v>22</v>
      </c>
      <c r="AG68" s="225">
        <f>(IF($H68&lt;=0,"0",IF($H68&lt;=2,"21",IF($H68&lt;=3,"19",IF($H68&lt;=4,"15",IF($H68&lt;=5,"9",0))))))+0</f>
        <v>21</v>
      </c>
      <c r="AH68" s="226">
        <f>(IF($H68&lt;=0,"0",IF($H68&lt;=1,"3",0)))+0</f>
        <v>3</v>
      </c>
      <c r="AI68" s="256" t="s">
        <v>205</v>
      </c>
      <c r="AJ68" s="257" t="s">
        <v>593</v>
      </c>
      <c r="AK68" s="229">
        <f>(IF($F68&lt;=0,"0",IF($F68&lt;=6,"4",IF($F68&lt;=7,"3",IF($F68&lt;=8,"2","0")))))+0</f>
        <v>4</v>
      </c>
      <c r="AL68" s="229">
        <f>(IF($G68&lt;=0,"0",IF($G68&lt;=6,"4",IF($G68&lt;=7,"3",IF($G68&lt;=8,"2","0")))))+0</f>
        <v>0</v>
      </c>
      <c r="AM68" s="229">
        <f>(IF($H68&lt;=0,"0",IF($H68&lt;=6,"4",IF($H68&lt;=7,"3",IF($H68&lt;=8,"2","0")))))+0</f>
        <v>4</v>
      </c>
      <c r="AN68" s="252">
        <f>SUM(AK68:AM68)</f>
        <v>8</v>
      </c>
      <c r="AO68" s="257" t="s">
        <v>601</v>
      </c>
      <c r="AP68" s="258" t="e">
        <f>(IF($E68&lt;=0,"0",IF($E68&lt;=20,"168",IF($E68&lt;=30,"165",IF($E68&lt;=50,"155",IF($E68&lt;=60,"135",IF($E68&lt;=70,"105",IF($E68&lt;=80,"60","0"))))))))+0</f>
        <v>#VALUE!</v>
      </c>
      <c r="AQ68" s="251" t="s">
        <v>534</v>
      </c>
      <c r="AR68" s="257" t="e">
        <f>(IF($E68&lt;=0,"0",IF($E68&lt;=80,"6","0")))+0</f>
        <v>#VALUE!</v>
      </c>
      <c r="AS68" s="257" t="e">
        <f>(IF($E68&lt;=0,"0",IF($E68&lt;=60,"9",IF($E68&lt;=70,"6","0"))))+0</f>
        <v>#VALUE!</v>
      </c>
      <c r="AT68" s="257" t="e">
        <f>(IF($E68&lt;=0,"0",IF($E68&lt;=40,"9",IF($E68&lt;=50,"6","0"))))+0</f>
        <v>#VALUE!</v>
      </c>
      <c r="AU68" s="259" t="e">
        <f>(IF($E68&lt;=0,"0",IF($E68&lt;=20,"1","0")))+0</f>
        <v>#VALUE!</v>
      </c>
      <c r="AV68" s="251" t="s">
        <v>207</v>
      </c>
      <c r="AW68" s="257" t="e">
        <f>(IF($E68&lt;=0,"0",IF($E68&lt;=70,"36",IF($E68&lt;=80,"24","0"))))+0</f>
        <v>#VALUE!</v>
      </c>
      <c r="AX68" s="257" t="e">
        <f>(IF($E68&lt;=0,"0",IF($E68&lt;=50,"30",IF($E68&lt;=60,"18","0"))))+0</f>
        <v>#VALUE!</v>
      </c>
      <c r="AY68" s="257" t="e">
        <f>(IF($E68&lt;=0,"0",IF($E68&lt;=20,"18",IF($E68&lt;=40,"15","0"))))+0</f>
        <v>#VALUE!</v>
      </c>
      <c r="AZ68" s="260">
        <f>Summary2831[[#This Row],[3*2]]+Summary2831[[#This Row],[3*22]]+Summary2831[[#This Row],[3*23]]</f>
        <v>57</v>
      </c>
      <c r="BA68" s="261">
        <f>Summary2831[[#This Row],[2*2]]+Summary2831[[#This Row],[2*23]]+Summary2831[[#This Row],[2*24]]</f>
        <v>66</v>
      </c>
      <c r="BB68" s="261">
        <f>Summary2831[[#This Row],[1*2]]+Summary2831[[#This Row],[1*24]]+Summary2831[[#This Row],[1*25]]</f>
        <v>18</v>
      </c>
      <c r="BC68" s="261">
        <f>IF($F68&lt;=0,"0",IF($F68&lt;=6,"19",IF($F68&lt;=7,"18",IF($F68&lt;=8,"9",0))))+0</f>
        <v>19</v>
      </c>
      <c r="BD68" s="261">
        <f>IF($F68&lt;=0,"0",IF($F68&lt;=2,"22",IF($F68&lt;=3,"19",IF($F68&lt;=4,"15",IF($F68&lt;=5,"9",0)))))+0</f>
        <v>19</v>
      </c>
      <c r="BE68" s="261">
        <f>IF($F68&lt;=0,"0",IF($F68&lt;=1,"6",0))+0</f>
        <v>0</v>
      </c>
      <c r="BF68" s="261">
        <f>IF($G68&lt;=0,"0",IF($G68&lt;=6,"19",IF($G68&lt;=7,"18",IF($G68&lt;=8,"9",0))))+0</f>
        <v>0</v>
      </c>
      <c r="BG68" s="261">
        <f>IF($G68&lt;=0,"0",IF($G68&lt;=2,"22",IF($G68&lt;=3,"19",IF($G68&lt;=4,"15",IF($G68&lt;=5,"9",0)))))+0</f>
        <v>0</v>
      </c>
      <c r="BH68" s="261">
        <f>IF($G68&lt;=0,"0",IF($G68&lt;=1,"6",0))+0</f>
        <v>0</v>
      </c>
      <c r="BI68" s="261">
        <f>IF($H68&lt;=0,"0",IF($H68&lt;=6,"19",IF($H68&lt;=7,"18",IF($H68&lt;=8,"9",0))))+0</f>
        <v>19</v>
      </c>
      <c r="BJ68" s="261">
        <f>IF($H68&lt;=0,"0",IF($H68&lt;=2,"22",IF($H68&lt;=3,"19",IF($H68&lt;=4,"15",IF($H68&lt;=5,"9",0)))))+0</f>
        <v>22</v>
      </c>
      <c r="BK68" s="261">
        <f>IF($H68&lt;=0,"0",IF($H68&lt;=1,"6",0))+0</f>
        <v>6</v>
      </c>
      <c r="BL68" s="251">
        <f>SUM(Summary2831[[#This Row],[3*
(Tal)]],Summary2831[[#This Row],[3*
(Asc)]])</f>
        <v>93</v>
      </c>
      <c r="BM68" s="257">
        <f>SUM(Summary2831[[#This Row],[2*
(Tal)]],Summary2831[[#This Row],[2*
(Asc)]])</f>
        <v>96</v>
      </c>
      <c r="BN68" s="259">
        <f>SUM(Summary2831[[#This Row],[1*
(Tal)]],Summary2831[[#This Row],[1*
(Asc)]])</f>
        <v>33</v>
      </c>
      <c r="BO68" s="235" t="e">
        <f>(IF($E68&lt;=0,"0",IF($E68&lt;=1,"2092530",IF($E68&lt;=10,"2087525",IF($E68&lt;=20,"2068495",IF($E68&lt;=30,"2005910",IF($E68&lt;=40,"1932830",IF($E68&lt;=50,"1777010",IF($E68&lt;=60,"1546185",IF($E68&lt;=70,"1227000",IF($E68&lt;=80,"804625",IF($E68&lt;=81,"647990",IF($E68&lt;=90,"0",0)))))))))))))+0</f>
        <v>#VALUE!</v>
      </c>
      <c r="BP68" s="262">
        <f>(IF($F68&lt;=0,"0",IF($F68&lt;=1,"952500",IF($F68&lt;=2,"940000",IF($F68&lt;=3,"922500",IF($F68&lt;=4,"897500",IF($F68&lt;=5,"867500",IF($F68&lt;=6,"830000",IF($F68&lt;=7,"710000",IF($F68&lt;=8,"450000",0))))))))))+0</f>
        <v>922500</v>
      </c>
      <c r="BQ68" s="262">
        <f>(IF($G68&lt;=0,"0",IF($G68&lt;=1,"952500",IF($G68&lt;=2,"940000",IF($G68&lt;=3,"922500",IF($G68&lt;=4,"897500",IF($G68&lt;=5,"867500",IF($G68&lt;=6,"830000",IF($G68&lt;=7,"710000",IF($G68&lt;=8,"450000",0))))))))))+0</f>
        <v>0</v>
      </c>
      <c r="BR68" s="262">
        <f>(IF($H68&lt;=0,"0",IF($H68&lt;=1,"952500",IF($H68&lt;=2,"940000",IF($H68&lt;=3,"922500",IF($H68&lt;=4,"897500",IF($H68&lt;=5,"867500",IF($H68&lt;=6,"830000",IF($H68&lt;=7,"710000",IF($H68&lt;=8,"450000",0))))))))))+0</f>
        <v>952500</v>
      </c>
      <c r="BS68" s="263" t="e">
        <f>SUM(BO68,BP68,BQ68,BR68)</f>
        <v>#VALUE!</v>
      </c>
    </row>
    <row r="69" spans="1:71" s="81" customFormat="1" ht="30" customHeight="1">
      <c r="A69" s="192">
        <f ca="1">SUBTOTAL(3,$C$3:Character[[#This Row],[Name]])</f>
        <v>67</v>
      </c>
      <c r="B69" s="192" t="e" vm="629">
        <f>ImgDatabase!D69</f>
        <v>#VALUE!</v>
      </c>
      <c r="C69" s="193" t="s">
        <v>393</v>
      </c>
      <c r="D69" s="194" t="e" vm="19">
        <f>IFERROR(INDEX(CharacterDetailss[Element], MATCH(Character[[#This Row],[Name]], CharacterDetailss[Name], 0)), "")</f>
        <v>#VALUE!</v>
      </c>
      <c r="E69" s="194" t="e" vm="216">
        <f>IFERROR(INDEX(CharacterDetailss[Weapon Type], MATCH(Character[[#This Row],[Name]], CharacterDetailss[Name], 0)), "")</f>
        <v>#VALUE!</v>
      </c>
      <c r="F69" s="198">
        <v>3</v>
      </c>
      <c r="G69" s="72">
        <v>22</v>
      </c>
      <c r="H69" s="73">
        <v>1</v>
      </c>
      <c r="I69" s="74">
        <v>1</v>
      </c>
      <c r="J69" s="75">
        <v>1</v>
      </c>
      <c r="K69"/>
      <c r="L69" s="75">
        <v>81</v>
      </c>
      <c r="M69" s="73">
        <v>1</v>
      </c>
      <c r="N69" s="74">
        <v>9</v>
      </c>
      <c r="O69" s="74">
        <v>9</v>
      </c>
      <c r="P69"/>
      <c r="Q69" s="210" t="e" vm="453">
        <f>IFERROR(INDEX(ImgDatabase!$O:$O, MATCH(WorldBoss[[#This Row],[Boss Name]], ImgDatabase!$P:$P, 0)), "")</f>
        <v>#VALUE!</v>
      </c>
      <c r="R69" s="208" t="s">
        <v>252</v>
      </c>
      <c r="S69" s="298" t="e">
        <f>(IF($E69&lt;=0,"0",IF($E69&lt;=40,"46",IF($E69&lt;=50,"44",IF($E69&lt;=60,"40",IF($E69&lt;=70,"32",IF($E69&lt;=80,"20","0")))))))+0</f>
        <v>#VALUE!</v>
      </c>
      <c r="T69"/>
      <c r="U6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V69" s="202" t="s">
        <v>552</v>
      </c>
      <c r="W69" s="203">
        <f>Z69+AC69+AF69</f>
        <v>44</v>
      </c>
      <c r="X69" s="203">
        <f>AA69+AD69+AG69</f>
        <v>40</v>
      </c>
      <c r="Y69" s="201">
        <f>AB69+AE69+AH69</f>
        <v>3</v>
      </c>
      <c r="Z69" s="204">
        <f>(IF($F69&lt;=0,"0",IF($F69&lt;=6,"22",IF($F69&lt;=7,"18",IF($F69&lt;=8,"12",0)))))+0</f>
        <v>22</v>
      </c>
      <c r="AA69" s="205">
        <f>(IF($F69&lt;=0,"0",IF($F69&lt;=2,"21",IF($F69&lt;=3,"19",IF($F69&lt;=4,"15",IF($F69&lt;=5,"9",0))))))+0</f>
        <v>19</v>
      </c>
      <c r="AB69" s="205">
        <f>(IF($F69&lt;=0,"0",IF($F69&lt;=1,"3",0)))+0</f>
        <v>0</v>
      </c>
      <c r="AC69" s="205">
        <f>(IF($G69&lt;=0,"0",IF($G69&lt;=6,"22",IF($G69&lt;=7,"18",IF($G69&lt;=8,"12",0)))))+0</f>
        <v>0</v>
      </c>
      <c r="AD69" s="205">
        <f>(IF($G69&lt;=0,"0",IF($G69&lt;=2,"21",IF($G69&lt;=3,"19",IF($G69&lt;=4,"15",IF($G69&lt;=5,"9",0))))))+0</f>
        <v>0</v>
      </c>
      <c r="AE69" s="205">
        <f>(IF($G69&lt;=0,"0",IF($G69&lt;=1,"3",0)))+0</f>
        <v>0</v>
      </c>
      <c r="AF69" s="205">
        <f>(IF($H69&lt;=0,"0",IF($H69&lt;=6,"22",IF($H69&lt;=7,"18",IF($H69&lt;=8,"12",0)))))+0</f>
        <v>22</v>
      </c>
      <c r="AG69" s="205">
        <f>(IF($H69&lt;=0,"0",IF($H69&lt;=2,"21",IF($H69&lt;=3,"19",IF($H69&lt;=4,"15",IF($H69&lt;=5,"9",0))))))+0</f>
        <v>21</v>
      </c>
      <c r="AH69" s="206">
        <f>(IF($H69&lt;=0,"0",IF($H69&lt;=1,"3",0)))+0</f>
        <v>3</v>
      </c>
      <c r="AI69" s="207" t="s">
        <v>553</v>
      </c>
      <c r="AJ69" s="208" t="s">
        <v>583</v>
      </c>
      <c r="AK69" s="209">
        <f>(IF($F69&lt;=0,"0",IF($F69&lt;=6,"4",IF($F69&lt;=7,"3",IF($F69&lt;=8,"2","0")))))+0</f>
        <v>4</v>
      </c>
      <c r="AL69" s="209">
        <f>(IF($G69&lt;=0,"0",IF($G69&lt;=6,"4",IF($G69&lt;=7,"3",IF($G69&lt;=8,"2","0")))))+0</f>
        <v>0</v>
      </c>
      <c r="AM69" s="209">
        <f>(IF($H69&lt;=0,"0",IF($H69&lt;=6,"4",IF($H69&lt;=7,"3",IF($H69&lt;=8,"2","0")))))+0</f>
        <v>4</v>
      </c>
      <c r="AN69" s="200">
        <f>SUM(AK69:AM69)</f>
        <v>8</v>
      </c>
      <c r="AO69" s="208" t="s">
        <v>595</v>
      </c>
      <c r="AP69" s="210" t="e">
        <f>(IF($E69&lt;=0,"0",IF($E69&lt;=20,"168",IF($E69&lt;=30,"165",IF($E69&lt;=50,"155",IF($E69&lt;=60,"135",IF($E69&lt;=70,"105",IF($E69&lt;=80,"60","0"))))))))+0</f>
        <v>#VALUE!</v>
      </c>
      <c r="AQ69" s="199" t="s">
        <v>526</v>
      </c>
      <c r="AR69" s="208" t="e">
        <f>(IF($E69&lt;=0,"0",IF($E69&lt;=80,"6","0")))+0</f>
        <v>#VALUE!</v>
      </c>
      <c r="AS69" s="208" t="e">
        <f>(IF($E69&lt;=0,"0",IF($E69&lt;=60,"9",IF($E69&lt;=70,"6","0"))))+0</f>
        <v>#VALUE!</v>
      </c>
      <c r="AT69" s="208" t="e">
        <f>(IF($E69&lt;=0,"0",IF($E69&lt;=40,"9",IF($E69&lt;=50,"6","0"))))+0</f>
        <v>#VALUE!</v>
      </c>
      <c r="AU69" s="211" t="e">
        <f>(IF($E69&lt;=0,"0",IF($E69&lt;=20,"1","0")))+0</f>
        <v>#VALUE!</v>
      </c>
      <c r="AV69" s="199" t="s">
        <v>336</v>
      </c>
      <c r="AW69" s="208" t="e">
        <f>(IF($E69&lt;=0,"0",IF($E69&lt;=70,"36",IF($E69&lt;=80,"24","0"))))+0</f>
        <v>#VALUE!</v>
      </c>
      <c r="AX69" s="208" t="e">
        <f>(IF($E69&lt;=0,"0",IF($E69&lt;=50,"30",IF($E69&lt;=60,"18","0"))))+0</f>
        <v>#VALUE!</v>
      </c>
      <c r="AY69" s="208" t="e">
        <f>(IF($E69&lt;=0,"0",IF($E69&lt;=20,"18",IF($E69&lt;=40,"15","0"))))+0</f>
        <v>#VALUE!</v>
      </c>
      <c r="AZ69" s="212">
        <f>Summary2831[[#This Row],[3*2]]+Summary2831[[#This Row],[3*22]]+Summary2831[[#This Row],[3*23]]</f>
        <v>57</v>
      </c>
      <c r="BA69" s="213">
        <f>Summary2831[[#This Row],[2*2]]+Summary2831[[#This Row],[2*23]]+Summary2831[[#This Row],[2*24]]</f>
        <v>66</v>
      </c>
      <c r="BB69" s="213">
        <f>Summary2831[[#This Row],[1*2]]+Summary2831[[#This Row],[1*24]]+Summary2831[[#This Row],[1*25]]</f>
        <v>18</v>
      </c>
      <c r="BC69" s="215">
        <f>IF($F69&lt;=0,"0",IF($F69&lt;=6,"19",IF($F69&lt;=7,"18",IF($F69&lt;=8,"9",0))))+0</f>
        <v>19</v>
      </c>
      <c r="BD69" s="215">
        <f>IF($F69&lt;=0,"0",IF($F69&lt;=2,"22",IF($F69&lt;=3,"19",IF($F69&lt;=4,"15",IF($F69&lt;=5,"9",0)))))+0</f>
        <v>19</v>
      </c>
      <c r="BE69" s="215">
        <f>IF($F69&lt;=0,"0",IF($F69&lt;=1,"6",0))+0</f>
        <v>0</v>
      </c>
      <c r="BF69" s="215">
        <f>IF($G69&lt;=0,"0",IF($G69&lt;=6,"19",IF($G69&lt;=7,"18",IF($G69&lt;=8,"9",0))))+0</f>
        <v>0</v>
      </c>
      <c r="BG69" s="215">
        <f>IF($G69&lt;=0,"0",IF($G69&lt;=2,"22",IF($G69&lt;=3,"19",IF($G69&lt;=4,"15",IF($G69&lt;=5,"9",0)))))+0</f>
        <v>0</v>
      </c>
      <c r="BH69" s="215">
        <f>IF($G69&lt;=0,"0",IF($G69&lt;=1,"6",0))+0</f>
        <v>0</v>
      </c>
      <c r="BI69" s="215">
        <f>IF($H69&lt;=0,"0",IF($H69&lt;=6,"19",IF($H69&lt;=7,"18",IF($H69&lt;=8,"9",0))))+0</f>
        <v>19</v>
      </c>
      <c r="BJ69" s="215">
        <f>IF($H69&lt;=0,"0",IF($H69&lt;=2,"22",IF($H69&lt;=3,"19",IF($H69&lt;=4,"15",IF($H69&lt;=5,"9",0)))))+0</f>
        <v>22</v>
      </c>
      <c r="BK69" s="215">
        <f>IF($H69&lt;=0,"0",IF($H69&lt;=1,"6",0))+0</f>
        <v>6</v>
      </c>
      <c r="BL69" s="199">
        <f>SUM(Summary2831[[#This Row],[3*
(Tal)]],Summary2831[[#This Row],[3*
(Asc)]])</f>
        <v>93</v>
      </c>
      <c r="BM69" s="208">
        <f>SUM(Summary2831[[#This Row],[2*
(Tal)]],Summary2831[[#This Row],[2*
(Asc)]])</f>
        <v>96</v>
      </c>
      <c r="BN69" s="211">
        <f>SUM(Summary2831[[#This Row],[1*
(Tal)]],Summary2831[[#This Row],[1*
(Asc)]])</f>
        <v>33</v>
      </c>
      <c r="BO69" s="216" t="e">
        <f>(IF($E69&lt;=0,"0",IF($E69&lt;=1,"2092530",IF($E69&lt;=10,"2087525",IF($E69&lt;=20,"2068495",IF($E69&lt;=30,"2005910",IF($E69&lt;=40,"1932830",IF($E69&lt;=50,"1777010",IF($E69&lt;=60,"1546185",IF($E69&lt;=70,"1227000",IF($E69&lt;=80,"804625",IF($E69&lt;=81,"647990",IF($E69&lt;=90,"0",0)))))))))))))+0</f>
        <v>#VALUE!</v>
      </c>
      <c r="BP69" s="217">
        <f>(IF($F69&lt;=0,"0",IF($F69&lt;=1,"952500",IF($F69&lt;=2,"940000",IF($F69&lt;=3,"922500",IF($F69&lt;=4,"897500",IF($F69&lt;=5,"867500",IF($F69&lt;=6,"830000",IF($F69&lt;=7,"710000",IF($F69&lt;=8,"450000",0))))))))))+0</f>
        <v>922500</v>
      </c>
      <c r="BQ69" s="217">
        <f>(IF($G69&lt;=0,"0",IF($G69&lt;=1,"952500",IF($G69&lt;=2,"940000",IF($G69&lt;=3,"922500",IF($G69&lt;=4,"897500",IF($G69&lt;=5,"867500",IF($G69&lt;=6,"830000",IF($G69&lt;=7,"710000",IF($G69&lt;=8,"450000",0))))))))))+0</f>
        <v>0</v>
      </c>
      <c r="BR69" s="217">
        <f>(IF($H69&lt;=0,"0",IF($H69&lt;=1,"952500",IF($H69&lt;=2,"940000",IF($H69&lt;=3,"922500",IF($H69&lt;=4,"897500",IF($H69&lt;=5,"867500",IF($H69&lt;=6,"830000",IF($H69&lt;=7,"710000",IF($H69&lt;=8,"450000",0))))))))))+0</f>
        <v>952500</v>
      </c>
      <c r="BS69" s="218" t="e">
        <f>SUM(BO69,BP69,BQ69,BR69)</f>
        <v>#VALUE!</v>
      </c>
    </row>
    <row r="70" spans="1:71" ht="30" customHeight="1">
      <c r="A70" s="192">
        <f ca="1">SUBTOTAL(3,$C$3:Character[[#This Row],[Name]])</f>
        <v>68</v>
      </c>
      <c r="B70" s="192" t="e" vm="630">
        <f>ImgDatabase!D70</f>
        <v>#VALUE!</v>
      </c>
      <c r="C70" s="193" t="s">
        <v>602</v>
      </c>
      <c r="D70" s="194" t="str">
        <f>IFERROR(INDEX(CharacterDetailss[Element], MATCH(Character[[#This Row],[Name]], CharacterDetailss[Name], 0)), "")</f>
        <v/>
      </c>
      <c r="E70" s="194" t="str">
        <f>IFERROR(INDEX(CharacterDetailss[Weapon Type], MATCH(Character[[#This Row],[Name]], CharacterDetailss[Name], 0)), "")</f>
        <v/>
      </c>
      <c r="F70" s="198">
        <v>1</v>
      </c>
      <c r="G70" s="72">
        <v>81</v>
      </c>
      <c r="H70" s="73">
        <v>1</v>
      </c>
      <c r="I70" s="74">
        <v>1</v>
      </c>
      <c r="J70" s="75">
        <v>1</v>
      </c>
      <c r="L70" s="75">
        <v>81</v>
      </c>
      <c r="M70" s="73">
        <v>1</v>
      </c>
      <c r="N70" s="74">
        <v>9</v>
      </c>
      <c r="O70" s="74">
        <v>9</v>
      </c>
      <c r="Q70" s="230" t="str">
        <f>IFERROR(INDEX(ImgDatabase!$O:$O, MATCH(WorldBoss[[#This Row],[Boss Name]], ImgDatabase!$P:$P, 0)), "")</f>
        <v/>
      </c>
      <c r="R70" s="230" t="s">
        <v>603</v>
      </c>
      <c r="S70" s="297">
        <f>(IF($E70&lt;=0,"0",IF($E70&lt;=40,"46",IF($E70&lt;=50,"44",IF($E70&lt;=60,"40",IF($E70&lt;=70,"32",IF($E70&lt;=80,"20","0")))))))+0</f>
        <v>0</v>
      </c>
      <c r="U7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0" s="222" t="s">
        <v>604</v>
      </c>
      <c r="W70" s="223">
        <f>Z70+AC70+AF70</f>
        <v>44</v>
      </c>
      <c r="X70" s="223">
        <f>AA70+AD70+AG70</f>
        <v>42</v>
      </c>
      <c r="Y70" s="221">
        <f>AB70+AE70+AH70</f>
        <v>6</v>
      </c>
      <c r="Z70" s="267">
        <f>(IF($F70&lt;=0,"0",IF($F70&lt;=6,"22",IF($F70&lt;=7,"18",IF($F70&lt;=8,"12",0)))))+0</f>
        <v>22</v>
      </c>
      <c r="AA70" s="268">
        <f>(IF($F70&lt;=0,"0",IF($F70&lt;=2,"21",IF($F70&lt;=3,"19",IF($F70&lt;=4,"15",IF($F70&lt;=5,"9",0))))))+0</f>
        <v>21</v>
      </c>
      <c r="AB70" s="268">
        <f>(IF($F70&lt;=0,"0",IF($F70&lt;=1,"3",0)))+0</f>
        <v>3</v>
      </c>
      <c r="AC70" s="268">
        <f>(IF($G70&lt;=0,"0",IF($G70&lt;=6,"22",IF($G70&lt;=7,"18",IF($G70&lt;=8,"12",0)))))+0</f>
        <v>0</v>
      </c>
      <c r="AD70" s="268">
        <f>(IF($G70&lt;=0,"0",IF($G70&lt;=2,"21",IF($G70&lt;=3,"19",IF($G70&lt;=4,"15",IF($G70&lt;=5,"9",0))))))+0</f>
        <v>0</v>
      </c>
      <c r="AE70" s="268">
        <f>(IF($G70&lt;=0,"0",IF($G70&lt;=1,"3",0)))+0</f>
        <v>0</v>
      </c>
      <c r="AF70" s="268">
        <f>(IF($H70&lt;=0,"0",IF($H70&lt;=6,"22",IF($H70&lt;=7,"18",IF($H70&lt;=8,"12",0)))))+0</f>
        <v>22</v>
      </c>
      <c r="AG70" s="268">
        <f>(IF($H70&lt;=0,"0",IF($H70&lt;=2,"21",IF($H70&lt;=3,"19",IF($H70&lt;=4,"15",IF($H70&lt;=5,"9",0))))))+0</f>
        <v>21</v>
      </c>
      <c r="AH70" s="269">
        <f>(IF($H70&lt;=0,"0",IF($H70&lt;=1,"3",0)))+0</f>
        <v>3</v>
      </c>
      <c r="AI70" s="227" t="s">
        <v>604</v>
      </c>
      <c r="AJ70" s="228" t="s">
        <v>604</v>
      </c>
      <c r="AK70" s="270">
        <f>(IF($F70&lt;=0,"0",IF($F70&lt;=6,"4",IF($F70&lt;=7,"3",IF($F70&lt;=8,"2","0")))))+0</f>
        <v>4</v>
      </c>
      <c r="AL70" s="270">
        <f>(IF($G70&lt;=0,"0",IF($G70&lt;=6,"4",IF($G70&lt;=7,"3",IF($G70&lt;=8,"2","0")))))+0</f>
        <v>0</v>
      </c>
      <c r="AM70" s="270">
        <f>(IF($H70&lt;=0,"0",IF($H70&lt;=6,"4",IF($H70&lt;=7,"3",IF($H70&lt;=8,"2","0")))))+0</f>
        <v>4</v>
      </c>
      <c r="AN70" s="220">
        <f>SUM(AK70:AM70)</f>
        <v>8</v>
      </c>
      <c r="AO70" s="230" t="s">
        <v>604</v>
      </c>
      <c r="AP70" s="230">
        <f>(IF($E70&lt;=0,"0",IF($E70&lt;=20,"168",IF($E70&lt;=30,"165",IF($E70&lt;=50,"155",IF($E70&lt;=60,"135",IF($E70&lt;=70,"105",IF($E70&lt;=80,"60","0"))))))))+0</f>
        <v>0</v>
      </c>
      <c r="AQ70" s="219" t="s">
        <v>605</v>
      </c>
      <c r="AR70" s="228">
        <f>(IF($E70&lt;=0,"0",IF($E70&lt;=80,"6","0")))+0</f>
        <v>0</v>
      </c>
      <c r="AS70" s="228">
        <f>(IF($E70&lt;=0,"0",IF($E70&lt;=60,"9",IF($E70&lt;=70,"6","0"))))+0</f>
        <v>0</v>
      </c>
      <c r="AT70" s="228">
        <f>(IF($E70&lt;=0,"0",IF($E70&lt;=40,"9",IF($E70&lt;=50,"6","0"))))+0</f>
        <v>0</v>
      </c>
      <c r="AU70" s="231">
        <f>(IF($E70&lt;=0,"0",IF($E70&lt;=20,"1","0")))+0</f>
        <v>0</v>
      </c>
      <c r="AV70" s="266" t="s">
        <v>604</v>
      </c>
      <c r="AW70" s="228">
        <f>(IF($E70&lt;=0,"0",IF($E70&lt;=70,"36",IF($E70&lt;=80,"24","0"))))+0</f>
        <v>0</v>
      </c>
      <c r="AX70" s="228">
        <f>(IF($E70&lt;=0,"0",IF($E70&lt;=50,"30",IF($E70&lt;=60,"18","0"))))+0</f>
        <v>0</v>
      </c>
      <c r="AY70" s="228">
        <f>(IF($E70&lt;=0,"0",IF($E70&lt;=20,"18",IF($E70&lt;=40,"15","0"))))+0</f>
        <v>0</v>
      </c>
      <c r="AZ70" s="232">
        <f>Summary2831[[#This Row],[3*2]]+Summary2831[[#This Row],[3*22]]+Summary2831[[#This Row],[3*23]]</f>
        <v>57</v>
      </c>
      <c r="BA70" s="233">
        <f>Summary2831[[#This Row],[2*2]]+Summary2831[[#This Row],[2*23]]+Summary2831[[#This Row],[2*24]]</f>
        <v>66</v>
      </c>
      <c r="BB70" s="233">
        <f>Summary2831[[#This Row],[1*2]]+Summary2831[[#This Row],[1*24]]+Summary2831[[#This Row],[1*25]]</f>
        <v>18</v>
      </c>
      <c r="BC70" s="234">
        <f>IF($F70&lt;=0,"0",IF($F70&lt;=6,"19",IF($F70&lt;=7,"18",IF($F70&lt;=8,"9",0))))+0</f>
        <v>19</v>
      </c>
      <c r="BD70" s="234">
        <f>IF($F70&lt;=0,"0",IF($F70&lt;=2,"22",IF($F70&lt;=3,"19",IF($F70&lt;=4,"15",IF($F70&lt;=5,"9",0)))))+0</f>
        <v>22</v>
      </c>
      <c r="BE70" s="234">
        <f>IF($F70&lt;=0,"0",IF($F70&lt;=1,"6",0))+0</f>
        <v>6</v>
      </c>
      <c r="BF70" s="234">
        <f>IF($G70&lt;=0,"0",IF($G70&lt;=6,"19",IF($G70&lt;=7,"18",IF($G70&lt;=8,"9",0))))+0</f>
        <v>0</v>
      </c>
      <c r="BG70" s="234">
        <f>IF($G70&lt;=0,"0",IF($G70&lt;=2,"22",IF($G70&lt;=3,"19",IF($G70&lt;=4,"15",IF($G70&lt;=5,"9",0)))))+0</f>
        <v>0</v>
      </c>
      <c r="BH70" s="234">
        <f>IF($G70&lt;=0,"0",IF($G70&lt;=1,"6",0))+0</f>
        <v>0</v>
      </c>
      <c r="BI70" s="234">
        <f>IF($H70&lt;=0,"0",IF($H70&lt;=6,"19",IF($H70&lt;=7,"18",IF($H70&lt;=8,"9",0))))+0</f>
        <v>19</v>
      </c>
      <c r="BJ70" s="234">
        <f>IF($H70&lt;=0,"0",IF($H70&lt;=2,"22",IF($H70&lt;=3,"19",IF($H70&lt;=4,"15",IF($H70&lt;=5,"9",0)))))+0</f>
        <v>22</v>
      </c>
      <c r="BK70" s="234">
        <f>IF($H70&lt;=0,"0",IF($H70&lt;=1,"6",0))+0</f>
        <v>6</v>
      </c>
      <c r="BL70" s="219">
        <f>SUM(Summary2831[[#This Row],[3*
(Tal)]],Summary2831[[#This Row],[3*
(Asc)]])</f>
        <v>57</v>
      </c>
      <c r="BM70" s="228">
        <f>SUM(Summary2831[[#This Row],[2*
(Tal)]],Summary2831[[#This Row],[2*
(Asc)]])</f>
        <v>66</v>
      </c>
      <c r="BN70" s="231">
        <f>SUM(Summary2831[[#This Row],[1*
(Tal)]],Summary2831[[#This Row],[1*
(Asc)]])</f>
        <v>18</v>
      </c>
      <c r="BO70" s="235">
        <f>(IF($E70&lt;=0,"0",IF($E70&lt;=1,"2092530",IF($E70&lt;=10,"2087525",IF($E70&lt;=20,"2068495",IF($E70&lt;=30,"2005910",IF($E70&lt;=40,"1932830",IF($E70&lt;=50,"1777010",IF($E70&lt;=60,"1546185",IF($E70&lt;=70,"1227000",IF($E70&lt;=80,"804625",IF($E70&lt;=81,"647990",IF($E70&lt;=90,"0",0)))))))))))))+0</f>
        <v>0</v>
      </c>
      <c r="BP70" s="236">
        <f>(IF($F70&lt;=0,"0",IF($F70&lt;=1,"952500",IF($F70&lt;=2,"940000",IF($F70&lt;=3,"922500",IF($F70&lt;=4,"897500",IF($F70&lt;=5,"867500",IF($F70&lt;=6,"830000",IF($F70&lt;=7,"710000",IF($F70&lt;=8,"450000",0))))))))))+0</f>
        <v>952500</v>
      </c>
      <c r="BQ70" s="236">
        <f>(IF($G70&lt;=0,"0",IF($G70&lt;=1,"952500",IF($G70&lt;=2,"940000",IF($G70&lt;=3,"922500",IF($G70&lt;=4,"897500",IF($G70&lt;=5,"867500",IF($G70&lt;=6,"830000",IF($G70&lt;=7,"710000",IF($G70&lt;=8,"450000",0))))))))))+0</f>
        <v>0</v>
      </c>
      <c r="BR70" s="236">
        <f>(IF($H70&lt;=0,"0",IF($H70&lt;=1,"952500",IF($H70&lt;=2,"940000",IF($H70&lt;=3,"922500",IF($H70&lt;=4,"897500",IF($H70&lt;=5,"867500",IF($H70&lt;=6,"830000",IF($H70&lt;=7,"710000",IF($H70&lt;=8,"450000",0))))))))))+0</f>
        <v>952500</v>
      </c>
      <c r="BS70" s="237">
        <f>SUM(BO70,BP70,BQ70,BR70)</f>
        <v>1905000</v>
      </c>
    </row>
    <row r="71" spans="1:71" s="81" customFormat="1" ht="30" customHeight="1">
      <c r="A71" s="192">
        <f ca="1">SUBTOTAL(3,$C$3:Character[[#This Row],[Name]])</f>
        <v>69</v>
      </c>
      <c r="B71" s="192" t="e" vm="631">
        <f>ImgDatabase!D71</f>
        <v>#VALUE!</v>
      </c>
      <c r="C71" s="193" t="s">
        <v>602</v>
      </c>
      <c r="D71" s="194" t="str">
        <f>IFERROR(INDEX(CharacterDetailss[Element], MATCH(Character[[#This Row],[Name]], CharacterDetailss[Name], 0)), "")</f>
        <v/>
      </c>
      <c r="E71" s="194" t="str">
        <f>IFERROR(INDEX(CharacterDetailss[Weapon Type], MATCH(Character[[#This Row],[Name]], CharacterDetailss[Name], 0)), "")</f>
        <v/>
      </c>
      <c r="F71" s="198">
        <v>1</v>
      </c>
      <c r="G71" s="72">
        <v>81</v>
      </c>
      <c r="H71" s="73">
        <v>1</v>
      </c>
      <c r="I71" s="74">
        <v>1</v>
      </c>
      <c r="J71" s="75">
        <v>1</v>
      </c>
      <c r="K71"/>
      <c r="L71" s="75">
        <v>81</v>
      </c>
      <c r="M71" s="73">
        <v>1</v>
      </c>
      <c r="N71" s="74">
        <v>9</v>
      </c>
      <c r="O71" s="74">
        <v>9</v>
      </c>
      <c r="P71"/>
      <c r="Q71" s="210" t="str">
        <f>IFERROR(INDEX(ImgDatabase!$O:$O, MATCH(WorldBoss[[#This Row],[Boss Name]], ImgDatabase!$P:$P, 0)), "")</f>
        <v/>
      </c>
      <c r="R71" s="210" t="s">
        <v>603</v>
      </c>
      <c r="S71" s="298">
        <f>(IF($E71&lt;=0,"0",IF($E71&lt;=40,"46",IF($E71&lt;=50,"44",IF($E71&lt;=60,"40",IF($E71&lt;=70,"32",IF($E71&lt;=80,"20","0")))))))+0</f>
        <v>0</v>
      </c>
      <c r="T71"/>
      <c r="U7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1" s="202" t="s">
        <v>604</v>
      </c>
      <c r="W71" s="203">
        <f>Z71+AC71+AF71</f>
        <v>44</v>
      </c>
      <c r="X71" s="203">
        <f>AA71+AD71+AG71</f>
        <v>42</v>
      </c>
      <c r="Y71" s="201">
        <f>AB71+AE71+AH71</f>
        <v>6</v>
      </c>
      <c r="Z71" s="272">
        <f>(IF($F71&lt;=0,"0",IF($F71&lt;=6,"22",IF($F71&lt;=7,"18",IF($F71&lt;=8,"12",0)))))+0</f>
        <v>22</v>
      </c>
      <c r="AA71" s="273">
        <f>(IF($F71&lt;=0,"0",IF($F71&lt;=2,"21",IF($F71&lt;=3,"19",IF($F71&lt;=4,"15",IF($F71&lt;=5,"9",0))))))+0</f>
        <v>21</v>
      </c>
      <c r="AB71" s="273">
        <f>(IF($F71&lt;=0,"0",IF($F71&lt;=1,"3",0)))+0</f>
        <v>3</v>
      </c>
      <c r="AC71" s="273">
        <f>(IF($G71&lt;=0,"0",IF($G71&lt;=6,"22",IF($G71&lt;=7,"18",IF($G71&lt;=8,"12",0)))))+0</f>
        <v>0</v>
      </c>
      <c r="AD71" s="273">
        <f>(IF($G71&lt;=0,"0",IF($G71&lt;=2,"21",IF($G71&lt;=3,"19",IF($G71&lt;=4,"15",IF($G71&lt;=5,"9",0))))))+0</f>
        <v>0</v>
      </c>
      <c r="AE71" s="273">
        <f>(IF($G71&lt;=0,"0",IF($G71&lt;=1,"3",0)))+0</f>
        <v>0</v>
      </c>
      <c r="AF71" s="273">
        <f>(IF($H71&lt;=0,"0",IF($H71&lt;=6,"22",IF($H71&lt;=7,"18",IF($H71&lt;=8,"12",0)))))+0</f>
        <v>22</v>
      </c>
      <c r="AG71" s="273">
        <f>(IF($H71&lt;=0,"0",IF($H71&lt;=2,"21",IF($H71&lt;=3,"19",IF($H71&lt;=4,"15",IF($H71&lt;=5,"9",0))))))+0</f>
        <v>21</v>
      </c>
      <c r="AH71" s="274">
        <f>(IF($H71&lt;=0,"0",IF($H71&lt;=1,"3",0)))+0</f>
        <v>3</v>
      </c>
      <c r="AI71" s="207" t="s">
        <v>553</v>
      </c>
      <c r="AJ71" s="208" t="s">
        <v>565</v>
      </c>
      <c r="AK71" s="275">
        <f>(IF($F71&lt;=0,"0",IF($F71&lt;=6,"4",IF($F71&lt;=7,"3",IF($F71&lt;=8,"2","0")))))+0</f>
        <v>4</v>
      </c>
      <c r="AL71" s="275">
        <f>(IF($G71&lt;=0,"0",IF($G71&lt;=6,"4",IF($G71&lt;=7,"3",IF($G71&lt;=8,"2","0")))))+0</f>
        <v>0</v>
      </c>
      <c r="AM71" s="275">
        <f>(IF($H71&lt;=0,"0",IF($H71&lt;=6,"4",IF($H71&lt;=7,"3",IF($H71&lt;=8,"2","0")))))+0</f>
        <v>4</v>
      </c>
      <c r="AN71" s="200">
        <f>SUM(AK71:AM71)</f>
        <v>8</v>
      </c>
      <c r="AO71" s="210" t="s">
        <v>604</v>
      </c>
      <c r="AP71" s="210">
        <f>(IF($E71&lt;=0,"0",IF($E71&lt;=20,"168",IF($E71&lt;=30,"165",IF($E71&lt;=50,"155",IF($E71&lt;=60,"135",IF($E71&lt;=70,"105",IF($E71&lt;=80,"60","0"))))))))+0</f>
        <v>0</v>
      </c>
      <c r="AQ71" s="199" t="s">
        <v>605</v>
      </c>
      <c r="AR71" s="208">
        <f>(IF($E71&lt;=0,"0",IF($E71&lt;=80,"6","0")))+0</f>
        <v>0</v>
      </c>
      <c r="AS71" s="208">
        <f>(IF($E71&lt;=0,"0",IF($E71&lt;=60,"9",IF($E71&lt;=70,"6","0"))))+0</f>
        <v>0</v>
      </c>
      <c r="AT71" s="208">
        <f>(IF($E71&lt;=0,"0",IF($E71&lt;=40,"9",IF($E71&lt;=50,"6","0"))))+0</f>
        <v>0</v>
      </c>
      <c r="AU71" s="211">
        <f>(IF($E71&lt;=0,"0",IF($E71&lt;=20,"1","0")))+0</f>
        <v>0</v>
      </c>
      <c r="AV71" s="271" t="s">
        <v>604</v>
      </c>
      <c r="AW71" s="208">
        <f>(IF($E71&lt;=0,"0",IF($E71&lt;=70,"36",IF($E71&lt;=80,"24","0"))))+0</f>
        <v>0</v>
      </c>
      <c r="AX71" s="208">
        <f>(IF($E71&lt;=0,"0",IF($E71&lt;=50,"30",IF($E71&lt;=60,"18","0"))))+0</f>
        <v>0</v>
      </c>
      <c r="AY71" s="208">
        <f>(IF($E71&lt;=0,"0",IF($E71&lt;=20,"18",IF($E71&lt;=40,"15","0"))))+0</f>
        <v>0</v>
      </c>
      <c r="AZ71" s="212">
        <f>Summary2831[[#This Row],[3*2]]+Summary2831[[#This Row],[3*22]]+Summary2831[[#This Row],[3*23]]</f>
        <v>57</v>
      </c>
      <c r="BA71" s="213">
        <f>Summary2831[[#This Row],[2*2]]+Summary2831[[#This Row],[2*23]]+Summary2831[[#This Row],[2*24]]</f>
        <v>66</v>
      </c>
      <c r="BB71" s="213">
        <f>Summary2831[[#This Row],[1*2]]+Summary2831[[#This Row],[1*24]]+Summary2831[[#This Row],[1*25]]</f>
        <v>18</v>
      </c>
      <c r="BC71" s="215">
        <f>IF($F71&lt;=0,"0",IF($F71&lt;=6,"19",IF($F71&lt;=7,"18",IF($F71&lt;=8,"9",0))))+0</f>
        <v>19</v>
      </c>
      <c r="BD71" s="215">
        <f>IF($F71&lt;=0,"0",IF($F71&lt;=2,"22",IF($F71&lt;=3,"19",IF($F71&lt;=4,"15",IF($F71&lt;=5,"9",0)))))+0</f>
        <v>22</v>
      </c>
      <c r="BE71" s="215">
        <f>IF($F71&lt;=0,"0",IF($F71&lt;=1,"6",0))+0</f>
        <v>6</v>
      </c>
      <c r="BF71" s="215">
        <f>IF($G71&lt;=0,"0",IF($G71&lt;=6,"19",IF($G71&lt;=7,"18",IF($G71&lt;=8,"9",0))))+0</f>
        <v>0</v>
      </c>
      <c r="BG71" s="215">
        <f>IF($G71&lt;=0,"0",IF($G71&lt;=2,"22",IF($G71&lt;=3,"19",IF($G71&lt;=4,"15",IF($G71&lt;=5,"9",0)))))+0</f>
        <v>0</v>
      </c>
      <c r="BH71" s="215">
        <f>IF($G71&lt;=0,"0",IF($G71&lt;=1,"6",0))+0</f>
        <v>0</v>
      </c>
      <c r="BI71" s="215">
        <f>IF($H71&lt;=0,"0",IF($H71&lt;=6,"19",IF($H71&lt;=7,"18",IF($H71&lt;=8,"9",0))))+0</f>
        <v>19</v>
      </c>
      <c r="BJ71" s="215">
        <f>IF($H71&lt;=0,"0",IF($H71&lt;=2,"22",IF($H71&lt;=3,"19",IF($H71&lt;=4,"15",IF($H71&lt;=5,"9",0)))))+0</f>
        <v>22</v>
      </c>
      <c r="BK71" s="215">
        <f>IF($H71&lt;=0,"0",IF($H71&lt;=1,"6",0))+0</f>
        <v>6</v>
      </c>
      <c r="BL71" s="199">
        <f>SUM(Summary2831[[#This Row],[3*
(Tal)]],Summary2831[[#This Row],[3*
(Asc)]])</f>
        <v>57</v>
      </c>
      <c r="BM71" s="208">
        <f>SUM(Summary2831[[#This Row],[2*
(Tal)]],Summary2831[[#This Row],[2*
(Asc)]])</f>
        <v>66</v>
      </c>
      <c r="BN71" s="211">
        <f>SUM(Summary2831[[#This Row],[1*
(Tal)]],Summary2831[[#This Row],[1*
(Asc)]])</f>
        <v>18</v>
      </c>
      <c r="BO71" s="216">
        <f>(IF($E71&lt;=0,"0",IF($E71&lt;=1,"2092530",IF($E71&lt;=10,"2087525",IF($E71&lt;=20,"2068495",IF($E71&lt;=30,"2005910",IF($E71&lt;=40,"1932830",IF($E71&lt;=50,"1777010",IF($E71&lt;=60,"1546185",IF($E71&lt;=70,"1227000",IF($E71&lt;=80,"804625",IF($E71&lt;=81,"647990",IF($E71&lt;=90,"0",0)))))))))))))+0</f>
        <v>0</v>
      </c>
      <c r="BP71" s="217">
        <f>(IF($F71&lt;=0,"0",IF($F71&lt;=1,"952500",IF($F71&lt;=2,"940000",IF($F71&lt;=3,"922500",IF($F71&lt;=4,"897500",IF($F71&lt;=5,"867500",IF($F71&lt;=6,"830000",IF($F71&lt;=7,"710000",IF($F71&lt;=8,"450000",0))))))))))+0</f>
        <v>952500</v>
      </c>
      <c r="BQ71" s="217">
        <f>(IF($G71&lt;=0,"0",IF($G71&lt;=1,"952500",IF($G71&lt;=2,"940000",IF($G71&lt;=3,"922500",IF($G71&lt;=4,"897500",IF($G71&lt;=5,"867500",IF($G71&lt;=6,"830000",IF($G71&lt;=7,"710000",IF($G71&lt;=8,"450000",0))))))))))+0</f>
        <v>0</v>
      </c>
      <c r="BR71" s="217">
        <f>(IF($H71&lt;=0,"0",IF($H71&lt;=1,"952500",IF($H71&lt;=2,"940000",IF($H71&lt;=3,"922500",IF($H71&lt;=4,"897500",IF($H71&lt;=5,"867500",IF($H71&lt;=6,"830000",IF($H71&lt;=7,"710000",IF($H71&lt;=8,"450000",0))))))))))+0</f>
        <v>952500</v>
      </c>
      <c r="BS71" s="218">
        <f>SUM(BO71,BP71,BQ71,BR71)</f>
        <v>1905000</v>
      </c>
    </row>
    <row r="72" spans="1:71" ht="30" customHeight="1">
      <c r="A72" s="192">
        <f ca="1">SUBTOTAL(3,$C$3:Character[[#This Row],[Name]])</f>
        <v>70</v>
      </c>
      <c r="B72" s="192" t="e" vm="632">
        <f>ImgDatabase!D72</f>
        <v>#VALUE!</v>
      </c>
      <c r="C72" s="193" t="s">
        <v>602</v>
      </c>
      <c r="D72" s="194" t="str">
        <f>IFERROR(INDEX(CharacterDetailss[Element], MATCH(Character[[#This Row],[Name]], CharacterDetailss[Name], 0)), "")</f>
        <v/>
      </c>
      <c r="E72" s="194" t="str">
        <f>IFERROR(INDEX(CharacterDetailss[Weapon Type], MATCH(Character[[#This Row],[Name]], CharacterDetailss[Name], 0)), "")</f>
        <v/>
      </c>
      <c r="F72" s="198">
        <v>1</v>
      </c>
      <c r="G72" s="72">
        <v>81</v>
      </c>
      <c r="H72" s="73">
        <v>1</v>
      </c>
      <c r="I72" s="74">
        <v>4</v>
      </c>
      <c r="J72" s="75">
        <v>4</v>
      </c>
      <c r="L72" s="75">
        <v>81</v>
      </c>
      <c r="M72" s="73">
        <v>1</v>
      </c>
      <c r="N72" s="74">
        <v>9</v>
      </c>
      <c r="O72" s="74">
        <v>9</v>
      </c>
      <c r="Q72" s="230" t="str">
        <f>IFERROR(INDEX(ImgDatabase!$O:$O, MATCH(WorldBoss[[#This Row],[Boss Name]], ImgDatabase!$P:$P, 0)), "")</f>
        <v/>
      </c>
      <c r="R72" s="230" t="s">
        <v>603</v>
      </c>
      <c r="S72" s="297">
        <f>(IF($E72&lt;=0,"0",IF($E72&lt;=40,"46",IF($E72&lt;=50,"44",IF($E72&lt;=60,"40",IF($E72&lt;=70,"32",IF($E72&lt;=80,"20","0")))))))+0</f>
        <v>0</v>
      </c>
      <c r="U7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2" s="222" t="s">
        <v>604</v>
      </c>
      <c r="W72" s="223">
        <f>Z72+AC72+AF72</f>
        <v>44</v>
      </c>
      <c r="X72" s="223">
        <f>AA72+AD72+AG72</f>
        <v>42</v>
      </c>
      <c r="Y72" s="221">
        <f>AB72+AE72+AH72</f>
        <v>6</v>
      </c>
      <c r="Z72" s="267">
        <f>(IF($F72&lt;=0,"0",IF($F72&lt;=6,"22",IF($F72&lt;=7,"18",IF($F72&lt;=8,"12",0)))))+0</f>
        <v>22</v>
      </c>
      <c r="AA72" s="268">
        <f>(IF($F72&lt;=0,"0",IF($F72&lt;=2,"21",IF($F72&lt;=3,"19",IF($F72&lt;=4,"15",IF($F72&lt;=5,"9",0))))))+0</f>
        <v>21</v>
      </c>
      <c r="AB72" s="268">
        <f>(IF($F72&lt;=0,"0",IF($F72&lt;=1,"3",0)))+0</f>
        <v>3</v>
      </c>
      <c r="AC72" s="268">
        <f>(IF($G72&lt;=0,"0",IF($G72&lt;=6,"22",IF($G72&lt;=7,"18",IF($G72&lt;=8,"12",0)))))+0</f>
        <v>0</v>
      </c>
      <c r="AD72" s="268">
        <f>(IF($G72&lt;=0,"0",IF($G72&lt;=2,"21",IF($G72&lt;=3,"19",IF($G72&lt;=4,"15",IF($G72&lt;=5,"9",0))))))+0</f>
        <v>0</v>
      </c>
      <c r="AE72" s="268">
        <f>(IF($G72&lt;=0,"0",IF($G72&lt;=1,"3",0)))+0</f>
        <v>0</v>
      </c>
      <c r="AF72" s="268">
        <f>(IF($H72&lt;=0,"0",IF($H72&lt;=6,"22",IF($H72&lt;=7,"18",IF($H72&lt;=8,"12",0)))))+0</f>
        <v>22</v>
      </c>
      <c r="AG72" s="268">
        <f>(IF($H72&lt;=0,"0",IF($H72&lt;=2,"21",IF($H72&lt;=3,"19",IF($H72&lt;=4,"15",IF($H72&lt;=5,"9",0))))))+0</f>
        <v>21</v>
      </c>
      <c r="AH72" s="269">
        <f>(IF($H72&lt;=0,"0",IF($H72&lt;=1,"3",0)))+0</f>
        <v>3</v>
      </c>
      <c r="AI72" s="227" t="s">
        <v>176</v>
      </c>
      <c r="AJ72" s="228" t="s">
        <v>571</v>
      </c>
      <c r="AK72" s="270">
        <f>(IF($F72&lt;=0,"0",IF($F72&lt;=6,"4",IF($F72&lt;=7,"3",IF($F72&lt;=8,"2","0")))))+0</f>
        <v>4</v>
      </c>
      <c r="AL72" s="270">
        <f>(IF($G72&lt;=0,"0",IF($G72&lt;=6,"4",IF($G72&lt;=7,"3",IF($G72&lt;=8,"2","0")))))+0</f>
        <v>0</v>
      </c>
      <c r="AM72" s="270">
        <f>(IF($H72&lt;=0,"0",IF($H72&lt;=6,"4",IF($H72&lt;=7,"3",IF($H72&lt;=8,"2","0")))))+0</f>
        <v>4</v>
      </c>
      <c r="AN72" s="220">
        <f>SUM(AK72:AM72)</f>
        <v>8</v>
      </c>
      <c r="AO72" s="230" t="s">
        <v>604</v>
      </c>
      <c r="AP72" s="230">
        <f>(IF($E72&lt;=0,"0",IF($E72&lt;=20,"168",IF($E72&lt;=30,"165",IF($E72&lt;=50,"155",IF($E72&lt;=60,"135",IF($E72&lt;=70,"105",IF($E72&lt;=80,"60","0"))))))))+0</f>
        <v>0</v>
      </c>
      <c r="AQ72" s="219" t="s">
        <v>605</v>
      </c>
      <c r="AR72" s="228">
        <f>(IF($E72&lt;=0,"0",IF($E72&lt;=80,"6","0")))+0</f>
        <v>0</v>
      </c>
      <c r="AS72" s="228">
        <f>(IF($E72&lt;=0,"0",IF($E72&lt;=60,"9",IF($E72&lt;=70,"6","0"))))+0</f>
        <v>0</v>
      </c>
      <c r="AT72" s="228">
        <f>(IF($E72&lt;=0,"0",IF($E72&lt;=40,"9",IF($E72&lt;=50,"6","0"))))+0</f>
        <v>0</v>
      </c>
      <c r="AU72" s="231">
        <f>(IF($E72&lt;=0,"0",IF($E72&lt;=20,"1","0")))+0</f>
        <v>0</v>
      </c>
      <c r="AV72" s="266" t="s">
        <v>604</v>
      </c>
      <c r="AW72" s="228">
        <f>(IF($E72&lt;=0,"0",IF($E72&lt;=70,"36",IF($E72&lt;=80,"24","0"))))+0</f>
        <v>0</v>
      </c>
      <c r="AX72" s="228">
        <f>(IF($E72&lt;=0,"0",IF($E72&lt;=50,"30",IF($E72&lt;=60,"18","0"))))+0</f>
        <v>0</v>
      </c>
      <c r="AY72" s="228">
        <f>(IF($E72&lt;=0,"0",IF($E72&lt;=20,"18",IF($E72&lt;=40,"15","0"))))+0</f>
        <v>0</v>
      </c>
      <c r="AZ72" s="232">
        <f>Summary2831[[#This Row],[3*2]]+Summary2831[[#This Row],[3*22]]+Summary2831[[#This Row],[3*23]]</f>
        <v>57</v>
      </c>
      <c r="BA72" s="233">
        <f>Summary2831[[#This Row],[2*2]]+Summary2831[[#This Row],[2*23]]+Summary2831[[#This Row],[2*24]]</f>
        <v>66</v>
      </c>
      <c r="BB72" s="233">
        <f>Summary2831[[#This Row],[1*2]]+Summary2831[[#This Row],[1*24]]+Summary2831[[#This Row],[1*25]]</f>
        <v>18</v>
      </c>
      <c r="BC72" s="234">
        <f>IF($F72&lt;=0,"0",IF($F72&lt;=6,"19",IF($F72&lt;=7,"18",IF($F72&lt;=8,"9",0))))+0</f>
        <v>19</v>
      </c>
      <c r="BD72" s="234">
        <f>IF($F72&lt;=0,"0",IF($F72&lt;=2,"22",IF($F72&lt;=3,"19",IF($F72&lt;=4,"15",IF($F72&lt;=5,"9",0)))))+0</f>
        <v>22</v>
      </c>
      <c r="BE72" s="234">
        <f>IF($F72&lt;=0,"0",IF($F72&lt;=1,"6",0))+0</f>
        <v>6</v>
      </c>
      <c r="BF72" s="234">
        <f>IF($G72&lt;=0,"0",IF($G72&lt;=6,"19",IF($G72&lt;=7,"18",IF($G72&lt;=8,"9",0))))+0</f>
        <v>0</v>
      </c>
      <c r="BG72" s="234">
        <f>IF($G72&lt;=0,"0",IF($G72&lt;=2,"22",IF($G72&lt;=3,"19",IF($G72&lt;=4,"15",IF($G72&lt;=5,"9",0)))))+0</f>
        <v>0</v>
      </c>
      <c r="BH72" s="234">
        <f>IF($G72&lt;=0,"0",IF($G72&lt;=1,"6",0))+0</f>
        <v>0</v>
      </c>
      <c r="BI72" s="234">
        <f>IF($H72&lt;=0,"0",IF($H72&lt;=6,"19",IF($H72&lt;=7,"18",IF($H72&lt;=8,"9",0))))+0</f>
        <v>19</v>
      </c>
      <c r="BJ72" s="234">
        <f>IF($H72&lt;=0,"0",IF($H72&lt;=2,"22",IF($H72&lt;=3,"19",IF($H72&lt;=4,"15",IF($H72&lt;=5,"9",0)))))+0</f>
        <v>22</v>
      </c>
      <c r="BK72" s="234">
        <f>IF($H72&lt;=0,"0",IF($H72&lt;=1,"6",0))+0</f>
        <v>6</v>
      </c>
      <c r="BL72" s="219">
        <f>SUM(Summary2831[[#This Row],[3*
(Tal)]],Summary2831[[#This Row],[3*
(Asc)]])</f>
        <v>57</v>
      </c>
      <c r="BM72" s="228">
        <f>SUM(Summary2831[[#This Row],[2*
(Tal)]],Summary2831[[#This Row],[2*
(Asc)]])</f>
        <v>66</v>
      </c>
      <c r="BN72" s="231">
        <f>SUM(Summary2831[[#This Row],[1*
(Tal)]],Summary2831[[#This Row],[1*
(Asc)]])</f>
        <v>18</v>
      </c>
      <c r="BO72" s="235">
        <f>(IF($E72&lt;=0,"0",IF($E72&lt;=1,"2092530",IF($E72&lt;=10,"2087525",IF($E72&lt;=20,"2068495",IF($E72&lt;=30,"2005910",IF($E72&lt;=40,"1932830",IF($E72&lt;=50,"1777010",IF($E72&lt;=60,"1546185",IF($E72&lt;=70,"1227000",IF($E72&lt;=80,"804625",IF($E72&lt;=81,"647990",IF($E72&lt;=90,"0",0)))))))))))))+0</f>
        <v>0</v>
      </c>
      <c r="BP72" s="236">
        <f>(IF($F72&lt;=0,"0",IF($F72&lt;=1,"952500",IF($F72&lt;=2,"940000",IF($F72&lt;=3,"922500",IF($F72&lt;=4,"897500",IF($F72&lt;=5,"867500",IF($F72&lt;=6,"830000",IF($F72&lt;=7,"710000",IF($F72&lt;=8,"450000",0))))))))))+0</f>
        <v>952500</v>
      </c>
      <c r="BQ72" s="236">
        <f>(IF($G72&lt;=0,"0",IF($G72&lt;=1,"952500",IF($G72&lt;=2,"940000",IF($G72&lt;=3,"922500",IF($G72&lt;=4,"897500",IF($G72&lt;=5,"867500",IF($G72&lt;=6,"830000",IF($G72&lt;=7,"710000",IF($G72&lt;=8,"450000",0))))))))))+0</f>
        <v>0</v>
      </c>
      <c r="BR72" s="236">
        <f>(IF($H72&lt;=0,"0",IF($H72&lt;=1,"952500",IF($H72&lt;=2,"940000",IF($H72&lt;=3,"922500",IF($H72&lt;=4,"897500",IF($H72&lt;=5,"867500",IF($H72&lt;=6,"830000",IF($H72&lt;=7,"710000",IF($H72&lt;=8,"450000",0))))))))))+0</f>
        <v>952500</v>
      </c>
      <c r="BS72" s="237">
        <f>SUM(BO72,BP72,BQ72,BR72)</f>
        <v>1905000</v>
      </c>
    </row>
    <row r="73" spans="1:71" s="81" customFormat="1" ht="30" customHeight="1">
      <c r="A73" s="192">
        <f ca="1">SUBTOTAL(3,$C$3:Character[[#This Row],[Name]])</f>
        <v>71</v>
      </c>
      <c r="B73" s="192" t="e" vm="633">
        <f>ImgDatabase!D73</f>
        <v>#VALUE!</v>
      </c>
      <c r="C73" s="193" t="s">
        <v>602</v>
      </c>
      <c r="D73" s="194" t="str">
        <f>IFERROR(INDEX(CharacterDetailss[Element], MATCH(Character[[#This Row],[Name]], CharacterDetailss[Name], 0)), "")</f>
        <v/>
      </c>
      <c r="E73" s="194" t="str">
        <f>IFERROR(INDEX(CharacterDetailss[Weapon Type], MATCH(Character[[#This Row],[Name]], CharacterDetailss[Name], 0)), "")</f>
        <v/>
      </c>
      <c r="F73" s="198">
        <v>1</v>
      </c>
      <c r="G73" s="72">
        <v>81</v>
      </c>
      <c r="H73" s="73">
        <v>1</v>
      </c>
      <c r="I73" s="74">
        <v>1</v>
      </c>
      <c r="J73" s="75">
        <v>1</v>
      </c>
      <c r="K73"/>
      <c r="L73" s="75">
        <v>81</v>
      </c>
      <c r="M73" s="73">
        <v>1</v>
      </c>
      <c r="N73" s="74">
        <v>9</v>
      </c>
      <c r="O73" s="74">
        <v>9</v>
      </c>
      <c r="P73"/>
      <c r="Q73" s="210" t="str">
        <f>IFERROR(INDEX(ImgDatabase!$O:$O, MATCH(WorldBoss[[#This Row],[Boss Name]], ImgDatabase!$P:$P, 0)), "")</f>
        <v/>
      </c>
      <c r="R73" s="210" t="s">
        <v>603</v>
      </c>
      <c r="S73" s="298">
        <f>(IF($E73&lt;=0,"0",IF($E73&lt;=40,"46",IF($E73&lt;=50,"44",IF($E73&lt;=60,"40",IF($E73&lt;=70,"32",IF($E73&lt;=80,"20","0")))))))+0</f>
        <v>0</v>
      </c>
      <c r="T73"/>
      <c r="U7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3" s="202" t="s">
        <v>604</v>
      </c>
      <c r="W73" s="203">
        <f>Z73+AC73+AF73</f>
        <v>44</v>
      </c>
      <c r="X73" s="203">
        <f>AA73+AD73+AG73</f>
        <v>42</v>
      </c>
      <c r="Y73" s="201">
        <f>AB73+AE73+AH73</f>
        <v>6</v>
      </c>
      <c r="Z73" s="272">
        <f>(IF($F73&lt;=0,"0",IF($F73&lt;=6,"22",IF($F73&lt;=7,"18",IF($F73&lt;=8,"12",0)))))+0</f>
        <v>22</v>
      </c>
      <c r="AA73" s="273">
        <f>(IF($F73&lt;=0,"0",IF($F73&lt;=2,"21",IF($F73&lt;=3,"19",IF($F73&lt;=4,"15",IF($F73&lt;=5,"9",0))))))+0</f>
        <v>21</v>
      </c>
      <c r="AB73" s="273">
        <f>(IF($F73&lt;=0,"0",IF($F73&lt;=1,"3",0)))+0</f>
        <v>3</v>
      </c>
      <c r="AC73" s="273">
        <f>(IF($G73&lt;=0,"0",IF($G73&lt;=6,"22",IF($G73&lt;=7,"18",IF($G73&lt;=8,"12",0)))))+0</f>
        <v>0</v>
      </c>
      <c r="AD73" s="273">
        <f>(IF($G73&lt;=0,"0",IF($G73&lt;=2,"21",IF($G73&lt;=3,"19",IF($G73&lt;=4,"15",IF($G73&lt;=5,"9",0))))))+0</f>
        <v>0</v>
      </c>
      <c r="AE73" s="273">
        <f>(IF($G73&lt;=0,"0",IF($G73&lt;=1,"3",0)))+0</f>
        <v>0</v>
      </c>
      <c r="AF73" s="273">
        <f>(IF($H73&lt;=0,"0",IF($H73&lt;=6,"22",IF($H73&lt;=7,"18",IF($H73&lt;=8,"12",0)))))+0</f>
        <v>22</v>
      </c>
      <c r="AG73" s="273">
        <f>(IF($H73&lt;=0,"0",IF($H73&lt;=2,"21",IF($H73&lt;=3,"19",IF($H73&lt;=4,"15",IF($H73&lt;=5,"9",0))))))+0</f>
        <v>21</v>
      </c>
      <c r="AH73" s="274">
        <f>(IF($H73&lt;=0,"0",IF($H73&lt;=1,"3",0)))+0</f>
        <v>3</v>
      </c>
      <c r="AI73" s="207" t="s">
        <v>543</v>
      </c>
      <c r="AJ73" s="208" t="s">
        <v>600</v>
      </c>
      <c r="AK73" s="275">
        <f>(IF($F73&lt;=0,"0",IF($F73&lt;=6,"4",IF($F73&lt;=7,"3",IF($F73&lt;=8,"2","0")))))+0</f>
        <v>4</v>
      </c>
      <c r="AL73" s="275">
        <f>(IF($G73&lt;=0,"0",IF($G73&lt;=6,"4",IF($G73&lt;=7,"3",IF($G73&lt;=8,"2","0")))))+0</f>
        <v>0</v>
      </c>
      <c r="AM73" s="275">
        <f>(IF($H73&lt;=0,"0",IF($H73&lt;=6,"4",IF($H73&lt;=7,"3",IF($H73&lt;=8,"2","0")))))+0</f>
        <v>4</v>
      </c>
      <c r="AN73" s="200">
        <f>SUM(AK73:AM73)</f>
        <v>8</v>
      </c>
      <c r="AO73" s="210" t="s">
        <v>604</v>
      </c>
      <c r="AP73" s="210">
        <f>(IF($E73&lt;=0,"0",IF($E73&lt;=20,"168",IF($E73&lt;=30,"165",IF($E73&lt;=50,"155",IF($E73&lt;=60,"135",IF($E73&lt;=70,"105",IF($E73&lt;=80,"60","0"))))))))+0</f>
        <v>0</v>
      </c>
      <c r="AQ73" s="199" t="s">
        <v>605</v>
      </c>
      <c r="AR73" s="208">
        <f>(IF($E73&lt;=0,"0",IF($E73&lt;=80,"6","0")))+0</f>
        <v>0</v>
      </c>
      <c r="AS73" s="208">
        <f>(IF($E73&lt;=0,"0",IF($E73&lt;=60,"9",IF($E73&lt;=70,"6","0"))))+0</f>
        <v>0</v>
      </c>
      <c r="AT73" s="208">
        <f>(IF($E73&lt;=0,"0",IF($E73&lt;=40,"9",IF($E73&lt;=50,"6","0"))))+0</f>
        <v>0</v>
      </c>
      <c r="AU73" s="211">
        <f>(IF($E73&lt;=0,"0",IF($E73&lt;=20,"1","0")))+0</f>
        <v>0</v>
      </c>
      <c r="AV73" s="271" t="s">
        <v>604</v>
      </c>
      <c r="AW73" s="208">
        <f>(IF($E73&lt;=0,"0",IF($E73&lt;=70,"36",IF($E73&lt;=80,"24","0"))))+0</f>
        <v>0</v>
      </c>
      <c r="AX73" s="208">
        <f>(IF($E73&lt;=0,"0",IF($E73&lt;=50,"30",IF($E73&lt;=60,"18","0"))))+0</f>
        <v>0</v>
      </c>
      <c r="AY73" s="208">
        <f>(IF($E73&lt;=0,"0",IF($E73&lt;=20,"18",IF($E73&lt;=40,"15","0"))))+0</f>
        <v>0</v>
      </c>
      <c r="AZ73" s="212">
        <f>Summary2831[[#This Row],[3*2]]+Summary2831[[#This Row],[3*22]]+Summary2831[[#This Row],[3*23]]</f>
        <v>57</v>
      </c>
      <c r="BA73" s="213">
        <f>Summary2831[[#This Row],[2*2]]+Summary2831[[#This Row],[2*23]]+Summary2831[[#This Row],[2*24]]</f>
        <v>52</v>
      </c>
      <c r="BB73" s="213">
        <f>Summary2831[[#This Row],[1*2]]+Summary2831[[#This Row],[1*24]]+Summary2831[[#This Row],[1*25]]</f>
        <v>6</v>
      </c>
      <c r="BC73" s="215">
        <f>IF($F73&lt;=0,"0",IF($F73&lt;=6,"19",IF($F73&lt;=7,"18",IF($F73&lt;=8,"9",0))))+0</f>
        <v>19</v>
      </c>
      <c r="BD73" s="215">
        <f>IF($F73&lt;=0,"0",IF($F73&lt;=2,"22",IF($F73&lt;=3,"19",IF($F73&lt;=4,"15",IF($F73&lt;=5,"9",0)))))+0</f>
        <v>22</v>
      </c>
      <c r="BE73" s="215">
        <f>IF($F73&lt;=0,"0",IF($F73&lt;=1,"6",0))+0</f>
        <v>6</v>
      </c>
      <c r="BF73" s="215">
        <f>IF($G73&lt;=0,"0",IF($G73&lt;=6,"19",IF($G73&lt;=7,"18",IF($G73&lt;=8,"9",0))))+0</f>
        <v>0</v>
      </c>
      <c r="BG73" s="215">
        <f>IF($G73&lt;=0,"0",IF($G73&lt;=2,"22",IF($G73&lt;=3,"19",IF($G73&lt;=4,"15",IF($G73&lt;=5,"9",0)))))+0</f>
        <v>0</v>
      </c>
      <c r="BH73" s="215">
        <f>IF($G73&lt;=0,"0",IF($G73&lt;=1,"6",0))+0</f>
        <v>0</v>
      </c>
      <c r="BI73" s="215">
        <f>IF($H73&lt;=0,"0",IF($H73&lt;=6,"19",IF($H73&lt;=7,"18",IF($H73&lt;=8,"9",0))))+0</f>
        <v>19</v>
      </c>
      <c r="BJ73" s="215">
        <f>IF($H73&lt;=0,"0",IF($H73&lt;=2,"22",IF($H73&lt;=3,"19",IF($H73&lt;=4,"15",IF($H73&lt;=5,"9",0)))))+0</f>
        <v>22</v>
      </c>
      <c r="BK73" s="215">
        <f>IF($H73&lt;=0,"0",IF($H73&lt;=1,"6",0))+0</f>
        <v>6</v>
      </c>
      <c r="BL73" s="199">
        <f>SUM(Summary2831[[#This Row],[3*
(Tal)]],Summary2831[[#This Row],[3*
(Asc)]])</f>
        <v>57</v>
      </c>
      <c r="BM73" s="208">
        <f>SUM(Summary2831[[#This Row],[2*
(Tal)]],Summary2831[[#This Row],[2*
(Asc)]])</f>
        <v>52</v>
      </c>
      <c r="BN73" s="211">
        <f>SUM(Summary2831[[#This Row],[1*
(Tal)]],Summary2831[[#This Row],[1*
(Asc)]])</f>
        <v>6</v>
      </c>
      <c r="BO73" s="216">
        <f>(IF($E73&lt;=0,"0",IF($E73&lt;=1,"2092530",IF($E73&lt;=10,"2087525",IF($E73&lt;=20,"2068495",IF($E73&lt;=30,"2005910",IF($E73&lt;=40,"1932830",IF($E73&lt;=50,"1777010",IF($E73&lt;=60,"1546185",IF($E73&lt;=70,"1227000",IF($E73&lt;=80,"804625",IF($E73&lt;=81,"647990",IF($E73&lt;=90,"0",0)))))))))))))+0</f>
        <v>0</v>
      </c>
      <c r="BP73" s="217">
        <f>(IF($F73&lt;=0,"0",IF($F73&lt;=1,"952500",IF($F73&lt;=2,"940000",IF($F73&lt;=3,"922500",IF($F73&lt;=4,"897500",IF($F73&lt;=5,"867500",IF($F73&lt;=6,"830000",IF($F73&lt;=7,"710000",IF($F73&lt;=8,"450000",0))))))))))+0</f>
        <v>952500</v>
      </c>
      <c r="BQ73" s="217">
        <f>(IF($G73&lt;=0,"0",IF($G73&lt;=1,"952500",IF($G73&lt;=2,"940000",IF($G73&lt;=3,"922500",IF($G73&lt;=4,"897500",IF($G73&lt;=5,"867500",IF($G73&lt;=6,"830000",IF($G73&lt;=7,"710000",IF($G73&lt;=8,"450000",0))))))))))+0</f>
        <v>0</v>
      </c>
      <c r="BR73" s="217">
        <f>(IF($H73&lt;=0,"0",IF($H73&lt;=1,"952500",IF($H73&lt;=2,"940000",IF($H73&lt;=3,"922500",IF($H73&lt;=4,"897500",IF($H73&lt;=5,"867500",IF($H73&lt;=6,"830000",IF($H73&lt;=7,"710000",IF($H73&lt;=8,"450000",0))))))))))+0</f>
        <v>952500</v>
      </c>
      <c r="BS73" s="218">
        <f>SUM(BO73,BP73,BQ73,BR73)</f>
        <v>1905000</v>
      </c>
    </row>
    <row r="74" spans="1:71" s="81" customFormat="1" ht="30" customHeight="1">
      <c r="A74" s="192">
        <f ca="1">SUBTOTAL(3,$C$3:Character[[#This Row],[Name]])</f>
        <v>72</v>
      </c>
      <c r="B74" s="192" t="e" vm="634">
        <f>ImgDatabase!D74</f>
        <v>#VALUE!</v>
      </c>
      <c r="C74" s="193" t="s">
        <v>602</v>
      </c>
      <c r="D74" s="194" t="str">
        <f>IFERROR(INDEX(CharacterDetailss[Element], MATCH(Character[[#This Row],[Name]], CharacterDetailss[Name], 0)), "")</f>
        <v/>
      </c>
      <c r="E74" s="194" t="str">
        <f>IFERROR(INDEX(CharacterDetailss[Weapon Type], MATCH(Character[[#This Row],[Name]], CharacterDetailss[Name], 0)), "")</f>
        <v/>
      </c>
      <c r="F74" s="198">
        <v>1</v>
      </c>
      <c r="G74" s="72">
        <v>81</v>
      </c>
      <c r="H74" s="73">
        <v>1</v>
      </c>
      <c r="I74" s="74">
        <v>1</v>
      </c>
      <c r="J74" s="75">
        <v>1</v>
      </c>
      <c r="K74"/>
      <c r="L74" s="75">
        <v>81</v>
      </c>
      <c r="M74" s="73">
        <v>1</v>
      </c>
      <c r="N74" s="74">
        <v>9</v>
      </c>
      <c r="O74" s="74">
        <v>9</v>
      </c>
      <c r="P74"/>
      <c r="Q74" s="230" t="str">
        <f>IFERROR(INDEX(ImgDatabase!$O:$O, MATCH(WorldBoss[[#This Row],[Boss Name]], ImgDatabase!$P:$P, 0)), "")</f>
        <v/>
      </c>
      <c r="R74" s="230" t="s">
        <v>603</v>
      </c>
      <c r="S74" s="297">
        <f>(IF($E74&lt;=0,"0",IF($E74&lt;=40,"46",IF($E74&lt;=50,"44",IF($E74&lt;=60,"40",IF($E74&lt;=70,"32",IF($E74&lt;=80,"20","0")))))))+0</f>
        <v>0</v>
      </c>
      <c r="T74"/>
      <c r="U7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4" s="222" t="s">
        <v>604</v>
      </c>
      <c r="W74" s="223">
        <f>Z74+AC74+AF74</f>
        <v>44</v>
      </c>
      <c r="X74" s="223">
        <f>AA74+AD74+AG74</f>
        <v>42</v>
      </c>
      <c r="Y74" s="221">
        <f>AB74+AE74+AH74</f>
        <v>6</v>
      </c>
      <c r="Z74" s="267">
        <f>(IF($F74&lt;=0,"0",IF($F74&lt;=6,"22",IF($F74&lt;=7,"18",IF($F74&lt;=8,"12",0)))))+0</f>
        <v>22</v>
      </c>
      <c r="AA74" s="268">
        <f>(IF($F74&lt;=0,"0",IF($F74&lt;=2,"21",IF($F74&lt;=3,"19",IF($F74&lt;=4,"15",IF($F74&lt;=5,"9",0))))))+0</f>
        <v>21</v>
      </c>
      <c r="AB74" s="268">
        <f>(IF($F74&lt;=0,"0",IF($F74&lt;=1,"3",0)))+0</f>
        <v>3</v>
      </c>
      <c r="AC74" s="268">
        <f>(IF($G74&lt;=0,"0",IF($G74&lt;=6,"22",IF($G74&lt;=7,"18",IF($G74&lt;=8,"12",0)))))+0</f>
        <v>0</v>
      </c>
      <c r="AD74" s="268">
        <f>(IF($G74&lt;=0,"0",IF($G74&lt;=2,"21",IF($G74&lt;=3,"19",IF($G74&lt;=4,"15",IF($G74&lt;=5,"9",0))))))+0</f>
        <v>0</v>
      </c>
      <c r="AE74" s="268">
        <f>(IF($G74&lt;=0,"0",IF($G74&lt;=1,"3",0)))+0</f>
        <v>0</v>
      </c>
      <c r="AF74" s="268">
        <f>(IF($H74&lt;=0,"0",IF($H74&lt;=6,"22",IF($H74&lt;=7,"18",IF($H74&lt;=8,"12",0)))))+0</f>
        <v>22</v>
      </c>
      <c r="AG74" s="268">
        <f>(IF($H74&lt;=0,"0",IF($H74&lt;=2,"21",IF($H74&lt;=3,"19",IF($H74&lt;=4,"15",IF($H74&lt;=5,"9",0))))))+0</f>
        <v>21</v>
      </c>
      <c r="AH74" s="269">
        <f>(IF($H74&lt;=0,"0",IF($H74&lt;=1,"3",0)))+0</f>
        <v>3</v>
      </c>
      <c r="AI74" s="227" t="s">
        <v>541</v>
      </c>
      <c r="AJ74" s="228" t="s">
        <v>542</v>
      </c>
      <c r="AK74" s="270">
        <f>(IF($F74&lt;=0,"0",IF($F74&lt;=6,"4",IF($F74&lt;=7,"3",IF($F74&lt;=8,"2","0")))))+0</f>
        <v>4</v>
      </c>
      <c r="AL74" s="270">
        <f>(IF($G74&lt;=0,"0",IF($G74&lt;=6,"4",IF($G74&lt;=7,"3",IF($G74&lt;=8,"2","0")))))+0</f>
        <v>0</v>
      </c>
      <c r="AM74" s="270">
        <f>(IF($H74&lt;=0,"0",IF($H74&lt;=6,"4",IF($H74&lt;=7,"3",IF($H74&lt;=8,"2","0")))))+0</f>
        <v>4</v>
      </c>
      <c r="AN74" s="220">
        <f>SUM(AK74:AM74)</f>
        <v>8</v>
      </c>
      <c r="AO74" s="230" t="s">
        <v>604</v>
      </c>
      <c r="AP74" s="230">
        <f>(IF($E74&lt;=0,"0",IF($E74&lt;=20,"168",IF($E74&lt;=30,"165",IF($E74&lt;=50,"155",IF($E74&lt;=60,"135",IF($E74&lt;=70,"105",IF($E74&lt;=80,"60","0"))))))))+0</f>
        <v>0</v>
      </c>
      <c r="AQ74" s="219" t="s">
        <v>605</v>
      </c>
      <c r="AR74" s="228">
        <f>(IF($E74&lt;=0,"0",IF($E74&lt;=80,"6","0")))+0</f>
        <v>0</v>
      </c>
      <c r="AS74" s="228">
        <f>(IF($E74&lt;=0,"0",IF($E74&lt;=60,"9",IF($E74&lt;=70,"6","0"))))+0</f>
        <v>0</v>
      </c>
      <c r="AT74" s="228">
        <f>(IF($E74&lt;=0,"0",IF($E74&lt;=40,"9",IF($E74&lt;=50,"6","0"))))+0</f>
        <v>0</v>
      </c>
      <c r="AU74" s="231">
        <f>(IF($E74&lt;=0,"0",IF($E74&lt;=20,"1","0")))+0</f>
        <v>0</v>
      </c>
      <c r="AV74" s="266" t="s">
        <v>604</v>
      </c>
      <c r="AW74" s="228">
        <f>(IF($E74&lt;=0,"0",IF($E74&lt;=70,"36",IF($E74&lt;=80,"24","0"))))+0</f>
        <v>0</v>
      </c>
      <c r="AX74" s="228">
        <f>(IF($E74&lt;=0,"0",IF($E74&lt;=50,"30",IF($E74&lt;=60,"18","0"))))+0</f>
        <v>0</v>
      </c>
      <c r="AY74" s="228">
        <f>(IF($E74&lt;=0,"0",IF($E74&lt;=20,"18",IF($E74&lt;=40,"15","0"))))+0</f>
        <v>0</v>
      </c>
      <c r="AZ74" s="232">
        <f>Summary2831[[#This Row],[3*2]]+Summary2831[[#This Row],[3*22]]+Summary2831[[#This Row],[3*23]]</f>
        <v>57</v>
      </c>
      <c r="BA74" s="233">
        <f>Summary2831[[#This Row],[2*2]]+Summary2831[[#This Row],[2*23]]+Summary2831[[#This Row],[2*24]]</f>
        <v>66</v>
      </c>
      <c r="BB74" s="233">
        <f>Summary2831[[#This Row],[1*2]]+Summary2831[[#This Row],[1*24]]+Summary2831[[#This Row],[1*25]]</f>
        <v>18</v>
      </c>
      <c r="BC74" s="234">
        <f>IF($F74&lt;=0,"0",IF($F74&lt;=6,"19",IF($F74&lt;=7,"18",IF($F74&lt;=8,"9",0))))+0</f>
        <v>19</v>
      </c>
      <c r="BD74" s="234">
        <f>IF($F74&lt;=0,"0",IF($F74&lt;=2,"22",IF($F74&lt;=3,"19",IF($F74&lt;=4,"15",IF($F74&lt;=5,"9",0)))))+0</f>
        <v>22</v>
      </c>
      <c r="BE74" s="234">
        <f>IF($F74&lt;=0,"0",IF($F74&lt;=1,"6",0))+0</f>
        <v>6</v>
      </c>
      <c r="BF74" s="234">
        <f>IF($G74&lt;=0,"0",IF($G74&lt;=6,"19",IF($G74&lt;=7,"18",IF($G74&lt;=8,"9",0))))+0</f>
        <v>0</v>
      </c>
      <c r="BG74" s="234">
        <f>IF($G74&lt;=0,"0",IF($G74&lt;=2,"22",IF($G74&lt;=3,"19",IF($G74&lt;=4,"15",IF($G74&lt;=5,"9",0)))))+0</f>
        <v>0</v>
      </c>
      <c r="BH74" s="234">
        <f>IF($G74&lt;=0,"0",IF($G74&lt;=1,"6",0))+0</f>
        <v>0</v>
      </c>
      <c r="BI74" s="234">
        <f>IF($H74&lt;=0,"0",IF($H74&lt;=6,"19",IF($H74&lt;=7,"18",IF($H74&lt;=8,"9",0))))+0</f>
        <v>19</v>
      </c>
      <c r="BJ74" s="234">
        <f>IF($H74&lt;=0,"0",IF($H74&lt;=2,"22",IF($H74&lt;=3,"19",IF($H74&lt;=4,"15",IF($H74&lt;=5,"9",0)))))+0</f>
        <v>22</v>
      </c>
      <c r="BK74" s="234">
        <f>IF($H74&lt;=0,"0",IF($H74&lt;=1,"6",0))+0</f>
        <v>6</v>
      </c>
      <c r="BL74" s="219">
        <f>SUM(Summary2831[[#This Row],[3*
(Tal)]],Summary2831[[#This Row],[3*
(Asc)]])</f>
        <v>57</v>
      </c>
      <c r="BM74" s="228">
        <f>SUM(Summary2831[[#This Row],[2*
(Tal)]],Summary2831[[#This Row],[2*
(Asc)]])</f>
        <v>66</v>
      </c>
      <c r="BN74" s="231">
        <f>SUM(Summary2831[[#This Row],[1*
(Tal)]],Summary2831[[#This Row],[1*
(Asc)]])</f>
        <v>18</v>
      </c>
      <c r="BO74" s="235">
        <f>(IF($E74&lt;=0,"0",IF($E74&lt;=1,"2092530",IF($E74&lt;=10,"2087525",IF($E74&lt;=20,"2068495",IF($E74&lt;=30,"2005910",IF($E74&lt;=40,"1932830",IF($E74&lt;=50,"1777010",IF($E74&lt;=60,"1546185",IF($E74&lt;=70,"1227000",IF($E74&lt;=80,"804625",IF($E74&lt;=81,"647990",IF($E74&lt;=90,"0",0)))))))))))))+0</f>
        <v>0</v>
      </c>
      <c r="BP74" s="236">
        <f>(IF($F74&lt;=0,"0",IF($F74&lt;=1,"952500",IF($F74&lt;=2,"940000",IF($F74&lt;=3,"922500",IF($F74&lt;=4,"897500",IF($F74&lt;=5,"867500",IF($F74&lt;=6,"830000",IF($F74&lt;=7,"710000",IF($F74&lt;=8,"450000",0))))))))))+0</f>
        <v>952500</v>
      </c>
      <c r="BQ74" s="236">
        <f>(IF($G74&lt;=0,"0",IF($G74&lt;=1,"952500",IF($G74&lt;=2,"940000",IF($G74&lt;=3,"922500",IF($G74&lt;=4,"897500",IF($G74&lt;=5,"867500",IF($G74&lt;=6,"830000",IF($G74&lt;=7,"710000",IF($G74&lt;=8,"450000",0))))))))))+0</f>
        <v>0</v>
      </c>
      <c r="BR74" s="236">
        <f>(IF($H74&lt;=0,"0",IF($H74&lt;=1,"952500",IF($H74&lt;=2,"940000",IF($H74&lt;=3,"922500",IF($H74&lt;=4,"897500",IF($H74&lt;=5,"867500",IF($H74&lt;=6,"830000",IF($H74&lt;=7,"710000",IF($H74&lt;=8,"450000",0))))))))))+0</f>
        <v>952500</v>
      </c>
      <c r="BS74" s="237">
        <f>SUM(BO74,BP74,BQ74,BR74)</f>
        <v>1905000</v>
      </c>
    </row>
    <row r="75" spans="1:71" s="81" customFormat="1" ht="30" customHeight="1">
      <c r="A75" s="192">
        <f ca="1">SUBTOTAL(3,$C$3:Character[[#This Row],[Name]])</f>
        <v>73</v>
      </c>
      <c r="B75" s="192" t="e" vm="635">
        <f>ImgDatabase!D75</f>
        <v>#VALUE!</v>
      </c>
      <c r="C75" s="193" t="s">
        <v>602</v>
      </c>
      <c r="D75" s="194" t="str">
        <f>IFERROR(INDEX(CharacterDetailss[Element], MATCH(Character[[#This Row],[Name]], CharacterDetailss[Name], 0)), "")</f>
        <v/>
      </c>
      <c r="E75" s="194" t="str">
        <f>IFERROR(INDEX(CharacterDetailss[Weapon Type], MATCH(Character[[#This Row],[Name]], CharacterDetailss[Name], 0)), "")</f>
        <v/>
      </c>
      <c r="F75" s="198">
        <v>1</v>
      </c>
      <c r="G75" s="72">
        <v>81</v>
      </c>
      <c r="H75" s="73">
        <v>5</v>
      </c>
      <c r="I75" s="74">
        <v>6</v>
      </c>
      <c r="J75" s="75">
        <v>6</v>
      </c>
      <c r="K75"/>
      <c r="L75" s="75">
        <v>81</v>
      </c>
      <c r="M75" s="73">
        <v>1</v>
      </c>
      <c r="N75" s="74">
        <v>9</v>
      </c>
      <c r="O75" s="74">
        <v>9</v>
      </c>
      <c r="P75"/>
      <c r="Q75" s="210" t="str">
        <f>IFERROR(INDEX(ImgDatabase!$O:$O, MATCH(WorldBoss[[#This Row],[Boss Name]], ImgDatabase!$P:$P, 0)), "")</f>
        <v/>
      </c>
      <c r="R75" s="210" t="s">
        <v>603</v>
      </c>
      <c r="S75" s="298">
        <f>(IF($E75&lt;=0,"0",IF($E75&lt;=40,"46",IF($E75&lt;=50,"44",IF($E75&lt;=60,"40",IF($E75&lt;=70,"32",IF($E75&lt;=80,"20","0")))))))+0</f>
        <v>0</v>
      </c>
      <c r="T75"/>
      <c r="U7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5" s="202" t="s">
        <v>604</v>
      </c>
      <c r="W75" s="203">
        <f>Z75+AC75+AF75</f>
        <v>44</v>
      </c>
      <c r="X75" s="203">
        <f>AA75+AD75+AG75</f>
        <v>30</v>
      </c>
      <c r="Y75" s="201">
        <f>AB75+AE75+AH75</f>
        <v>3</v>
      </c>
      <c r="Z75" s="272">
        <f>(IF($F75&lt;=0,"0",IF($F75&lt;=6,"22",IF($F75&lt;=7,"18",IF($F75&lt;=8,"12",0)))))+0</f>
        <v>22</v>
      </c>
      <c r="AA75" s="273">
        <f>(IF($F75&lt;=0,"0",IF($F75&lt;=2,"21",IF($F75&lt;=3,"19",IF($F75&lt;=4,"15",IF($F75&lt;=5,"9",0))))))+0</f>
        <v>21</v>
      </c>
      <c r="AB75" s="273">
        <f>(IF($F75&lt;=0,"0",IF($F75&lt;=1,"3",0)))+0</f>
        <v>3</v>
      </c>
      <c r="AC75" s="273">
        <f>(IF($G75&lt;=0,"0",IF($G75&lt;=6,"22",IF($G75&lt;=7,"18",IF($G75&lt;=8,"12",0)))))+0</f>
        <v>0</v>
      </c>
      <c r="AD75" s="273">
        <f>(IF($G75&lt;=0,"0",IF($G75&lt;=2,"21",IF($G75&lt;=3,"19",IF($G75&lt;=4,"15",IF($G75&lt;=5,"9",0))))))+0</f>
        <v>0</v>
      </c>
      <c r="AE75" s="273">
        <f>(IF($G75&lt;=0,"0",IF($G75&lt;=1,"3",0)))+0</f>
        <v>0</v>
      </c>
      <c r="AF75" s="273">
        <f>(IF($H75&lt;=0,"0",IF($H75&lt;=6,"22",IF($H75&lt;=7,"18",IF($H75&lt;=8,"12",0)))))+0</f>
        <v>22</v>
      </c>
      <c r="AG75" s="273">
        <f>(IF($H75&lt;=0,"0",IF($H75&lt;=2,"21",IF($H75&lt;=3,"19",IF($H75&lt;=4,"15",IF($H75&lt;=5,"9",0))))))+0</f>
        <v>9</v>
      </c>
      <c r="AH75" s="274">
        <f>(IF($H75&lt;=0,"0",IF($H75&lt;=1,"3",0)))+0</f>
        <v>0</v>
      </c>
      <c r="AI75" s="207" t="s">
        <v>604</v>
      </c>
      <c r="AJ75" s="208" t="s">
        <v>604</v>
      </c>
      <c r="AK75" s="275">
        <f>(IF($F75&lt;=0,"0",IF($F75&lt;=6,"4",IF($F75&lt;=7,"3",IF($F75&lt;=8,"2","0")))))+0</f>
        <v>4</v>
      </c>
      <c r="AL75" s="275">
        <f>(IF($G75&lt;=0,"0",IF($G75&lt;=6,"4",IF($G75&lt;=7,"3",IF($G75&lt;=8,"2","0")))))+0</f>
        <v>0</v>
      </c>
      <c r="AM75" s="275">
        <f>(IF($H75&lt;=0,"0",IF($H75&lt;=6,"4",IF($H75&lt;=7,"3",IF($H75&lt;=8,"2","0")))))+0</f>
        <v>4</v>
      </c>
      <c r="AN75" s="200">
        <f>SUM(AK75:AM75)</f>
        <v>8</v>
      </c>
      <c r="AO75" s="210" t="s">
        <v>604</v>
      </c>
      <c r="AP75" s="210">
        <f>(IF($E75&lt;=0,"0",IF($E75&lt;=20,"168",IF($E75&lt;=30,"165",IF($E75&lt;=50,"155",IF($E75&lt;=60,"135",IF($E75&lt;=70,"105",IF($E75&lt;=80,"60","0"))))))))+0</f>
        <v>0</v>
      </c>
      <c r="AQ75" s="199" t="s">
        <v>605</v>
      </c>
      <c r="AR75" s="208">
        <f>(IF($E75&lt;=0,"0",IF($E75&lt;=80,"6","0")))+0</f>
        <v>0</v>
      </c>
      <c r="AS75" s="208">
        <f>(IF($E75&lt;=0,"0",IF($E75&lt;=60,"9",IF($E75&lt;=70,"6","0"))))+0</f>
        <v>0</v>
      </c>
      <c r="AT75" s="208">
        <f>(IF($E75&lt;=0,"0",IF($E75&lt;=40,"9",IF($E75&lt;=50,"6","0"))))+0</f>
        <v>0</v>
      </c>
      <c r="AU75" s="211">
        <f>(IF($E75&lt;=0,"0",IF($E75&lt;=20,"1","0")))+0</f>
        <v>0</v>
      </c>
      <c r="AV75" s="271" t="s">
        <v>604</v>
      </c>
      <c r="AW75" s="208">
        <f>(IF($E75&lt;=0,"0",IF($E75&lt;=70,"36",IF($E75&lt;=80,"24","0"))))+0</f>
        <v>0</v>
      </c>
      <c r="AX75" s="208">
        <f>(IF($E75&lt;=0,"0",IF($E75&lt;=50,"30",IF($E75&lt;=60,"18","0"))))+0</f>
        <v>0</v>
      </c>
      <c r="AY75" s="208">
        <f>(IF($E75&lt;=0,"0",IF($E75&lt;=20,"18",IF($E75&lt;=40,"15","0"))))+0</f>
        <v>0</v>
      </c>
      <c r="AZ75" s="212">
        <f>Summary2831[[#This Row],[3*2]]+Summary2831[[#This Row],[3*22]]+Summary2831[[#This Row],[3*23]]</f>
        <v>57</v>
      </c>
      <c r="BA75" s="213">
        <f>Summary2831[[#This Row],[2*2]]+Summary2831[[#This Row],[2*23]]+Summary2831[[#This Row],[2*24]]</f>
        <v>66</v>
      </c>
      <c r="BB75" s="213">
        <f>Summary2831[[#This Row],[1*2]]+Summary2831[[#This Row],[1*24]]+Summary2831[[#This Row],[1*25]]</f>
        <v>18</v>
      </c>
      <c r="BC75" s="215">
        <f>IF($F75&lt;=0,"0",IF($F75&lt;=6,"19",IF($F75&lt;=7,"18",IF($F75&lt;=8,"9",0))))+0</f>
        <v>19</v>
      </c>
      <c r="BD75" s="215">
        <f>IF($F75&lt;=0,"0",IF($F75&lt;=2,"22",IF($F75&lt;=3,"19",IF($F75&lt;=4,"15",IF($F75&lt;=5,"9",0)))))+0</f>
        <v>22</v>
      </c>
      <c r="BE75" s="215">
        <f>IF($F75&lt;=0,"0",IF($F75&lt;=1,"6",0))+0</f>
        <v>6</v>
      </c>
      <c r="BF75" s="215">
        <f>IF($G75&lt;=0,"0",IF($G75&lt;=6,"19",IF($G75&lt;=7,"18",IF($G75&lt;=8,"9",0))))+0</f>
        <v>0</v>
      </c>
      <c r="BG75" s="215">
        <f>IF($G75&lt;=0,"0",IF($G75&lt;=2,"22",IF($G75&lt;=3,"19",IF($G75&lt;=4,"15",IF($G75&lt;=5,"9",0)))))+0</f>
        <v>0</v>
      </c>
      <c r="BH75" s="215">
        <f>IF($G75&lt;=0,"0",IF($G75&lt;=1,"6",0))+0</f>
        <v>0</v>
      </c>
      <c r="BI75" s="215">
        <f>IF($H75&lt;=0,"0",IF($H75&lt;=6,"19",IF($H75&lt;=7,"18",IF($H75&lt;=8,"9",0))))+0</f>
        <v>19</v>
      </c>
      <c r="BJ75" s="215">
        <f>IF($H75&lt;=0,"0",IF($H75&lt;=2,"22",IF($H75&lt;=3,"19",IF($H75&lt;=4,"15",IF($H75&lt;=5,"9",0)))))+0</f>
        <v>9</v>
      </c>
      <c r="BK75" s="215">
        <f>IF($H75&lt;=0,"0",IF($H75&lt;=1,"6",0))+0</f>
        <v>0</v>
      </c>
      <c r="BL75" s="199">
        <f>SUM(Summary2831[[#This Row],[3*
(Tal)]],Summary2831[[#This Row],[3*
(Asc)]])</f>
        <v>57</v>
      </c>
      <c r="BM75" s="208">
        <f>SUM(Summary2831[[#This Row],[2*
(Tal)]],Summary2831[[#This Row],[2*
(Asc)]])</f>
        <v>66</v>
      </c>
      <c r="BN75" s="211">
        <f>SUM(Summary2831[[#This Row],[1*
(Tal)]],Summary2831[[#This Row],[1*
(Asc)]])</f>
        <v>18</v>
      </c>
      <c r="BO75" s="216">
        <f>(IF($E75&lt;=0,"0",IF($E75&lt;=1,"2092530",IF($E75&lt;=10,"2087525",IF($E75&lt;=20,"2068495",IF($E75&lt;=30,"2005910",IF($E75&lt;=40,"1932830",IF($E75&lt;=50,"1777010",IF($E75&lt;=60,"1546185",IF($E75&lt;=70,"1227000",IF($E75&lt;=80,"804625",IF($E75&lt;=81,"647990",IF($E75&lt;=90,"0",0)))))))))))))+0</f>
        <v>0</v>
      </c>
      <c r="BP75" s="217">
        <f>(IF($F75&lt;=0,"0",IF($F75&lt;=1,"952500",IF($F75&lt;=2,"940000",IF($F75&lt;=3,"922500",IF($F75&lt;=4,"897500",IF($F75&lt;=5,"867500",IF($F75&lt;=6,"830000",IF($F75&lt;=7,"710000",IF($F75&lt;=8,"450000",0))))))))))+0</f>
        <v>952500</v>
      </c>
      <c r="BQ75" s="217">
        <f>(IF($G75&lt;=0,"0",IF($G75&lt;=1,"952500",IF($G75&lt;=2,"940000",IF($G75&lt;=3,"922500",IF($G75&lt;=4,"897500",IF($G75&lt;=5,"867500",IF($G75&lt;=6,"830000",IF($G75&lt;=7,"710000",IF($G75&lt;=8,"450000",0))))))))))+0</f>
        <v>0</v>
      </c>
      <c r="BR75" s="217">
        <f>(IF($H75&lt;=0,"0",IF($H75&lt;=1,"952500",IF($H75&lt;=2,"940000",IF($H75&lt;=3,"922500",IF($H75&lt;=4,"897500",IF($H75&lt;=5,"867500",IF($H75&lt;=6,"830000",IF($H75&lt;=7,"710000",IF($H75&lt;=8,"450000",0))))))))))+0</f>
        <v>867500</v>
      </c>
      <c r="BS75" s="218">
        <f>SUM(BO75,BP75,BQ75,BR75)</f>
        <v>1820000</v>
      </c>
    </row>
    <row r="76" spans="1:71" s="81" customFormat="1" ht="30" customHeight="1">
      <c r="A76" s="192">
        <f ca="1">SUBTOTAL(3,$C$3:Character[[#This Row],[Name]])</f>
        <v>74</v>
      </c>
      <c r="B76" s="192" t="e" vm="636">
        <f>ImgDatabase!D76</f>
        <v>#VALUE!</v>
      </c>
      <c r="C76" s="193" t="s">
        <v>602</v>
      </c>
      <c r="D76" s="194" t="str">
        <f>IFERROR(INDEX(CharacterDetailss[Element], MATCH(Character[[#This Row],[Name]], CharacterDetailss[Name], 0)), "")</f>
        <v/>
      </c>
      <c r="E76" s="194" t="str">
        <f>IFERROR(INDEX(CharacterDetailss[Weapon Type], MATCH(Character[[#This Row],[Name]], CharacterDetailss[Name], 0)), "")</f>
        <v/>
      </c>
      <c r="F76" s="198">
        <v>1</v>
      </c>
      <c r="G76" s="72">
        <v>81</v>
      </c>
      <c r="H76" s="73">
        <v>1</v>
      </c>
      <c r="I76" s="74">
        <v>1</v>
      </c>
      <c r="J76" s="75">
        <v>1</v>
      </c>
      <c r="K76"/>
      <c r="L76" s="75">
        <v>81</v>
      </c>
      <c r="M76" s="73">
        <v>1</v>
      </c>
      <c r="N76" s="74">
        <v>9</v>
      </c>
      <c r="O76" s="74">
        <v>9</v>
      </c>
      <c r="P76"/>
      <c r="Q76" s="230" t="str">
        <f>IFERROR(INDEX(ImgDatabase!$O:$O, MATCH(WorldBoss[[#This Row],[Boss Name]], ImgDatabase!$P:$P, 0)), "")</f>
        <v/>
      </c>
      <c r="R76" s="230" t="s">
        <v>603</v>
      </c>
      <c r="S76" s="297">
        <f>(IF($E76&lt;=0,"0",IF($E76&lt;=40,"46",IF($E76&lt;=50,"44",IF($E76&lt;=60,"40",IF($E76&lt;=70,"32",IF($E76&lt;=80,"20","0")))))))+0</f>
        <v>0</v>
      </c>
      <c r="T76"/>
      <c r="U7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6" s="222" t="s">
        <v>604</v>
      </c>
      <c r="W76" s="223">
        <f>Z76+AC76+AF76</f>
        <v>44</v>
      </c>
      <c r="X76" s="223">
        <f>AA76+AD76+AG76</f>
        <v>42</v>
      </c>
      <c r="Y76" s="221">
        <f>AB76+AE76+AH76</f>
        <v>6</v>
      </c>
      <c r="Z76" s="267">
        <f>(IF($F76&lt;=0,"0",IF($F76&lt;=6,"22",IF($F76&lt;=7,"18",IF($F76&lt;=8,"12",0)))))+0</f>
        <v>22</v>
      </c>
      <c r="AA76" s="268">
        <f>(IF($F76&lt;=0,"0",IF($F76&lt;=2,"21",IF($F76&lt;=3,"19",IF($F76&lt;=4,"15",IF($F76&lt;=5,"9",0))))))+0</f>
        <v>21</v>
      </c>
      <c r="AB76" s="268">
        <f>(IF($F76&lt;=0,"0",IF($F76&lt;=1,"3",0)))+0</f>
        <v>3</v>
      </c>
      <c r="AC76" s="268">
        <f>(IF($G76&lt;=0,"0",IF($G76&lt;=6,"22",IF($G76&lt;=7,"18",IF($G76&lt;=8,"12",0)))))+0</f>
        <v>0</v>
      </c>
      <c r="AD76" s="268">
        <f>(IF($G76&lt;=0,"0",IF($G76&lt;=2,"21",IF($G76&lt;=3,"19",IF($G76&lt;=4,"15",IF($G76&lt;=5,"9",0))))))+0</f>
        <v>0</v>
      </c>
      <c r="AE76" s="268">
        <f>(IF($G76&lt;=0,"0",IF($G76&lt;=1,"3",0)))+0</f>
        <v>0</v>
      </c>
      <c r="AF76" s="268">
        <f>(IF($H76&lt;=0,"0",IF($H76&lt;=6,"22",IF($H76&lt;=7,"18",IF($H76&lt;=8,"12",0)))))+0</f>
        <v>22</v>
      </c>
      <c r="AG76" s="268">
        <f>(IF($H76&lt;=0,"0",IF($H76&lt;=2,"21",IF($H76&lt;=3,"19",IF($H76&lt;=4,"15",IF($H76&lt;=5,"9",0))))))+0</f>
        <v>21</v>
      </c>
      <c r="AH76" s="269">
        <f>(IF($H76&lt;=0,"0",IF($H76&lt;=1,"3",0)))+0</f>
        <v>3</v>
      </c>
      <c r="AI76" s="227" t="s">
        <v>531</v>
      </c>
      <c r="AJ76" s="228" t="s">
        <v>532</v>
      </c>
      <c r="AK76" s="270">
        <f>(IF($F76&lt;=0,"0",IF($F76&lt;=6,"4",IF($F76&lt;=7,"3",IF($F76&lt;=8,"2","0")))))+0</f>
        <v>4</v>
      </c>
      <c r="AL76" s="270">
        <f>(IF($G76&lt;=0,"0",IF($G76&lt;=6,"4",IF($G76&lt;=7,"3",IF($G76&lt;=8,"2","0")))))+0</f>
        <v>0</v>
      </c>
      <c r="AM76" s="270">
        <f>(IF($H76&lt;=0,"0",IF($H76&lt;=6,"4",IF($H76&lt;=7,"3",IF($H76&lt;=8,"2","0")))))+0</f>
        <v>4</v>
      </c>
      <c r="AN76" s="220">
        <f>SUM(AK76:AM76)</f>
        <v>8</v>
      </c>
      <c r="AO76" s="228" t="s">
        <v>551</v>
      </c>
      <c r="AP76" s="230">
        <f>(IF($E76&lt;=0,"0",IF($E76&lt;=20,"168",IF($E76&lt;=30,"165",IF($E76&lt;=50,"155",IF($E76&lt;=60,"135",IF($E76&lt;=70,"105",IF($E76&lt;=80,"60","0"))))))))+0</f>
        <v>0</v>
      </c>
      <c r="AQ76" s="219" t="s">
        <v>605</v>
      </c>
      <c r="AR76" s="228">
        <f>(IF($E76&lt;=0,"0",IF($E76&lt;=80,"6","0")))+0</f>
        <v>0</v>
      </c>
      <c r="AS76" s="228">
        <f>(IF($E76&lt;=0,"0",IF($E76&lt;=60,"9",IF($E76&lt;=70,"6","0"))))+0</f>
        <v>0</v>
      </c>
      <c r="AT76" s="228">
        <f>(IF($E76&lt;=0,"0",IF($E76&lt;=40,"9",IF($E76&lt;=50,"6","0"))))+0</f>
        <v>0</v>
      </c>
      <c r="AU76" s="231">
        <f>(IF($E76&lt;=0,"0",IF($E76&lt;=20,"1","0")))+0</f>
        <v>0</v>
      </c>
      <c r="AV76" s="219" t="s">
        <v>89</v>
      </c>
      <c r="AW76" s="228">
        <f>(IF($E76&lt;=0,"0",IF($E76&lt;=70,"36",IF($E76&lt;=80,"24","0"))))+0</f>
        <v>0</v>
      </c>
      <c r="AX76" s="228">
        <f>(IF($E76&lt;=0,"0",IF($E76&lt;=50,"30",IF($E76&lt;=60,"18","0"))))+0</f>
        <v>0</v>
      </c>
      <c r="AY76" s="228">
        <f>(IF($E76&lt;=0,"0",IF($E76&lt;=20,"18",IF($E76&lt;=40,"15","0"))))+0</f>
        <v>0</v>
      </c>
      <c r="AZ76" s="232">
        <f>Summary2831[[#This Row],[3*2]]+Summary2831[[#This Row],[3*22]]+Summary2831[[#This Row],[3*23]]</f>
        <v>57</v>
      </c>
      <c r="BA76" s="276">
        <f>Summary2831[[#This Row],[2*2]]+Summary2831[[#This Row],[2*23]]+Summary2831[[#This Row],[2*24]]</f>
        <v>9</v>
      </c>
      <c r="BB76" s="276">
        <f>Summary2831[[#This Row],[1*2]]+Summary2831[[#This Row],[1*24]]+Summary2831[[#This Row],[1*25]]</f>
        <v>0</v>
      </c>
      <c r="BC76" s="277">
        <f>IF($F76&lt;=0,"0",IF($F76&lt;=6,"19",IF($F76&lt;=7,"18",IF($F76&lt;=8,"9",0))))+0</f>
        <v>19</v>
      </c>
      <c r="BD76" s="277">
        <f>IF($F76&lt;=0,"0",IF($F76&lt;=2,"22",IF($F76&lt;=3,"19",IF($F76&lt;=4,"15",IF($F76&lt;=5,"9",0)))))+0</f>
        <v>22</v>
      </c>
      <c r="BE76" s="277">
        <f>IF($F76&lt;=0,"0",IF($F76&lt;=1,"6",0))+0</f>
        <v>6</v>
      </c>
      <c r="BF76" s="277">
        <f>IF($G76&lt;=0,"0",IF($G76&lt;=6,"19",IF($G76&lt;=7,"18",IF($G76&lt;=8,"9",0))))+0</f>
        <v>0</v>
      </c>
      <c r="BG76" s="277">
        <f>IF($G76&lt;=0,"0",IF($G76&lt;=2,"22",IF($G76&lt;=3,"19",IF($G76&lt;=4,"15",IF($G76&lt;=5,"9",0)))))+0</f>
        <v>0</v>
      </c>
      <c r="BH76" s="277">
        <f>IF($G76&lt;=0,"0",IF($G76&lt;=1,"6",0))+0</f>
        <v>0</v>
      </c>
      <c r="BI76" s="277">
        <f>IF($H76&lt;=0,"0",IF($H76&lt;=6,"19",IF($H76&lt;=7,"18",IF($H76&lt;=8,"9",0))))+0</f>
        <v>19</v>
      </c>
      <c r="BJ76" s="277">
        <f>IF($H76&lt;=0,"0",IF($H76&lt;=2,"22",IF($H76&lt;=3,"19",IF($H76&lt;=4,"15",IF($H76&lt;=5,"9",0)))))+0</f>
        <v>22</v>
      </c>
      <c r="BK76" s="277">
        <f>IF($H76&lt;=0,"0",IF($H76&lt;=1,"6",0))+0</f>
        <v>6</v>
      </c>
      <c r="BL76" s="219">
        <f>SUM(Summary2831[[#This Row],[3*
(Tal)]],Summary2831[[#This Row],[3*
(Asc)]])</f>
        <v>57</v>
      </c>
      <c r="BM76" s="228">
        <f>SUM(Summary2831[[#This Row],[2*
(Tal)]],Summary2831[[#This Row],[2*
(Asc)]])</f>
        <v>9</v>
      </c>
      <c r="BN76" s="231">
        <f>SUM(Summary2831[[#This Row],[1*
(Tal)]],Summary2831[[#This Row],[1*
(Asc)]])</f>
        <v>0</v>
      </c>
      <c r="BO76" s="235">
        <f>(IF($E76&lt;=0,"0",IF($E76&lt;=1,"2092530",IF($E76&lt;=10,"2087525",IF($E76&lt;=20,"2068495",IF($E76&lt;=30,"2005910",IF($E76&lt;=40,"1932830",IF($E76&lt;=50,"1777010",IF($E76&lt;=60,"1546185",IF($E76&lt;=70,"1227000",IF($E76&lt;=80,"804625",IF($E76&lt;=81,"647990",IF($E76&lt;=90,"0",0)))))))))))))+0</f>
        <v>0</v>
      </c>
      <c r="BP76" s="236">
        <f>(IF($F76&lt;=0,"0",IF($F76&lt;=1,"952500",IF($F76&lt;=2,"940000",IF($F76&lt;=3,"922500",IF($F76&lt;=4,"897500",IF($F76&lt;=5,"867500",IF($F76&lt;=6,"830000",IF($F76&lt;=7,"710000",IF($F76&lt;=8,"450000",0))))))))))+0</f>
        <v>952500</v>
      </c>
      <c r="BQ76" s="236">
        <f>(IF($G76&lt;=0,"0",IF($G76&lt;=1,"952500",IF($G76&lt;=2,"940000",IF($G76&lt;=3,"922500",IF($G76&lt;=4,"897500",IF($G76&lt;=5,"867500",IF($G76&lt;=6,"830000",IF($G76&lt;=7,"710000",IF($G76&lt;=8,"450000",0))))))))))+0</f>
        <v>0</v>
      </c>
      <c r="BR76" s="236">
        <f>(IF($H76&lt;=0,"0",IF($H76&lt;=1,"952500",IF($H76&lt;=2,"940000",IF($H76&lt;=3,"922500",IF($H76&lt;=4,"897500",IF($H76&lt;=5,"867500",IF($H76&lt;=6,"830000",IF($H76&lt;=7,"710000",IF($H76&lt;=8,"450000",0))))))))))+0</f>
        <v>952500</v>
      </c>
      <c r="BS76" s="237">
        <f>SUM(BO76,BP76,BQ76,BR76)</f>
        <v>1905000</v>
      </c>
    </row>
    <row r="77" spans="1:71" ht="30" customHeight="1">
      <c r="A77" s="192">
        <f ca="1">SUBTOTAL(3,$C$3:Character[[#This Row],[Name]])</f>
        <v>75</v>
      </c>
      <c r="B77" s="192" t="e" vm="637">
        <f>ImgDatabase!D77</f>
        <v>#VALUE!</v>
      </c>
      <c r="C77" s="193" t="s">
        <v>396</v>
      </c>
      <c r="D77" s="194" t="e" vm="67">
        <f>IFERROR(INDEX(CharacterDetailss[Element], MATCH(Character[[#This Row],[Name]], CharacterDetailss[Name], 0)), "")</f>
        <v>#VALUE!</v>
      </c>
      <c r="E77" s="194" t="e" vm="216">
        <f>IFERROR(INDEX(CharacterDetailss[Weapon Type], MATCH(Character[[#This Row],[Name]], CharacterDetailss[Name], 0)), "")</f>
        <v>#VALUE!</v>
      </c>
      <c r="F77" s="195">
        <v>1</v>
      </c>
      <c r="G77" s="72">
        <v>90</v>
      </c>
      <c r="H77" s="73">
        <v>1</v>
      </c>
      <c r="I77" s="74">
        <v>9</v>
      </c>
      <c r="J77" s="75">
        <v>9</v>
      </c>
      <c r="L77" s="75">
        <v>81</v>
      </c>
      <c r="M77" s="73">
        <v>1</v>
      </c>
      <c r="N77" s="74">
        <v>9</v>
      </c>
      <c r="O77" s="74">
        <v>9</v>
      </c>
      <c r="Q77" s="210" t="e" vm="346">
        <f>IFERROR(INDEX(ImgDatabase!$O:$O, MATCH(WorldBoss[[#This Row],[Boss Name]], ImgDatabase!$P:$P, 0)), "")</f>
        <v>#VALUE!</v>
      </c>
      <c r="R77" s="208" t="s">
        <v>85</v>
      </c>
      <c r="S77" s="298" t="e">
        <f>(IF($E77&lt;=0,"0",IF($E77&lt;=40,"46",IF($E77&lt;=50,"44",IF($E77&lt;=60,"40",IF($E77&lt;=70,"32",IF($E77&lt;=80,"20","0")))))))+0</f>
        <v>#VALUE!</v>
      </c>
      <c r="U7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7" s="202" t="s">
        <v>519</v>
      </c>
      <c r="W77" s="203">
        <f>Z77+AC77+AF77</f>
        <v>44</v>
      </c>
      <c r="X77" s="203">
        <f>AA77+AD77+AG77</f>
        <v>42</v>
      </c>
      <c r="Y77" s="201">
        <f>AB77+AE77+AH77</f>
        <v>6</v>
      </c>
      <c r="Z77" s="204">
        <f>(IF($F77&lt;=0,"0",IF($F77&lt;=6,"22",IF($F77&lt;=7,"18",IF($F77&lt;=8,"12",0)))))+0</f>
        <v>22</v>
      </c>
      <c r="AA77" s="205">
        <f>(IF($F77&lt;=0,"0",IF($F77&lt;=2,"21",IF($F77&lt;=3,"19",IF($F77&lt;=4,"15",IF($F77&lt;=5,"9",0))))))+0</f>
        <v>21</v>
      </c>
      <c r="AB77" s="205">
        <f>(IF($F77&lt;=0,"0",IF($F77&lt;=1,"3",0)))+0</f>
        <v>3</v>
      </c>
      <c r="AC77" s="205">
        <f>(IF($G77&lt;=0,"0",IF($G77&lt;=6,"22",IF($G77&lt;=7,"18",IF($G77&lt;=8,"12",0)))))+0</f>
        <v>0</v>
      </c>
      <c r="AD77" s="205">
        <f>(IF($G77&lt;=0,"0",IF($G77&lt;=2,"21",IF($G77&lt;=3,"19",IF($G77&lt;=4,"15",IF($G77&lt;=5,"9",0))))))+0</f>
        <v>0</v>
      </c>
      <c r="AE77" s="205">
        <f>(IF($G77&lt;=0,"0",IF($G77&lt;=1,"3",0)))+0</f>
        <v>0</v>
      </c>
      <c r="AF77" s="205">
        <f>(IF($H77&lt;=0,"0",IF($H77&lt;=6,"22",IF($H77&lt;=7,"18",IF($H77&lt;=8,"12",0)))))+0</f>
        <v>22</v>
      </c>
      <c r="AG77" s="205">
        <f>(IF($H77&lt;=0,"0",IF($H77&lt;=2,"21",IF($H77&lt;=3,"19",IF($H77&lt;=4,"15",IF($H77&lt;=5,"9",0))))))+0</f>
        <v>21</v>
      </c>
      <c r="AH77" s="206">
        <f>(IF($H77&lt;=0,"0",IF($H77&lt;=1,"3",0)))+0</f>
        <v>3</v>
      </c>
      <c r="AI77" s="207" t="s">
        <v>543</v>
      </c>
      <c r="AJ77" s="208" t="s">
        <v>600</v>
      </c>
      <c r="AK77" s="209">
        <f>(IF($F77&lt;=0,"0",IF($F77&lt;=6,"4",IF($F77&lt;=7,"3",IF($F77&lt;=8,"2","0")))))+0</f>
        <v>4</v>
      </c>
      <c r="AL77" s="209">
        <f>(IF($G77&lt;=0,"0",IF($G77&lt;=6,"4",IF($G77&lt;=7,"3",IF($G77&lt;=8,"2","0")))))+0</f>
        <v>0</v>
      </c>
      <c r="AM77" s="209">
        <f>(IF($H77&lt;=0,"0",IF($H77&lt;=6,"4",IF($H77&lt;=7,"3",IF($H77&lt;=8,"2","0")))))+0</f>
        <v>4</v>
      </c>
      <c r="AN77" s="200">
        <f>SUM(AK77:AM77)</f>
        <v>8</v>
      </c>
      <c r="AO77" s="208" t="s">
        <v>123</v>
      </c>
      <c r="AP77" s="210" t="e">
        <f>(IF($E77&lt;=0,"0",IF($E77&lt;=20,"168",IF($E77&lt;=30,"165",IF($E77&lt;=50,"155",IF($E77&lt;=60,"135",IF($E77&lt;=70,"105",IF($E77&lt;=80,"60","0"))))))))+0</f>
        <v>#VALUE!</v>
      </c>
      <c r="AQ77" s="199" t="s">
        <v>573</v>
      </c>
      <c r="AR77" s="208" t="e">
        <f>(IF($E77&lt;=0,"0",IF($E77&lt;=80,"6","0")))+0</f>
        <v>#VALUE!</v>
      </c>
      <c r="AS77" s="208" t="e">
        <f>(IF($E77&lt;=0,"0",IF($E77&lt;=60,"9",IF($E77&lt;=70,"6","0"))))+0</f>
        <v>#VALUE!</v>
      </c>
      <c r="AT77" s="208" t="e">
        <f>(IF($E77&lt;=0,"0",IF($E77&lt;=40,"9",IF($E77&lt;=50,"6","0"))))+0</f>
        <v>#VALUE!</v>
      </c>
      <c r="AU77" s="211" t="e">
        <f>(IF($E77&lt;=0,"0",IF($E77&lt;=20,"1","0")))+0</f>
        <v>#VALUE!</v>
      </c>
      <c r="AV77" s="199" t="s">
        <v>178</v>
      </c>
      <c r="AW77" s="208" t="e">
        <f>(IF($E77&lt;=0,"0",IF($E77&lt;=70,"36",IF($E77&lt;=80,"24","0"))))+0</f>
        <v>#VALUE!</v>
      </c>
      <c r="AX77" s="208" t="e">
        <f>(IF($E77&lt;=0,"0",IF($E77&lt;=50,"30",IF($E77&lt;=60,"18","0"))))+0</f>
        <v>#VALUE!</v>
      </c>
      <c r="AY77" s="208" t="e">
        <f>(IF($E77&lt;=0,"0",IF($E77&lt;=20,"18",IF($E77&lt;=40,"15","0"))))+0</f>
        <v>#VALUE!</v>
      </c>
      <c r="AZ77" s="212">
        <f>Summary2831[[#This Row],[3*2]]+Summary2831[[#This Row],[3*22]]+Summary2831[[#This Row],[3*23]]</f>
        <v>19</v>
      </c>
      <c r="BA77" s="213">
        <f>Summary2831[[#This Row],[2*2]]+Summary2831[[#This Row],[2*23]]+Summary2831[[#This Row],[2*24]]</f>
        <v>22</v>
      </c>
      <c r="BB77" s="213">
        <f>Summary2831[[#This Row],[1*2]]+Summary2831[[#This Row],[1*24]]+Summary2831[[#This Row],[1*25]]</f>
        <v>6</v>
      </c>
      <c r="BC77" s="215">
        <f>IF($F77&lt;=0,"0",IF($F77&lt;=6,"19",IF($F77&lt;=7,"18",IF($F77&lt;=8,"9",0))))+0</f>
        <v>19</v>
      </c>
      <c r="BD77" s="215">
        <f>IF($F77&lt;=0,"0",IF($F77&lt;=2,"22",IF($F77&lt;=3,"19",IF($F77&lt;=4,"15",IF($F77&lt;=5,"9",0)))))+0</f>
        <v>22</v>
      </c>
      <c r="BE77" s="215">
        <f>IF($F77&lt;=0,"0",IF($F77&lt;=1,"6",0))+0</f>
        <v>6</v>
      </c>
      <c r="BF77" s="215">
        <f>IF($G77&lt;=0,"0",IF($G77&lt;=6,"19",IF($G77&lt;=7,"18",IF($G77&lt;=8,"9",0))))+0</f>
        <v>0</v>
      </c>
      <c r="BG77" s="215">
        <f>IF($G77&lt;=0,"0",IF($G77&lt;=2,"22",IF($G77&lt;=3,"19",IF($G77&lt;=4,"15",IF($G77&lt;=5,"9",0)))))+0</f>
        <v>0</v>
      </c>
      <c r="BH77" s="215">
        <f>IF($G77&lt;=0,"0",IF($G77&lt;=1,"6",0))+0</f>
        <v>0</v>
      </c>
      <c r="BI77" s="215">
        <f>IF($H77&lt;=0,"0",IF($H77&lt;=6,"19",IF($H77&lt;=7,"18",IF($H77&lt;=8,"9",0))))+0</f>
        <v>19</v>
      </c>
      <c r="BJ77" s="215">
        <f>IF($H77&lt;=0,"0",IF($H77&lt;=2,"22",IF($H77&lt;=3,"19",IF($H77&lt;=4,"15",IF($H77&lt;=5,"9",0)))))+0</f>
        <v>22</v>
      </c>
      <c r="BK77" s="215">
        <f>IF($H77&lt;=0,"0",IF($H77&lt;=1,"6",0))+0</f>
        <v>6</v>
      </c>
      <c r="BL77" s="199">
        <f>SUM(Summary2831[[#This Row],[3*
(Tal)]],Summary2831[[#This Row],[3*
(Asc)]])</f>
        <v>19</v>
      </c>
      <c r="BM77" s="208">
        <f>SUM(Summary2831[[#This Row],[2*
(Tal)]],Summary2831[[#This Row],[2*
(Asc)]])</f>
        <v>22</v>
      </c>
      <c r="BN77" s="211">
        <f>SUM(Summary2831[[#This Row],[1*
(Tal)]],Summary2831[[#This Row],[1*
(Asc)]])</f>
        <v>6</v>
      </c>
      <c r="BO77" s="216" t="e">
        <f>(IF($E77&lt;=0,"0",IF($E77&lt;=1,"2092530",IF($E77&lt;=10,"2087525",IF($E77&lt;=20,"2068495",IF($E77&lt;=30,"2005910",IF($E77&lt;=40,"1932830",IF($E77&lt;=50,"1777010",IF($E77&lt;=60,"1546185",IF($E77&lt;=70,"1227000",IF($E77&lt;=80,"804625",IF($E77&lt;=81,"647990",IF($E77&lt;=90,"0",0)))))))))))))+0</f>
        <v>#VALUE!</v>
      </c>
      <c r="BP77" s="217">
        <f>(IF($F77&lt;=0,"0",IF($F77&lt;=1,"952500",IF($F77&lt;=2,"940000",IF($F77&lt;=3,"922500",IF($F77&lt;=4,"897500",IF($F77&lt;=5,"867500",IF($F77&lt;=6,"830000",IF($F77&lt;=7,"710000",IF($F77&lt;=8,"450000",0))))))))))+0</f>
        <v>952500</v>
      </c>
      <c r="BQ77" s="217">
        <f>(IF($G77&lt;=0,"0",IF($G77&lt;=1,"952500",IF($G77&lt;=2,"940000",IF($G77&lt;=3,"922500",IF($G77&lt;=4,"897500",IF($G77&lt;=5,"867500",IF($G77&lt;=6,"830000",IF($G77&lt;=7,"710000",IF($G77&lt;=8,"450000",0))))))))))+0</f>
        <v>0</v>
      </c>
      <c r="BR77" s="217">
        <f>(IF($H77&lt;=0,"0",IF($H77&lt;=1,"952500",IF($H77&lt;=2,"940000",IF($H77&lt;=3,"922500",IF($H77&lt;=4,"897500",IF($H77&lt;=5,"867500",IF($H77&lt;=6,"830000",IF($H77&lt;=7,"710000",IF($H77&lt;=8,"450000",0))))))))))+0</f>
        <v>952500</v>
      </c>
      <c r="BS77" s="218" t="e">
        <f>SUM(BO77,BP77,BQ77,BR77)</f>
        <v>#VALUE!</v>
      </c>
    </row>
    <row r="78" spans="1:71" s="81" customFormat="1" ht="30" customHeight="1">
      <c r="A78" s="192">
        <f ca="1">SUBTOTAL(3,$C$3:Character[[#This Row],[Name]])</f>
        <v>76</v>
      </c>
      <c r="B78" s="192" t="e" vm="638">
        <f>ImgDatabase!D78</f>
        <v>#VALUE!</v>
      </c>
      <c r="C78" s="193" t="s">
        <v>437</v>
      </c>
      <c r="D78" s="194" t="e" vm="67">
        <f>IFERROR(INDEX(CharacterDetailss[Element], MATCH(Character[[#This Row],[Name]], CharacterDetailss[Name], 0)), "")</f>
        <v>#VALUE!</v>
      </c>
      <c r="E78" s="194" t="e" vm="312">
        <f>IFERROR(INDEX(CharacterDetailss[Weapon Type], MATCH(Character[[#This Row],[Name]], CharacterDetailss[Name], 0)), "")</f>
        <v>#VALUE!</v>
      </c>
      <c r="F78" s="195">
        <v>3.3</v>
      </c>
      <c r="G78" s="72">
        <v>90</v>
      </c>
      <c r="H78" s="73">
        <v>10</v>
      </c>
      <c r="I78" s="74">
        <v>10</v>
      </c>
      <c r="J78" s="75">
        <v>10</v>
      </c>
      <c r="K78"/>
      <c r="L78" s="75">
        <v>81</v>
      </c>
      <c r="M78" s="73">
        <v>1</v>
      </c>
      <c r="N78" s="74">
        <v>9</v>
      </c>
      <c r="O78" s="74">
        <v>9</v>
      </c>
      <c r="P78"/>
      <c r="Q78" s="230" t="e" vm="459">
        <f>IFERROR(INDEX(ImgDatabase!$O:$O, MATCH(WorldBoss[[#This Row],[Boss Name]], ImgDatabase!$P:$P, 0)), "")</f>
        <v>#VALUE!</v>
      </c>
      <c r="R78" s="228" t="s">
        <v>261</v>
      </c>
      <c r="S78" s="297" t="e">
        <f>(IF($E78&lt;=0,"0",IF($E78&lt;=40,"46",IF($E78&lt;=50,"44",IF($E78&lt;=60,"40",IF($E78&lt;=70,"32",IF($E78&lt;=80,"20","0")))))))+0</f>
        <v>#VALUE!</v>
      </c>
      <c r="T78"/>
      <c r="U7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8" s="222" t="s">
        <v>39</v>
      </c>
      <c r="W78" s="223">
        <f>Z78+AC78+AF78</f>
        <v>22</v>
      </c>
      <c r="X78" s="223">
        <f>AA78+AD78+AG78</f>
        <v>15</v>
      </c>
      <c r="Y78" s="221">
        <f>AB78+AE78+AH78</f>
        <v>0</v>
      </c>
      <c r="Z78" s="224">
        <f>(IF($F78&lt;=0,"0",IF($F78&lt;=6,"22",IF($F78&lt;=7,"18",IF($F78&lt;=8,"12",0)))))+0</f>
        <v>22</v>
      </c>
      <c r="AA78" s="225">
        <f>(IF($F78&lt;=0,"0",IF($F78&lt;=2,"21",IF($F78&lt;=3,"19",IF($F78&lt;=4,"15",IF($F78&lt;=5,"9",0))))))+0</f>
        <v>15</v>
      </c>
      <c r="AB78" s="225">
        <f>(IF($F78&lt;=0,"0",IF($F78&lt;=1,"3",0)))+0</f>
        <v>0</v>
      </c>
      <c r="AC78" s="225">
        <f>(IF($G78&lt;=0,"0",IF($G78&lt;=6,"22",IF($G78&lt;=7,"18",IF($G78&lt;=8,"12",0)))))+0</f>
        <v>0</v>
      </c>
      <c r="AD78" s="225">
        <f>(IF($G78&lt;=0,"0",IF($G78&lt;=2,"21",IF($G78&lt;=3,"19",IF($G78&lt;=4,"15",IF($G78&lt;=5,"9",0))))))+0</f>
        <v>0</v>
      </c>
      <c r="AE78" s="225">
        <f>(IF($G78&lt;=0,"0",IF($G78&lt;=1,"3",0)))+0</f>
        <v>0</v>
      </c>
      <c r="AF78" s="225">
        <f>(IF($H78&lt;=0,"0",IF($H78&lt;=6,"22",IF($H78&lt;=7,"18",IF($H78&lt;=8,"12",0)))))+0</f>
        <v>0</v>
      </c>
      <c r="AG78" s="225">
        <f>(IF($H78&lt;=0,"0",IF($H78&lt;=2,"21",IF($H78&lt;=3,"19",IF($H78&lt;=4,"15",IF($H78&lt;=5,"9",0))))))+0</f>
        <v>0</v>
      </c>
      <c r="AH78" s="226">
        <f>(IF($H78&lt;=0,"0",IF($H78&lt;=1,"3",0)))+0</f>
        <v>0</v>
      </c>
      <c r="AI78" s="227" t="s">
        <v>523</v>
      </c>
      <c r="AJ78" s="228" t="s">
        <v>42</v>
      </c>
      <c r="AK78" s="229">
        <f>(IF($F78&lt;=0,"0",IF($F78&lt;=6,"4",IF($F78&lt;=7,"3",IF($F78&lt;=8,"2","0")))))+0</f>
        <v>4</v>
      </c>
      <c r="AL78" s="229">
        <f>(IF($G78&lt;=0,"0",IF($G78&lt;=6,"4",IF($G78&lt;=7,"3",IF($G78&lt;=8,"2","0")))))+0</f>
        <v>0</v>
      </c>
      <c r="AM78" s="229">
        <f>(IF($H78&lt;=0,"0",IF($H78&lt;=6,"4",IF($H78&lt;=7,"3",IF($H78&lt;=8,"2","0")))))+0</f>
        <v>0</v>
      </c>
      <c r="AN78" s="220">
        <f>SUM(AK78:AM78)</f>
        <v>4</v>
      </c>
      <c r="AO78" s="228" t="s">
        <v>564</v>
      </c>
      <c r="AP78" s="230" t="e">
        <f>(IF($E78&lt;=0,"0",IF($E78&lt;=20,"168",IF($E78&lt;=30,"165",IF($E78&lt;=50,"155",IF($E78&lt;=60,"135",IF($E78&lt;=70,"105",IF($E78&lt;=80,"60","0"))))))))+0</f>
        <v>#VALUE!</v>
      </c>
      <c r="AQ78" s="219" t="s">
        <v>573</v>
      </c>
      <c r="AR78" s="228" t="e">
        <f>(IF($E78&lt;=0,"0",IF($E78&lt;=80,"6","0")))+0</f>
        <v>#VALUE!</v>
      </c>
      <c r="AS78" s="228" t="e">
        <f>(IF($E78&lt;=0,"0",IF($E78&lt;=60,"9",IF($E78&lt;=70,"6","0"))))+0</f>
        <v>#VALUE!</v>
      </c>
      <c r="AT78" s="228" t="e">
        <f>(IF($E78&lt;=0,"0",IF($E78&lt;=40,"9",IF($E78&lt;=50,"6","0"))))+0</f>
        <v>#VALUE!</v>
      </c>
      <c r="AU78" s="231" t="e">
        <f>(IF($E78&lt;=0,"0",IF($E78&lt;=20,"1","0")))+0</f>
        <v>#VALUE!</v>
      </c>
      <c r="AV78" s="219" t="s">
        <v>288</v>
      </c>
      <c r="AW78" s="228" t="e">
        <f>(IF($E78&lt;=0,"0",IF($E78&lt;=70,"36",IF($E78&lt;=80,"24","0"))))+0</f>
        <v>#VALUE!</v>
      </c>
      <c r="AX78" s="228" t="e">
        <f>(IF($E78&lt;=0,"0",IF($E78&lt;=50,"30",IF($E78&lt;=60,"18","0"))))+0</f>
        <v>#VALUE!</v>
      </c>
      <c r="AY78" s="228" t="e">
        <f>(IF($E78&lt;=0,"0",IF($E78&lt;=20,"18",IF($E78&lt;=40,"15","0"))))+0</f>
        <v>#VALUE!</v>
      </c>
      <c r="AZ78" s="232">
        <f>Summary2831[[#This Row],[3*2]]+Summary2831[[#This Row],[3*22]]+Summary2831[[#This Row],[3*23]]</f>
        <v>0</v>
      </c>
      <c r="BA78" s="233">
        <f>Summary2831[[#This Row],[2*2]]+Summary2831[[#This Row],[2*23]]+Summary2831[[#This Row],[2*24]]</f>
        <v>0</v>
      </c>
      <c r="BB78" s="233">
        <f>Summary2831[[#This Row],[1*2]]+Summary2831[[#This Row],[1*24]]+Summary2831[[#This Row],[1*25]]</f>
        <v>0</v>
      </c>
      <c r="BC78" s="234">
        <f>IF($F78&lt;=0,"0",IF($F78&lt;=6,"19",IF($F78&lt;=7,"18",IF($F78&lt;=8,"9",0))))+0</f>
        <v>19</v>
      </c>
      <c r="BD78" s="234">
        <f>IF($F78&lt;=0,"0",IF($F78&lt;=2,"22",IF($F78&lt;=3,"19",IF($F78&lt;=4,"15",IF($F78&lt;=5,"9",0)))))+0</f>
        <v>15</v>
      </c>
      <c r="BE78" s="234">
        <f>IF($F78&lt;=0,"0",IF($F78&lt;=1,"6",0))+0</f>
        <v>0</v>
      </c>
      <c r="BF78" s="234">
        <f>IF($G78&lt;=0,"0",IF($G78&lt;=6,"19",IF($G78&lt;=7,"18",IF($G78&lt;=8,"9",0))))+0</f>
        <v>0</v>
      </c>
      <c r="BG78" s="234">
        <f>IF($G78&lt;=0,"0",IF($G78&lt;=2,"22",IF($G78&lt;=3,"19",IF($G78&lt;=4,"15",IF($G78&lt;=5,"9",0)))))+0</f>
        <v>0</v>
      </c>
      <c r="BH78" s="234">
        <f>IF($G78&lt;=0,"0",IF($G78&lt;=1,"6",0))+0</f>
        <v>0</v>
      </c>
      <c r="BI78" s="234">
        <f>IF($H78&lt;=0,"0",IF($H78&lt;=6,"19",IF($H78&lt;=7,"18",IF($H78&lt;=8,"9",0))))+0</f>
        <v>0</v>
      </c>
      <c r="BJ78" s="234">
        <f>IF($H78&lt;=0,"0",IF($H78&lt;=2,"22",IF($H78&lt;=3,"19",IF($H78&lt;=4,"15",IF($H78&lt;=5,"9",0)))))+0</f>
        <v>0</v>
      </c>
      <c r="BK78" s="234">
        <f>IF($H78&lt;=0,"0",IF($H78&lt;=1,"6",0))+0</f>
        <v>0</v>
      </c>
      <c r="BL78" s="219">
        <f>SUM(Summary2831[[#This Row],[3*
(Tal)]],Summary2831[[#This Row],[3*
(Asc)]])</f>
        <v>0</v>
      </c>
      <c r="BM78" s="228">
        <f>SUM(Summary2831[[#This Row],[2*
(Tal)]],Summary2831[[#This Row],[2*
(Asc)]])</f>
        <v>0</v>
      </c>
      <c r="BN78" s="231">
        <f>SUM(Summary2831[[#This Row],[1*
(Tal)]],Summary2831[[#This Row],[1*
(Asc)]])</f>
        <v>0</v>
      </c>
      <c r="BO78" s="235" t="e">
        <f>(IF($E78&lt;=0,"0",IF($E78&lt;=1,"2092530",IF($E78&lt;=10,"2087525",IF($E78&lt;=20,"2068495",IF($E78&lt;=30,"2005910",IF($E78&lt;=40,"1932830",IF($E78&lt;=50,"1777010",IF($E78&lt;=60,"1546185",IF($E78&lt;=70,"1227000",IF($E78&lt;=80,"804625",IF($E78&lt;=81,"647990",IF($E78&lt;=90,"0",0)))))))))))))+0</f>
        <v>#VALUE!</v>
      </c>
      <c r="BP78" s="236">
        <f>(IF($F78&lt;=0,"0",IF($F78&lt;=1,"952500",IF($F78&lt;=2,"940000",IF($F78&lt;=3,"922500",IF($F78&lt;=4,"897500",IF($F78&lt;=5,"867500",IF($F78&lt;=6,"830000",IF($F78&lt;=7,"710000",IF($F78&lt;=8,"450000",0))))))))))+0</f>
        <v>897500</v>
      </c>
      <c r="BQ78" s="236">
        <f>(IF($G78&lt;=0,"0",IF($G78&lt;=1,"952500",IF($G78&lt;=2,"940000",IF($G78&lt;=3,"922500",IF($G78&lt;=4,"897500",IF($G78&lt;=5,"867500",IF($G78&lt;=6,"830000",IF($G78&lt;=7,"710000",IF($G78&lt;=8,"450000",0))))))))))+0</f>
        <v>0</v>
      </c>
      <c r="BR78" s="236">
        <f>(IF($H78&lt;=0,"0",IF($H78&lt;=1,"952500",IF($H78&lt;=2,"940000",IF($H78&lt;=3,"922500",IF($H78&lt;=4,"897500",IF($H78&lt;=5,"867500",IF($H78&lt;=6,"830000",IF($H78&lt;=7,"710000",IF($H78&lt;=8,"450000",0))))))))))+0</f>
        <v>0</v>
      </c>
      <c r="BS78" s="237" t="e">
        <f>SUM(BO78,BP78,BQ78,BR78)</f>
        <v>#VALUE!</v>
      </c>
    </row>
    <row r="79" spans="1:71" s="81" customFormat="1" ht="30" customHeight="1">
      <c r="A79" s="192">
        <f ca="1">SUBTOTAL(3,$C$3:Character[[#This Row],[Name]])</f>
        <v>77</v>
      </c>
      <c r="B79" s="192" t="e" vm="639">
        <f>ImgDatabase!D79</f>
        <v>#VALUE!</v>
      </c>
      <c r="C79" s="193" t="s">
        <v>438</v>
      </c>
      <c r="D79" s="194" t="e" vm="84">
        <f>IFERROR(INDEX(CharacterDetailss[Element], MATCH(Character[[#This Row],[Name]], CharacterDetailss[Name], 0)), "")</f>
        <v>#VALUE!</v>
      </c>
      <c r="E79" s="194" t="e" vm="312">
        <f>IFERROR(INDEX(CharacterDetailss[Weapon Type], MATCH(Character[[#This Row],[Name]], CharacterDetailss[Name], 0)), "")</f>
        <v>#VALUE!</v>
      </c>
      <c r="F79" s="195">
        <v>4.0999999999999996</v>
      </c>
      <c r="G79" s="72">
        <v>0</v>
      </c>
      <c r="H79" s="73">
        <v>0</v>
      </c>
      <c r="I79" s="74">
        <v>0</v>
      </c>
      <c r="J79" s="75">
        <v>0</v>
      </c>
      <c r="K79"/>
      <c r="L79" s="75">
        <v>81</v>
      </c>
      <c r="M79" s="73">
        <v>1</v>
      </c>
      <c r="N79" s="74">
        <v>9</v>
      </c>
      <c r="O79" s="74">
        <v>9</v>
      </c>
      <c r="P79"/>
      <c r="Q79" s="210" t="e" vm="506">
        <f>IFERROR(INDEX(ImgDatabase!$O:$O, MATCH(WorldBoss[[#This Row],[Boss Name]], ImgDatabase!$P:$P, 0)), "")</f>
        <v>#VALUE!</v>
      </c>
      <c r="R79" s="208" t="s">
        <v>325</v>
      </c>
      <c r="S79" s="298" t="e">
        <f>(IF($E79&lt;=0,"0",IF($E79&lt;=40,"46",IF($E79&lt;=50,"44",IF($E79&lt;=60,"40",IF($E79&lt;=70,"32",IF($E79&lt;=80,"20","0")))))))+0</f>
        <v>#VALUE!</v>
      </c>
      <c r="T79"/>
      <c r="U7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79" s="202" t="s">
        <v>537</v>
      </c>
      <c r="W79" s="203">
        <f>Z79+AC79+AF79</f>
        <v>22</v>
      </c>
      <c r="X79" s="203">
        <f>AA79+AD79+AG79</f>
        <v>9</v>
      </c>
      <c r="Y79" s="201">
        <f>AB79+AE79+AH79</f>
        <v>0</v>
      </c>
      <c r="Z79" s="204">
        <f>(IF($F79&lt;=0,"0",IF($F79&lt;=6,"22",IF($F79&lt;=7,"18",IF($F79&lt;=8,"12",0)))))+0</f>
        <v>22</v>
      </c>
      <c r="AA79" s="205">
        <f>(IF($F79&lt;=0,"0",IF($F79&lt;=2,"21",IF($F79&lt;=3,"19",IF($F79&lt;=4,"15",IF($F79&lt;=5,"9",0))))))+0</f>
        <v>9</v>
      </c>
      <c r="AB79" s="205">
        <f>(IF($F79&lt;=0,"0",IF($F79&lt;=1,"3",0)))+0</f>
        <v>0</v>
      </c>
      <c r="AC79" s="205">
        <f>(IF($G79&lt;=0,"0",IF($G79&lt;=6,"22",IF($G79&lt;=7,"18",IF($G79&lt;=8,"12",0)))))+0</f>
        <v>0</v>
      </c>
      <c r="AD79" s="205">
        <f>(IF($G79&lt;=0,"0",IF($G79&lt;=2,"21",IF($G79&lt;=3,"19",IF($G79&lt;=4,"15",IF($G79&lt;=5,"9",0))))))+0</f>
        <v>0</v>
      </c>
      <c r="AE79" s="205">
        <f>(IF($G79&lt;=0,"0",IF($G79&lt;=1,"3",0)))+0</f>
        <v>0</v>
      </c>
      <c r="AF79" s="205">
        <f>(IF($H79&lt;=0,"0",IF($H79&lt;=6,"22",IF($H79&lt;=7,"18",IF($H79&lt;=8,"12",0)))))+0</f>
        <v>0</v>
      </c>
      <c r="AG79" s="205">
        <f>(IF($H79&lt;=0,"0",IF($H79&lt;=2,"21",IF($H79&lt;=3,"19",IF($H79&lt;=4,"15",IF($H79&lt;=5,"9",0))))))+0</f>
        <v>0</v>
      </c>
      <c r="AH79" s="206">
        <f>(IF($H79&lt;=0,"0",IF($H79&lt;=1,"3",0)))+0</f>
        <v>0</v>
      </c>
      <c r="AI79" s="207" t="s">
        <v>541</v>
      </c>
      <c r="AJ79" s="208" t="s">
        <v>587</v>
      </c>
      <c r="AK79" s="209">
        <f>(IF($F79&lt;=0,"0",IF($F79&lt;=6,"4",IF($F79&lt;=7,"3",IF($F79&lt;=8,"2","0")))))+0</f>
        <v>4</v>
      </c>
      <c r="AL79" s="209">
        <f>(IF($G79&lt;=0,"0",IF($G79&lt;=6,"4",IF($G79&lt;=7,"3",IF($G79&lt;=8,"2","0")))))+0</f>
        <v>0</v>
      </c>
      <c r="AM79" s="209">
        <f>(IF($H79&lt;=0,"0",IF($H79&lt;=6,"4",IF($H79&lt;=7,"3",IF($H79&lt;=8,"2","0")))))+0</f>
        <v>0</v>
      </c>
      <c r="AN79" s="200">
        <f>SUM(AK79:AM79)</f>
        <v>4</v>
      </c>
      <c r="AO79" s="208" t="s">
        <v>606</v>
      </c>
      <c r="AP79" s="210" t="e">
        <f>(IF($E79&lt;=0,"0",IF($E79&lt;=20,"168",IF($E79&lt;=30,"165",IF($E79&lt;=50,"155",IF($E79&lt;=60,"135",IF($E79&lt;=70,"105",IF($E79&lt;=80,"60","0"))))))))+0</f>
        <v>#VALUE!</v>
      </c>
      <c r="AQ79" s="199" t="s">
        <v>530</v>
      </c>
      <c r="AR79" s="208" t="e">
        <f>(IF($E79&lt;=0,"0",IF($E79&lt;=80,"6","0")))+0</f>
        <v>#VALUE!</v>
      </c>
      <c r="AS79" s="208" t="e">
        <f>(IF($E79&lt;=0,"0",IF($E79&lt;=60,"9",IF($E79&lt;=70,"6","0"))))+0</f>
        <v>#VALUE!</v>
      </c>
      <c r="AT79" s="208" t="e">
        <f>(IF($E79&lt;=0,"0",IF($E79&lt;=40,"9",IF($E79&lt;=50,"6","0"))))+0</f>
        <v>#VALUE!</v>
      </c>
      <c r="AU79" s="211" t="e">
        <f>(IF($E79&lt;=0,"0",IF($E79&lt;=20,"1","0")))+0</f>
        <v>#VALUE!</v>
      </c>
      <c r="AV79" s="199" t="s">
        <v>385</v>
      </c>
      <c r="AW79" s="208" t="e">
        <f>(IF($E79&lt;=0,"0",IF($E79&lt;=70,"36",IF($E79&lt;=80,"24","0"))))+0</f>
        <v>#VALUE!</v>
      </c>
      <c r="AX79" s="208" t="e">
        <f>(IF($E79&lt;=0,"0",IF($E79&lt;=50,"30",IF($E79&lt;=60,"18","0"))))+0</f>
        <v>#VALUE!</v>
      </c>
      <c r="AY79" s="208" t="e">
        <f>(IF($E79&lt;=0,"0",IF($E79&lt;=20,"18",IF($E79&lt;=40,"15","0"))))+0</f>
        <v>#VALUE!</v>
      </c>
      <c r="AZ79" s="212">
        <f>Summary2831[[#This Row],[3*2]]+Summary2831[[#This Row],[3*22]]+Summary2831[[#This Row],[3*23]]</f>
        <v>0</v>
      </c>
      <c r="BA79" s="213">
        <f>Summary2831[[#This Row],[2*2]]+Summary2831[[#This Row],[2*23]]+Summary2831[[#This Row],[2*24]]</f>
        <v>0</v>
      </c>
      <c r="BB79" s="213">
        <f>Summary2831[[#This Row],[1*2]]+Summary2831[[#This Row],[1*24]]+Summary2831[[#This Row],[1*25]]</f>
        <v>0</v>
      </c>
      <c r="BC79" s="215">
        <f>IF($F79&lt;=0,"0",IF($F79&lt;=6,"19",IF($F79&lt;=7,"18",IF($F79&lt;=8,"9",0))))+0</f>
        <v>19</v>
      </c>
      <c r="BD79" s="215">
        <f>IF($F79&lt;=0,"0",IF($F79&lt;=2,"22",IF($F79&lt;=3,"19",IF($F79&lt;=4,"15",IF($F79&lt;=5,"9",0)))))+0</f>
        <v>9</v>
      </c>
      <c r="BE79" s="215">
        <f>IF($F79&lt;=0,"0",IF($F79&lt;=1,"6",0))+0</f>
        <v>0</v>
      </c>
      <c r="BF79" s="215">
        <f>IF($G79&lt;=0,"0",IF($G79&lt;=6,"19",IF($G79&lt;=7,"18",IF($G79&lt;=8,"9",0))))+0</f>
        <v>0</v>
      </c>
      <c r="BG79" s="215">
        <f>IF($G79&lt;=0,"0",IF($G79&lt;=2,"22",IF($G79&lt;=3,"19",IF($G79&lt;=4,"15",IF($G79&lt;=5,"9",0)))))+0</f>
        <v>0</v>
      </c>
      <c r="BH79" s="215">
        <f>IF($G79&lt;=0,"0",IF($G79&lt;=1,"6",0))+0</f>
        <v>0</v>
      </c>
      <c r="BI79" s="215">
        <f>IF($H79&lt;=0,"0",IF($H79&lt;=6,"19",IF($H79&lt;=7,"18",IF($H79&lt;=8,"9",0))))+0</f>
        <v>0</v>
      </c>
      <c r="BJ79" s="215">
        <f>IF($H79&lt;=0,"0",IF($H79&lt;=2,"22",IF($H79&lt;=3,"19",IF($H79&lt;=4,"15",IF($H79&lt;=5,"9",0)))))+0</f>
        <v>0</v>
      </c>
      <c r="BK79" s="215">
        <f>IF($H79&lt;=0,"0",IF($H79&lt;=1,"6",0))+0</f>
        <v>0</v>
      </c>
      <c r="BL79" s="199">
        <f>SUM(Summary2831[[#This Row],[3*
(Tal)]],Summary2831[[#This Row],[3*
(Asc)]])</f>
        <v>0</v>
      </c>
      <c r="BM79" s="208">
        <f>SUM(Summary2831[[#This Row],[2*
(Tal)]],Summary2831[[#This Row],[2*
(Asc)]])</f>
        <v>0</v>
      </c>
      <c r="BN79" s="211">
        <f>SUM(Summary2831[[#This Row],[1*
(Tal)]],Summary2831[[#This Row],[1*
(Asc)]])</f>
        <v>0</v>
      </c>
      <c r="BO79" s="216" t="e">
        <f>(IF($E79&lt;=0,"0",IF($E79&lt;=1,"2092530",IF($E79&lt;=10,"2087525",IF($E79&lt;=20,"2068495",IF($E79&lt;=30,"2005910",IF($E79&lt;=40,"1932830",IF($E79&lt;=50,"1777010",IF($E79&lt;=60,"1546185",IF($E79&lt;=70,"1227000",IF($E79&lt;=80,"804625",IF($E79&lt;=81,"647990",IF($E79&lt;=90,"0",0)))))))))))))+0</f>
        <v>#VALUE!</v>
      </c>
      <c r="BP79" s="217">
        <f>(IF($F79&lt;=0,"0",IF($F79&lt;=1,"952500",IF($F79&lt;=2,"940000",IF($F79&lt;=3,"922500",IF($F79&lt;=4,"897500",IF($F79&lt;=5,"867500",IF($F79&lt;=6,"830000",IF($F79&lt;=7,"710000",IF($F79&lt;=8,"450000",0))))))))))+0</f>
        <v>867500</v>
      </c>
      <c r="BQ79" s="217">
        <f>(IF($G79&lt;=0,"0",IF($G79&lt;=1,"952500",IF($G79&lt;=2,"940000",IF($G79&lt;=3,"922500",IF($G79&lt;=4,"897500",IF($G79&lt;=5,"867500",IF($G79&lt;=6,"830000",IF($G79&lt;=7,"710000",IF($G79&lt;=8,"450000",0))))))))))+0</f>
        <v>0</v>
      </c>
      <c r="BR79" s="217">
        <f>(IF($H79&lt;=0,"0",IF($H79&lt;=1,"952500",IF($H79&lt;=2,"940000",IF($H79&lt;=3,"922500",IF($H79&lt;=4,"897500",IF($H79&lt;=5,"867500",IF($H79&lt;=6,"830000",IF($H79&lt;=7,"710000",IF($H79&lt;=8,"450000",0))))))))))+0</f>
        <v>0</v>
      </c>
      <c r="BS79" s="218" t="e">
        <f>SUM(BO79,BP79,BQ79,BR79)</f>
        <v>#VALUE!</v>
      </c>
    </row>
    <row r="80" spans="1:71" ht="30" customHeight="1">
      <c r="A80" s="196">
        <f ca="1">SUBTOTAL(3,$C$3:Character[[#This Row],[Name]])</f>
        <v>78</v>
      </c>
      <c r="B80" s="192" t="e" vm="640">
        <f>ImgDatabase!D80</f>
        <v>#VALUE!</v>
      </c>
      <c r="C80" s="197" t="s">
        <v>451</v>
      </c>
      <c r="D80" s="194" t="e" vm="31">
        <f>IFERROR(INDEX(CharacterDetailss[Element], MATCH(Character[[#This Row],[Name]], CharacterDetailss[Name], 0)), "")</f>
        <v>#VALUE!</v>
      </c>
      <c r="E80" s="194" t="e" vm="331">
        <f>IFERROR(INDEX(CharacterDetailss[Weapon Type], MATCH(Character[[#This Row],[Name]], CharacterDetailss[Name], 0)), "")</f>
        <v>#VALUE!</v>
      </c>
      <c r="F80" s="198">
        <v>1</v>
      </c>
      <c r="G80" s="14">
        <v>90</v>
      </c>
      <c r="H80" s="9">
        <v>1</v>
      </c>
      <c r="I80" s="2">
        <v>9</v>
      </c>
      <c r="J80" s="10">
        <v>9</v>
      </c>
      <c r="L80" s="75">
        <v>81</v>
      </c>
      <c r="M80" s="73">
        <v>1</v>
      </c>
      <c r="N80" s="74">
        <v>9</v>
      </c>
      <c r="O80" s="74">
        <v>9</v>
      </c>
      <c r="Q80" s="258" t="e" vm="381">
        <f>IFERROR(INDEX(ImgDatabase!$O:$O, MATCH(WorldBoss[[#This Row],[Boss Name]], ImgDatabase!$P:$P, 0)), "")</f>
        <v>#VALUE!</v>
      </c>
      <c r="R80" s="257" t="s">
        <v>136</v>
      </c>
      <c r="S80" s="301" t="e">
        <f>(IF($E80&lt;=0,"0",IF($E80&lt;=40,"46",IF($E80&lt;=50,"44",IF($E80&lt;=60,"40",IF($E80&lt;=70,"32",IF($E80&lt;=80,"20","0")))))))+0</f>
        <v>#VALUE!</v>
      </c>
      <c r="U8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0" s="253" t="s">
        <v>562</v>
      </c>
      <c r="W80" s="254">
        <f>Z80+AC80+AF80</f>
        <v>44</v>
      </c>
      <c r="X80" s="254">
        <f>AA80+AD80+AG80</f>
        <v>42</v>
      </c>
      <c r="Y80" s="255">
        <f>AB80+AE80+AH80</f>
        <v>6</v>
      </c>
      <c r="Z80" s="224">
        <f>(IF($F80&lt;=0,"0",IF($F80&lt;=6,"22",IF($F80&lt;=7,"18",IF($F80&lt;=8,"12",0)))))+0</f>
        <v>22</v>
      </c>
      <c r="AA80" s="225">
        <f>(IF($F80&lt;=0,"0",IF($F80&lt;=2,"21",IF($F80&lt;=3,"19",IF($F80&lt;=4,"15",IF($F80&lt;=5,"9",0))))))+0</f>
        <v>21</v>
      </c>
      <c r="AB80" s="225">
        <f>(IF($F80&lt;=0,"0",IF($F80&lt;=1,"3",0)))+0</f>
        <v>3</v>
      </c>
      <c r="AC80" s="225">
        <f>(IF($G80&lt;=0,"0",IF($G80&lt;=6,"22",IF($G80&lt;=7,"18",IF($G80&lt;=8,"12",0)))))+0</f>
        <v>0</v>
      </c>
      <c r="AD80" s="225">
        <f>(IF($G80&lt;=0,"0",IF($G80&lt;=2,"21",IF($G80&lt;=3,"19",IF($G80&lt;=4,"15",IF($G80&lt;=5,"9",0))))))+0</f>
        <v>0</v>
      </c>
      <c r="AE80" s="225">
        <f>(IF($G80&lt;=0,"0",IF($G80&lt;=1,"3",0)))+0</f>
        <v>0</v>
      </c>
      <c r="AF80" s="225">
        <f>(IF($H80&lt;=0,"0",IF($H80&lt;=6,"22",IF($H80&lt;=7,"18",IF($H80&lt;=8,"12",0)))))+0</f>
        <v>22</v>
      </c>
      <c r="AG80" s="225">
        <f>(IF($H80&lt;=0,"0",IF($H80&lt;=2,"21",IF($H80&lt;=3,"19",IF($H80&lt;=4,"15",IF($H80&lt;=5,"9",0))))))+0</f>
        <v>21</v>
      </c>
      <c r="AH80" s="226">
        <f>(IF($H80&lt;=0,"0",IF($H80&lt;=1,"3",0)))+0</f>
        <v>3</v>
      </c>
      <c r="AI80" s="256" t="s">
        <v>531</v>
      </c>
      <c r="AJ80" s="257" t="s">
        <v>596</v>
      </c>
      <c r="AK80" s="229">
        <f>(IF($F80&lt;=0,"0",IF($F80&lt;=6,"4",IF($F80&lt;=7,"3",IF($F80&lt;=8,"2","0")))))+0</f>
        <v>4</v>
      </c>
      <c r="AL80" s="229">
        <f>(IF($G80&lt;=0,"0",IF($G80&lt;=6,"4",IF($G80&lt;=7,"3",IF($G80&lt;=8,"2","0")))))+0</f>
        <v>0</v>
      </c>
      <c r="AM80" s="229">
        <f>(IF($H80&lt;=0,"0",IF($H80&lt;=6,"4",IF($H80&lt;=7,"3",IF($H80&lt;=8,"2","0")))))+0</f>
        <v>4</v>
      </c>
      <c r="AN80" s="252">
        <f>SUM(AK80:AM80)</f>
        <v>8</v>
      </c>
      <c r="AO80" s="257" t="s">
        <v>607</v>
      </c>
      <c r="AP80" s="258" t="e">
        <f>(IF($E80&lt;=0,"0",IF($E80&lt;=20,"168",IF($E80&lt;=30,"165",IF($E80&lt;=50,"155",IF($E80&lt;=60,"135",IF($E80&lt;=70,"105",IF($E80&lt;=80,"60","0"))))))))+0</f>
        <v>#VALUE!</v>
      </c>
      <c r="AQ80" s="251" t="s">
        <v>534</v>
      </c>
      <c r="AR80" s="257" t="e">
        <f>(IF($E80&lt;=0,"0",IF($E80&lt;=80,"6","0")))+0</f>
        <v>#VALUE!</v>
      </c>
      <c r="AS80" s="257" t="e">
        <f>(IF($E80&lt;=0,"0",IF($E80&lt;=60,"9",IF($E80&lt;=70,"6","0"))))+0</f>
        <v>#VALUE!</v>
      </c>
      <c r="AT80" s="257" t="e">
        <f>(IF($E80&lt;=0,"0",IF($E80&lt;=40,"9",IF($E80&lt;=50,"6","0"))))+0</f>
        <v>#VALUE!</v>
      </c>
      <c r="AU80" s="259" t="e">
        <f>(IF($E80&lt;=0,"0",IF($E80&lt;=20,"1","0")))+0</f>
        <v>#VALUE!</v>
      </c>
      <c r="AV80" s="251" t="s">
        <v>178</v>
      </c>
      <c r="AW80" s="257" t="e">
        <f>(IF($E80&lt;=0,"0",IF($E80&lt;=70,"36",IF($E80&lt;=80,"24","0"))))+0</f>
        <v>#VALUE!</v>
      </c>
      <c r="AX80" s="257" t="e">
        <f>(IF($E80&lt;=0,"0",IF($E80&lt;=50,"30",IF($E80&lt;=60,"18","0"))))+0</f>
        <v>#VALUE!</v>
      </c>
      <c r="AY80" s="257" t="e">
        <f>(IF($E80&lt;=0,"0",IF($E80&lt;=20,"18",IF($E80&lt;=40,"15","0"))))+0</f>
        <v>#VALUE!</v>
      </c>
      <c r="AZ80" s="260">
        <f>Summary2831[[#This Row],[3*2]]+Summary2831[[#This Row],[3*22]]+Summary2831[[#This Row],[3*23]]</f>
        <v>19</v>
      </c>
      <c r="BA80" s="261">
        <f>Summary2831[[#This Row],[2*2]]+Summary2831[[#This Row],[2*23]]+Summary2831[[#This Row],[2*24]]</f>
        <v>22</v>
      </c>
      <c r="BB80" s="261">
        <f>Summary2831[[#This Row],[1*2]]+Summary2831[[#This Row],[1*24]]+Summary2831[[#This Row],[1*25]]</f>
        <v>6</v>
      </c>
      <c r="BC80" s="261">
        <f>IF($F80&lt;=0,"0",IF($F80&lt;=6,"19",IF($F80&lt;=7,"18",IF($F80&lt;=8,"9",0))))+0</f>
        <v>19</v>
      </c>
      <c r="BD80" s="261">
        <f>IF($F80&lt;=0,"0",IF($F80&lt;=2,"22",IF($F80&lt;=3,"19",IF($F80&lt;=4,"15",IF($F80&lt;=5,"9",0)))))+0</f>
        <v>22</v>
      </c>
      <c r="BE80" s="261">
        <f>IF($F80&lt;=0,"0",IF($F80&lt;=1,"6",0))+0</f>
        <v>6</v>
      </c>
      <c r="BF80" s="261">
        <f>IF($G80&lt;=0,"0",IF($G80&lt;=6,"19",IF($G80&lt;=7,"18",IF($G80&lt;=8,"9",0))))+0</f>
        <v>0</v>
      </c>
      <c r="BG80" s="261">
        <f>IF($G80&lt;=0,"0",IF($G80&lt;=2,"22",IF($G80&lt;=3,"19",IF($G80&lt;=4,"15",IF($G80&lt;=5,"9",0)))))+0</f>
        <v>0</v>
      </c>
      <c r="BH80" s="261">
        <f>IF($G80&lt;=0,"0",IF($G80&lt;=1,"6",0))+0</f>
        <v>0</v>
      </c>
      <c r="BI80" s="261">
        <f>IF($H80&lt;=0,"0",IF($H80&lt;=6,"19",IF($H80&lt;=7,"18",IF($H80&lt;=8,"9",0))))+0</f>
        <v>19</v>
      </c>
      <c r="BJ80" s="261">
        <f>IF($H80&lt;=0,"0",IF($H80&lt;=2,"22",IF($H80&lt;=3,"19",IF($H80&lt;=4,"15",IF($H80&lt;=5,"9",0)))))+0</f>
        <v>22</v>
      </c>
      <c r="BK80" s="261">
        <f>IF($H80&lt;=0,"0",IF($H80&lt;=1,"6",0))+0</f>
        <v>6</v>
      </c>
      <c r="BL80" s="251">
        <f>SUM(Summary2831[[#This Row],[3*
(Tal)]],Summary2831[[#This Row],[3*
(Asc)]])</f>
        <v>19</v>
      </c>
      <c r="BM80" s="257">
        <f>SUM(Summary2831[[#This Row],[2*
(Tal)]],Summary2831[[#This Row],[2*
(Asc)]])</f>
        <v>22</v>
      </c>
      <c r="BN80" s="259">
        <f>SUM(Summary2831[[#This Row],[1*
(Tal)]],Summary2831[[#This Row],[1*
(Asc)]])</f>
        <v>6</v>
      </c>
      <c r="BO80" s="235" t="e">
        <f>(IF($E80&lt;=0,"0",IF($E80&lt;=1,"2092530",IF($E80&lt;=10,"2087525",IF($E80&lt;=20,"2068495",IF($E80&lt;=30,"2005910",IF($E80&lt;=40,"1932830",IF($E80&lt;=50,"1777010",IF($E80&lt;=60,"1546185",IF($E80&lt;=70,"1227000",IF($E80&lt;=80,"804625",IF($E80&lt;=81,"647990",IF($E80&lt;=90,"0",0)))))))))))))+0</f>
        <v>#VALUE!</v>
      </c>
      <c r="BP80" s="262">
        <f>(IF($F80&lt;=0,"0",IF($F80&lt;=1,"952500",IF($F80&lt;=2,"940000",IF($F80&lt;=3,"922500",IF($F80&lt;=4,"897500",IF($F80&lt;=5,"867500",IF($F80&lt;=6,"830000",IF($F80&lt;=7,"710000",IF($F80&lt;=8,"450000",0))))))))))+0</f>
        <v>952500</v>
      </c>
      <c r="BQ80" s="262">
        <f>(IF($G80&lt;=0,"0",IF($G80&lt;=1,"952500",IF($G80&lt;=2,"940000",IF($G80&lt;=3,"922500",IF($G80&lt;=4,"897500",IF($G80&lt;=5,"867500",IF($G80&lt;=6,"830000",IF($G80&lt;=7,"710000",IF($G80&lt;=8,"450000",0))))))))))+0</f>
        <v>0</v>
      </c>
      <c r="BR80" s="262">
        <f>(IF($H80&lt;=0,"0",IF($H80&lt;=1,"952500",IF($H80&lt;=2,"940000",IF($H80&lt;=3,"922500",IF($H80&lt;=4,"897500",IF($H80&lt;=5,"867500",IF($H80&lt;=6,"830000",IF($H80&lt;=7,"710000",IF($H80&lt;=8,"450000",0))))))))))+0</f>
        <v>952500</v>
      </c>
      <c r="BS80" s="263" t="e">
        <f>SUM(BO80,BP80,BQ80,BR80)</f>
        <v>#VALUE!</v>
      </c>
    </row>
    <row r="81" spans="1:71" ht="30" customHeight="1">
      <c r="A81" s="192">
        <f ca="1">SUBTOTAL(3,$C$3:Character[[#This Row],[Name]])</f>
        <v>79</v>
      </c>
      <c r="B81" s="192" t="e" vm="641">
        <f>ImgDatabase!D81</f>
        <v>#VALUE!</v>
      </c>
      <c r="C81" s="193" t="s">
        <v>439</v>
      </c>
      <c r="D81" s="194" t="e" vm="67">
        <f>IFERROR(INDEX(CharacterDetailss[Element], MATCH(Character[[#This Row],[Name]], CharacterDetailss[Name], 0)), "")</f>
        <v>#VALUE!</v>
      </c>
      <c r="E81" s="194" t="e" vm="312">
        <f>IFERROR(INDEX(CharacterDetailss[Weapon Type], MATCH(Character[[#This Row],[Name]], CharacterDetailss[Name], 0)), "")</f>
        <v>#VALUE!</v>
      </c>
      <c r="F81" s="195">
        <v>4.4000000000000004</v>
      </c>
      <c r="G81" s="72">
        <v>80</v>
      </c>
      <c r="H81" s="73">
        <v>1</v>
      </c>
      <c r="I81" s="74">
        <v>1</v>
      </c>
      <c r="J81" s="75">
        <v>1</v>
      </c>
      <c r="L81" s="75">
        <v>81</v>
      </c>
      <c r="M81" s="73">
        <v>1</v>
      </c>
      <c r="N81" s="74">
        <v>9</v>
      </c>
      <c r="O81" s="74">
        <v>9</v>
      </c>
      <c r="Q81" s="210" t="e" vm="523">
        <f>IFERROR(INDEX(ImgDatabase!$O:$O, MATCH(WorldBoss[[#This Row],[Boss Name]], ImgDatabase!$P:$P, 0)), "")</f>
        <v>#VALUE!</v>
      </c>
      <c r="R81" s="208" t="s">
        <v>37</v>
      </c>
      <c r="S81" s="298" t="e">
        <f>(IF($E81&lt;=0,"0",IF($E81&lt;=40,"46",IF($E81&lt;=50,"44",IF($E81&lt;=60,"40",IF($E81&lt;=70,"32",IF($E81&lt;=80,"20","0")))))))+0</f>
        <v>#VALUE!</v>
      </c>
      <c r="U8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V81" s="202" t="s">
        <v>540</v>
      </c>
      <c r="W81" s="203">
        <f>Z81+AC81+AF81</f>
        <v>44</v>
      </c>
      <c r="X81" s="203">
        <f>AA81+AD81+AG81</f>
        <v>30</v>
      </c>
      <c r="Y81" s="201">
        <f>AB81+AE81+AH81</f>
        <v>3</v>
      </c>
      <c r="Z81" s="204">
        <f>(IF($F81&lt;=0,"0",IF($F81&lt;=6,"22",IF($F81&lt;=7,"18",IF($F81&lt;=8,"12",0)))))+0</f>
        <v>22</v>
      </c>
      <c r="AA81" s="205">
        <f>(IF($F81&lt;=0,"0",IF($F81&lt;=2,"21",IF($F81&lt;=3,"19",IF($F81&lt;=4,"15",IF($F81&lt;=5,"9",0))))))+0</f>
        <v>9</v>
      </c>
      <c r="AB81" s="205">
        <f>(IF($F81&lt;=0,"0",IF($F81&lt;=1,"3",0)))+0</f>
        <v>0</v>
      </c>
      <c r="AC81" s="205">
        <f>(IF($G81&lt;=0,"0",IF($G81&lt;=6,"22",IF($G81&lt;=7,"18",IF($G81&lt;=8,"12",0)))))+0</f>
        <v>0</v>
      </c>
      <c r="AD81" s="205">
        <f>(IF($G81&lt;=0,"0",IF($G81&lt;=2,"21",IF($G81&lt;=3,"19",IF($G81&lt;=4,"15",IF($G81&lt;=5,"9",0))))))+0</f>
        <v>0</v>
      </c>
      <c r="AE81" s="205">
        <f>(IF($G81&lt;=0,"0",IF($G81&lt;=1,"3",0)))+0</f>
        <v>0</v>
      </c>
      <c r="AF81" s="205">
        <f>(IF($H81&lt;=0,"0",IF($H81&lt;=6,"22",IF($H81&lt;=7,"18",IF($H81&lt;=8,"12",0)))))+0</f>
        <v>22</v>
      </c>
      <c r="AG81" s="205">
        <f>(IF($H81&lt;=0,"0",IF($H81&lt;=2,"21",IF($H81&lt;=3,"19",IF($H81&lt;=4,"15",IF($H81&lt;=5,"9",0))))))+0</f>
        <v>21</v>
      </c>
      <c r="AH81" s="206">
        <f>(IF($H81&lt;=0,"0",IF($H81&lt;=1,"3",0)))+0</f>
        <v>3</v>
      </c>
      <c r="AI81" s="207" t="s">
        <v>557</v>
      </c>
      <c r="AJ81" s="208" t="s">
        <v>608</v>
      </c>
      <c r="AK81" s="209">
        <f>(IF($F81&lt;=0,"0",IF($F81&lt;=6,"4",IF($F81&lt;=7,"3",IF($F81&lt;=8,"2","0")))))+0</f>
        <v>4</v>
      </c>
      <c r="AL81" s="209">
        <f>(IF($G81&lt;=0,"0",IF($G81&lt;=6,"4",IF($G81&lt;=7,"3",IF($G81&lt;=8,"2","0")))))+0</f>
        <v>0</v>
      </c>
      <c r="AM81" s="209">
        <f>(IF($H81&lt;=0,"0",IF($H81&lt;=6,"4",IF($H81&lt;=7,"3",IF($H81&lt;=8,"2","0")))))+0</f>
        <v>4</v>
      </c>
      <c r="AN81" s="200">
        <f>SUM(AK81:AM81)</f>
        <v>8</v>
      </c>
      <c r="AO81" s="208" t="s">
        <v>609</v>
      </c>
      <c r="AP81" s="210" t="e">
        <f>(IF($E81&lt;=0,"0",IF($E81&lt;=20,"168",IF($E81&lt;=30,"165",IF($E81&lt;=50,"155",IF($E81&lt;=60,"135",IF($E81&lt;=70,"105",IF($E81&lt;=80,"60","0"))))))))+0</f>
        <v>#VALUE!</v>
      </c>
      <c r="AQ81" s="199" t="s">
        <v>573</v>
      </c>
      <c r="AR81" s="208" t="e">
        <f>(IF($E81&lt;=0,"0",IF($E81&lt;=80,"6","0")))+0</f>
        <v>#VALUE!</v>
      </c>
      <c r="AS81" s="208" t="e">
        <f>(IF($E81&lt;=0,"0",IF($E81&lt;=60,"9",IF($E81&lt;=70,"6","0"))))+0</f>
        <v>#VALUE!</v>
      </c>
      <c r="AT81" s="208" t="e">
        <f>(IF($E81&lt;=0,"0",IF($E81&lt;=40,"9",IF($E81&lt;=50,"6","0"))))+0</f>
        <v>#VALUE!</v>
      </c>
      <c r="AU81" s="211" t="e">
        <f>(IF($E81&lt;=0,"0",IF($E81&lt;=20,"1","0")))+0</f>
        <v>#VALUE!</v>
      </c>
      <c r="AV81" s="199" t="s">
        <v>149</v>
      </c>
      <c r="AW81" s="208" t="e">
        <f>(IF($E81&lt;=0,"0",IF($E81&lt;=70,"36",IF($E81&lt;=80,"24","0"))))+0</f>
        <v>#VALUE!</v>
      </c>
      <c r="AX81" s="208" t="e">
        <f>(IF($E81&lt;=0,"0",IF($E81&lt;=50,"30",IF($E81&lt;=60,"18","0"))))+0</f>
        <v>#VALUE!</v>
      </c>
      <c r="AY81" s="208" t="e">
        <f>(IF($E81&lt;=0,"0",IF($E81&lt;=20,"18",IF($E81&lt;=40,"15","0"))))+0</f>
        <v>#VALUE!</v>
      </c>
      <c r="AZ81" s="212">
        <f>Summary2831[[#This Row],[3*2]]+Summary2831[[#This Row],[3*22]]+Summary2831[[#This Row],[3*23]]</f>
        <v>57</v>
      </c>
      <c r="BA81" s="213">
        <f>Summary2831[[#This Row],[2*2]]+Summary2831[[#This Row],[2*23]]+Summary2831[[#This Row],[2*24]]</f>
        <v>66</v>
      </c>
      <c r="BB81" s="213">
        <f>Summary2831[[#This Row],[1*2]]+Summary2831[[#This Row],[1*24]]+Summary2831[[#This Row],[1*25]]</f>
        <v>18</v>
      </c>
      <c r="BC81" s="215">
        <f>IF($F81&lt;=0,"0",IF($F81&lt;=6,"19",IF($F81&lt;=7,"18",IF($F81&lt;=8,"9",0))))+0</f>
        <v>19</v>
      </c>
      <c r="BD81" s="215">
        <f>IF($F81&lt;=0,"0",IF($F81&lt;=2,"22",IF($F81&lt;=3,"19",IF($F81&lt;=4,"15",IF($F81&lt;=5,"9",0)))))+0</f>
        <v>9</v>
      </c>
      <c r="BE81" s="215">
        <f>IF($F81&lt;=0,"0",IF($F81&lt;=1,"6",0))+0</f>
        <v>0</v>
      </c>
      <c r="BF81" s="215">
        <f>IF($G81&lt;=0,"0",IF($G81&lt;=6,"19",IF($G81&lt;=7,"18",IF($G81&lt;=8,"9",0))))+0</f>
        <v>0</v>
      </c>
      <c r="BG81" s="215">
        <f>IF($G81&lt;=0,"0",IF($G81&lt;=2,"22",IF($G81&lt;=3,"19",IF($G81&lt;=4,"15",IF($G81&lt;=5,"9",0)))))+0</f>
        <v>0</v>
      </c>
      <c r="BH81" s="215">
        <f>IF($G81&lt;=0,"0",IF($G81&lt;=1,"6",0))+0</f>
        <v>0</v>
      </c>
      <c r="BI81" s="215">
        <f>IF($H81&lt;=0,"0",IF($H81&lt;=6,"19",IF($H81&lt;=7,"18",IF($H81&lt;=8,"9",0))))+0</f>
        <v>19</v>
      </c>
      <c r="BJ81" s="215">
        <f>IF($H81&lt;=0,"0",IF($H81&lt;=2,"22",IF($H81&lt;=3,"19",IF($H81&lt;=4,"15",IF($H81&lt;=5,"9",0)))))+0</f>
        <v>22</v>
      </c>
      <c r="BK81" s="215">
        <f>IF($H81&lt;=0,"0",IF($H81&lt;=1,"6",0))+0</f>
        <v>6</v>
      </c>
      <c r="BL81" s="199">
        <f>SUM(Summary2831[[#This Row],[3*
(Tal)]],Summary2831[[#This Row],[3*
(Asc)]])</f>
        <v>81</v>
      </c>
      <c r="BM81" s="208">
        <f>SUM(Summary2831[[#This Row],[2*
(Tal)]],Summary2831[[#This Row],[2*
(Asc)]])</f>
        <v>66</v>
      </c>
      <c r="BN81" s="211">
        <f>SUM(Summary2831[[#This Row],[1*
(Tal)]],Summary2831[[#This Row],[1*
(Asc)]])</f>
        <v>18</v>
      </c>
      <c r="BO81" s="216" t="e">
        <f>(IF($E81&lt;=0,"0",IF($E81&lt;=1,"2092530",IF($E81&lt;=10,"2087525",IF($E81&lt;=20,"2068495",IF($E81&lt;=30,"2005910",IF($E81&lt;=40,"1932830",IF($E81&lt;=50,"1777010",IF($E81&lt;=60,"1546185",IF($E81&lt;=70,"1227000",IF($E81&lt;=80,"804625",IF($E81&lt;=81,"647990",IF($E81&lt;=90,"0",0)))))))))))))+0</f>
        <v>#VALUE!</v>
      </c>
      <c r="BP81" s="217">
        <f>(IF($F81&lt;=0,"0",IF($F81&lt;=1,"952500",IF($F81&lt;=2,"940000",IF($F81&lt;=3,"922500",IF($F81&lt;=4,"897500",IF($F81&lt;=5,"867500",IF($F81&lt;=6,"830000",IF($F81&lt;=7,"710000",IF($F81&lt;=8,"450000",0))))))))))+0</f>
        <v>867500</v>
      </c>
      <c r="BQ81" s="217">
        <f>(IF($G81&lt;=0,"0",IF($G81&lt;=1,"952500",IF($G81&lt;=2,"940000",IF($G81&lt;=3,"922500",IF($G81&lt;=4,"897500",IF($G81&lt;=5,"867500",IF($G81&lt;=6,"830000",IF($G81&lt;=7,"710000",IF($G81&lt;=8,"450000",0))))))))))+0</f>
        <v>0</v>
      </c>
      <c r="BR81" s="217">
        <f>(IF($H81&lt;=0,"0",IF($H81&lt;=1,"952500",IF($H81&lt;=2,"940000",IF($H81&lt;=3,"922500",IF($H81&lt;=4,"897500",IF($H81&lt;=5,"867500",IF($H81&lt;=6,"830000",IF($H81&lt;=7,"710000",IF($H81&lt;=8,"450000",0))))))))))+0</f>
        <v>952500</v>
      </c>
      <c r="BS81" s="218" t="e">
        <f>SUM(BO81,BP81,BQ81,BR81)</f>
        <v>#VALUE!</v>
      </c>
    </row>
    <row r="82" spans="1:71" s="81" customFormat="1" ht="30" customHeight="1">
      <c r="A82" s="192">
        <f ca="1">SUBTOTAL(3,$C$3:Character[[#This Row],[Name]])</f>
        <v>80</v>
      </c>
      <c r="B82" s="192" t="e" vm="642">
        <f>ImgDatabase!D82</f>
        <v>#VALUE!</v>
      </c>
      <c r="C82" s="193" t="s">
        <v>452</v>
      </c>
      <c r="D82" s="194" t="e" vm="67">
        <f>IFERROR(INDEX(CharacterDetailss[Element], MATCH(Character[[#This Row],[Name]], CharacterDetailss[Name], 0)), "")</f>
        <v>#VALUE!</v>
      </c>
      <c r="E82" s="194" t="e" vm="331">
        <f>IFERROR(INDEX(CharacterDetailss[Weapon Type], MATCH(Character[[#This Row],[Name]], CharacterDetailss[Name], 0)), "")</f>
        <v>#VALUE!</v>
      </c>
      <c r="F82" s="195">
        <v>1.3</v>
      </c>
      <c r="G82" s="72">
        <v>0</v>
      </c>
      <c r="H82" s="73">
        <v>0</v>
      </c>
      <c r="I82" s="74">
        <v>0</v>
      </c>
      <c r="J82" s="75">
        <v>0</v>
      </c>
      <c r="K82"/>
      <c r="L82" s="75">
        <v>81</v>
      </c>
      <c r="M82" s="73">
        <v>1</v>
      </c>
      <c r="N82" s="74">
        <v>9</v>
      </c>
      <c r="O82" s="74">
        <v>9</v>
      </c>
      <c r="P82"/>
      <c r="Q82" s="230" t="e" vm="388">
        <f>IFERROR(INDEX(ImgDatabase!$O:$O, MATCH(WorldBoss[[#This Row],[Boss Name]], ImgDatabase!$P:$P, 0)), "")</f>
        <v>#VALUE!</v>
      </c>
      <c r="R82" s="228" t="s">
        <v>145</v>
      </c>
      <c r="S82" s="297" t="e">
        <f>(IF($E82&lt;=0,"0",IF($E82&lt;=40,"46",IF($E82&lt;=50,"44",IF($E82&lt;=60,"40",IF($E82&lt;=70,"32",IF($E82&lt;=80,"20","0")))))))+0</f>
        <v>#VALUE!</v>
      </c>
      <c r="T82"/>
      <c r="U82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2" s="222" t="s">
        <v>578</v>
      </c>
      <c r="W82" s="223">
        <f>Z82+AC82+AF82</f>
        <v>22</v>
      </c>
      <c r="X82" s="223">
        <f>AA82+AD82+AG82</f>
        <v>21</v>
      </c>
      <c r="Y82" s="221">
        <f>AB82+AE82+AH82</f>
        <v>0</v>
      </c>
      <c r="Z82" s="224">
        <f>(IF($F82&lt;=0,"0",IF($F82&lt;=6,"22",IF($F82&lt;=7,"18",IF($F82&lt;=8,"12",0)))))+0</f>
        <v>22</v>
      </c>
      <c r="AA82" s="225">
        <f>(IF($F82&lt;=0,"0",IF($F82&lt;=2,"21",IF($F82&lt;=3,"19",IF($F82&lt;=4,"15",IF($F82&lt;=5,"9",0))))))+0</f>
        <v>21</v>
      </c>
      <c r="AB82" s="225">
        <f>(IF($F82&lt;=0,"0",IF($F82&lt;=1,"3",0)))+0</f>
        <v>0</v>
      </c>
      <c r="AC82" s="225">
        <f>(IF($G82&lt;=0,"0",IF($G82&lt;=6,"22",IF($G82&lt;=7,"18",IF($G82&lt;=8,"12",0)))))+0</f>
        <v>0</v>
      </c>
      <c r="AD82" s="225">
        <f>(IF($G82&lt;=0,"0",IF($G82&lt;=2,"21",IF($G82&lt;=3,"19",IF($G82&lt;=4,"15",IF($G82&lt;=5,"9",0))))))+0</f>
        <v>0</v>
      </c>
      <c r="AE82" s="225">
        <f>(IF($G82&lt;=0,"0",IF($G82&lt;=1,"3",0)))+0</f>
        <v>0</v>
      </c>
      <c r="AF82" s="225">
        <f>(IF($H82&lt;=0,"0",IF($H82&lt;=6,"22",IF($H82&lt;=7,"18",IF($H82&lt;=8,"12",0)))))+0</f>
        <v>0</v>
      </c>
      <c r="AG82" s="225">
        <f>(IF($H82&lt;=0,"0",IF($H82&lt;=2,"21",IF($H82&lt;=3,"19",IF($H82&lt;=4,"15",IF($H82&lt;=5,"9",0))))))+0</f>
        <v>0</v>
      </c>
      <c r="AH82" s="226">
        <f>(IF($H82&lt;=0,"0",IF($H82&lt;=1,"3",0)))+0</f>
        <v>0</v>
      </c>
      <c r="AI82" s="227" t="s">
        <v>389</v>
      </c>
      <c r="AJ82" s="228" t="s">
        <v>579</v>
      </c>
      <c r="AK82" s="229">
        <f>(IF($F82&lt;=0,"0",IF($F82&lt;=6,"4",IF($F82&lt;=7,"3",IF($F82&lt;=8,"2","0")))))+0</f>
        <v>4</v>
      </c>
      <c r="AL82" s="229">
        <f>(IF($G82&lt;=0,"0",IF($G82&lt;=6,"4",IF($G82&lt;=7,"3",IF($G82&lt;=8,"2","0")))))+0</f>
        <v>0</v>
      </c>
      <c r="AM82" s="229">
        <f>(IF($H82&lt;=0,"0",IF($H82&lt;=6,"4",IF($H82&lt;=7,"3",IF($H82&lt;=8,"2","0")))))+0</f>
        <v>0</v>
      </c>
      <c r="AN82" s="220">
        <f>SUM(AK82:AM82)</f>
        <v>4</v>
      </c>
      <c r="AO82" s="228" t="s">
        <v>314</v>
      </c>
      <c r="AP82" s="230" t="e">
        <f>(IF($E82&lt;=0,"0",IF($E82&lt;=20,"168",IF($E82&lt;=30,"165",IF($E82&lt;=50,"155",IF($E82&lt;=60,"135",IF($E82&lt;=70,"105",IF($E82&lt;=80,"60","0"))))))))+0</f>
        <v>#VALUE!</v>
      </c>
      <c r="AQ82" s="219" t="s">
        <v>573</v>
      </c>
      <c r="AR82" s="228" t="e">
        <f>(IF($E82&lt;=0,"0",IF($E82&lt;=80,"6","0")))+0</f>
        <v>#VALUE!</v>
      </c>
      <c r="AS82" s="228" t="e">
        <f>(IF($E82&lt;=0,"0",IF($E82&lt;=60,"9",IF($E82&lt;=70,"6","0"))))+0</f>
        <v>#VALUE!</v>
      </c>
      <c r="AT82" s="228" t="e">
        <f>(IF($E82&lt;=0,"0",IF($E82&lt;=40,"9",IF($E82&lt;=50,"6","0"))))+0</f>
        <v>#VALUE!</v>
      </c>
      <c r="AU82" s="231" t="e">
        <f>(IF($E82&lt;=0,"0",IF($E82&lt;=20,"1","0")))+0</f>
        <v>#VALUE!</v>
      </c>
      <c r="AV82" s="219" t="s">
        <v>178</v>
      </c>
      <c r="AW82" s="228" t="e">
        <f>(IF($E82&lt;=0,"0",IF($E82&lt;=70,"36",IF($E82&lt;=80,"24","0"))))+0</f>
        <v>#VALUE!</v>
      </c>
      <c r="AX82" s="228" t="e">
        <f>(IF($E82&lt;=0,"0",IF($E82&lt;=50,"30",IF($E82&lt;=60,"18","0"))))+0</f>
        <v>#VALUE!</v>
      </c>
      <c r="AY82" s="228" t="e">
        <f>(IF($E82&lt;=0,"0",IF($E82&lt;=20,"18",IF($E82&lt;=40,"15","0"))))+0</f>
        <v>#VALUE!</v>
      </c>
      <c r="AZ82" s="232">
        <f>Summary2831[[#This Row],[3*2]]+Summary2831[[#This Row],[3*22]]+Summary2831[[#This Row],[3*23]]</f>
        <v>0</v>
      </c>
      <c r="BA82" s="233">
        <f>Summary2831[[#This Row],[2*2]]+Summary2831[[#This Row],[2*23]]+Summary2831[[#This Row],[2*24]]</f>
        <v>0</v>
      </c>
      <c r="BB82" s="233">
        <f>Summary2831[[#This Row],[1*2]]+Summary2831[[#This Row],[1*24]]+Summary2831[[#This Row],[1*25]]</f>
        <v>0</v>
      </c>
      <c r="BC82" s="234">
        <f>IF($F82&lt;=0,"0",IF($F82&lt;=6,"19",IF($F82&lt;=7,"18",IF($F82&lt;=8,"9",0))))+0</f>
        <v>19</v>
      </c>
      <c r="BD82" s="234">
        <f>IF($F82&lt;=0,"0",IF($F82&lt;=2,"22",IF($F82&lt;=3,"19",IF($F82&lt;=4,"15",IF($F82&lt;=5,"9",0)))))+0</f>
        <v>22</v>
      </c>
      <c r="BE82" s="234">
        <f>IF($F82&lt;=0,"0",IF($F82&lt;=1,"6",0))+0</f>
        <v>0</v>
      </c>
      <c r="BF82" s="234">
        <f>IF($G82&lt;=0,"0",IF($G82&lt;=6,"19",IF($G82&lt;=7,"18",IF($G82&lt;=8,"9",0))))+0</f>
        <v>0</v>
      </c>
      <c r="BG82" s="234">
        <f>IF($G82&lt;=0,"0",IF($G82&lt;=2,"22",IF($G82&lt;=3,"19",IF($G82&lt;=4,"15",IF($G82&lt;=5,"9",0)))))+0</f>
        <v>0</v>
      </c>
      <c r="BH82" s="234">
        <f>IF($G82&lt;=0,"0",IF($G82&lt;=1,"6",0))+0</f>
        <v>0</v>
      </c>
      <c r="BI82" s="234">
        <f>IF($H82&lt;=0,"0",IF($H82&lt;=6,"19",IF($H82&lt;=7,"18",IF($H82&lt;=8,"9",0))))+0</f>
        <v>0</v>
      </c>
      <c r="BJ82" s="234">
        <f>IF($H82&lt;=0,"0",IF($H82&lt;=2,"22",IF($H82&lt;=3,"19",IF($H82&lt;=4,"15",IF($H82&lt;=5,"9",0)))))+0</f>
        <v>0</v>
      </c>
      <c r="BK82" s="234">
        <f>IF($H82&lt;=0,"0",IF($H82&lt;=1,"6",0))+0</f>
        <v>0</v>
      </c>
      <c r="BL82" s="219">
        <f>SUM(Summary2831[[#This Row],[3*
(Tal)]],Summary2831[[#This Row],[3*
(Asc)]])</f>
        <v>0</v>
      </c>
      <c r="BM82" s="228">
        <f>SUM(Summary2831[[#This Row],[2*
(Tal)]],Summary2831[[#This Row],[2*
(Asc)]])</f>
        <v>0</v>
      </c>
      <c r="BN82" s="231">
        <f>SUM(Summary2831[[#This Row],[1*
(Tal)]],Summary2831[[#This Row],[1*
(Asc)]])</f>
        <v>0</v>
      </c>
      <c r="BO82" s="235" t="e">
        <f>(IF($E82&lt;=0,"0",IF($E82&lt;=1,"2092530",IF($E82&lt;=10,"2087525",IF($E82&lt;=20,"2068495",IF($E82&lt;=30,"2005910",IF($E82&lt;=40,"1932830",IF($E82&lt;=50,"1777010",IF($E82&lt;=60,"1546185",IF($E82&lt;=70,"1227000",IF($E82&lt;=80,"804625",IF($E82&lt;=81,"647990",IF($E82&lt;=90,"0",0)))))))))))))+0</f>
        <v>#VALUE!</v>
      </c>
      <c r="BP82" s="236">
        <f>(IF($F82&lt;=0,"0",IF($F82&lt;=1,"952500",IF($F82&lt;=2,"940000",IF($F82&lt;=3,"922500",IF($F82&lt;=4,"897500",IF($F82&lt;=5,"867500",IF($F82&lt;=6,"830000",IF($F82&lt;=7,"710000",IF($F82&lt;=8,"450000",0))))))))))+0</f>
        <v>940000</v>
      </c>
      <c r="BQ82" s="236">
        <f>(IF($G82&lt;=0,"0",IF($G82&lt;=1,"952500",IF($G82&lt;=2,"940000",IF($G82&lt;=3,"922500",IF($G82&lt;=4,"897500",IF($G82&lt;=5,"867500",IF($G82&lt;=6,"830000",IF($G82&lt;=7,"710000",IF($G82&lt;=8,"450000",0))))))))))+0</f>
        <v>0</v>
      </c>
      <c r="BR82" s="236">
        <f>(IF($H82&lt;=0,"0",IF($H82&lt;=1,"952500",IF($H82&lt;=2,"940000",IF($H82&lt;=3,"922500",IF($H82&lt;=4,"897500",IF($H82&lt;=5,"867500",IF($H82&lt;=6,"830000",IF($H82&lt;=7,"710000",IF($H82&lt;=8,"450000",0))))))))))+0</f>
        <v>0</v>
      </c>
      <c r="BS82" s="237" t="e">
        <f>SUM(BO82,BP82,BQ82,BR82)</f>
        <v>#VALUE!</v>
      </c>
    </row>
    <row r="83" spans="1:71" ht="30" customHeight="1">
      <c r="A83" s="196">
        <f ca="1">SUBTOTAL(3,$C$3:Character[[#This Row],[Name]])</f>
        <v>81</v>
      </c>
      <c r="B83" s="192" t="e" vm="643">
        <f>ImgDatabase!D83</f>
        <v>#VALUE!</v>
      </c>
      <c r="C83" s="197" t="s">
        <v>610</v>
      </c>
      <c r="D83" s="194" t="str">
        <f>IFERROR(INDEX(CharacterDetailss[Element], MATCH(Character[[#This Row],[Name]], CharacterDetailss[Name], 0)), "")</f>
        <v/>
      </c>
      <c r="E83" s="194" t="str">
        <f>IFERROR(INDEX(CharacterDetailss[Weapon Type], MATCH(Character[[#This Row],[Name]], CharacterDetailss[Name], 0)), "")</f>
        <v/>
      </c>
      <c r="F83" s="198">
        <v>1</v>
      </c>
      <c r="G83" s="14">
        <v>90</v>
      </c>
      <c r="H83" s="9">
        <v>1</v>
      </c>
      <c r="I83" s="2">
        <v>9</v>
      </c>
      <c r="J83" s="10">
        <v>10</v>
      </c>
      <c r="L83" s="75">
        <v>81</v>
      </c>
      <c r="M83" s="73">
        <v>1</v>
      </c>
      <c r="N83" s="74">
        <v>9</v>
      </c>
      <c r="O83" s="74">
        <v>9</v>
      </c>
      <c r="Q83" s="245" t="e" vm="374">
        <f>IFERROR(INDEX(ImgDatabase!$O:$O, MATCH(WorldBoss[[#This Row],[Boss Name]], ImgDatabase!$P:$P, 0)), "")</f>
        <v>#VALUE!</v>
      </c>
      <c r="R83" s="244" t="s">
        <v>127</v>
      </c>
      <c r="S83" s="300">
        <f>(IF($E83&lt;=0,"0",IF($E83&lt;=40,"46",IF($E83&lt;=50,"44",IF($E83&lt;=60,"40",IF($E83&lt;=70,"32",IF($E83&lt;=80,"20","0")))))))+0</f>
        <v>0</v>
      </c>
      <c r="U83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3" s="240" t="s">
        <v>540</v>
      </c>
      <c r="W83" s="241">
        <f>Z83+AC83+AF83</f>
        <v>44</v>
      </c>
      <c r="X83" s="241">
        <f>AA83+AD83+AG83</f>
        <v>42</v>
      </c>
      <c r="Y83" s="242">
        <f>AB83+AE83+AH83</f>
        <v>6</v>
      </c>
      <c r="Z83" s="204">
        <f>(IF($F83&lt;=0,"0",IF($F83&lt;=6,"22",IF($F83&lt;=7,"18",IF($F83&lt;=8,"12",0)))))+0</f>
        <v>22</v>
      </c>
      <c r="AA83" s="205">
        <f>(IF($F83&lt;=0,"0",IF($F83&lt;=2,"21",IF($F83&lt;=3,"19",IF($F83&lt;=4,"15",IF($F83&lt;=5,"9",0))))))+0</f>
        <v>21</v>
      </c>
      <c r="AB83" s="205">
        <f>(IF($F83&lt;=0,"0",IF($F83&lt;=1,"3",0)))+0</f>
        <v>3</v>
      </c>
      <c r="AC83" s="205">
        <f>(IF($G83&lt;=0,"0",IF($G83&lt;=6,"22",IF($G83&lt;=7,"18",IF($G83&lt;=8,"12",0)))))+0</f>
        <v>0</v>
      </c>
      <c r="AD83" s="205">
        <f>(IF($G83&lt;=0,"0",IF($G83&lt;=2,"21",IF($G83&lt;=3,"19",IF($G83&lt;=4,"15",IF($G83&lt;=5,"9",0))))))+0</f>
        <v>0</v>
      </c>
      <c r="AE83" s="205">
        <f>(IF($G83&lt;=0,"0",IF($G83&lt;=1,"3",0)))+0</f>
        <v>0</v>
      </c>
      <c r="AF83" s="205">
        <f>(IF($H83&lt;=0,"0",IF($H83&lt;=6,"22",IF($H83&lt;=7,"18",IF($H83&lt;=8,"12",0)))))+0</f>
        <v>22</v>
      </c>
      <c r="AG83" s="205">
        <f>(IF($H83&lt;=0,"0",IF($H83&lt;=2,"21",IF($H83&lt;=3,"19",IF($H83&lt;=4,"15",IF($H83&lt;=5,"9",0))))))+0</f>
        <v>21</v>
      </c>
      <c r="AH83" s="206">
        <f>(IF($H83&lt;=0,"0",IF($H83&lt;=1,"3",0)))+0</f>
        <v>3</v>
      </c>
      <c r="AI83" s="243" t="s">
        <v>543</v>
      </c>
      <c r="AJ83" s="244" t="s">
        <v>600</v>
      </c>
      <c r="AK83" s="209">
        <f>(IF($F83&lt;=0,"0",IF($F83&lt;=6,"4",IF($F83&lt;=7,"3",IF($F83&lt;=8,"2","0")))))+0</f>
        <v>4</v>
      </c>
      <c r="AL83" s="209">
        <f>(IF($G83&lt;=0,"0",IF($G83&lt;=6,"4",IF($G83&lt;=7,"3",IF($G83&lt;=8,"2","0")))))+0</f>
        <v>0</v>
      </c>
      <c r="AM83" s="209">
        <f>(IF($H83&lt;=0,"0",IF($H83&lt;=6,"4",IF($H83&lt;=7,"3",IF($H83&lt;=8,"2","0")))))+0</f>
        <v>4</v>
      </c>
      <c r="AN83" s="239">
        <f>SUM(AK83:AM83)</f>
        <v>8</v>
      </c>
      <c r="AO83" s="244" t="s">
        <v>584</v>
      </c>
      <c r="AP83" s="245">
        <f>(IF($E83&lt;=0,"0",IF($E83&lt;=20,"168",IF($E83&lt;=30,"165",IF($E83&lt;=50,"155",IF($E83&lt;=60,"135",IF($E83&lt;=70,"105",IF($E83&lt;=80,"60","0"))))))))+0</f>
        <v>0</v>
      </c>
      <c r="AQ83" s="238" t="s">
        <v>546</v>
      </c>
      <c r="AR83" s="244">
        <f>(IF($E83&lt;=0,"0",IF($E83&lt;=80,"6","0")))+0</f>
        <v>0</v>
      </c>
      <c r="AS83" s="244">
        <f>(IF($E83&lt;=0,"0",IF($E83&lt;=60,"9",IF($E83&lt;=70,"6","0"))))+0</f>
        <v>0</v>
      </c>
      <c r="AT83" s="244">
        <f>(IF($E83&lt;=0,"0",IF($E83&lt;=40,"9",IF($E83&lt;=50,"6","0"))))+0</f>
        <v>0</v>
      </c>
      <c r="AU83" s="246">
        <f>(IF($E83&lt;=0,"0",IF($E83&lt;=20,"1","0")))+0</f>
        <v>0</v>
      </c>
      <c r="AV83" s="238" t="s">
        <v>89</v>
      </c>
      <c r="AW83" s="244">
        <f>(IF($E83&lt;=0,"0",IF($E83&lt;=70,"36",IF($E83&lt;=80,"24","0"))))+0</f>
        <v>0</v>
      </c>
      <c r="AX83" s="244">
        <f>(IF($E83&lt;=0,"0",IF($E83&lt;=50,"30",IF($E83&lt;=60,"18","0"))))+0</f>
        <v>0</v>
      </c>
      <c r="AY83" s="244">
        <f>(IF($E83&lt;=0,"0",IF($E83&lt;=20,"18",IF($E83&lt;=40,"15","0"))))+0</f>
        <v>0</v>
      </c>
      <c r="AZ83" s="247">
        <f>Summary2831[[#This Row],[3*2]]+Summary2831[[#This Row],[3*22]]+Summary2831[[#This Row],[3*23]]</f>
        <v>19</v>
      </c>
      <c r="BA83" s="248">
        <f>Summary2831[[#This Row],[2*2]]+Summary2831[[#This Row],[2*23]]+Summary2831[[#This Row],[2*24]]</f>
        <v>22</v>
      </c>
      <c r="BB83" s="248">
        <f>Summary2831[[#This Row],[1*2]]+Summary2831[[#This Row],[1*24]]+Summary2831[[#This Row],[1*25]]</f>
        <v>6</v>
      </c>
      <c r="BC83" s="248">
        <f>IF($F83&lt;=0,"0",IF($F83&lt;=6,"19",IF($F83&lt;=7,"18",IF($F83&lt;=8,"9",0))))+0</f>
        <v>19</v>
      </c>
      <c r="BD83" s="248">
        <f>IF($F83&lt;=0,"0",IF($F83&lt;=2,"22",IF($F83&lt;=3,"19",IF($F83&lt;=4,"15",IF($F83&lt;=5,"9",0)))))+0</f>
        <v>22</v>
      </c>
      <c r="BE83" s="248">
        <f>IF($F83&lt;=0,"0",IF($F83&lt;=1,"6",0))+0</f>
        <v>6</v>
      </c>
      <c r="BF83" s="248">
        <f>IF($G83&lt;=0,"0",IF($G83&lt;=6,"19",IF($G83&lt;=7,"18",IF($G83&lt;=8,"9",0))))+0</f>
        <v>0</v>
      </c>
      <c r="BG83" s="248">
        <f>IF($G83&lt;=0,"0",IF($G83&lt;=2,"22",IF($G83&lt;=3,"19",IF($G83&lt;=4,"15",IF($G83&lt;=5,"9",0)))))+0</f>
        <v>0</v>
      </c>
      <c r="BH83" s="248">
        <f>IF($G83&lt;=0,"0",IF($G83&lt;=1,"6",0))+0</f>
        <v>0</v>
      </c>
      <c r="BI83" s="248">
        <f>IF($H83&lt;=0,"0",IF($H83&lt;=6,"19",IF($H83&lt;=7,"18",IF($H83&lt;=8,"9",0))))+0</f>
        <v>19</v>
      </c>
      <c r="BJ83" s="248">
        <f>IF($H83&lt;=0,"0",IF($H83&lt;=2,"22",IF($H83&lt;=3,"19",IF($H83&lt;=4,"15",IF($H83&lt;=5,"9",0)))))+0</f>
        <v>22</v>
      </c>
      <c r="BK83" s="248">
        <f>IF($H83&lt;=0,"0",IF($H83&lt;=1,"6",0))+0</f>
        <v>6</v>
      </c>
      <c r="BL83" s="238">
        <f>SUM(Summary2831[[#This Row],[3*
(Tal)]],Summary2831[[#This Row],[3*
(Asc)]])</f>
        <v>19</v>
      </c>
      <c r="BM83" s="244">
        <f>SUM(Summary2831[[#This Row],[2*
(Tal)]],Summary2831[[#This Row],[2*
(Asc)]])</f>
        <v>22</v>
      </c>
      <c r="BN83" s="246">
        <f>SUM(Summary2831[[#This Row],[1*
(Tal)]],Summary2831[[#This Row],[1*
(Asc)]])</f>
        <v>6</v>
      </c>
      <c r="BO83" s="216">
        <f>(IF($E83&lt;=0,"0",IF($E83&lt;=1,"2092530",IF($E83&lt;=10,"2087525",IF($E83&lt;=20,"2068495",IF($E83&lt;=30,"2005910",IF($E83&lt;=40,"1932830",IF($E83&lt;=50,"1777010",IF($E83&lt;=60,"1546185",IF($E83&lt;=70,"1227000",IF($E83&lt;=80,"804625",IF($E83&lt;=81,"647990",IF($E83&lt;=90,"0",0)))))))))))))+0</f>
        <v>0</v>
      </c>
      <c r="BP83" s="249">
        <f>(IF($F83&lt;=0,"0",IF($F83&lt;=1,"952500",IF($F83&lt;=2,"940000",IF($F83&lt;=3,"922500",IF($F83&lt;=4,"897500",IF($F83&lt;=5,"867500",IF($F83&lt;=6,"830000",IF($F83&lt;=7,"710000",IF($F83&lt;=8,"450000",0))))))))))+0</f>
        <v>952500</v>
      </c>
      <c r="BQ83" s="249">
        <f>(IF($G83&lt;=0,"0",IF($G83&lt;=1,"952500",IF($G83&lt;=2,"940000",IF($G83&lt;=3,"922500",IF($G83&lt;=4,"897500",IF($G83&lt;=5,"867500",IF($G83&lt;=6,"830000",IF($G83&lt;=7,"710000",IF($G83&lt;=8,"450000",0))))))))))+0</f>
        <v>0</v>
      </c>
      <c r="BR83" s="249">
        <f>(IF($H83&lt;=0,"0",IF($H83&lt;=1,"952500",IF($H83&lt;=2,"940000",IF($H83&lt;=3,"922500",IF($H83&lt;=4,"897500",IF($H83&lt;=5,"867500",IF($H83&lt;=6,"830000",IF($H83&lt;=7,"710000",IF($H83&lt;=8,"450000",0))))))))))+0</f>
        <v>952500</v>
      </c>
      <c r="BS83" s="250">
        <f>SUM(BO83,BP83,BQ83,BR83)</f>
        <v>1905000</v>
      </c>
    </row>
    <row r="84" spans="1:71" ht="30" customHeight="1">
      <c r="A84" s="196">
        <f ca="1">SUBTOTAL(3,$C$3:Character[[#This Row],[Name]])</f>
        <v>82</v>
      </c>
      <c r="B84" s="192" t="e" vm="644">
        <f>ImgDatabase!D84</f>
        <v>#VALUE!</v>
      </c>
      <c r="C84" s="197" t="s">
        <v>423</v>
      </c>
      <c r="D84" s="194" t="e" vm="31">
        <f>IFERROR(INDEX(CharacterDetailss[Element], MATCH(Character[[#This Row],[Name]], CharacterDetailss[Name], 0)), "")</f>
        <v>#VALUE!</v>
      </c>
      <c r="E84" s="194" t="e" vm="292">
        <f>IFERROR(INDEX(CharacterDetailss[Weapon Type], MATCH(Character[[#This Row],[Name]], CharacterDetailss[Name], 0)), "")</f>
        <v>#VALUE!</v>
      </c>
      <c r="F84" s="195">
        <v>1.1000000000000001</v>
      </c>
      <c r="G84" s="14">
        <v>40</v>
      </c>
      <c r="H84" s="9">
        <v>1</v>
      </c>
      <c r="I84" s="2">
        <v>1</v>
      </c>
      <c r="J84" s="10">
        <v>1</v>
      </c>
      <c r="L84" s="75">
        <v>81</v>
      </c>
      <c r="M84" s="73">
        <v>1</v>
      </c>
      <c r="N84" s="74">
        <v>9</v>
      </c>
      <c r="O84" s="74">
        <v>9</v>
      </c>
      <c r="Q84" s="258" t="e" vm="381">
        <f>IFERROR(INDEX(ImgDatabase!$O:$O, MATCH(WorldBoss[[#This Row],[Boss Name]], ImgDatabase!$P:$P, 0)), "")</f>
        <v>#VALUE!</v>
      </c>
      <c r="R84" s="257" t="s">
        <v>136</v>
      </c>
      <c r="S84" s="301" t="e">
        <f>(IF($E84&lt;=0,"0",IF($E84&lt;=40,"46",IF($E84&lt;=50,"44",IF($E84&lt;=60,"40",IF($E84&lt;=70,"32",IF($E84&lt;=80,"20","0")))))))+0</f>
        <v>#VALUE!</v>
      </c>
      <c r="U84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V84" s="253" t="s">
        <v>540</v>
      </c>
      <c r="W84" s="254">
        <f>Z84+AC84+AF84</f>
        <v>44</v>
      </c>
      <c r="X84" s="254">
        <f>AA84+AD84+AG84</f>
        <v>42</v>
      </c>
      <c r="Y84" s="255">
        <f>AB84+AE84+AH84</f>
        <v>3</v>
      </c>
      <c r="Z84" s="224">
        <f>(IF($F84&lt;=0,"0",IF($F84&lt;=6,"22",IF($F84&lt;=7,"18",IF($F84&lt;=8,"12",0)))))+0</f>
        <v>22</v>
      </c>
      <c r="AA84" s="225">
        <f>(IF($F84&lt;=0,"0",IF($F84&lt;=2,"21",IF($F84&lt;=3,"19",IF($F84&lt;=4,"15",IF($F84&lt;=5,"9",0))))))+0</f>
        <v>21</v>
      </c>
      <c r="AB84" s="225">
        <f>(IF($F84&lt;=0,"0",IF($F84&lt;=1,"3",0)))+0</f>
        <v>0</v>
      </c>
      <c r="AC84" s="225">
        <f>(IF($G84&lt;=0,"0",IF($G84&lt;=6,"22",IF($G84&lt;=7,"18",IF($G84&lt;=8,"12",0)))))+0</f>
        <v>0</v>
      </c>
      <c r="AD84" s="225">
        <f>(IF($G84&lt;=0,"0",IF($G84&lt;=2,"21",IF($G84&lt;=3,"19",IF($G84&lt;=4,"15",IF($G84&lt;=5,"9",0))))))+0</f>
        <v>0</v>
      </c>
      <c r="AE84" s="225">
        <f>(IF($G84&lt;=0,"0",IF($G84&lt;=1,"3",0)))+0</f>
        <v>0</v>
      </c>
      <c r="AF84" s="225">
        <f>(IF($H84&lt;=0,"0",IF($H84&lt;=6,"22",IF($H84&lt;=7,"18",IF($H84&lt;=8,"12",0)))))+0</f>
        <v>22</v>
      </c>
      <c r="AG84" s="225">
        <f>(IF($H84&lt;=0,"0",IF($H84&lt;=2,"21",IF($H84&lt;=3,"19",IF($H84&lt;=4,"15",IF($H84&lt;=5,"9",0))))))+0</f>
        <v>21</v>
      </c>
      <c r="AH84" s="226">
        <f>(IF($H84&lt;=0,"0",IF($H84&lt;=1,"3",0)))+0</f>
        <v>3</v>
      </c>
      <c r="AI84" s="256" t="s">
        <v>389</v>
      </c>
      <c r="AJ84" s="257" t="s">
        <v>520</v>
      </c>
      <c r="AK84" s="229">
        <f>(IF($F84&lt;=0,"0",IF($F84&lt;=6,"4",IF($F84&lt;=7,"3",IF($F84&lt;=8,"2","0")))))+0</f>
        <v>4</v>
      </c>
      <c r="AL84" s="229">
        <f>(IF($G84&lt;=0,"0",IF($G84&lt;=6,"4",IF($G84&lt;=7,"3",IF($G84&lt;=8,"2","0")))))+0</f>
        <v>0</v>
      </c>
      <c r="AM84" s="229">
        <f>(IF($H84&lt;=0,"0",IF($H84&lt;=6,"4",IF($H84&lt;=7,"3",IF($H84&lt;=8,"2","0")))))+0</f>
        <v>4</v>
      </c>
      <c r="AN84" s="252">
        <f>SUM(AK84:AM84)</f>
        <v>8</v>
      </c>
      <c r="AO84" s="257" t="s">
        <v>401</v>
      </c>
      <c r="AP84" s="258" t="e">
        <f>(IF($E84&lt;=0,"0",IF($E84&lt;=20,"168",IF($E84&lt;=30,"165",IF($E84&lt;=50,"155",IF($E84&lt;=60,"135",IF($E84&lt;=70,"105",IF($E84&lt;=80,"60","0"))))))))+0</f>
        <v>#VALUE!</v>
      </c>
      <c r="AQ84" s="251" t="s">
        <v>534</v>
      </c>
      <c r="AR84" s="257" t="e">
        <f>(IF($E84&lt;=0,"0",IF($E84&lt;=80,"6","0")))+0</f>
        <v>#VALUE!</v>
      </c>
      <c r="AS84" s="257" t="e">
        <f>(IF($E84&lt;=0,"0",IF($E84&lt;=60,"9",IF($E84&lt;=70,"6","0"))))+0</f>
        <v>#VALUE!</v>
      </c>
      <c r="AT84" s="257" t="e">
        <f>(IF($E84&lt;=0,"0",IF($E84&lt;=40,"9",IF($E84&lt;=50,"6","0"))))+0</f>
        <v>#VALUE!</v>
      </c>
      <c r="AU84" s="259" t="e">
        <f>(IF($E84&lt;=0,"0",IF($E84&lt;=20,"1","0")))+0</f>
        <v>#VALUE!</v>
      </c>
      <c r="AV84" s="251" t="s">
        <v>207</v>
      </c>
      <c r="AW84" s="257" t="e">
        <f>(IF($E84&lt;=0,"0",IF($E84&lt;=70,"36",IF($E84&lt;=80,"24","0"))))+0</f>
        <v>#VALUE!</v>
      </c>
      <c r="AX84" s="257" t="e">
        <f>(IF($E84&lt;=0,"0",IF($E84&lt;=50,"30",IF($E84&lt;=60,"18","0"))))+0</f>
        <v>#VALUE!</v>
      </c>
      <c r="AY84" s="257" t="e">
        <f>(IF($E84&lt;=0,"0",IF($E84&lt;=20,"18",IF($E84&lt;=40,"15","0"))))+0</f>
        <v>#VALUE!</v>
      </c>
      <c r="AZ84" s="260">
        <f>Summary2831[[#This Row],[3*2]]+Summary2831[[#This Row],[3*22]]+Summary2831[[#This Row],[3*23]]</f>
        <v>57</v>
      </c>
      <c r="BA84" s="261">
        <f>Summary2831[[#This Row],[2*2]]+Summary2831[[#This Row],[2*23]]+Summary2831[[#This Row],[2*24]]</f>
        <v>66</v>
      </c>
      <c r="BB84" s="261">
        <f>Summary2831[[#This Row],[1*2]]+Summary2831[[#This Row],[1*24]]+Summary2831[[#This Row],[1*25]]</f>
        <v>18</v>
      </c>
      <c r="BC84" s="261">
        <f>IF($F84&lt;=0,"0",IF($F84&lt;=6,"19",IF($F84&lt;=7,"18",IF($F84&lt;=8,"9",0))))+0</f>
        <v>19</v>
      </c>
      <c r="BD84" s="261">
        <f>IF($F84&lt;=0,"0",IF($F84&lt;=2,"22",IF($F84&lt;=3,"19",IF($F84&lt;=4,"15",IF($F84&lt;=5,"9",0)))))+0</f>
        <v>22</v>
      </c>
      <c r="BE84" s="261">
        <f>IF($F84&lt;=0,"0",IF($F84&lt;=1,"6",0))+0</f>
        <v>0</v>
      </c>
      <c r="BF84" s="261">
        <f>IF($G84&lt;=0,"0",IF($G84&lt;=6,"19",IF($G84&lt;=7,"18",IF($G84&lt;=8,"9",0))))+0</f>
        <v>0</v>
      </c>
      <c r="BG84" s="261">
        <f>IF($G84&lt;=0,"0",IF($G84&lt;=2,"22",IF($G84&lt;=3,"19",IF($G84&lt;=4,"15",IF($G84&lt;=5,"9",0)))))+0</f>
        <v>0</v>
      </c>
      <c r="BH84" s="261">
        <f>IF($G84&lt;=0,"0",IF($G84&lt;=1,"6",0))+0</f>
        <v>0</v>
      </c>
      <c r="BI84" s="261">
        <f>IF($H84&lt;=0,"0",IF($H84&lt;=6,"19",IF($H84&lt;=7,"18",IF($H84&lt;=8,"9",0))))+0</f>
        <v>19</v>
      </c>
      <c r="BJ84" s="261">
        <f>IF($H84&lt;=0,"0",IF($H84&lt;=2,"22",IF($H84&lt;=3,"19",IF($H84&lt;=4,"15",IF($H84&lt;=5,"9",0)))))+0</f>
        <v>22</v>
      </c>
      <c r="BK84" s="261">
        <f>IF($H84&lt;=0,"0",IF($H84&lt;=1,"6",0))+0</f>
        <v>6</v>
      </c>
      <c r="BL84" s="251">
        <f>SUM(Summary2831[[#This Row],[3*
(Tal)]],Summary2831[[#This Row],[3*
(Asc)]])</f>
        <v>93</v>
      </c>
      <c r="BM84" s="257">
        <f>SUM(Summary2831[[#This Row],[2*
(Tal)]],Summary2831[[#This Row],[2*
(Asc)]])</f>
        <v>96</v>
      </c>
      <c r="BN84" s="259">
        <f>SUM(Summary2831[[#This Row],[1*
(Tal)]],Summary2831[[#This Row],[1*
(Asc)]])</f>
        <v>33</v>
      </c>
      <c r="BO84" s="235" t="e">
        <f>(IF($E84&lt;=0,"0",IF($E84&lt;=1,"2092530",IF($E84&lt;=10,"2087525",IF($E84&lt;=20,"2068495",IF($E84&lt;=30,"2005910",IF($E84&lt;=40,"1932830",IF($E84&lt;=50,"1777010",IF($E84&lt;=60,"1546185",IF($E84&lt;=70,"1227000",IF($E84&lt;=80,"804625",IF($E84&lt;=81,"647990",IF($E84&lt;=90,"0",0)))))))))))))+0</f>
        <v>#VALUE!</v>
      </c>
      <c r="BP84" s="262">
        <f>(IF($F84&lt;=0,"0",IF($F84&lt;=1,"952500",IF($F84&lt;=2,"940000",IF($F84&lt;=3,"922500",IF($F84&lt;=4,"897500",IF($F84&lt;=5,"867500",IF($F84&lt;=6,"830000",IF($F84&lt;=7,"710000",IF($F84&lt;=8,"450000",0))))))))))+0</f>
        <v>940000</v>
      </c>
      <c r="BQ84" s="262">
        <f>(IF($G84&lt;=0,"0",IF($G84&lt;=1,"952500",IF($G84&lt;=2,"940000",IF($G84&lt;=3,"922500",IF($G84&lt;=4,"897500",IF($G84&lt;=5,"867500",IF($G84&lt;=6,"830000",IF($G84&lt;=7,"710000",IF($G84&lt;=8,"450000",0))))))))))+0</f>
        <v>0</v>
      </c>
      <c r="BR84" s="262">
        <f>(IF($H84&lt;=0,"0",IF($H84&lt;=1,"952500",IF($H84&lt;=2,"940000",IF($H84&lt;=3,"922500",IF($H84&lt;=4,"897500",IF($H84&lt;=5,"867500",IF($H84&lt;=6,"830000",IF($H84&lt;=7,"710000",IF($H84&lt;=8,"450000",0))))))))))+0</f>
        <v>952500</v>
      </c>
      <c r="BS84" s="263" t="e">
        <f>SUM(BO84,BP84,BQ84,BR84)</f>
        <v>#VALUE!</v>
      </c>
    </row>
    <row r="85" spans="1:71" s="81" customFormat="1" ht="30" customHeight="1">
      <c r="A85" s="192">
        <f ca="1">SUBTOTAL(3,$C$3:Character[[#This Row],[Name]])</f>
        <v>83</v>
      </c>
      <c r="B85" s="192" t="e" vm="645">
        <f>ImgDatabase!D85</f>
        <v>#VALUE!</v>
      </c>
      <c r="C85" s="193" t="s">
        <v>440</v>
      </c>
      <c r="D85" s="194" t="e" vm="49">
        <f>IFERROR(INDEX(CharacterDetailss[Element], MATCH(Character[[#This Row],[Name]], CharacterDetailss[Name], 0)), "")</f>
        <v>#VALUE!</v>
      </c>
      <c r="E85" s="194" t="e" vm="312">
        <f>IFERROR(INDEX(CharacterDetailss[Weapon Type], MATCH(Character[[#This Row],[Name]], CharacterDetailss[Name], 0)), "")</f>
        <v>#VALUE!</v>
      </c>
      <c r="F85" s="195">
        <v>2.5</v>
      </c>
      <c r="G85" s="72">
        <v>0</v>
      </c>
      <c r="H85" s="73">
        <v>0</v>
      </c>
      <c r="I85" s="74">
        <v>0</v>
      </c>
      <c r="J85" s="75">
        <v>0</v>
      </c>
      <c r="K85"/>
      <c r="L85" s="75">
        <v>81</v>
      </c>
      <c r="M85" s="73">
        <v>1</v>
      </c>
      <c r="N85" s="74">
        <v>9</v>
      </c>
      <c r="O85" s="74">
        <v>9</v>
      </c>
      <c r="P85"/>
      <c r="Q85" s="210" t="e" vm="435">
        <f>IFERROR(INDEX(ImgDatabase!$O:$O, MATCH(WorldBoss[[#This Row],[Boss Name]], ImgDatabase!$P:$P, 0)), "")</f>
        <v>#VALUE!</v>
      </c>
      <c r="R85" s="208" t="s">
        <v>223</v>
      </c>
      <c r="S85" s="298" t="e">
        <f>(IF($E85&lt;=0,"0",IF($E85&lt;=40,"46",IF($E85&lt;=50,"44",IF($E85&lt;=60,"40",IF($E85&lt;=70,"32",IF($E85&lt;=80,"20","0")))))))+0</f>
        <v>#VALUE!</v>
      </c>
      <c r="T85"/>
      <c r="U85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5" s="202" t="s">
        <v>561</v>
      </c>
      <c r="W85" s="203">
        <f>Z85+AC85+AF85</f>
        <v>22</v>
      </c>
      <c r="X85" s="203">
        <f>AA85+AD85+AG85</f>
        <v>19</v>
      </c>
      <c r="Y85" s="201">
        <f>AB85+AE85+AH85</f>
        <v>0</v>
      </c>
      <c r="Z85" s="204">
        <f>(IF($F85&lt;=0,"0",IF($F85&lt;=6,"22",IF($F85&lt;=7,"18",IF($F85&lt;=8,"12",0)))))+0</f>
        <v>22</v>
      </c>
      <c r="AA85" s="205">
        <f>(IF($F85&lt;=0,"0",IF($F85&lt;=2,"21",IF($F85&lt;=3,"19",IF($F85&lt;=4,"15",IF($F85&lt;=5,"9",0))))))+0</f>
        <v>19</v>
      </c>
      <c r="AB85" s="205">
        <f>(IF($F85&lt;=0,"0",IF($F85&lt;=1,"3",0)))+0</f>
        <v>0</v>
      </c>
      <c r="AC85" s="205">
        <f>(IF($G85&lt;=0,"0",IF($G85&lt;=6,"22",IF($G85&lt;=7,"18",IF($G85&lt;=8,"12",0)))))+0</f>
        <v>0</v>
      </c>
      <c r="AD85" s="205">
        <f>(IF($G85&lt;=0,"0",IF($G85&lt;=2,"21",IF($G85&lt;=3,"19",IF($G85&lt;=4,"15",IF($G85&lt;=5,"9",0))))))+0</f>
        <v>0</v>
      </c>
      <c r="AE85" s="205">
        <f>(IF($G85&lt;=0,"0",IF($G85&lt;=1,"3",0)))+0</f>
        <v>0</v>
      </c>
      <c r="AF85" s="205">
        <f>(IF($H85&lt;=0,"0",IF($H85&lt;=6,"22",IF($H85&lt;=7,"18",IF($H85&lt;=8,"12",0)))))+0</f>
        <v>0</v>
      </c>
      <c r="AG85" s="205">
        <f>(IF($H85&lt;=0,"0",IF($H85&lt;=2,"21",IF($H85&lt;=3,"19",IF($H85&lt;=4,"15",IF($H85&lt;=5,"9",0))))))+0</f>
        <v>0</v>
      </c>
      <c r="AH85" s="206">
        <f>(IF($H85&lt;=0,"0",IF($H85&lt;=1,"3",0)))+0</f>
        <v>0</v>
      </c>
      <c r="AI85" s="207" t="s">
        <v>553</v>
      </c>
      <c r="AJ85" s="208" t="s">
        <v>583</v>
      </c>
      <c r="AK85" s="209">
        <f>(IF($F85&lt;=0,"0",IF($F85&lt;=6,"4",IF($F85&lt;=7,"3",IF($F85&lt;=8,"2","0")))))+0</f>
        <v>4</v>
      </c>
      <c r="AL85" s="209">
        <f>(IF($G85&lt;=0,"0",IF($G85&lt;=6,"4",IF($G85&lt;=7,"3",IF($G85&lt;=8,"2","0")))))+0</f>
        <v>0</v>
      </c>
      <c r="AM85" s="209">
        <f>(IF($H85&lt;=0,"0",IF($H85&lt;=6,"4",IF($H85&lt;=7,"3",IF($H85&lt;=8,"2","0")))))+0</f>
        <v>0</v>
      </c>
      <c r="AN85" s="200">
        <f>SUM(AK85:AM85)</f>
        <v>4</v>
      </c>
      <c r="AO85" s="208" t="s">
        <v>590</v>
      </c>
      <c r="AP85" s="210" t="e">
        <f>(IF($E85&lt;=0,"0",IF($E85&lt;=20,"168",IF($E85&lt;=30,"165",IF($E85&lt;=50,"155",IF($E85&lt;=60,"135",IF($E85&lt;=70,"105",IF($E85&lt;=80,"60","0"))))))))+0</f>
        <v>#VALUE!</v>
      </c>
      <c r="AQ85" s="199" t="s">
        <v>548</v>
      </c>
      <c r="AR85" s="208" t="e">
        <f>(IF($E85&lt;=0,"0",IF($E85&lt;=80,"6","0")))+0</f>
        <v>#VALUE!</v>
      </c>
      <c r="AS85" s="208" t="e">
        <f>(IF($E85&lt;=0,"0",IF($E85&lt;=60,"9",IF($E85&lt;=70,"6","0"))))+0</f>
        <v>#VALUE!</v>
      </c>
      <c r="AT85" s="208" t="e">
        <f>(IF($E85&lt;=0,"0",IF($E85&lt;=40,"9",IF($E85&lt;=50,"6","0"))))+0</f>
        <v>#VALUE!</v>
      </c>
      <c r="AU85" s="211" t="e">
        <f>(IF($E85&lt;=0,"0",IF($E85&lt;=20,"1","0")))+0</f>
        <v>#VALUE!</v>
      </c>
      <c r="AV85" s="199" t="s">
        <v>288</v>
      </c>
      <c r="AW85" s="208" t="e">
        <f>(IF($E85&lt;=0,"0",IF($E85&lt;=70,"36",IF($E85&lt;=80,"24","0"))))+0</f>
        <v>#VALUE!</v>
      </c>
      <c r="AX85" s="208" t="e">
        <f>(IF($E85&lt;=0,"0",IF($E85&lt;=50,"30",IF($E85&lt;=60,"18","0"))))+0</f>
        <v>#VALUE!</v>
      </c>
      <c r="AY85" s="208" t="e">
        <f>(IF($E85&lt;=0,"0",IF($E85&lt;=20,"18",IF($E85&lt;=40,"15","0"))))+0</f>
        <v>#VALUE!</v>
      </c>
      <c r="AZ85" s="212">
        <f>Summary2831[[#This Row],[3*2]]+Summary2831[[#This Row],[3*22]]+Summary2831[[#This Row],[3*23]]</f>
        <v>0</v>
      </c>
      <c r="BA85" s="213">
        <f>Summary2831[[#This Row],[2*2]]+Summary2831[[#This Row],[2*23]]+Summary2831[[#This Row],[2*24]]</f>
        <v>0</v>
      </c>
      <c r="BB85" s="213">
        <f>Summary2831[[#This Row],[1*2]]+Summary2831[[#This Row],[1*24]]+Summary2831[[#This Row],[1*25]]</f>
        <v>0</v>
      </c>
      <c r="BC85" s="215">
        <f>IF($F85&lt;=0,"0",IF($F85&lt;=6,"19",IF($F85&lt;=7,"18",IF($F85&lt;=8,"9",0))))+0</f>
        <v>19</v>
      </c>
      <c r="BD85" s="215">
        <f>IF($F85&lt;=0,"0",IF($F85&lt;=2,"22",IF($F85&lt;=3,"19",IF($F85&lt;=4,"15",IF($F85&lt;=5,"9",0)))))+0</f>
        <v>19</v>
      </c>
      <c r="BE85" s="215">
        <f>IF($F85&lt;=0,"0",IF($F85&lt;=1,"6",0))+0</f>
        <v>0</v>
      </c>
      <c r="BF85" s="215">
        <f>IF($G85&lt;=0,"0",IF($G85&lt;=6,"19",IF($G85&lt;=7,"18",IF($G85&lt;=8,"9",0))))+0</f>
        <v>0</v>
      </c>
      <c r="BG85" s="215">
        <f>IF($G85&lt;=0,"0",IF($G85&lt;=2,"22",IF($G85&lt;=3,"19",IF($G85&lt;=4,"15",IF($G85&lt;=5,"9",0)))))+0</f>
        <v>0</v>
      </c>
      <c r="BH85" s="215">
        <f>IF($G85&lt;=0,"0",IF($G85&lt;=1,"6",0))+0</f>
        <v>0</v>
      </c>
      <c r="BI85" s="215">
        <f>IF($H85&lt;=0,"0",IF($H85&lt;=6,"19",IF($H85&lt;=7,"18",IF($H85&lt;=8,"9",0))))+0</f>
        <v>0</v>
      </c>
      <c r="BJ85" s="215">
        <f>IF($H85&lt;=0,"0",IF($H85&lt;=2,"22",IF($H85&lt;=3,"19",IF($H85&lt;=4,"15",IF($H85&lt;=5,"9",0)))))+0</f>
        <v>0</v>
      </c>
      <c r="BK85" s="215">
        <f>IF($H85&lt;=0,"0",IF($H85&lt;=1,"6",0))+0</f>
        <v>0</v>
      </c>
      <c r="BL85" s="199">
        <f>SUM(Summary2831[[#This Row],[3*
(Tal)]],Summary2831[[#This Row],[3*
(Asc)]])</f>
        <v>0</v>
      </c>
      <c r="BM85" s="208">
        <f>SUM(Summary2831[[#This Row],[2*
(Tal)]],Summary2831[[#This Row],[2*
(Asc)]])</f>
        <v>0</v>
      </c>
      <c r="BN85" s="211">
        <f>SUM(Summary2831[[#This Row],[1*
(Tal)]],Summary2831[[#This Row],[1*
(Asc)]])</f>
        <v>0</v>
      </c>
      <c r="BO85" s="216" t="e">
        <f>(IF($E85&lt;=0,"0",IF($E85&lt;=1,"2092530",IF($E85&lt;=10,"2087525",IF($E85&lt;=20,"2068495",IF($E85&lt;=30,"2005910",IF($E85&lt;=40,"1932830",IF($E85&lt;=50,"1777010",IF($E85&lt;=60,"1546185",IF($E85&lt;=70,"1227000",IF($E85&lt;=80,"804625",IF($E85&lt;=81,"647990",IF($E85&lt;=90,"0",0)))))))))))))+0</f>
        <v>#VALUE!</v>
      </c>
      <c r="BP85" s="217">
        <f>(IF($F85&lt;=0,"0",IF($F85&lt;=1,"952500",IF($F85&lt;=2,"940000",IF($F85&lt;=3,"922500",IF($F85&lt;=4,"897500",IF($F85&lt;=5,"867500",IF($F85&lt;=6,"830000",IF($F85&lt;=7,"710000",IF($F85&lt;=8,"450000",0))))))))))+0</f>
        <v>922500</v>
      </c>
      <c r="BQ85" s="217">
        <f>(IF($G85&lt;=0,"0",IF($G85&lt;=1,"952500",IF($G85&lt;=2,"940000",IF($G85&lt;=3,"922500",IF($G85&lt;=4,"897500",IF($G85&lt;=5,"867500",IF($G85&lt;=6,"830000",IF($G85&lt;=7,"710000",IF($G85&lt;=8,"450000",0))))))))))+0</f>
        <v>0</v>
      </c>
      <c r="BR85" s="217">
        <f>(IF($H85&lt;=0,"0",IF($H85&lt;=1,"952500",IF($H85&lt;=2,"940000",IF($H85&lt;=3,"922500",IF($H85&lt;=4,"897500",IF($H85&lt;=5,"867500",IF($H85&lt;=6,"830000",IF($H85&lt;=7,"710000",IF($H85&lt;=8,"450000",0))))))))))+0</f>
        <v>0</v>
      </c>
      <c r="BS85" s="218" t="e">
        <f>SUM(BO85,BP85,BQ85,BR85)</f>
        <v>#VALUE!</v>
      </c>
    </row>
    <row r="86" spans="1:71" s="81" customFormat="1" ht="30" customHeight="1">
      <c r="A86" s="196">
        <f ca="1">SUBTOTAL(3,$C$3:Character[[#This Row],[Name]])</f>
        <v>84</v>
      </c>
      <c r="B86" s="192" t="e" vm="646">
        <f>ImgDatabase!D86</f>
        <v>#VALUE!</v>
      </c>
      <c r="C86" s="197" t="s">
        <v>441</v>
      </c>
      <c r="D86" s="194" t="e" vm="31">
        <f>IFERROR(INDEX(CharacterDetailss[Element], MATCH(Character[[#This Row],[Name]], CharacterDetailss[Name], 0)), "")</f>
        <v>#VALUE!</v>
      </c>
      <c r="E86" s="194" t="e" vm="312">
        <f>IFERROR(INDEX(CharacterDetailss[Weapon Type], MATCH(Character[[#This Row],[Name]], CharacterDetailss[Name], 0)), "")</f>
        <v>#VALUE!</v>
      </c>
      <c r="F86" s="195">
        <v>1.5</v>
      </c>
      <c r="G86" s="14">
        <v>80</v>
      </c>
      <c r="H86" s="9">
        <v>4</v>
      </c>
      <c r="I86" s="2">
        <v>4</v>
      </c>
      <c r="J86" s="10">
        <v>4</v>
      </c>
      <c r="K86"/>
      <c r="L86" s="75">
        <v>81</v>
      </c>
      <c r="M86" s="73">
        <v>1</v>
      </c>
      <c r="N86" s="74">
        <v>9</v>
      </c>
      <c r="O86" s="74">
        <v>9</v>
      </c>
      <c r="P86"/>
      <c r="Q86" s="258" t="e" vm="388">
        <f>IFERROR(INDEX(ImgDatabase!$O:$O, MATCH(WorldBoss[[#This Row],[Boss Name]], ImgDatabase!$P:$P, 0)), "")</f>
        <v>#VALUE!</v>
      </c>
      <c r="R86" s="257" t="s">
        <v>145</v>
      </c>
      <c r="S86" s="301" t="e">
        <f>(IF($E86&lt;=0,"0",IF($E86&lt;=40,"46",IF($E86&lt;=50,"44",IF($E86&lt;=60,"40",IF($E86&lt;=70,"32",IF($E86&lt;=80,"20","0")))))))+0</f>
        <v>#VALUE!</v>
      </c>
      <c r="T86"/>
      <c r="U86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V86" s="253" t="s">
        <v>540</v>
      </c>
      <c r="W86" s="254">
        <f>Z86+AC86+AF86</f>
        <v>44</v>
      </c>
      <c r="X86" s="254">
        <f>AA86+AD86+AG86</f>
        <v>36</v>
      </c>
      <c r="Y86" s="255">
        <f>AB86+AE86+AH86</f>
        <v>0</v>
      </c>
      <c r="Z86" s="224">
        <f>(IF($F86&lt;=0,"0",IF($F86&lt;=6,"22",IF($F86&lt;=7,"18",IF($F86&lt;=8,"12",0)))))+0</f>
        <v>22</v>
      </c>
      <c r="AA86" s="225">
        <f>(IF($F86&lt;=0,"0",IF($F86&lt;=2,"21",IF($F86&lt;=3,"19",IF($F86&lt;=4,"15",IF($F86&lt;=5,"9",0))))))+0</f>
        <v>21</v>
      </c>
      <c r="AB86" s="225">
        <f>(IF($F86&lt;=0,"0",IF($F86&lt;=1,"3",0)))+0</f>
        <v>0</v>
      </c>
      <c r="AC86" s="225">
        <f>(IF($G86&lt;=0,"0",IF($G86&lt;=6,"22",IF($G86&lt;=7,"18",IF($G86&lt;=8,"12",0)))))+0</f>
        <v>0</v>
      </c>
      <c r="AD86" s="225">
        <f>(IF($G86&lt;=0,"0",IF($G86&lt;=2,"21",IF($G86&lt;=3,"19",IF($G86&lt;=4,"15",IF($G86&lt;=5,"9",0))))))+0</f>
        <v>0</v>
      </c>
      <c r="AE86" s="225">
        <f>(IF($G86&lt;=0,"0",IF($G86&lt;=1,"3",0)))+0</f>
        <v>0</v>
      </c>
      <c r="AF86" s="225">
        <f>(IF($H86&lt;=0,"0",IF($H86&lt;=6,"22",IF($H86&lt;=7,"18",IF($H86&lt;=8,"12",0)))))+0</f>
        <v>22</v>
      </c>
      <c r="AG86" s="225">
        <f>(IF($H86&lt;=0,"0",IF($H86&lt;=2,"21",IF($H86&lt;=3,"19",IF($H86&lt;=4,"15",IF($H86&lt;=5,"9",0))))))+0</f>
        <v>15</v>
      </c>
      <c r="AH86" s="226">
        <f>(IF($H86&lt;=0,"0",IF($H86&lt;=1,"3",0)))+0</f>
        <v>0</v>
      </c>
      <c r="AI86" s="256" t="s">
        <v>176</v>
      </c>
      <c r="AJ86" s="257" t="s">
        <v>569</v>
      </c>
      <c r="AK86" s="229">
        <f>(IF($F86&lt;=0,"0",IF($F86&lt;=6,"4",IF($F86&lt;=7,"3",IF($F86&lt;=8,"2","0")))))+0</f>
        <v>4</v>
      </c>
      <c r="AL86" s="229">
        <f>(IF($G86&lt;=0,"0",IF($G86&lt;=6,"4",IF($G86&lt;=7,"3",IF($G86&lt;=8,"2","0")))))+0</f>
        <v>0</v>
      </c>
      <c r="AM86" s="229">
        <f>(IF($H86&lt;=0,"0",IF($H86&lt;=6,"4",IF($H86&lt;=7,"3",IF($H86&lt;=8,"2","0")))))+0</f>
        <v>4</v>
      </c>
      <c r="AN86" s="252">
        <f>SUM(AK86:AM86)</f>
        <v>8</v>
      </c>
      <c r="AO86" s="257" t="s">
        <v>547</v>
      </c>
      <c r="AP86" s="258" t="e">
        <f>(IF($E86&lt;=0,"0",IF($E86&lt;=20,"168",IF($E86&lt;=30,"165",IF($E86&lt;=50,"155",IF($E86&lt;=60,"135",IF($E86&lt;=70,"105",IF($E86&lt;=80,"60","0"))))))))+0</f>
        <v>#VALUE!</v>
      </c>
      <c r="AQ86" s="251" t="s">
        <v>534</v>
      </c>
      <c r="AR86" s="257" t="e">
        <f>(IF($E86&lt;=0,"0",IF($E86&lt;=80,"6","0")))+0</f>
        <v>#VALUE!</v>
      </c>
      <c r="AS86" s="257" t="e">
        <f>(IF($E86&lt;=0,"0",IF($E86&lt;=60,"9",IF($E86&lt;=70,"6","0"))))+0</f>
        <v>#VALUE!</v>
      </c>
      <c r="AT86" s="257" t="e">
        <f>(IF($E86&lt;=0,"0",IF($E86&lt;=40,"9",IF($E86&lt;=50,"6","0"))))+0</f>
        <v>#VALUE!</v>
      </c>
      <c r="AU86" s="259" t="e">
        <f>(IF($E86&lt;=0,"0",IF($E86&lt;=20,"1","0")))+0</f>
        <v>#VALUE!</v>
      </c>
      <c r="AV86" s="251" t="s">
        <v>207</v>
      </c>
      <c r="AW86" s="257" t="e">
        <f>(IF($E86&lt;=0,"0",IF($E86&lt;=70,"36",IF($E86&lt;=80,"24","0"))))+0</f>
        <v>#VALUE!</v>
      </c>
      <c r="AX86" s="257" t="e">
        <f>(IF($E86&lt;=0,"0",IF($E86&lt;=50,"30",IF($E86&lt;=60,"18","0"))))+0</f>
        <v>#VALUE!</v>
      </c>
      <c r="AY86" s="257" t="e">
        <f>(IF($E86&lt;=0,"0",IF($E86&lt;=20,"18",IF($E86&lt;=40,"15","0"))))+0</f>
        <v>#VALUE!</v>
      </c>
      <c r="AZ86" s="260">
        <f>Summary2831[[#This Row],[3*2]]+Summary2831[[#This Row],[3*22]]+Summary2831[[#This Row],[3*23]]</f>
        <v>57</v>
      </c>
      <c r="BA86" s="261">
        <f>Summary2831[[#This Row],[2*2]]+Summary2831[[#This Row],[2*23]]+Summary2831[[#This Row],[2*24]]</f>
        <v>45</v>
      </c>
      <c r="BB86" s="261">
        <f>Summary2831[[#This Row],[1*2]]+Summary2831[[#This Row],[1*24]]+Summary2831[[#This Row],[1*25]]</f>
        <v>0</v>
      </c>
      <c r="BC86" s="261">
        <f>IF($F86&lt;=0,"0",IF($F86&lt;=6,"19",IF($F86&lt;=7,"18",IF($F86&lt;=8,"9",0))))+0</f>
        <v>19</v>
      </c>
      <c r="BD86" s="261">
        <f>IF($F86&lt;=0,"0",IF($F86&lt;=2,"22",IF($F86&lt;=3,"19",IF($F86&lt;=4,"15",IF($F86&lt;=5,"9",0)))))+0</f>
        <v>22</v>
      </c>
      <c r="BE86" s="261">
        <f>IF($F86&lt;=0,"0",IF($F86&lt;=1,"6",0))+0</f>
        <v>0</v>
      </c>
      <c r="BF86" s="261">
        <f>IF($G86&lt;=0,"0",IF($G86&lt;=6,"19",IF($G86&lt;=7,"18",IF($G86&lt;=8,"9",0))))+0</f>
        <v>0</v>
      </c>
      <c r="BG86" s="261">
        <f>IF($G86&lt;=0,"0",IF($G86&lt;=2,"22",IF($G86&lt;=3,"19",IF($G86&lt;=4,"15",IF($G86&lt;=5,"9",0)))))+0</f>
        <v>0</v>
      </c>
      <c r="BH86" s="261">
        <f>IF($G86&lt;=0,"0",IF($G86&lt;=1,"6",0))+0</f>
        <v>0</v>
      </c>
      <c r="BI86" s="261">
        <f>IF($H86&lt;=0,"0",IF($H86&lt;=6,"19",IF($H86&lt;=7,"18",IF($H86&lt;=8,"9",0))))+0</f>
        <v>19</v>
      </c>
      <c r="BJ86" s="261">
        <f>IF($H86&lt;=0,"0",IF($H86&lt;=2,"22",IF($H86&lt;=3,"19",IF($H86&lt;=4,"15",IF($H86&lt;=5,"9",0)))))+0</f>
        <v>15</v>
      </c>
      <c r="BK86" s="261">
        <f>IF($H86&lt;=0,"0",IF($H86&lt;=1,"6",0))+0</f>
        <v>0</v>
      </c>
      <c r="BL86" s="251">
        <f>SUM(Summary2831[[#This Row],[3*
(Tal)]],Summary2831[[#This Row],[3*
(Asc)]])</f>
        <v>81</v>
      </c>
      <c r="BM86" s="257">
        <f>SUM(Summary2831[[#This Row],[2*
(Tal)]],Summary2831[[#This Row],[2*
(Asc)]])</f>
        <v>45</v>
      </c>
      <c r="BN86" s="259">
        <f>SUM(Summary2831[[#This Row],[1*
(Tal)]],Summary2831[[#This Row],[1*
(Asc)]])</f>
        <v>0</v>
      </c>
      <c r="BO86" s="235" t="e">
        <f>(IF($E86&lt;=0,"0",IF($E86&lt;=1,"2092530",IF($E86&lt;=10,"2087525",IF($E86&lt;=20,"2068495",IF($E86&lt;=30,"2005910",IF($E86&lt;=40,"1932830",IF($E86&lt;=50,"1777010",IF($E86&lt;=60,"1546185",IF($E86&lt;=70,"1227000",IF($E86&lt;=80,"804625",IF($E86&lt;=81,"647990",IF($E86&lt;=90,"0",0)))))))))))))+0</f>
        <v>#VALUE!</v>
      </c>
      <c r="BP86" s="262">
        <f>(IF($F86&lt;=0,"0",IF($F86&lt;=1,"952500",IF($F86&lt;=2,"940000",IF($F86&lt;=3,"922500",IF($F86&lt;=4,"897500",IF($F86&lt;=5,"867500",IF($F86&lt;=6,"830000",IF($F86&lt;=7,"710000",IF($F86&lt;=8,"450000",0))))))))))+0</f>
        <v>940000</v>
      </c>
      <c r="BQ86" s="262">
        <f>(IF($G86&lt;=0,"0",IF($G86&lt;=1,"952500",IF($G86&lt;=2,"940000",IF($G86&lt;=3,"922500",IF($G86&lt;=4,"897500",IF($G86&lt;=5,"867500",IF($G86&lt;=6,"830000",IF($G86&lt;=7,"710000",IF($G86&lt;=8,"450000",0))))))))))+0</f>
        <v>0</v>
      </c>
      <c r="BR86" s="262">
        <f>(IF($H86&lt;=0,"0",IF($H86&lt;=1,"952500",IF($H86&lt;=2,"940000",IF($H86&lt;=3,"922500",IF($H86&lt;=4,"897500",IF($H86&lt;=5,"867500",IF($H86&lt;=6,"830000",IF($H86&lt;=7,"710000",IF($H86&lt;=8,"450000",0))))))))))+0</f>
        <v>897500</v>
      </c>
      <c r="BS86" s="263" t="e">
        <f>SUM(BO86,BP86,BQ86,BR86)</f>
        <v>#VALUE!</v>
      </c>
    </row>
    <row r="87" spans="1:71" ht="30" customHeight="1">
      <c r="A87" s="196">
        <f ca="1">SUBTOTAL(3,$C$3:Character[[#This Row],[Name]])</f>
        <v>85</v>
      </c>
      <c r="B87" s="192" t="e" vm="647">
        <f>ImgDatabase!D87</f>
        <v>#VALUE!</v>
      </c>
      <c r="C87" s="197" t="s">
        <v>453</v>
      </c>
      <c r="D87" s="194" t="e" vm="19">
        <f>IFERROR(INDEX(CharacterDetailss[Element], MATCH(Character[[#This Row],[Name]], CharacterDetailss[Name], 0)), "")</f>
        <v>#VALUE!</v>
      </c>
      <c r="E87" s="194" t="e" vm="331">
        <f>IFERROR(INDEX(CharacterDetailss[Weapon Type], MATCH(Character[[#This Row],[Name]], CharacterDetailss[Name], 0)), "")</f>
        <v>#VALUE!</v>
      </c>
      <c r="F87" s="195">
        <v>3.4</v>
      </c>
      <c r="G87" s="14">
        <v>21</v>
      </c>
      <c r="H87" s="9">
        <v>1</v>
      </c>
      <c r="I87" s="2">
        <v>1</v>
      </c>
      <c r="J87" s="10">
        <v>1</v>
      </c>
      <c r="L87" s="75">
        <v>81</v>
      </c>
      <c r="M87" s="73">
        <v>1</v>
      </c>
      <c r="N87" s="74">
        <v>9</v>
      </c>
      <c r="O87" s="74">
        <v>9</v>
      </c>
      <c r="Q87" s="245" t="e" vm="471">
        <f>IFERROR(INDEX(ImgDatabase!$O:$O, MATCH(WorldBoss[[#This Row],[Boss Name]], ImgDatabase!$P:$P, 0)), "")</f>
        <v>#VALUE!</v>
      </c>
      <c r="R87" s="244" t="s">
        <v>277</v>
      </c>
      <c r="S87" s="300" t="e">
        <f>(IF($E87&lt;=0,"0",IF($E87&lt;=40,"46",IF($E87&lt;=50,"44",IF($E87&lt;=60,"40",IF($E87&lt;=70,"32",IF($E87&lt;=80,"20","0")))))))+0</f>
        <v>#VALUE!</v>
      </c>
      <c r="U87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V87" s="240" t="s">
        <v>562</v>
      </c>
      <c r="W87" s="241">
        <f>Z87+AC87+AF87</f>
        <v>44</v>
      </c>
      <c r="X87" s="241">
        <f>AA87+AD87+AG87</f>
        <v>36</v>
      </c>
      <c r="Y87" s="242">
        <f>AB87+AE87+AH87</f>
        <v>3</v>
      </c>
      <c r="Z87" s="204">
        <f>(IF($F87&lt;=0,"0",IF($F87&lt;=6,"22",IF($F87&lt;=7,"18",IF($F87&lt;=8,"12",0)))))+0</f>
        <v>22</v>
      </c>
      <c r="AA87" s="205">
        <f>(IF($F87&lt;=0,"0",IF($F87&lt;=2,"21",IF($F87&lt;=3,"19",IF($F87&lt;=4,"15",IF($F87&lt;=5,"9",0))))))+0</f>
        <v>15</v>
      </c>
      <c r="AB87" s="205">
        <f>(IF($F87&lt;=0,"0",IF($F87&lt;=1,"3",0)))+0</f>
        <v>0</v>
      </c>
      <c r="AC87" s="205">
        <f>(IF($G87&lt;=0,"0",IF($G87&lt;=6,"22",IF($G87&lt;=7,"18",IF($G87&lt;=8,"12",0)))))+0</f>
        <v>0</v>
      </c>
      <c r="AD87" s="205">
        <f>(IF($G87&lt;=0,"0",IF($G87&lt;=2,"21",IF($G87&lt;=3,"19",IF($G87&lt;=4,"15",IF($G87&lt;=5,"9",0))))))+0</f>
        <v>0</v>
      </c>
      <c r="AE87" s="205">
        <f>(IF($G87&lt;=0,"0",IF($G87&lt;=1,"3",0)))+0</f>
        <v>0</v>
      </c>
      <c r="AF87" s="205">
        <f>(IF($H87&lt;=0,"0",IF($H87&lt;=6,"22",IF($H87&lt;=7,"18",IF($H87&lt;=8,"12",0)))))+0</f>
        <v>22</v>
      </c>
      <c r="AG87" s="205">
        <f>(IF($H87&lt;=0,"0",IF($H87&lt;=2,"21",IF($H87&lt;=3,"19",IF($H87&lt;=4,"15",IF($H87&lt;=5,"9",0))))))+0</f>
        <v>21</v>
      </c>
      <c r="AH87" s="206">
        <f>(IF($H87&lt;=0,"0",IF($H87&lt;=1,"3",0)))+0</f>
        <v>3</v>
      </c>
      <c r="AI87" s="243" t="s">
        <v>523</v>
      </c>
      <c r="AJ87" s="244" t="s">
        <v>42</v>
      </c>
      <c r="AK87" s="209">
        <f>(IF($F87&lt;=0,"0",IF($F87&lt;=6,"4",IF($F87&lt;=7,"3",IF($F87&lt;=8,"2","0")))))+0</f>
        <v>4</v>
      </c>
      <c r="AL87" s="209">
        <f>(IF($G87&lt;=0,"0",IF($G87&lt;=6,"4",IF($G87&lt;=7,"3",IF($G87&lt;=8,"2","0")))))+0</f>
        <v>0</v>
      </c>
      <c r="AM87" s="209">
        <f>(IF($H87&lt;=0,"0",IF($H87&lt;=6,"4",IF($H87&lt;=7,"3",IF($H87&lt;=8,"2","0")))))+0</f>
        <v>4</v>
      </c>
      <c r="AN87" s="239">
        <f>SUM(AK87:AM87)</f>
        <v>8</v>
      </c>
      <c r="AO87" s="244" t="s">
        <v>607</v>
      </c>
      <c r="AP87" s="245" t="e">
        <f>(IF($E87&lt;=0,"0",IF($E87&lt;=20,"168",IF($E87&lt;=30,"165",IF($E87&lt;=50,"155",IF($E87&lt;=60,"135",IF($E87&lt;=70,"105",IF($E87&lt;=80,"60","0"))))))))+0</f>
        <v>#VALUE!</v>
      </c>
      <c r="AQ87" s="238" t="s">
        <v>526</v>
      </c>
      <c r="AR87" s="244" t="e">
        <f>(IF($E87&lt;=0,"0",IF($E87&lt;=80,"6","0")))+0</f>
        <v>#VALUE!</v>
      </c>
      <c r="AS87" s="244" t="e">
        <f>(IF($E87&lt;=0,"0",IF($E87&lt;=60,"9",IF($E87&lt;=70,"6","0"))))+0</f>
        <v>#VALUE!</v>
      </c>
      <c r="AT87" s="244" t="e">
        <f>(IF($E87&lt;=0,"0",IF($E87&lt;=40,"9",IF($E87&lt;=50,"6","0"))))+0</f>
        <v>#VALUE!</v>
      </c>
      <c r="AU87" s="246" t="e">
        <f>(IF($E87&lt;=0,"0",IF($E87&lt;=20,"1","0")))+0</f>
        <v>#VALUE!</v>
      </c>
      <c r="AV87" s="238" t="s">
        <v>178</v>
      </c>
      <c r="AW87" s="244" t="e">
        <f>(IF($E87&lt;=0,"0",IF($E87&lt;=70,"36",IF($E87&lt;=80,"24","0"))))+0</f>
        <v>#VALUE!</v>
      </c>
      <c r="AX87" s="244" t="e">
        <f>(IF($E87&lt;=0,"0",IF($E87&lt;=50,"30",IF($E87&lt;=60,"18","0"))))+0</f>
        <v>#VALUE!</v>
      </c>
      <c r="AY87" s="244" t="e">
        <f>(IF($E87&lt;=0,"0",IF($E87&lt;=20,"18",IF($E87&lt;=40,"15","0"))))+0</f>
        <v>#VALUE!</v>
      </c>
      <c r="AZ87" s="247">
        <f>Summary2831[[#This Row],[3*2]]+Summary2831[[#This Row],[3*22]]+Summary2831[[#This Row],[3*23]]</f>
        <v>57</v>
      </c>
      <c r="BA87" s="248">
        <f>Summary2831[[#This Row],[2*2]]+Summary2831[[#This Row],[2*23]]+Summary2831[[#This Row],[2*24]]</f>
        <v>66</v>
      </c>
      <c r="BB87" s="248">
        <f>Summary2831[[#This Row],[1*2]]+Summary2831[[#This Row],[1*24]]+Summary2831[[#This Row],[1*25]]</f>
        <v>18</v>
      </c>
      <c r="BC87" s="248">
        <f>IF($F87&lt;=0,"0",IF($F87&lt;=6,"19",IF($F87&lt;=7,"18",IF($F87&lt;=8,"9",0))))+0</f>
        <v>19</v>
      </c>
      <c r="BD87" s="248">
        <f>IF($F87&lt;=0,"0",IF($F87&lt;=2,"22",IF($F87&lt;=3,"19",IF($F87&lt;=4,"15",IF($F87&lt;=5,"9",0)))))+0</f>
        <v>15</v>
      </c>
      <c r="BE87" s="248">
        <f>IF($F87&lt;=0,"0",IF($F87&lt;=1,"6",0))+0</f>
        <v>0</v>
      </c>
      <c r="BF87" s="248">
        <f>IF($G87&lt;=0,"0",IF($G87&lt;=6,"19",IF($G87&lt;=7,"18",IF($G87&lt;=8,"9",0))))+0</f>
        <v>0</v>
      </c>
      <c r="BG87" s="248">
        <f>IF($G87&lt;=0,"0",IF($G87&lt;=2,"22",IF($G87&lt;=3,"19",IF($G87&lt;=4,"15",IF($G87&lt;=5,"9",0)))))+0</f>
        <v>0</v>
      </c>
      <c r="BH87" s="248">
        <f>IF($G87&lt;=0,"0",IF($G87&lt;=1,"6",0))+0</f>
        <v>0</v>
      </c>
      <c r="BI87" s="248">
        <f>IF($H87&lt;=0,"0",IF($H87&lt;=6,"19",IF($H87&lt;=7,"18",IF($H87&lt;=8,"9",0))))+0</f>
        <v>19</v>
      </c>
      <c r="BJ87" s="248">
        <f>IF($H87&lt;=0,"0",IF($H87&lt;=2,"22",IF($H87&lt;=3,"19",IF($H87&lt;=4,"15",IF($H87&lt;=5,"9",0)))))+0</f>
        <v>22</v>
      </c>
      <c r="BK87" s="248">
        <f>IF($H87&lt;=0,"0",IF($H87&lt;=1,"6",0))+0</f>
        <v>6</v>
      </c>
      <c r="BL87" s="238">
        <f>SUM(Summary2831[[#This Row],[3*
(Tal)]],Summary2831[[#This Row],[3*
(Asc)]])</f>
        <v>93</v>
      </c>
      <c r="BM87" s="244">
        <f>SUM(Summary2831[[#This Row],[2*
(Tal)]],Summary2831[[#This Row],[2*
(Asc)]])</f>
        <v>96</v>
      </c>
      <c r="BN87" s="246">
        <f>SUM(Summary2831[[#This Row],[1*
(Tal)]],Summary2831[[#This Row],[1*
(Asc)]])</f>
        <v>33</v>
      </c>
      <c r="BO87" s="216" t="e">
        <f>(IF($E87&lt;=0,"0",IF($E87&lt;=1,"2092530",IF($E87&lt;=10,"2087525",IF($E87&lt;=20,"2068495",IF($E87&lt;=30,"2005910",IF($E87&lt;=40,"1932830",IF($E87&lt;=50,"1777010",IF($E87&lt;=60,"1546185",IF($E87&lt;=70,"1227000",IF($E87&lt;=80,"804625",IF($E87&lt;=81,"647990",IF($E87&lt;=90,"0",0)))))))))))))+0</f>
        <v>#VALUE!</v>
      </c>
      <c r="BP87" s="249">
        <f>(IF($F87&lt;=0,"0",IF($F87&lt;=1,"952500",IF($F87&lt;=2,"940000",IF($F87&lt;=3,"922500",IF($F87&lt;=4,"897500",IF($F87&lt;=5,"867500",IF($F87&lt;=6,"830000",IF($F87&lt;=7,"710000",IF($F87&lt;=8,"450000",0))))))))))+0</f>
        <v>897500</v>
      </c>
      <c r="BQ87" s="249">
        <f>(IF($G87&lt;=0,"0",IF($G87&lt;=1,"952500",IF($G87&lt;=2,"940000",IF($G87&lt;=3,"922500",IF($G87&lt;=4,"897500",IF($G87&lt;=5,"867500",IF($G87&lt;=6,"830000",IF($G87&lt;=7,"710000",IF($G87&lt;=8,"450000",0))))))))))+0</f>
        <v>0</v>
      </c>
      <c r="BR87" s="249">
        <f>(IF($H87&lt;=0,"0",IF($H87&lt;=1,"952500",IF($H87&lt;=2,"940000",IF($H87&lt;=3,"922500",IF($H87&lt;=4,"897500",IF($H87&lt;=5,"867500",IF($H87&lt;=6,"830000",IF($H87&lt;=7,"710000",IF($H87&lt;=8,"450000",0))))))))))+0</f>
        <v>952500</v>
      </c>
      <c r="BS87" s="250" t="e">
        <f>SUM(BO87,BP87,BQ87,BR87)</f>
        <v>#VALUE!</v>
      </c>
    </row>
    <row r="88" spans="1:71" ht="30" customHeight="1">
      <c r="A88" s="192">
        <f ca="1">SUBTOTAL(3,$C$3:Character[[#This Row],[Name]])</f>
        <v>86</v>
      </c>
      <c r="B88" s="192" t="e" vm="648">
        <f>ImgDatabase!D88</f>
        <v>#VALUE!</v>
      </c>
      <c r="C88" s="193" t="s">
        <v>399</v>
      </c>
      <c r="D88" s="194" t="e" vm="58">
        <f>IFERROR(INDEX(CharacterDetailss[Element], MATCH(Character[[#This Row],[Name]], CharacterDetailss[Name], 0)), "")</f>
        <v>#VALUE!</v>
      </c>
      <c r="E88" s="194" t="e" vm="216">
        <f>IFERROR(INDEX(CharacterDetailss[Weapon Type], MATCH(Character[[#This Row],[Name]], CharacterDetailss[Name], 0)), "")</f>
        <v>#VALUE!</v>
      </c>
      <c r="F88" s="195">
        <v>2.7</v>
      </c>
      <c r="G88" s="72">
        <v>90</v>
      </c>
      <c r="H88" s="73">
        <v>1</v>
      </c>
      <c r="I88" s="74">
        <v>9</v>
      </c>
      <c r="J88" s="75">
        <v>10</v>
      </c>
      <c r="L88" s="75">
        <v>81</v>
      </c>
      <c r="M88" s="73">
        <v>1</v>
      </c>
      <c r="N88" s="74">
        <v>9</v>
      </c>
      <c r="O88" s="74">
        <v>9</v>
      </c>
      <c r="Q88" s="230" t="e" vm="441">
        <f>IFERROR(INDEX(ImgDatabase!$O:$O, MATCH(WorldBoss[[#This Row],[Boss Name]], ImgDatabase!$P:$P, 0)), "")</f>
        <v>#VALUE!</v>
      </c>
      <c r="R88" s="228" t="s">
        <v>232</v>
      </c>
      <c r="S88" s="297" t="e">
        <f>(IF($E88&lt;=0,"0",IF($E88&lt;=40,"46",IF($E88&lt;=50,"44",IF($E88&lt;=60,"40",IF($E88&lt;=70,"32",IF($E88&lt;=80,"20","0")))))))+0</f>
        <v>#VALUE!</v>
      </c>
      <c r="U88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8" s="222" t="s">
        <v>578</v>
      </c>
      <c r="W88" s="223">
        <f>Z88+AC88+AF88</f>
        <v>44</v>
      </c>
      <c r="X88" s="223">
        <f>AA88+AD88+AG88</f>
        <v>40</v>
      </c>
      <c r="Y88" s="221">
        <f>AB88+AE88+AH88</f>
        <v>3</v>
      </c>
      <c r="Z88" s="224">
        <f>(IF($F88&lt;=0,"0",IF($F88&lt;=6,"22",IF($F88&lt;=7,"18",IF($F88&lt;=8,"12",0)))))+0</f>
        <v>22</v>
      </c>
      <c r="AA88" s="225">
        <f>(IF($F88&lt;=0,"0",IF($F88&lt;=2,"21",IF($F88&lt;=3,"19",IF($F88&lt;=4,"15",IF($F88&lt;=5,"9",0))))))+0</f>
        <v>19</v>
      </c>
      <c r="AB88" s="225">
        <f>(IF($F88&lt;=0,"0",IF($F88&lt;=1,"3",0)))+0</f>
        <v>0</v>
      </c>
      <c r="AC88" s="225">
        <f>(IF($G88&lt;=0,"0",IF($G88&lt;=6,"22",IF($G88&lt;=7,"18",IF($G88&lt;=8,"12",0)))))+0</f>
        <v>0</v>
      </c>
      <c r="AD88" s="225">
        <f>(IF($G88&lt;=0,"0",IF($G88&lt;=2,"21",IF($G88&lt;=3,"19",IF($G88&lt;=4,"15",IF($G88&lt;=5,"9",0))))))+0</f>
        <v>0</v>
      </c>
      <c r="AE88" s="225">
        <f>(IF($G88&lt;=0,"0",IF($G88&lt;=1,"3",0)))+0</f>
        <v>0</v>
      </c>
      <c r="AF88" s="225">
        <f>(IF($H88&lt;=0,"0",IF($H88&lt;=6,"22",IF($H88&lt;=7,"18",IF($H88&lt;=8,"12",0)))))+0</f>
        <v>22</v>
      </c>
      <c r="AG88" s="225">
        <f>(IF($H88&lt;=0,"0",IF($H88&lt;=2,"21",IF($H88&lt;=3,"19",IF($H88&lt;=4,"15",IF($H88&lt;=5,"9",0))))))+0</f>
        <v>21</v>
      </c>
      <c r="AH88" s="226">
        <f>(IF($H88&lt;=0,"0",IF($H88&lt;=1,"3",0)))+0</f>
        <v>3</v>
      </c>
      <c r="AI88" s="227" t="s">
        <v>176</v>
      </c>
      <c r="AJ88" s="228" t="s">
        <v>589</v>
      </c>
      <c r="AK88" s="229">
        <f>(IF($F88&lt;=0,"0",IF($F88&lt;=6,"4",IF($F88&lt;=7,"3",IF($F88&lt;=8,"2","0")))))+0</f>
        <v>4</v>
      </c>
      <c r="AL88" s="229">
        <f>(IF($G88&lt;=0,"0",IF($G88&lt;=6,"4",IF($G88&lt;=7,"3",IF($G88&lt;=8,"2","0")))))+0</f>
        <v>0</v>
      </c>
      <c r="AM88" s="229">
        <f>(IF($H88&lt;=0,"0",IF($H88&lt;=6,"4",IF($H88&lt;=7,"3",IF($H88&lt;=8,"2","0")))))+0</f>
        <v>4</v>
      </c>
      <c r="AN88" s="220">
        <f>SUM(AK88:AM88)</f>
        <v>8</v>
      </c>
      <c r="AO88" s="278" t="s">
        <v>388</v>
      </c>
      <c r="AP88" s="230" t="e">
        <f>(IF($E88&lt;=0,"0",IF($E88&lt;=20,"168",IF($E88&lt;=30,"165",IF($E88&lt;=50,"155",IF($E88&lt;=60,"135",IF($E88&lt;=70,"105",IF($E88&lt;=80,"60","0"))))))))+0</f>
        <v>#VALUE!</v>
      </c>
      <c r="AQ88" s="219" t="s">
        <v>546</v>
      </c>
      <c r="AR88" s="228" t="e">
        <f>(IF($E88&lt;=0,"0",IF($E88&lt;=80,"6","0")))+0</f>
        <v>#VALUE!</v>
      </c>
      <c r="AS88" s="228" t="e">
        <f>(IF($E88&lt;=0,"0",IF($E88&lt;=60,"9",IF($E88&lt;=70,"6","0"))))+0</f>
        <v>#VALUE!</v>
      </c>
      <c r="AT88" s="228" t="e">
        <f>(IF($E88&lt;=0,"0",IF($E88&lt;=40,"9",IF($E88&lt;=50,"6","0"))))+0</f>
        <v>#VALUE!</v>
      </c>
      <c r="AU88" s="231" t="e">
        <f>(IF($E88&lt;=0,"0",IF($E88&lt;=20,"1","0")))+0</f>
        <v>#VALUE!</v>
      </c>
      <c r="AV88" s="219" t="s">
        <v>236</v>
      </c>
      <c r="AW88" s="228" t="e">
        <f>(IF($E88&lt;=0,"0",IF($E88&lt;=70,"36",IF($E88&lt;=80,"24","0"))))+0</f>
        <v>#VALUE!</v>
      </c>
      <c r="AX88" s="228" t="e">
        <f>(IF($E88&lt;=0,"0",IF($E88&lt;=50,"30",IF($E88&lt;=60,"18","0"))))+0</f>
        <v>#VALUE!</v>
      </c>
      <c r="AY88" s="231" t="e">
        <f>(IF($E88&lt;=0,"0",IF($E88&lt;=20,"18",IF($E88&lt;=40,"15","0"))))+0</f>
        <v>#VALUE!</v>
      </c>
      <c r="AZ88" s="232">
        <f>Summary2831[[#This Row],[3*2]]+Summary2831[[#This Row],[3*22]]+Summary2831[[#This Row],[3*23]]</f>
        <v>19</v>
      </c>
      <c r="BA88" s="233">
        <f>Summary2831[[#This Row],[2*2]]+Summary2831[[#This Row],[2*23]]+Summary2831[[#This Row],[2*24]]</f>
        <v>22</v>
      </c>
      <c r="BB88" s="265">
        <f>Summary2831[[#This Row],[1*2]]+Summary2831[[#This Row],[1*24]]+Summary2831[[#This Row],[1*25]]</f>
        <v>6</v>
      </c>
      <c r="BC88" s="234">
        <f>IF($F88&lt;=0,"0",IF($F88&lt;=6,"19",IF($F88&lt;=7,"18",IF($F88&lt;=8,"9",0))))+0</f>
        <v>19</v>
      </c>
      <c r="BD88" s="234">
        <f>IF($F88&lt;=0,"0",IF($F88&lt;=2,"22",IF($F88&lt;=3,"19",IF($F88&lt;=4,"15",IF($F88&lt;=5,"9",0)))))+0</f>
        <v>19</v>
      </c>
      <c r="BE88" s="234">
        <f>IF($F88&lt;=0,"0",IF($F88&lt;=1,"6",0))+0</f>
        <v>0</v>
      </c>
      <c r="BF88" s="234">
        <f>IF($G88&lt;=0,"0",IF($G88&lt;=6,"19",IF($G88&lt;=7,"18",IF($G88&lt;=8,"9",0))))+0</f>
        <v>0</v>
      </c>
      <c r="BG88" s="234">
        <f>IF($G88&lt;=0,"0",IF($G88&lt;=2,"22",IF($G88&lt;=3,"19",IF($G88&lt;=4,"15",IF($G88&lt;=5,"9",0)))))+0</f>
        <v>0</v>
      </c>
      <c r="BH88" s="234">
        <f>IF($G88&lt;=0,"0",IF($G88&lt;=1,"6",0))+0</f>
        <v>0</v>
      </c>
      <c r="BI88" s="234">
        <f>IF($H88&lt;=0,"0",IF($H88&lt;=6,"19",IF($H88&lt;=7,"18",IF($H88&lt;=8,"9",0))))+0</f>
        <v>19</v>
      </c>
      <c r="BJ88" s="234">
        <f>IF($H88&lt;=0,"0",IF($H88&lt;=2,"22",IF($H88&lt;=3,"19",IF($H88&lt;=4,"15",IF($H88&lt;=5,"9",0)))))+0</f>
        <v>22</v>
      </c>
      <c r="BK88" s="234">
        <f>IF($H88&lt;=0,"0",IF($H88&lt;=1,"6",0))+0</f>
        <v>6</v>
      </c>
      <c r="BL88" s="219">
        <f>SUM(Summary2831[[#This Row],[3*
(Tal)]],Summary2831[[#This Row],[3*
(Asc)]])</f>
        <v>19</v>
      </c>
      <c r="BM88" s="228">
        <f>SUM(Summary2831[[#This Row],[2*
(Tal)]],Summary2831[[#This Row],[2*
(Asc)]])</f>
        <v>22</v>
      </c>
      <c r="BN88" s="231">
        <f>SUM(Summary2831[[#This Row],[1*
(Tal)]],Summary2831[[#This Row],[1*
(Asc)]])</f>
        <v>6</v>
      </c>
      <c r="BO88" s="235" t="e">
        <f>(IF($E88&lt;=0,"0",IF($E88&lt;=1,"2092530",IF($E88&lt;=10,"2087525",IF($E88&lt;=20,"2068495",IF($E88&lt;=30,"2005910",IF($E88&lt;=40,"1932830",IF($E88&lt;=50,"1777010",IF($E88&lt;=60,"1546185",IF($E88&lt;=70,"1227000",IF($E88&lt;=80,"804625",IF($E88&lt;=81,"647990",IF($E88&lt;=90,"0",0)))))))))))))+0</f>
        <v>#VALUE!</v>
      </c>
      <c r="BP88" s="236">
        <f>(IF($F88&lt;=0,"0",IF($F88&lt;=1,"952500",IF($F88&lt;=2,"940000",IF($F88&lt;=3,"922500",IF($F88&lt;=4,"897500",IF($F88&lt;=5,"867500",IF($F88&lt;=6,"830000",IF($F88&lt;=7,"710000",IF($F88&lt;=8,"450000",0))))))))))+0</f>
        <v>922500</v>
      </c>
      <c r="BQ88" s="236">
        <f>(IF($G88&lt;=0,"0",IF($G88&lt;=1,"952500",IF($G88&lt;=2,"940000",IF($G88&lt;=3,"922500",IF($G88&lt;=4,"897500",IF($G88&lt;=5,"867500",IF($G88&lt;=6,"830000",IF($G88&lt;=7,"710000",IF($G88&lt;=8,"450000",0))))))))))+0</f>
        <v>0</v>
      </c>
      <c r="BR88" s="236">
        <f>(IF($H88&lt;=0,"0",IF($H88&lt;=1,"952500",IF($H88&lt;=2,"940000",IF($H88&lt;=3,"922500",IF($H88&lt;=4,"897500",IF($H88&lt;=5,"867500",IF($H88&lt;=6,"830000",IF($H88&lt;=7,"710000",IF($H88&lt;=8,"450000",0))))))))))+0</f>
        <v>952500</v>
      </c>
      <c r="BS88" s="237" t="e">
        <f>SUM(BO88,BP88,BQ88,BR88)</f>
        <v>#VALUE!</v>
      </c>
    </row>
    <row r="89" spans="1:71" ht="30" customHeight="1">
      <c r="A89" s="192">
        <f ca="1">SUBTOTAL(3,$C$3:Character[[#This Row],[Name]])</f>
        <v>87</v>
      </c>
      <c r="B89" s="192" t="e" vm="649">
        <f>ImgDatabase!D89</f>
        <v>#VALUE!</v>
      </c>
      <c r="C89" s="193" t="s">
        <v>611</v>
      </c>
      <c r="D89" s="194" t="str">
        <f>IFERROR(INDEX(CharacterDetailss[Element], MATCH(Character[[#This Row],[Name]], CharacterDetailss[Name], 0)), "")</f>
        <v/>
      </c>
      <c r="E89" s="194" t="str">
        <f>IFERROR(INDEX(CharacterDetailss[Weapon Type], MATCH(Character[[#This Row],[Name]], CharacterDetailss[Name], 0)), "")</f>
        <v/>
      </c>
      <c r="F89" s="195">
        <v>2</v>
      </c>
      <c r="G89" s="72">
        <v>90</v>
      </c>
      <c r="H89" s="73">
        <v>9</v>
      </c>
      <c r="I89" s="74">
        <v>9</v>
      </c>
      <c r="J89" s="75">
        <v>1</v>
      </c>
      <c r="L89" s="75">
        <v>81</v>
      </c>
      <c r="M89" s="73">
        <v>1</v>
      </c>
      <c r="N89" s="74">
        <v>9</v>
      </c>
      <c r="O89" s="74">
        <v>9</v>
      </c>
      <c r="Q89" s="210" t="e" vm="411">
        <f>IFERROR(INDEX(ImgDatabase!$O:$O, MATCH(WorldBoss[[#This Row],[Boss Name]], ImgDatabase!$P:$P, 0)), "")</f>
        <v>#VALUE!</v>
      </c>
      <c r="R89" s="208" t="s">
        <v>185</v>
      </c>
      <c r="S89" s="298">
        <f>(IF($E89&lt;=0,"0",IF($E89&lt;=40,"46",IF($E89&lt;=50,"44",IF($E89&lt;=60,"40",IF($E89&lt;=70,"32",IF($E89&lt;=80,"20","0")))))))+0</f>
        <v>0</v>
      </c>
      <c r="U89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89" s="202" t="s">
        <v>582</v>
      </c>
      <c r="W89" s="203">
        <f>Z89+AC89+AF89</f>
        <v>22</v>
      </c>
      <c r="X89" s="203">
        <f>AA89+AD89+AG89</f>
        <v>21</v>
      </c>
      <c r="Y89" s="201">
        <f>AB89+AE89+AH89</f>
        <v>0</v>
      </c>
      <c r="Z89" s="204">
        <f>(IF($F89&lt;=0,"0",IF($F89&lt;=6,"22",IF($F89&lt;=7,"18",IF($F89&lt;=8,"12",0)))))+0</f>
        <v>22</v>
      </c>
      <c r="AA89" s="205">
        <f>(IF($F89&lt;=0,"0",IF($F89&lt;=2,"21",IF($F89&lt;=3,"19",IF($F89&lt;=4,"15",IF($F89&lt;=5,"9",0))))))+0</f>
        <v>21</v>
      </c>
      <c r="AB89" s="205">
        <f>(IF($F89&lt;=0,"0",IF($F89&lt;=1,"3",0)))+0</f>
        <v>0</v>
      </c>
      <c r="AC89" s="205">
        <f>(IF($G89&lt;=0,"0",IF($G89&lt;=6,"22",IF($G89&lt;=7,"18",IF($G89&lt;=8,"12",0)))))+0</f>
        <v>0</v>
      </c>
      <c r="AD89" s="205">
        <f>(IF($G89&lt;=0,"0",IF($G89&lt;=2,"21",IF($G89&lt;=3,"19",IF($G89&lt;=4,"15",IF($G89&lt;=5,"9",0))))))+0</f>
        <v>0</v>
      </c>
      <c r="AE89" s="205">
        <f>(IF($G89&lt;=0,"0",IF($G89&lt;=1,"3",0)))+0</f>
        <v>0</v>
      </c>
      <c r="AF89" s="205">
        <f>(IF($H89&lt;=0,"0",IF($H89&lt;=6,"22",IF($H89&lt;=7,"18",IF($H89&lt;=8,"12",0)))))+0</f>
        <v>0</v>
      </c>
      <c r="AG89" s="205">
        <f>(IF($H89&lt;=0,"0",IF($H89&lt;=2,"21",IF($H89&lt;=3,"19",IF($H89&lt;=4,"15",IF($H89&lt;=5,"9",0))))))+0</f>
        <v>0</v>
      </c>
      <c r="AH89" s="206">
        <f>(IF($H89&lt;=0,"0",IF($H89&lt;=1,"3",0)))+0</f>
        <v>0</v>
      </c>
      <c r="AI89" s="207" t="s">
        <v>176</v>
      </c>
      <c r="AJ89" s="208" t="s">
        <v>571</v>
      </c>
      <c r="AK89" s="209">
        <f>(IF($F89&lt;=0,"0",IF($F89&lt;=6,"4",IF($F89&lt;=7,"3",IF($F89&lt;=8,"2","0")))))+0</f>
        <v>4</v>
      </c>
      <c r="AL89" s="209">
        <f>(IF($G89&lt;=0,"0",IF($G89&lt;=6,"4",IF($G89&lt;=7,"3",IF($G89&lt;=8,"2","0")))))+0</f>
        <v>0</v>
      </c>
      <c r="AM89" s="209">
        <f>(IF($H89&lt;=0,"0",IF($H89&lt;=6,"4",IF($H89&lt;=7,"3",IF($H89&lt;=8,"2","0")))))+0</f>
        <v>0</v>
      </c>
      <c r="AN89" s="200">
        <f>SUM(AK89:AM89)</f>
        <v>4</v>
      </c>
      <c r="AO89" s="208" t="s">
        <v>594</v>
      </c>
      <c r="AP89" s="210">
        <f>(IF($E89&lt;=0,"0",IF($E89&lt;=20,"168",IF($E89&lt;=30,"165",IF($E89&lt;=50,"155",IF($E89&lt;=60,"135",IF($E89&lt;=70,"105",IF($E89&lt;=80,"60","0"))))))))+0</f>
        <v>0</v>
      </c>
      <c r="AQ89" s="199" t="s">
        <v>534</v>
      </c>
      <c r="AR89" s="208">
        <f>(IF($E89&lt;=0,"0",IF($E89&lt;=80,"6","0")))+0</f>
        <v>0</v>
      </c>
      <c r="AS89" s="208">
        <f>(IF($E89&lt;=0,"0",IF($E89&lt;=60,"9",IF($E89&lt;=70,"6","0"))))+0</f>
        <v>0</v>
      </c>
      <c r="AT89" s="208">
        <f>(IF($E89&lt;=0,"0",IF($E89&lt;=40,"9",IF($E89&lt;=50,"6","0"))))+0</f>
        <v>0</v>
      </c>
      <c r="AU89" s="211">
        <f>(IF($E89&lt;=0,"0",IF($E89&lt;=20,"1","0")))+0</f>
        <v>0</v>
      </c>
      <c r="AV89" s="199" t="s">
        <v>149</v>
      </c>
      <c r="AW89" s="208">
        <f>(IF($E89&lt;=0,"0",IF($E89&lt;=70,"36",IF($E89&lt;=80,"24","0"))))+0</f>
        <v>0</v>
      </c>
      <c r="AX89" s="208">
        <f>(IF($E89&lt;=0,"0",IF($E89&lt;=50,"30",IF($E89&lt;=60,"18","0"))))+0</f>
        <v>0</v>
      </c>
      <c r="AY89" s="208">
        <f>(IF($E89&lt;=0,"0",IF($E89&lt;=20,"18",IF($E89&lt;=40,"15","0"))))+0</f>
        <v>0</v>
      </c>
      <c r="AZ89" s="212">
        <f>Summary2831[[#This Row],[3*2]]+Summary2831[[#This Row],[3*22]]+Summary2831[[#This Row],[3*23]]</f>
        <v>19</v>
      </c>
      <c r="BA89" s="213">
        <f>Summary2831[[#This Row],[2*2]]+Summary2831[[#This Row],[2*23]]+Summary2831[[#This Row],[2*24]]</f>
        <v>22</v>
      </c>
      <c r="BB89" s="213">
        <f>Summary2831[[#This Row],[1*2]]+Summary2831[[#This Row],[1*24]]+Summary2831[[#This Row],[1*25]]</f>
        <v>6</v>
      </c>
      <c r="BC89" s="215">
        <f>IF($F89&lt;=0,"0",IF($F89&lt;=6,"19",IF($F89&lt;=7,"18",IF($F89&lt;=8,"9",0))))+0</f>
        <v>19</v>
      </c>
      <c r="BD89" s="215">
        <f>IF($F89&lt;=0,"0",IF($F89&lt;=2,"22",IF($F89&lt;=3,"19",IF($F89&lt;=4,"15",IF($F89&lt;=5,"9",0)))))+0</f>
        <v>22</v>
      </c>
      <c r="BE89" s="215">
        <f>IF($F89&lt;=0,"0",IF($F89&lt;=1,"6",0))+0</f>
        <v>0</v>
      </c>
      <c r="BF89" s="215">
        <f>IF($G89&lt;=0,"0",IF($G89&lt;=6,"19",IF($G89&lt;=7,"18",IF($G89&lt;=8,"9",0))))+0</f>
        <v>0</v>
      </c>
      <c r="BG89" s="215">
        <f>IF($G89&lt;=0,"0",IF($G89&lt;=2,"22",IF($G89&lt;=3,"19",IF($G89&lt;=4,"15",IF($G89&lt;=5,"9",0)))))+0</f>
        <v>0</v>
      </c>
      <c r="BH89" s="215">
        <f>IF($G89&lt;=0,"0",IF($G89&lt;=1,"6",0))+0</f>
        <v>0</v>
      </c>
      <c r="BI89" s="215">
        <f>IF($H89&lt;=0,"0",IF($H89&lt;=6,"19",IF($H89&lt;=7,"18",IF($H89&lt;=8,"9",0))))+0</f>
        <v>0</v>
      </c>
      <c r="BJ89" s="215">
        <f>IF($H89&lt;=0,"0",IF($H89&lt;=2,"22",IF($H89&lt;=3,"19",IF($H89&lt;=4,"15",IF($H89&lt;=5,"9",0)))))+0</f>
        <v>0</v>
      </c>
      <c r="BK89" s="215">
        <f>IF($H89&lt;=0,"0",IF($H89&lt;=1,"6",0))+0</f>
        <v>0</v>
      </c>
      <c r="BL89" s="199">
        <f>SUM(Summary2831[[#This Row],[3*
(Tal)]],Summary2831[[#This Row],[3*
(Asc)]])</f>
        <v>19</v>
      </c>
      <c r="BM89" s="208">
        <f>SUM(Summary2831[[#This Row],[2*
(Tal)]],Summary2831[[#This Row],[2*
(Asc)]])</f>
        <v>22</v>
      </c>
      <c r="BN89" s="211">
        <f>SUM(Summary2831[[#This Row],[1*
(Tal)]],Summary2831[[#This Row],[1*
(Asc)]])</f>
        <v>6</v>
      </c>
      <c r="BO89" s="216">
        <f>(IF($E89&lt;=0,"0",IF($E89&lt;=1,"2092530",IF($E89&lt;=10,"2087525",IF($E89&lt;=20,"2068495",IF($E89&lt;=30,"2005910",IF($E89&lt;=40,"1932830",IF($E89&lt;=50,"1777010",IF($E89&lt;=60,"1546185",IF($E89&lt;=70,"1227000",IF($E89&lt;=80,"804625",IF($E89&lt;=81,"647990",IF($E89&lt;=90,"0",0)))))))))))))+0</f>
        <v>0</v>
      </c>
      <c r="BP89" s="217">
        <f>(IF($F89&lt;=0,"0",IF($F89&lt;=1,"952500",IF($F89&lt;=2,"940000",IF($F89&lt;=3,"922500",IF($F89&lt;=4,"897500",IF($F89&lt;=5,"867500",IF($F89&lt;=6,"830000",IF($F89&lt;=7,"710000",IF($F89&lt;=8,"450000",0))))))))))+0</f>
        <v>940000</v>
      </c>
      <c r="BQ89" s="217">
        <f>(IF($G89&lt;=0,"0",IF($G89&lt;=1,"952500",IF($G89&lt;=2,"940000",IF($G89&lt;=3,"922500",IF($G89&lt;=4,"897500",IF($G89&lt;=5,"867500",IF($G89&lt;=6,"830000",IF($G89&lt;=7,"710000",IF($G89&lt;=8,"450000",0))))))))))+0</f>
        <v>0</v>
      </c>
      <c r="BR89" s="217">
        <f>(IF($H89&lt;=0,"0",IF($H89&lt;=1,"952500",IF($H89&lt;=2,"940000",IF($H89&lt;=3,"922500",IF($H89&lt;=4,"897500",IF($H89&lt;=5,"867500",IF($H89&lt;=6,"830000",IF($H89&lt;=7,"710000",IF($H89&lt;=8,"450000",0))))))))))+0</f>
        <v>0</v>
      </c>
      <c r="BS89" s="218">
        <f>SUM(BO89,BP89,BQ89,BR89)</f>
        <v>940000</v>
      </c>
    </row>
    <row r="90" spans="1:71" ht="30" customHeight="1">
      <c r="A90" s="196">
        <f ca="1">SUBTOTAL(3,$C$3:Character[[#This Row],[Name]])</f>
        <v>88</v>
      </c>
      <c r="B90" s="192" t="e" vm="650">
        <f>ImgDatabase!D90</f>
        <v>#VALUE!</v>
      </c>
      <c r="C90" s="197" t="s">
        <v>612</v>
      </c>
      <c r="D90" s="194" t="str">
        <f>IFERROR(INDEX(CharacterDetailss[Element], MATCH(Character[[#This Row],[Name]], CharacterDetailss[Name], 0)), "")</f>
        <v/>
      </c>
      <c r="E90" s="194" t="str">
        <f>IFERROR(INDEX(CharacterDetailss[Weapon Type], MATCH(Character[[#This Row],[Name]], CharacterDetailss[Name], 0)), "")</f>
        <v/>
      </c>
      <c r="F90" s="198">
        <v>2.4</v>
      </c>
      <c r="G90" s="14">
        <v>40</v>
      </c>
      <c r="H90" s="9">
        <v>1</v>
      </c>
      <c r="I90" s="2">
        <v>1</v>
      </c>
      <c r="J90" s="10">
        <v>1</v>
      </c>
      <c r="L90" s="75">
        <v>81</v>
      </c>
      <c r="M90" s="73">
        <v>1</v>
      </c>
      <c r="N90" s="74">
        <v>9</v>
      </c>
      <c r="O90" s="74">
        <v>9</v>
      </c>
      <c r="Q90" s="258" t="e" vm="429">
        <f>IFERROR(INDEX(ImgDatabase!$O:$O, MATCH(WorldBoss[[#This Row],[Boss Name]], ImgDatabase!$P:$P, 0)), "")</f>
        <v>#VALUE!</v>
      </c>
      <c r="R90" s="257" t="s">
        <v>214</v>
      </c>
      <c r="S90" s="301">
        <f>(IF($E90&lt;=0,"0",IF($E90&lt;=40,"46",IF($E90&lt;=50,"44",IF($E90&lt;=60,"40",IF($E90&lt;=70,"32",IF($E90&lt;=80,"20","0")))))))+0</f>
        <v>0</v>
      </c>
      <c r="U90" s="22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V90" s="253" t="s">
        <v>562</v>
      </c>
      <c r="W90" s="254">
        <f>Z90+AC90+AF90</f>
        <v>44</v>
      </c>
      <c r="X90" s="254">
        <f>AA90+AD90+AG90</f>
        <v>40</v>
      </c>
      <c r="Y90" s="255">
        <f>AB90+AE90+AH90</f>
        <v>3</v>
      </c>
      <c r="Z90" s="224">
        <f>(IF($F90&lt;=0,"0",IF($F90&lt;=6,"22",IF($F90&lt;=7,"18",IF($F90&lt;=8,"12",0)))))+0</f>
        <v>22</v>
      </c>
      <c r="AA90" s="225">
        <f>(IF($F90&lt;=0,"0",IF($F90&lt;=2,"21",IF($F90&lt;=3,"19",IF($F90&lt;=4,"15",IF($F90&lt;=5,"9",0))))))+0</f>
        <v>19</v>
      </c>
      <c r="AB90" s="225">
        <f>(IF($F90&lt;=0,"0",IF($F90&lt;=1,"3",0)))+0</f>
        <v>0</v>
      </c>
      <c r="AC90" s="225">
        <f>(IF($G90&lt;=0,"0",IF($G90&lt;=6,"22",IF($G90&lt;=7,"18",IF($G90&lt;=8,"12",0)))))+0</f>
        <v>0</v>
      </c>
      <c r="AD90" s="225">
        <f>(IF($G90&lt;=0,"0",IF($G90&lt;=2,"21",IF($G90&lt;=3,"19",IF($G90&lt;=4,"15",IF($G90&lt;=5,"9",0))))))+0</f>
        <v>0</v>
      </c>
      <c r="AE90" s="225">
        <f>(IF($G90&lt;=0,"0",IF($G90&lt;=1,"3",0)))+0</f>
        <v>0</v>
      </c>
      <c r="AF90" s="225">
        <f>(IF($H90&lt;=0,"0",IF($H90&lt;=6,"22",IF($H90&lt;=7,"18",IF($H90&lt;=8,"12",0)))))+0</f>
        <v>22</v>
      </c>
      <c r="AG90" s="225">
        <f>(IF($H90&lt;=0,"0",IF($H90&lt;=2,"21",IF($H90&lt;=3,"19",IF($H90&lt;=4,"15",IF($H90&lt;=5,"9",0))))))+0</f>
        <v>21</v>
      </c>
      <c r="AH90" s="226">
        <f>(IF($H90&lt;=0,"0",IF($H90&lt;=1,"3",0)))+0</f>
        <v>3</v>
      </c>
      <c r="AI90" s="256" t="s">
        <v>205</v>
      </c>
      <c r="AJ90" s="257" t="s">
        <v>536</v>
      </c>
      <c r="AK90" s="229">
        <f>(IF($F90&lt;=0,"0",IF($F90&lt;=6,"4",IF($F90&lt;=7,"3",IF($F90&lt;=8,"2","0")))))+0</f>
        <v>4</v>
      </c>
      <c r="AL90" s="229">
        <f>(IF($G90&lt;=0,"0",IF($G90&lt;=6,"4",IF($G90&lt;=7,"3",IF($G90&lt;=8,"2","0")))))+0</f>
        <v>0</v>
      </c>
      <c r="AM90" s="229">
        <f>(IF($H90&lt;=0,"0",IF($H90&lt;=6,"4",IF($H90&lt;=7,"3",IF($H90&lt;=8,"2","0")))))+0</f>
        <v>4</v>
      </c>
      <c r="AN90" s="252">
        <f>SUM(AK90:AM90)</f>
        <v>8</v>
      </c>
      <c r="AO90" s="279" t="s">
        <v>599</v>
      </c>
      <c r="AP90" s="258">
        <f>(IF($E90&lt;=0,"0",IF($E90&lt;=20,"168",IF($E90&lt;=30,"165",IF($E90&lt;=50,"155",IF($E90&lt;=60,"135",IF($E90&lt;=70,"105",IF($E90&lt;=80,"60","0"))))))))+0</f>
        <v>0</v>
      </c>
      <c r="AQ90" s="251" t="s">
        <v>521</v>
      </c>
      <c r="AR90" s="257">
        <f>(IF($E90&lt;=0,"0",IF($E90&lt;=80,"6","0")))+0</f>
        <v>0</v>
      </c>
      <c r="AS90" s="257">
        <f>(IF($E90&lt;=0,"0",IF($E90&lt;=60,"9",IF($E90&lt;=70,"6","0"))))+0</f>
        <v>0</v>
      </c>
      <c r="AT90" s="257">
        <f>(IF($E90&lt;=0,"0",IF($E90&lt;=40,"9",IF($E90&lt;=50,"6","0"))))+0</f>
        <v>0</v>
      </c>
      <c r="AU90" s="259">
        <f>(IF($E90&lt;=0,"0",IF($E90&lt;=20,"1","0")))+0</f>
        <v>0</v>
      </c>
      <c r="AV90" s="251" t="s">
        <v>89</v>
      </c>
      <c r="AW90" s="257">
        <f>(IF($E90&lt;=0,"0",IF($E90&lt;=70,"36",IF($E90&lt;=80,"24","0"))))+0</f>
        <v>0</v>
      </c>
      <c r="AX90" s="257">
        <f>(IF($E90&lt;=0,"0",IF($E90&lt;=50,"30",IF($E90&lt;=60,"18","0"))))+0</f>
        <v>0</v>
      </c>
      <c r="AY90" s="259">
        <f>(IF($E90&lt;=0,"0",IF($E90&lt;=20,"18",IF($E90&lt;=40,"15","0"))))+0</f>
        <v>0</v>
      </c>
      <c r="AZ90" s="260">
        <f>Summary2831[[#This Row],[3*2]]+Summary2831[[#This Row],[3*22]]+Summary2831[[#This Row],[3*23]]</f>
        <v>57</v>
      </c>
      <c r="BA90" s="261">
        <f>Summary2831[[#This Row],[2*2]]+Summary2831[[#This Row],[2*23]]+Summary2831[[#This Row],[2*24]]</f>
        <v>66</v>
      </c>
      <c r="BB90" s="280">
        <f>Summary2831[[#This Row],[1*2]]+Summary2831[[#This Row],[1*24]]+Summary2831[[#This Row],[1*25]]</f>
        <v>18</v>
      </c>
      <c r="BC90" s="261">
        <f>IF($F90&lt;=0,"0",IF($F90&lt;=6,"19",IF($F90&lt;=7,"18",IF($F90&lt;=8,"9",0))))+0</f>
        <v>19</v>
      </c>
      <c r="BD90" s="261">
        <f>IF($F90&lt;=0,"0",IF($F90&lt;=2,"22",IF($F90&lt;=3,"19",IF($F90&lt;=4,"15",IF($F90&lt;=5,"9",0)))))+0</f>
        <v>19</v>
      </c>
      <c r="BE90" s="261">
        <f>IF($F90&lt;=0,"0",IF($F90&lt;=1,"6",0))+0</f>
        <v>0</v>
      </c>
      <c r="BF90" s="261">
        <f>IF($G90&lt;=0,"0",IF($G90&lt;=6,"19",IF($G90&lt;=7,"18",IF($G90&lt;=8,"9",0))))+0</f>
        <v>0</v>
      </c>
      <c r="BG90" s="261">
        <f>IF($G90&lt;=0,"0",IF($G90&lt;=2,"22",IF($G90&lt;=3,"19",IF($G90&lt;=4,"15",IF($G90&lt;=5,"9",0)))))+0</f>
        <v>0</v>
      </c>
      <c r="BH90" s="261">
        <f>IF($G90&lt;=0,"0",IF($G90&lt;=1,"6",0))+0</f>
        <v>0</v>
      </c>
      <c r="BI90" s="261">
        <f>IF($H90&lt;=0,"0",IF($H90&lt;=6,"19",IF($H90&lt;=7,"18",IF($H90&lt;=8,"9",0))))+0</f>
        <v>19</v>
      </c>
      <c r="BJ90" s="261">
        <f>IF($H90&lt;=0,"0",IF($H90&lt;=2,"22",IF($H90&lt;=3,"19",IF($H90&lt;=4,"15",IF($H90&lt;=5,"9",0)))))+0</f>
        <v>22</v>
      </c>
      <c r="BK90" s="261">
        <f>IF($H90&lt;=0,"0",IF($H90&lt;=1,"6",0))+0</f>
        <v>6</v>
      </c>
      <c r="BL90" s="251">
        <f>SUM(Summary2831[[#This Row],[3*
(Tal)]],Summary2831[[#This Row],[3*
(Asc)]])</f>
        <v>93</v>
      </c>
      <c r="BM90" s="257">
        <f>SUM(Summary2831[[#This Row],[2*
(Tal)]],Summary2831[[#This Row],[2*
(Asc)]])</f>
        <v>96</v>
      </c>
      <c r="BN90" s="259">
        <f>SUM(Summary2831[[#This Row],[1*
(Tal)]],Summary2831[[#This Row],[1*
(Asc)]])</f>
        <v>33</v>
      </c>
      <c r="BO90" s="235">
        <f>(IF($E90&lt;=0,"0",IF($E90&lt;=1,"2092530",IF($E90&lt;=10,"2087525",IF($E90&lt;=20,"2068495",IF($E90&lt;=30,"2005910",IF($E90&lt;=40,"1932830",IF($E90&lt;=50,"1777010",IF($E90&lt;=60,"1546185",IF($E90&lt;=70,"1227000",IF($E90&lt;=80,"804625",IF($E90&lt;=81,"647990",IF($E90&lt;=90,"0",0)))))))))))))+0</f>
        <v>0</v>
      </c>
      <c r="BP90" s="262">
        <f>(IF($F90&lt;=0,"0",IF($F90&lt;=1,"952500",IF($F90&lt;=2,"940000",IF($F90&lt;=3,"922500",IF($F90&lt;=4,"897500",IF($F90&lt;=5,"867500",IF($F90&lt;=6,"830000",IF($F90&lt;=7,"710000",IF($F90&lt;=8,"450000",0))))))))))+0</f>
        <v>922500</v>
      </c>
      <c r="BQ90" s="262">
        <f>(IF($G90&lt;=0,"0",IF($G90&lt;=1,"952500",IF($G90&lt;=2,"940000",IF($G90&lt;=3,"922500",IF($G90&lt;=4,"897500",IF($G90&lt;=5,"867500",IF($G90&lt;=6,"830000",IF($G90&lt;=7,"710000",IF($G90&lt;=8,"450000",0))))))))))+0</f>
        <v>0</v>
      </c>
      <c r="BR90" s="262">
        <f>(IF($H90&lt;=0,"0",IF($H90&lt;=1,"952500",IF($H90&lt;=2,"940000",IF($H90&lt;=3,"922500",IF($H90&lt;=4,"897500",IF($H90&lt;=5,"867500",IF($H90&lt;=6,"830000",IF($H90&lt;=7,"710000",IF($H90&lt;=8,"450000",0))))))))))+0</f>
        <v>952500</v>
      </c>
      <c r="BS90" s="263">
        <f>SUM(BO90,BP90,BQ90,BR90)</f>
        <v>1875000</v>
      </c>
    </row>
    <row r="91" spans="1:71" ht="30" customHeight="1" thickBot="1">
      <c r="A91" s="192">
        <f ca="1">SUBTOTAL(3,$C$3:Character[[#This Row],[Name]])</f>
        <v>89</v>
      </c>
      <c r="B91" s="192" t="e" vm="651">
        <f>ImgDatabase!D91</f>
        <v>#VALUE!</v>
      </c>
      <c r="C91" s="193" t="s">
        <v>455</v>
      </c>
      <c r="D91" s="194" t="e" vm="4">
        <f>IFERROR(INDEX(CharacterDetailss[Element], MATCH(Character[[#This Row],[Name]], CharacterDetailss[Name], 0)), "")</f>
        <v>#VALUE!</v>
      </c>
      <c r="E91" s="194" t="e" vm="331">
        <f>IFERROR(INDEX(CharacterDetailss[Weapon Type], MATCH(Character[[#This Row],[Name]], CharacterDetailss[Name], 0)), "")</f>
        <v>#VALUE!</v>
      </c>
      <c r="F91" s="195">
        <v>1.1000000000000001</v>
      </c>
      <c r="G91" s="191">
        <v>90</v>
      </c>
      <c r="H91" s="187">
        <v>1</v>
      </c>
      <c r="I91" s="188">
        <v>10</v>
      </c>
      <c r="J91" s="189">
        <v>9</v>
      </c>
      <c r="L91" s="75">
        <v>81</v>
      </c>
      <c r="M91" s="73">
        <v>1</v>
      </c>
      <c r="N91" s="74">
        <v>9</v>
      </c>
      <c r="O91" s="74">
        <v>9</v>
      </c>
      <c r="Q91" s="210" t="e" vm="5">
        <f>IFERROR(INDEX(ImgDatabase!$O:$O, MATCH(WorldBoss[[#This Row],[Boss Name]], ImgDatabase!$P:$P, 0)), "")</f>
        <v>#VALUE!</v>
      </c>
      <c r="R91" s="208" t="s">
        <v>116</v>
      </c>
      <c r="S91" s="298" t="e">
        <f>(IF($E91&lt;=0,"0",IF($E91&lt;=40,"46",IF($E91&lt;=50,"44",IF($E91&lt;=60,"40",IF($E91&lt;=70,"32",IF($E91&lt;=80,"20","0")))))))+0</f>
        <v>#VALUE!</v>
      </c>
      <c r="U91" s="201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V91" s="202" t="s">
        <v>540</v>
      </c>
      <c r="W91" s="203">
        <f>Z91+AC91+AF91</f>
        <v>44</v>
      </c>
      <c r="X91" s="203">
        <f>AA91+AD91+AG91</f>
        <v>42</v>
      </c>
      <c r="Y91" s="201">
        <f>AB91+AE91+AH91</f>
        <v>3</v>
      </c>
      <c r="Z91" s="204">
        <f>(IF($F91&lt;=0,"0",IF($F91&lt;=6,"22",IF($F91&lt;=7,"18",IF($F91&lt;=8,"12",0)))))+0</f>
        <v>22</v>
      </c>
      <c r="AA91" s="205">
        <f>(IF($F91&lt;=0,"0",IF($F91&lt;=2,"21",IF($F91&lt;=3,"19",IF($F91&lt;=4,"15",IF($F91&lt;=5,"9",0))))))+0</f>
        <v>21</v>
      </c>
      <c r="AB91" s="205">
        <f>(IF($F91&lt;=0,"0",IF($F91&lt;=1,"3",0)))+0</f>
        <v>0</v>
      </c>
      <c r="AC91" s="205">
        <f>(IF($G91&lt;=0,"0",IF($G91&lt;=6,"22",IF($G91&lt;=7,"18",IF($G91&lt;=8,"12",0)))))+0</f>
        <v>0</v>
      </c>
      <c r="AD91" s="205">
        <f>(IF($G91&lt;=0,"0",IF($G91&lt;=2,"21",IF($G91&lt;=3,"19",IF($G91&lt;=4,"15",IF($G91&lt;=5,"9",0))))))+0</f>
        <v>0</v>
      </c>
      <c r="AE91" s="205">
        <f>(IF($G91&lt;=0,"0",IF($G91&lt;=1,"3",0)))+0</f>
        <v>0</v>
      </c>
      <c r="AF91" s="205">
        <f>(IF($H91&lt;=0,"0",IF($H91&lt;=6,"22",IF($H91&lt;=7,"18",IF($H91&lt;=8,"12",0)))))+0</f>
        <v>22</v>
      </c>
      <c r="AG91" s="205">
        <f>(IF($H91&lt;=0,"0",IF($H91&lt;=2,"21",IF($H91&lt;=3,"19",IF($H91&lt;=4,"15",IF($H91&lt;=5,"9",0))))))+0</f>
        <v>21</v>
      </c>
      <c r="AH91" s="206">
        <f>(IF($H91&lt;=0,"0",IF($H91&lt;=1,"3",0)))+0</f>
        <v>3</v>
      </c>
      <c r="AI91" s="207" t="s">
        <v>389</v>
      </c>
      <c r="AJ91" s="208" t="s">
        <v>520</v>
      </c>
      <c r="AK91" s="209">
        <f>(IF($F91&lt;=0,"0",IF($F91&lt;=6,"4",IF($F91&lt;=7,"3",IF($F91&lt;=8,"2","0")))))+0</f>
        <v>4</v>
      </c>
      <c r="AL91" s="209">
        <f>(IF($G91&lt;=0,"0",IF($G91&lt;=6,"4",IF($G91&lt;=7,"3",IF($G91&lt;=8,"2","0")))))+0</f>
        <v>0</v>
      </c>
      <c r="AM91" s="209">
        <f>(IF($H91&lt;=0,"0",IF($H91&lt;=6,"4",IF($H91&lt;=7,"3",IF($H91&lt;=8,"2","0")))))+0</f>
        <v>4</v>
      </c>
      <c r="AN91" s="200">
        <f>SUM(AK91:AM91)</f>
        <v>8</v>
      </c>
      <c r="AO91" s="281" t="s">
        <v>563</v>
      </c>
      <c r="AP91" s="210" t="e">
        <f>(IF($E91&lt;=0,"0",IF($E91&lt;=20,"168",IF($E91&lt;=30,"165",IF($E91&lt;=50,"155",IF($E91&lt;=60,"135",IF($E91&lt;=70,"105",IF($E91&lt;=80,"60","0"))))))))+0</f>
        <v>#VALUE!</v>
      </c>
      <c r="AQ91" s="199" t="s">
        <v>521</v>
      </c>
      <c r="AR91" s="208" t="e">
        <f>(IF($E91&lt;=0,"0",IF($E91&lt;=80,"6","0")))+0</f>
        <v>#VALUE!</v>
      </c>
      <c r="AS91" s="208" t="e">
        <f>(IF($E91&lt;=0,"0",IF($E91&lt;=60,"9",IF($E91&lt;=70,"6","0"))))+0</f>
        <v>#VALUE!</v>
      </c>
      <c r="AT91" s="208" t="e">
        <f>(IF($E91&lt;=0,"0",IF($E91&lt;=40,"9",IF($E91&lt;=50,"6","0"))))+0</f>
        <v>#VALUE!</v>
      </c>
      <c r="AU91" s="211" t="e">
        <f>(IF($E91&lt;=0,"0",IF($E91&lt;=20,"1","0")))+0</f>
        <v>#VALUE!</v>
      </c>
      <c r="AV91" s="199" t="s">
        <v>178</v>
      </c>
      <c r="AW91" s="208" t="e">
        <f>(IF($E91&lt;=0,"0",IF($E91&lt;=70,"36",IF($E91&lt;=80,"24","0"))))+0</f>
        <v>#VALUE!</v>
      </c>
      <c r="AX91" s="208" t="e">
        <f>(IF($E91&lt;=0,"0",IF($E91&lt;=50,"30",IF($E91&lt;=60,"18","0"))))+0</f>
        <v>#VALUE!</v>
      </c>
      <c r="AY91" s="211" t="e">
        <f>(IF($E91&lt;=0,"0",IF($E91&lt;=20,"18",IF($E91&lt;=40,"15","0"))))+0</f>
        <v>#VALUE!</v>
      </c>
      <c r="AZ91" s="212">
        <f>Summary2831[[#This Row],[3*2]]+Summary2831[[#This Row],[3*22]]+Summary2831[[#This Row],[3*23]]</f>
        <v>19</v>
      </c>
      <c r="BA91" s="213">
        <f>Summary2831[[#This Row],[2*2]]+Summary2831[[#This Row],[2*23]]+Summary2831[[#This Row],[2*24]]</f>
        <v>22</v>
      </c>
      <c r="BB91" s="282">
        <f>Summary2831[[#This Row],[1*2]]+Summary2831[[#This Row],[1*24]]+Summary2831[[#This Row],[1*25]]</f>
        <v>6</v>
      </c>
      <c r="BC91" s="215">
        <f>IF($F91&lt;=0,"0",IF($F91&lt;=6,"19",IF($F91&lt;=7,"18",IF($F91&lt;=8,"9",0))))+0</f>
        <v>19</v>
      </c>
      <c r="BD91" s="215">
        <f>IF($F91&lt;=0,"0",IF($F91&lt;=2,"22",IF($F91&lt;=3,"19",IF($F91&lt;=4,"15",IF($F91&lt;=5,"9",0)))))+0</f>
        <v>22</v>
      </c>
      <c r="BE91" s="215">
        <f>IF($F91&lt;=0,"0",IF($F91&lt;=1,"6",0))+0</f>
        <v>0</v>
      </c>
      <c r="BF91" s="215">
        <f>IF($G91&lt;=0,"0",IF($G91&lt;=6,"19",IF($G91&lt;=7,"18",IF($G91&lt;=8,"9",0))))+0</f>
        <v>0</v>
      </c>
      <c r="BG91" s="215">
        <f>IF($G91&lt;=0,"0",IF($G91&lt;=2,"22",IF($G91&lt;=3,"19",IF($G91&lt;=4,"15",IF($G91&lt;=5,"9",0)))))+0</f>
        <v>0</v>
      </c>
      <c r="BH91" s="215">
        <f>IF($G91&lt;=0,"0",IF($G91&lt;=1,"6",0))+0</f>
        <v>0</v>
      </c>
      <c r="BI91" s="215">
        <f>IF($H91&lt;=0,"0",IF($H91&lt;=6,"19",IF($H91&lt;=7,"18",IF($H91&lt;=8,"9",0))))+0</f>
        <v>19</v>
      </c>
      <c r="BJ91" s="215">
        <f>IF($H91&lt;=0,"0",IF($H91&lt;=2,"22",IF($H91&lt;=3,"19",IF($H91&lt;=4,"15",IF($H91&lt;=5,"9",0)))))+0</f>
        <v>22</v>
      </c>
      <c r="BK91" s="215">
        <f>IF($H91&lt;=0,"0",IF($H91&lt;=1,"6",0))+0</f>
        <v>6</v>
      </c>
      <c r="BL91" s="199">
        <f>SUM(Summary2831[[#This Row],[3*
(Tal)]],Summary2831[[#This Row],[3*
(Asc)]])</f>
        <v>19</v>
      </c>
      <c r="BM91" s="208">
        <f>SUM(Summary2831[[#This Row],[2*
(Tal)]],Summary2831[[#This Row],[2*
(Asc)]])</f>
        <v>22</v>
      </c>
      <c r="BN91" s="211">
        <f>SUM(Summary2831[[#This Row],[1*
(Tal)]],Summary2831[[#This Row],[1*
(Asc)]])</f>
        <v>6</v>
      </c>
      <c r="BO91" s="216" t="e">
        <f>(IF($E91&lt;=0,"0",IF($E91&lt;=1,"2092530",IF($E91&lt;=10,"2087525",IF($E91&lt;=20,"2068495",IF($E91&lt;=30,"2005910",IF($E91&lt;=40,"1932830",IF($E91&lt;=50,"1777010",IF($E91&lt;=60,"1546185",IF($E91&lt;=70,"1227000",IF($E91&lt;=80,"804625",IF($E91&lt;=81,"647990",IF($E91&lt;=90,"0",0)))))))))))))+0</f>
        <v>#VALUE!</v>
      </c>
      <c r="BP91" s="217">
        <f>(IF($F91&lt;=0,"0",IF($F91&lt;=1,"952500",IF($F91&lt;=2,"940000",IF($F91&lt;=3,"922500",IF($F91&lt;=4,"897500",IF($F91&lt;=5,"867500",IF($F91&lt;=6,"830000",IF($F91&lt;=7,"710000",IF($F91&lt;=8,"450000",0))))))))))+0</f>
        <v>940000</v>
      </c>
      <c r="BQ91" s="217">
        <f>(IF($G91&lt;=0,"0",IF($G91&lt;=1,"952500",IF($G91&lt;=2,"940000",IF($G91&lt;=3,"922500",IF($G91&lt;=4,"897500",IF($G91&lt;=5,"867500",IF($G91&lt;=6,"830000",IF($G91&lt;=7,"710000",IF($G91&lt;=8,"450000",0))))))))))+0</f>
        <v>0</v>
      </c>
      <c r="BR91" s="217">
        <f>(IF($H91&lt;=0,"0",IF($H91&lt;=1,"952500",IF($H91&lt;=2,"940000",IF($H91&lt;=3,"922500",IF($H91&lt;=4,"897500",IF($H91&lt;=5,"867500",IF($H91&lt;=6,"830000",IF($H91&lt;=7,"710000",IF($H91&lt;=8,"450000",0))))))))))+0</f>
        <v>952500</v>
      </c>
      <c r="BS91" s="218" t="e">
        <f>SUM(BO91,BP91,BQ91,BR91)</f>
        <v>#VALUE!</v>
      </c>
    </row>
    <row r="92" spans="1:71" ht="15.75" thickTop="1">
      <c r="L92" s="11"/>
      <c r="M92" s="12"/>
      <c r="N92" s="12"/>
      <c r="O92" s="12"/>
      <c r="Q92" s="296" t="str">
        <f>IFERROR(INDEX(ImgDatabase!$O:$O, MATCH(WorldBoss[[#This Row],[Boss Name]], ImgDatabase!$P:$P, 0)), "")</f>
        <v/>
      </c>
      <c r="R92" s="295" t="s">
        <v>518</v>
      </c>
      <c r="S92" s="296">
        <f>SUBTOTAL(109,Summary2831[World Boss Mats Meed])</f>
        <v>1354</v>
      </c>
      <c r="U92" s="283">
        <f>SUBTOTAL(109,Summary2831[Hero''s Wits])</f>
        <v>6427</v>
      </c>
      <c r="V92" s="284" t="s">
        <v>518</v>
      </c>
      <c r="W92" s="285">
        <f>SUBTOTAL(109,Summary2831[4* Book])</f>
        <v>3466</v>
      </c>
      <c r="X92" s="285">
        <f>SUBTOTAL(109,Summary2831[3* Book])</f>
        <v>2871</v>
      </c>
      <c r="Y92" s="283">
        <f>SUBTOTAL(109,Summary2831[2* Book])</f>
        <v>375</v>
      </c>
      <c r="Z92" s="284">
        <f>SUBTOTAL(109,Summary2831[4*])</f>
        <v>1388</v>
      </c>
      <c r="AA92" s="285">
        <f>SUBTOTAL(109,Summary2831[3*])</f>
        <v>1245</v>
      </c>
      <c r="AB92" s="285">
        <f>SUBTOTAL(109,Summary2831[2*])</f>
        <v>165</v>
      </c>
      <c r="AC92" s="285">
        <f>SUBTOTAL(109,Summary2831[4*2])</f>
        <v>1034</v>
      </c>
      <c r="AD92" s="285">
        <f>SUBTOTAL(109,Summary2831[3*3])</f>
        <v>801</v>
      </c>
      <c r="AE92" s="285">
        <f>SUBTOTAL(109,Summary2831[2*4])</f>
        <v>102</v>
      </c>
      <c r="AF92" s="285">
        <f>SUBTOTAL(109,Summary2831[4*5])</f>
        <v>1044</v>
      </c>
      <c r="AG92" s="285">
        <f>SUBTOTAL(109,Summary2831[3*6])</f>
        <v>825</v>
      </c>
      <c r="AH92" s="283">
        <f>SUBTOTAL(109,Summary2831[2*7])</f>
        <v>108</v>
      </c>
      <c r="AI92" s="284"/>
      <c r="AJ92" s="285" t="s">
        <v>518</v>
      </c>
      <c r="AK92" s="285">
        <f>SUBTOTAL(109,Summary2831[NA9])</f>
        <v>252</v>
      </c>
      <c r="AL92" s="285">
        <f>SUBTOTAL(109,Summary2831[Skill10])</f>
        <v>187</v>
      </c>
      <c r="AM92" s="285">
        <f>SUBTOTAL(109,Summary2831[Burst11])</f>
        <v>189</v>
      </c>
      <c r="AN92" s="283">
        <f>SUBTOTAL(109,Summary2831[Weekly Boss Mats Need])</f>
        <v>628</v>
      </c>
      <c r="AO92" s="286" t="s">
        <v>518</v>
      </c>
      <c r="AP92" s="286">
        <f>SUBTOTAL(109,Summary2831[Flower Quantity])</f>
        <v>4705</v>
      </c>
      <c r="AQ92" s="284" t="s">
        <v>518</v>
      </c>
      <c r="AR92" s="285">
        <f>SUBTOTAL(109,Summary2831[Gemstone])</f>
        <v>198</v>
      </c>
      <c r="AS92" s="285">
        <f>SUBTOTAL(109,Summary2831[Chunk])</f>
        <v>255</v>
      </c>
      <c r="AT92" s="285">
        <f>SUBTOTAL(109,Summary2831[Fragment])</f>
        <v>195</v>
      </c>
      <c r="AU92" s="283">
        <f>SUBTOTAL(109,Summary2831[Silver])</f>
        <v>0</v>
      </c>
      <c r="AV92" s="284" t="s">
        <v>518</v>
      </c>
      <c r="AW92" s="285">
        <f>SUBTOTAL(109,Summary2831[3*
(Asc)])</f>
        <v>1140</v>
      </c>
      <c r="AX92" s="285">
        <f>SUBTOTAL(109,Summary2831[2*
(Asc)])</f>
        <v>750</v>
      </c>
      <c r="AY92" s="285">
        <f>SUBTOTAL(109,Summary2831[1*
(Asc)])</f>
        <v>315</v>
      </c>
      <c r="AZ92" s="287">
        <f>SUBTOTAL(109,Summary2831[3*
(Tal)])</f>
        <v>2986</v>
      </c>
      <c r="BA92" s="288">
        <f>SUBTOTAL(109,Summary2831[2*
(Tal)])</f>
        <v>3000</v>
      </c>
      <c r="BB92" s="288">
        <f>SUBTOTAL(109,Summary2831[1*
(Tal)])</f>
        <v>750</v>
      </c>
      <c r="BC92" s="289">
        <f>SUBTOTAL(109,Summary2831[3*2])</f>
        <v>1196</v>
      </c>
      <c r="BD92" s="289">
        <f>SUBTOTAL(109,Summary2831[2*2])</f>
        <v>1302</v>
      </c>
      <c r="BE92" s="289">
        <f>SUBTOTAL(109,Summary2831[1*2])</f>
        <v>330</v>
      </c>
      <c r="BF92" s="289">
        <f>SUBTOTAL(109,Summary2831[3*22])</f>
        <v>890</v>
      </c>
      <c r="BG92" s="289">
        <f>SUBTOTAL(109,Summary2831[2*23])</f>
        <v>836</v>
      </c>
      <c r="BH92" s="289">
        <f>SUBTOTAL(109,Summary2831[1*24])</f>
        <v>204</v>
      </c>
      <c r="BI92" s="289">
        <f>SUBTOTAL(109,Summary2831[3*23])</f>
        <v>900</v>
      </c>
      <c r="BJ92" s="289">
        <f>SUBTOTAL(109,Summary2831[2*24])</f>
        <v>862</v>
      </c>
      <c r="BK92" s="289">
        <f>SUBTOTAL(109,Summary2831[1*25])</f>
        <v>216</v>
      </c>
      <c r="BL92" s="290">
        <f>SUBTOTAL(109,Summary2831[3* Mats])</f>
        <v>4126</v>
      </c>
      <c r="BM92" s="291">
        <f>SUBTOTAL(109,Summary2831[2* Mats])</f>
        <v>3750</v>
      </c>
      <c r="BN92" s="292">
        <f>SUBTOTAL(109,Summary2831[1* Mats])</f>
        <v>1065</v>
      </c>
      <c r="BO92" s="293">
        <f>SUBTOTAL(109,Summary2831[Level
Up])</f>
        <v>65436095</v>
      </c>
      <c r="BP92" s="293">
        <f>SUBTOTAL(109,Summary2831[NA
Up])</f>
        <v>59527500</v>
      </c>
      <c r="BQ92" s="293">
        <f>SUBTOTAL(109,Summary2831[Skill
Up])</f>
        <v>43590000</v>
      </c>
      <c r="BR92" s="293">
        <f>SUBTOTAL(109,Summary2831[Burst
Up])</f>
        <v>44140000</v>
      </c>
      <c r="BS92" s="294">
        <f>SUBTOTAL(109,Summary2831[Total])</f>
        <v>212693595</v>
      </c>
    </row>
    <row r="93" spans="1:71">
      <c r="A93" s="5"/>
      <c r="B93" s="5"/>
      <c r="C93" s="5"/>
      <c r="D93" s="5"/>
      <c r="E93" s="5"/>
      <c r="F93" s="5"/>
      <c r="G93" s="5"/>
      <c r="H93" s="5"/>
      <c r="I93" s="5"/>
      <c r="J93" s="5"/>
      <c r="S93" s="10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O93" s="2"/>
      <c r="AQ93" s="2"/>
      <c r="AR93" s="2"/>
      <c r="AS93" s="2"/>
      <c r="AT93" s="2"/>
      <c r="AU93" s="2"/>
      <c r="AV93" s="2"/>
      <c r="AW93" s="2"/>
      <c r="AX93" s="2"/>
      <c r="AY93" s="2"/>
    </row>
    <row r="94" spans="1:71" customFormat="1">
      <c r="Q94" s="2"/>
    </row>
    <row r="95" spans="1:71" customFormat="1">
      <c r="Q95" s="2"/>
    </row>
    <row r="96" spans="1:71" customFormat="1">
      <c r="Q96" s="2"/>
    </row>
    <row r="97" spans="17:17" customFormat="1">
      <c r="Q97" s="2"/>
    </row>
    <row r="98" spans="17:17" customFormat="1">
      <c r="Q98" s="2"/>
    </row>
    <row r="99" spans="17:17" customFormat="1">
      <c r="Q99" s="2"/>
    </row>
    <row r="100" spans="17:17" customFormat="1">
      <c r="Q100" s="2"/>
    </row>
    <row r="101" spans="17:17" customFormat="1">
      <c r="Q101" s="2"/>
    </row>
    <row r="102" spans="17:17" customFormat="1">
      <c r="Q102" s="2"/>
    </row>
    <row r="103" spans="17:17" customFormat="1">
      <c r="Q103" s="2"/>
    </row>
    <row r="104" spans="17:17" customFormat="1">
      <c r="Q104" s="2"/>
    </row>
    <row r="105" spans="17:17" customFormat="1">
      <c r="Q105" s="2"/>
    </row>
    <row r="106" spans="17:17" customFormat="1">
      <c r="Q106" s="2"/>
    </row>
    <row r="107" spans="17:17" customFormat="1">
      <c r="Q107" s="2"/>
    </row>
    <row r="108" spans="17:17" customFormat="1">
      <c r="Q108" s="2"/>
    </row>
    <row r="109" spans="17:17" customFormat="1">
      <c r="Q109" s="2"/>
    </row>
    <row r="110" spans="17:17" customFormat="1">
      <c r="Q110" s="2"/>
    </row>
    <row r="111" spans="17:17" customFormat="1">
      <c r="Q111" s="2"/>
    </row>
    <row r="112" spans="17:17" customFormat="1">
      <c r="Q112" s="2"/>
    </row>
    <row r="113" spans="17:17" customFormat="1">
      <c r="Q113" s="2"/>
    </row>
    <row r="114" spans="17:17" customFormat="1">
      <c r="Q114" s="2"/>
    </row>
    <row r="115" spans="17:17" customFormat="1">
      <c r="Q115" s="2"/>
    </row>
    <row r="116" spans="17:17" customFormat="1">
      <c r="Q116" s="2"/>
    </row>
  </sheetData>
  <sheetProtection sort="0" autoFilter="0"/>
  <protectedRanges>
    <protectedRange sqref="L3:O91" name="Level and Talent"/>
    <protectedRange sqref="G3:K91 P3:P91 T3:T91" name="Level and Talent_2"/>
  </protectedRanges>
  <mergeCells count="13">
    <mergeCell ref="BO1:BS1"/>
    <mergeCell ref="AO1:AP1"/>
    <mergeCell ref="AQ1:AU1"/>
    <mergeCell ref="AV1:AY1"/>
    <mergeCell ref="AZ1:BB1"/>
    <mergeCell ref="BC1:BK1"/>
    <mergeCell ref="BL1:BN1"/>
    <mergeCell ref="AI1:AN1"/>
    <mergeCell ref="G1:J1"/>
    <mergeCell ref="L1:O1"/>
    <mergeCell ref="Q1:S1"/>
    <mergeCell ref="V1:Y1"/>
    <mergeCell ref="Z1:AH1"/>
  </mergeCells>
  <conditionalFormatting sqref="Q138:R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Q3:Q91">
    <cfRule type="colorScale" priority="3">
      <colorScale>
        <cfvo type="min"/>
        <cfvo type="max"/>
        <color rgb="FF63BE7B"/>
        <color rgb="FFFCFCFF"/>
      </colorScale>
    </cfRule>
  </conditionalFormatting>
  <conditionalFormatting sqref="R3:R91">
    <cfRule type="colorScale" priority="1">
      <colorScale>
        <cfvo type="min"/>
        <cfvo type="max"/>
        <color rgb="FF63BE7B"/>
        <color rgb="FFFCFCFF"/>
      </colorScale>
    </cfRule>
  </conditionalFormatting>
  <dataValidations count="3">
    <dataValidation type="custom" allowBlank="1" showInputMessage="1" showErrorMessage="1" errorTitle="Enter Valid &quot;Target Level&quot;" error="Target level cannot be less than Current Level" sqref="L3:L91" xr:uid="{A7EFBAA7-1E17-4AA2-9E7C-4000FB15DFD0}">
      <formula1>L3&gt;=G3</formula1>
    </dataValidation>
    <dataValidation type="whole" allowBlank="1" showInputMessage="1" showErrorMessage="1" errorTitle="Numeric Values Only!" error="Please put numeric values from 0 to 10!" sqref="H3:J91 M3:O91" xr:uid="{D85C7A73-7046-47AB-A07C-1C8986397BA6}">
      <formula1>0</formula1>
      <formula2>10</formula2>
    </dataValidation>
    <dataValidation type="whole" allowBlank="1" showInputMessage="1" showErrorMessage="1" errorTitle="Numeric Values Only!" error="Please put numeric values from 0 to 90." sqref="G3:G91" xr:uid="{8C3D750C-46E3-4B51-8E31-FAD512864674}">
      <formula1>0</formula1>
      <formula2>90</formula2>
    </dataValidation>
  </dataValidations>
  <pageMargins left="0.7" right="0.7" top="0.75" bottom="0.75" header="0.3" footer="0.3"/>
  <legacyDrawing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E577-BA11-417D-97FD-D9AD975A054E}">
  <sheetPr codeName="Sheet12">
    <tabColor rgb="FF00B0F0"/>
  </sheetPr>
  <dimension ref="A1:BM103"/>
  <sheetViews>
    <sheetView topLeftCell="AF1" workbookViewId="0">
      <selection activeCell="AI3" sqref="AI3"/>
    </sheetView>
    <sheetView workbookViewId="1">
      <selection activeCell="M10" sqref="M10"/>
    </sheetView>
  </sheetViews>
  <sheetFormatPr defaultColWidth="9.140625" defaultRowHeight="15"/>
  <cols>
    <col min="1" max="1" width="9.140625" style="4" customWidth="1"/>
    <col min="2" max="2" width="15.7109375" style="90" customWidth="1"/>
    <col min="3" max="4" width="11.85546875" style="2" customWidth="1"/>
    <col min="5" max="12" width="7.42578125" style="2" customWidth="1"/>
    <col min="13" max="13" width="29.85546875" style="44" customWidth="1"/>
    <col min="14" max="14" width="12.42578125" style="34" customWidth="1"/>
    <col min="15" max="15" width="12.7109375" style="1" customWidth="1"/>
    <col min="16" max="16" width="14.42578125" style="1" customWidth="1"/>
    <col min="17" max="19" width="9.7109375" style="1" customWidth="1"/>
    <col min="20" max="28" width="9.5703125" style="1" customWidth="1"/>
    <col min="29" max="29" width="21.28515625" style="3" customWidth="1"/>
    <col min="30" max="30" width="28.7109375" style="1" customWidth="1"/>
    <col min="31" max="31" width="10" style="1" customWidth="1"/>
    <col min="32" max="32" width="11" style="1" customWidth="1"/>
    <col min="33" max="33" width="12.42578125" style="1" customWidth="1"/>
    <col min="34" max="34" width="12.85546875" style="2" customWidth="1"/>
    <col min="35" max="35" width="25.7109375" style="1" bestFit="1" customWidth="1"/>
    <col min="36" max="36" width="15.5703125" style="2" bestFit="1" customWidth="1"/>
    <col min="37" max="37" width="25.7109375" style="1" bestFit="1" customWidth="1"/>
    <col min="38" max="41" width="10.7109375" style="1" customWidth="1"/>
    <col min="42" max="42" width="18.28515625" style="1" bestFit="1" customWidth="1"/>
    <col min="43" max="60" width="8.7109375" style="1" customWidth="1"/>
    <col min="61" max="65" width="12" style="1" customWidth="1"/>
    <col min="66" max="16384" width="9.140625" style="1"/>
  </cols>
  <sheetData>
    <row r="1" spans="1:65" s="2" customFormat="1" ht="24" customHeight="1">
      <c r="A1" s="55" t="s">
        <v>459</v>
      </c>
      <c r="B1" s="55" t="s">
        <v>25</v>
      </c>
      <c r="C1" s="55" t="s">
        <v>30</v>
      </c>
      <c r="D1" s="55"/>
      <c r="E1" s="310" t="s">
        <v>460</v>
      </c>
      <c r="F1" s="311"/>
      <c r="G1" s="311"/>
      <c r="H1" s="311"/>
      <c r="I1" s="310" t="s">
        <v>461</v>
      </c>
      <c r="J1" s="311"/>
      <c r="K1" s="311"/>
      <c r="L1" s="312"/>
      <c r="M1" s="310" t="s">
        <v>2</v>
      </c>
      <c r="N1" s="312"/>
      <c r="O1" s="163" t="s">
        <v>462</v>
      </c>
      <c r="P1" s="310" t="s">
        <v>73</v>
      </c>
      <c r="Q1" s="311"/>
      <c r="R1" s="311"/>
      <c r="S1" s="312"/>
      <c r="T1" s="310" t="s">
        <v>463</v>
      </c>
      <c r="U1" s="311"/>
      <c r="V1" s="311"/>
      <c r="W1" s="311"/>
      <c r="X1" s="311"/>
      <c r="Y1" s="311"/>
      <c r="Z1" s="311"/>
      <c r="AA1" s="311"/>
      <c r="AB1" s="312"/>
      <c r="AC1" s="310" t="s">
        <v>41</v>
      </c>
      <c r="AD1" s="311"/>
      <c r="AE1" s="311"/>
      <c r="AF1" s="311"/>
      <c r="AG1" s="311"/>
      <c r="AH1" s="312"/>
      <c r="AI1" s="316" t="s">
        <v>464</v>
      </c>
      <c r="AJ1" s="316"/>
      <c r="AK1" s="310" t="s">
        <v>465</v>
      </c>
      <c r="AL1" s="311"/>
      <c r="AM1" s="311"/>
      <c r="AN1" s="311"/>
      <c r="AO1" s="312"/>
      <c r="AP1" s="310" t="s">
        <v>466</v>
      </c>
      <c r="AQ1" s="311"/>
      <c r="AR1" s="311"/>
      <c r="AS1" s="311"/>
      <c r="AT1" s="310" t="s">
        <v>467</v>
      </c>
      <c r="AU1" s="311"/>
      <c r="AV1" s="311"/>
      <c r="AW1" s="310" t="s">
        <v>468</v>
      </c>
      <c r="AX1" s="311"/>
      <c r="AY1" s="311"/>
      <c r="AZ1" s="311"/>
      <c r="BA1" s="311"/>
      <c r="BB1" s="311"/>
      <c r="BC1" s="311"/>
      <c r="BD1" s="311"/>
      <c r="BE1" s="312"/>
      <c r="BF1" s="310" t="s">
        <v>469</v>
      </c>
      <c r="BG1" s="311"/>
      <c r="BH1" s="312"/>
      <c r="BI1" s="310" t="s">
        <v>470</v>
      </c>
      <c r="BJ1" s="311"/>
      <c r="BK1" s="311"/>
      <c r="BL1" s="311"/>
      <c r="BM1" s="312"/>
    </row>
    <row r="2" spans="1:65" s="169" customFormat="1" ht="45.75" customHeight="1">
      <c r="A2" s="164" t="s">
        <v>459</v>
      </c>
      <c r="B2" s="164" t="s">
        <v>25</v>
      </c>
      <c r="C2" s="164" t="s">
        <v>30</v>
      </c>
      <c r="D2" s="164" t="s">
        <v>471</v>
      </c>
      <c r="E2" s="164" t="s">
        <v>472</v>
      </c>
      <c r="F2" s="165" t="s">
        <v>473</v>
      </c>
      <c r="G2" s="166" t="s">
        <v>474</v>
      </c>
      <c r="H2" s="166" t="s">
        <v>475</v>
      </c>
      <c r="I2" s="164" t="s">
        <v>613</v>
      </c>
      <c r="J2" s="166" t="s">
        <v>614</v>
      </c>
      <c r="K2" s="166" t="s">
        <v>615</v>
      </c>
      <c r="L2" s="166" t="s">
        <v>616</v>
      </c>
      <c r="M2" s="165" t="s">
        <v>617</v>
      </c>
      <c r="N2" s="167" t="s">
        <v>618</v>
      </c>
      <c r="O2" s="170" t="s">
        <v>462</v>
      </c>
      <c r="P2" s="165" t="s">
        <v>477</v>
      </c>
      <c r="Q2" s="166" t="s">
        <v>478</v>
      </c>
      <c r="R2" s="166" t="s">
        <v>479</v>
      </c>
      <c r="S2" s="167" t="s">
        <v>480</v>
      </c>
      <c r="T2" s="58" t="s">
        <v>481</v>
      </c>
      <c r="U2" s="58" t="s">
        <v>482</v>
      </c>
      <c r="V2" s="58" t="s">
        <v>483</v>
      </c>
      <c r="W2" s="58" t="s">
        <v>484</v>
      </c>
      <c r="X2" s="58" t="s">
        <v>485</v>
      </c>
      <c r="Y2" s="58" t="s">
        <v>486</v>
      </c>
      <c r="Z2" s="58" t="s">
        <v>487</v>
      </c>
      <c r="AA2" s="58" t="s">
        <v>488</v>
      </c>
      <c r="AB2" s="58" t="s">
        <v>489</v>
      </c>
      <c r="AC2" s="165" t="s">
        <v>490</v>
      </c>
      <c r="AD2" s="167" t="s">
        <v>491</v>
      </c>
      <c r="AE2" s="58" t="s">
        <v>492</v>
      </c>
      <c r="AF2" s="58" t="s">
        <v>493</v>
      </c>
      <c r="AG2" s="58" t="s">
        <v>494</v>
      </c>
      <c r="AH2" s="168" t="s">
        <v>495</v>
      </c>
      <c r="AI2" s="166" t="s">
        <v>496</v>
      </c>
      <c r="AJ2" s="166" t="s">
        <v>497</v>
      </c>
      <c r="AK2" s="165" t="s">
        <v>498</v>
      </c>
      <c r="AL2" s="166" t="s">
        <v>58</v>
      </c>
      <c r="AM2" s="166" t="s">
        <v>57</v>
      </c>
      <c r="AN2" s="166" t="s">
        <v>56</v>
      </c>
      <c r="AO2" s="167" t="s">
        <v>55</v>
      </c>
      <c r="AP2" s="165" t="s">
        <v>82</v>
      </c>
      <c r="AQ2" s="166" t="s">
        <v>499</v>
      </c>
      <c r="AR2" s="166" t="s">
        <v>500</v>
      </c>
      <c r="AS2" s="166" t="s">
        <v>501</v>
      </c>
      <c r="AT2" s="165" t="s">
        <v>502</v>
      </c>
      <c r="AU2" s="166" t="s">
        <v>503</v>
      </c>
      <c r="AV2" s="167" t="s">
        <v>504</v>
      </c>
      <c r="AW2" s="58" t="s">
        <v>505</v>
      </c>
      <c r="AX2" s="58" t="s">
        <v>506</v>
      </c>
      <c r="AY2" s="58" t="s">
        <v>507</v>
      </c>
      <c r="AZ2" s="59" t="s">
        <v>508</v>
      </c>
      <c r="BA2" s="58" t="s">
        <v>509</v>
      </c>
      <c r="BB2" s="58" t="s">
        <v>510</v>
      </c>
      <c r="BC2" s="59" t="s">
        <v>511</v>
      </c>
      <c r="BD2" s="58" t="s">
        <v>512</v>
      </c>
      <c r="BE2" s="58" t="s">
        <v>513</v>
      </c>
      <c r="BF2" s="165" t="s">
        <v>61</v>
      </c>
      <c r="BG2" s="166" t="s">
        <v>60</v>
      </c>
      <c r="BH2" s="167" t="s">
        <v>59</v>
      </c>
      <c r="BI2" s="165" t="s">
        <v>514</v>
      </c>
      <c r="BJ2" s="166" t="s">
        <v>515</v>
      </c>
      <c r="BK2" s="166" t="s">
        <v>516</v>
      </c>
      <c r="BL2" s="166" t="s">
        <v>517</v>
      </c>
      <c r="BM2" s="167" t="s">
        <v>518</v>
      </c>
    </row>
    <row r="3" spans="1:65" s="81" customFormat="1">
      <c r="A3" s="71">
        <f ca="1">SUBTOTAL(3,$B$3:Summary2831[[#This Row],[Name]])</f>
        <v>1</v>
      </c>
      <c r="B3" s="72" t="s">
        <v>84</v>
      </c>
      <c r="C3" s="72" t="s">
        <v>619</v>
      </c>
      <c r="D3" s="154">
        <v>1.2</v>
      </c>
      <c r="E3" s="72">
        <v>90</v>
      </c>
      <c r="F3" s="73">
        <v>1</v>
      </c>
      <c r="G3" s="74">
        <v>9</v>
      </c>
      <c r="H3" s="74">
        <v>9</v>
      </c>
      <c r="I3" s="72">
        <v>81</v>
      </c>
      <c r="J3" s="73">
        <v>1</v>
      </c>
      <c r="K3" s="74">
        <v>9</v>
      </c>
      <c r="L3" s="74">
        <v>9</v>
      </c>
      <c r="M3" s="79" t="s">
        <v>116</v>
      </c>
      <c r="N3" s="75">
        <f>(IF($E3&lt;=0,"0",IF($E3&lt;=40,"46",IF($E3&lt;=50,"44",IF($E3&lt;=60,"40",IF($E3&lt;=70,"32",IF($E3&lt;=80,"20","0")))))))+0</f>
        <v>0</v>
      </c>
      <c r="O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" s="76" t="s">
        <v>519</v>
      </c>
      <c r="Q3" s="77">
        <f>T3+W3+Z3</f>
        <v>22</v>
      </c>
      <c r="R3" s="77">
        <f>U3+X3+AA3</f>
        <v>21</v>
      </c>
      <c r="S3" s="78">
        <f>V3+Y3+AB3</f>
        <v>3</v>
      </c>
      <c r="T3" s="123">
        <f>(IF($F3&lt;=0,"0",IF($F3&lt;=6,"22",IF($F3&lt;=7,"18",IF($F3&lt;=8,"12",0)))))+0</f>
        <v>22</v>
      </c>
      <c r="U3" s="124">
        <f>(IF($F3&lt;=0,"0",IF($F3&lt;=2,"21",IF($F3&lt;=3,"19",IF($F3&lt;=4,"15",IF($F3&lt;=5,"9",0))))))+0</f>
        <v>21</v>
      </c>
      <c r="V3" s="124">
        <f>(IF($F3&lt;=0,"0",IF($F3&lt;=1,"3",0)))+0</f>
        <v>3</v>
      </c>
      <c r="W3" s="124">
        <f>(IF($G3&lt;=0,"0",IF($G3&lt;=6,"22",IF($G3&lt;=7,"18",IF($G3&lt;=8,"12",0)))))+0</f>
        <v>0</v>
      </c>
      <c r="X3" s="124">
        <f>(IF($G3&lt;=0,"0",IF($G3&lt;=2,"21",IF($G3&lt;=3,"19",IF($G3&lt;=4,"15",IF($G3&lt;=5,"9",0))))))+0</f>
        <v>0</v>
      </c>
      <c r="Y3" s="124">
        <f>(IF($G3&lt;=0,"0",IF($G3&lt;=1,"3",0)))+0</f>
        <v>0</v>
      </c>
      <c r="Z3" s="124">
        <f>(IF($H3&lt;=0,"0",IF($H3&lt;=6,"22",IF($H3&lt;=7,"18",IF($H3&lt;=8,"12",0)))))+0</f>
        <v>0</v>
      </c>
      <c r="AA3" s="124">
        <f>(IF($H3&lt;=0,"0",IF($H3&lt;=2,"21",IF($H3&lt;=3,"19",IF($H3&lt;=4,"15",IF($H3&lt;=5,"9",0))))))+0</f>
        <v>0</v>
      </c>
      <c r="AB3" s="125">
        <f>(IF($H3&lt;=0,"0",IF($H3&lt;=1,"3",0)))+0</f>
        <v>0</v>
      </c>
      <c r="AC3" s="80" t="s">
        <v>389</v>
      </c>
      <c r="AD3" s="81" t="s">
        <v>520</v>
      </c>
      <c r="AE3" s="126">
        <f>(IF($F3&lt;=0,"0",IF($F3&lt;=6,"4",IF($F3&lt;=7,"3",IF($F3&lt;=8,"2","0")))))+0</f>
        <v>4</v>
      </c>
      <c r="AF3" s="126">
        <f>(IF($G3&lt;=0,"0",IF($G3&lt;=6,"4",IF($G3&lt;=7,"3",IF($G3&lt;=8,"2","0")))))+0</f>
        <v>0</v>
      </c>
      <c r="AG3" s="126">
        <f>(IF($H3&lt;=0,"0",IF($H3&lt;=6,"4",IF($H3&lt;=7,"3",IF($H3&lt;=8,"2","0")))))+0</f>
        <v>0</v>
      </c>
      <c r="AH3" s="75">
        <f>SUM(AE3:AG3)</f>
        <v>4</v>
      </c>
      <c r="AI3" s="81" t="s">
        <v>123</v>
      </c>
      <c r="AJ3" s="74">
        <f>(IF($E3&lt;=0,"0",IF($E3&lt;=20,"168",IF($E3&lt;=30,"165",IF($E3&lt;=50,"155",IF($E3&lt;=60,"135",IF($E3&lt;=70,"105",IF($E3&lt;=80,"60","0"))))))))+0</f>
        <v>0</v>
      </c>
      <c r="AK3" s="79" t="s">
        <v>521</v>
      </c>
      <c r="AL3" s="81">
        <f>(IF($E3&lt;=0,"0",IF($E3&lt;=80,"6","0")))+0</f>
        <v>0</v>
      </c>
      <c r="AM3" s="81">
        <f>(IF($E3&lt;=0,"0",IF($E3&lt;=60,"9",IF($E3&lt;=70,"6","0"))))+0</f>
        <v>0</v>
      </c>
      <c r="AN3" s="81">
        <f>(IF($E3&lt;=0,"0",IF($E3&lt;=40,"9",IF($E3&lt;=50,"6","0"))))+0</f>
        <v>0</v>
      </c>
      <c r="AO3" s="82">
        <f>(IF($E3&lt;=0,"0",IF($E3&lt;=20,"1","0")))+0</f>
        <v>0</v>
      </c>
      <c r="AP3" s="79" t="s">
        <v>149</v>
      </c>
      <c r="AQ3" s="81">
        <f>(IF($E3&lt;=0,"0",IF($E3&lt;=70,"36",IF($E3&lt;=80,"24","0"))))+0</f>
        <v>0</v>
      </c>
      <c r="AR3" s="81">
        <f>(IF($E3&lt;=0,"0",IF($E3&lt;=50,"30",IF($E3&lt;=60,"18","0"))))+0</f>
        <v>0</v>
      </c>
      <c r="AS3" s="81">
        <f>(IF($E3&lt;=0,"0",IF($E3&lt;=20,"18",IF($E3&lt;=40,"15","0"))))+0</f>
        <v>0</v>
      </c>
      <c r="AT3" s="83">
        <f>Summary2831[[#This Row],[3*2]]+Summary2831[[#This Row],[3*22]]+Summary2831[[#This Row],[3*23]]</f>
        <v>19</v>
      </c>
      <c r="AU3" s="85">
        <f>Summary2831[[#This Row],[2*2]]+Summary2831[[#This Row],[2*23]]+Summary2831[[#This Row],[2*24]]</f>
        <v>22</v>
      </c>
      <c r="AV3" s="85">
        <f>Summary2831[[#This Row],[1*2]]+Summary2831[[#This Row],[1*24]]+Summary2831[[#This Row],[1*25]]</f>
        <v>6</v>
      </c>
      <c r="AW3" s="159">
        <f>IF($F3&lt;=0,"0",IF($F3&lt;=6,"19",IF($F3&lt;=7,"18",IF($F3&lt;=8,"9",0))))+0</f>
        <v>19</v>
      </c>
      <c r="AX3" s="70">
        <f>IF($F3&lt;=0,"0",IF($F3&lt;=2,"22",IF($F3&lt;=3,"19",IF($F3&lt;=4,"15",IF($F3&lt;=5,"9",0)))))+0</f>
        <v>22</v>
      </c>
      <c r="AY3" s="70">
        <f>IF($F3&lt;=0,"0",IF($F3&lt;=1,"6",0))+0</f>
        <v>6</v>
      </c>
      <c r="AZ3" s="159">
        <f>IF($G3&lt;=0,"0",IF($G3&lt;=6,"19",IF($G3&lt;=7,"18",IF($G3&lt;=8,"9",0))))+0</f>
        <v>0</v>
      </c>
      <c r="BA3" s="70">
        <f>IF($G3&lt;=0,"0",IF($G3&lt;=2,"22",IF($G3&lt;=3,"19",IF($G3&lt;=4,"15",IF($G3&lt;=5,"9",0)))))+0</f>
        <v>0</v>
      </c>
      <c r="BB3" s="70">
        <f>IF($G3&lt;=0,"0",IF($G3&lt;=1,"6",0))+0</f>
        <v>0</v>
      </c>
      <c r="BC3" s="159">
        <f>IF($H3&lt;=0,"0",IF($H3&lt;=6,"19",IF($H3&lt;=7,"18",IF($H3&lt;=8,"9",0))))+0</f>
        <v>0</v>
      </c>
      <c r="BD3" s="70">
        <f>IF($H3&lt;=0,"0",IF($H3&lt;=2,"22",IF($H3&lt;=3,"19",IF($H3&lt;=4,"15",IF($H3&lt;=5,"9",0)))))+0</f>
        <v>0</v>
      </c>
      <c r="BE3" s="70">
        <f>IF($H3&lt;=0,"0",IF($H3&lt;=1,"6",0))+0</f>
        <v>0</v>
      </c>
      <c r="BF3" s="79">
        <f>SUM(Summary2831[[#This Row],[3*
(Tal)]],Summary2831[[#This Row],[3*
(Asc)]])</f>
        <v>19</v>
      </c>
      <c r="BG3" s="81">
        <f>SUM(Summary2831[[#This Row],[2*
(Tal)]],Summary2831[[#This Row],[2*
(Asc)]])</f>
        <v>22</v>
      </c>
      <c r="BH3" s="82">
        <f>SUM(Summary2831[[#This Row],[1*
(Tal)]],Summary2831[[#This Row],[1*
(Asc)]])</f>
        <v>6</v>
      </c>
      <c r="BI3" s="86">
        <f>(IF($E3&lt;=0,"0",IF($E3&lt;=1,"2092530",IF($E3&lt;=10,"2087525",IF($E3&lt;=20,"2068495",IF($E3&lt;=30,"2005910",IF($E3&lt;=40,"1932830",IF($E3&lt;=50,"1777010",IF($E3&lt;=60,"1546185",IF($E3&lt;=70,"1227000",IF($E3&lt;=80,"804625",IF($E3&lt;=81,"647990",IF($E3&lt;=90,"0",0)))))))))))))+0</f>
        <v>0</v>
      </c>
      <c r="BJ3" s="87">
        <f>(IF($F3&lt;=0,"0",IF($F3&lt;=1,"952500",IF($F3&lt;=2,"940000",IF($F3&lt;=3,"922500",IF($F3&lt;=4,"897500",IF($F3&lt;=5,"867500",IF($F3&lt;=6,"830000",IF($F3&lt;=7,"710000",IF($F3&lt;=8,"450000",0))))))))))+0</f>
        <v>952500</v>
      </c>
      <c r="BK3" s="87">
        <f>(IF($G3&lt;=0,"0",IF($G3&lt;=1,"952500",IF($G3&lt;=2,"940000",IF($G3&lt;=3,"922500",IF($G3&lt;=4,"897500",IF($G3&lt;=5,"867500",IF($G3&lt;=6,"830000",IF($G3&lt;=7,"710000",IF($G3&lt;=8,"450000",0))))))))))+0</f>
        <v>0</v>
      </c>
      <c r="BL3" s="87">
        <f>(IF($H3&lt;=0,"0",IF($H3&lt;=1,"952500",IF($H3&lt;=2,"940000",IF($H3&lt;=3,"922500",IF($H3&lt;=4,"897500",IF($H3&lt;=5,"867500",IF($H3&lt;=6,"830000",IF($H3&lt;=7,"710000",IF($H3&lt;=8,"450000",0))))))))))+0</f>
        <v>0</v>
      </c>
      <c r="BM3" s="88">
        <f>SUM(BI3,BJ3,BK3,BL3)</f>
        <v>952500</v>
      </c>
    </row>
    <row r="4" spans="1:65" s="81" customFormat="1">
      <c r="A4" s="71">
        <f ca="1">SUBTOTAL(3,$B$3:Summary2831[[#This Row],[Name]])</f>
        <v>2</v>
      </c>
      <c r="B4" s="72" t="s">
        <v>95</v>
      </c>
      <c r="C4" s="72" t="s">
        <v>620</v>
      </c>
      <c r="D4" s="154">
        <v>3.4</v>
      </c>
      <c r="E4" s="72">
        <v>0</v>
      </c>
      <c r="F4" s="73">
        <v>0</v>
      </c>
      <c r="G4" s="74">
        <v>0</v>
      </c>
      <c r="H4" s="74">
        <v>0</v>
      </c>
      <c r="I4" s="72">
        <v>81</v>
      </c>
      <c r="J4" s="73">
        <v>1</v>
      </c>
      <c r="K4" s="74">
        <v>9</v>
      </c>
      <c r="L4" s="74">
        <v>9</v>
      </c>
      <c r="M4" s="79" t="s">
        <v>284</v>
      </c>
      <c r="N4" s="75">
        <f>(IF($E4&lt;=0,"0",IF($E4&lt;=40,"46",IF($E4&lt;=50,"44",IF($E4&lt;=60,"40",IF($E4&lt;=70,"32",IF($E4&lt;=80,"20","0")))))))+0</f>
        <v>0</v>
      </c>
      <c r="O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" s="76" t="s">
        <v>522</v>
      </c>
      <c r="Q4" s="77">
        <f>T4+W4+Z4</f>
        <v>0</v>
      </c>
      <c r="R4" s="77">
        <f>U4+X4+AA4</f>
        <v>0</v>
      </c>
      <c r="S4" s="78">
        <f>V4+Y4+AB4</f>
        <v>0</v>
      </c>
      <c r="T4" s="123">
        <f>(IF($F4&lt;=0,"0",IF($F4&lt;=6,"22",IF($F4&lt;=7,"18",IF($F4&lt;=8,"12",0)))))+0</f>
        <v>0</v>
      </c>
      <c r="U4" s="124">
        <f>(IF($F4&lt;=0,"0",IF($F4&lt;=2,"21",IF($F4&lt;=3,"19",IF($F4&lt;=4,"15",IF($F4&lt;=5,"9",0))))))+0</f>
        <v>0</v>
      </c>
      <c r="V4" s="124">
        <f>(IF($F4&lt;=0,"0",IF($F4&lt;=1,"3",0)))+0</f>
        <v>0</v>
      </c>
      <c r="W4" s="124">
        <f>(IF($G4&lt;=0,"0",IF($G4&lt;=6,"22",IF($G4&lt;=7,"18",IF($G4&lt;=8,"12",0)))))+0</f>
        <v>0</v>
      </c>
      <c r="X4" s="124">
        <f>(IF($G4&lt;=0,"0",IF($G4&lt;=2,"21",IF($G4&lt;=3,"19",IF($G4&lt;=4,"15",IF($G4&lt;=5,"9",0))))))+0</f>
        <v>0</v>
      </c>
      <c r="Y4" s="124">
        <f>(IF($G4&lt;=0,"0",IF($G4&lt;=1,"3",0)))+0</f>
        <v>0</v>
      </c>
      <c r="Z4" s="124">
        <f>(IF($H4&lt;=0,"0",IF($H4&lt;=6,"22",IF($H4&lt;=7,"18",IF($H4&lt;=8,"12",0)))))+0</f>
        <v>0</v>
      </c>
      <c r="AA4" s="124">
        <f>(IF($H4&lt;=0,"0",IF($H4&lt;=2,"21",IF($H4&lt;=3,"19",IF($H4&lt;=4,"15",IF($H4&lt;=5,"9",0))))))+0</f>
        <v>0</v>
      </c>
      <c r="AB4" s="125">
        <f>(IF($H4&lt;=0,"0",IF($H4&lt;=1,"3",0)))+0</f>
        <v>0</v>
      </c>
      <c r="AC4" s="80" t="s">
        <v>523</v>
      </c>
      <c r="AD4" s="81" t="s">
        <v>524</v>
      </c>
      <c r="AE4" s="126">
        <f>(IF($F4&lt;=0,"0",IF($F4&lt;=6,"4",IF($F4&lt;=7,"3",IF($F4&lt;=8,"2","0")))))+0</f>
        <v>0</v>
      </c>
      <c r="AF4" s="126">
        <f>(IF($G4&lt;=0,"0",IF($G4&lt;=6,"4",IF($G4&lt;=7,"3",IF($G4&lt;=8,"2","0")))))+0</f>
        <v>0</v>
      </c>
      <c r="AG4" s="126">
        <f>(IF($H4&lt;=0,"0",IF($H4&lt;=6,"4",IF($H4&lt;=7,"3",IF($H4&lt;=8,"2","0")))))+0</f>
        <v>0</v>
      </c>
      <c r="AH4" s="75">
        <f>SUM(AE4:AG4)</f>
        <v>0</v>
      </c>
      <c r="AI4" s="81" t="s">
        <v>525</v>
      </c>
      <c r="AJ4" s="74">
        <f>(IF($E4&lt;=0,"0",IF($E4&lt;=20,"168",IF($E4&lt;=30,"165",IF($E4&lt;=50,"155",IF($E4&lt;=60,"135",IF($E4&lt;=70,"105",IF($E4&lt;=80,"60","0"))))))))+0</f>
        <v>0</v>
      </c>
      <c r="AK4" s="79" t="s">
        <v>526</v>
      </c>
      <c r="AL4" s="81">
        <f>(IF($E4&lt;=0,"0",IF($E4&lt;=80,"6","0")))+0</f>
        <v>0</v>
      </c>
      <c r="AM4" s="81">
        <f>(IF($E4&lt;=0,"0",IF($E4&lt;=60,"9",IF($E4&lt;=70,"6","0"))))+0</f>
        <v>0</v>
      </c>
      <c r="AN4" s="81">
        <f>(IF($E4&lt;=0,"0",IF($E4&lt;=40,"9",IF($E4&lt;=50,"6","0"))))+0</f>
        <v>0</v>
      </c>
      <c r="AO4" s="82">
        <f>(IF($E4&lt;=0,"0",IF($E4&lt;=20,"1","0")))+0</f>
        <v>0</v>
      </c>
      <c r="AP4" s="79" t="s">
        <v>46</v>
      </c>
      <c r="AQ4" s="81">
        <f>(IF($E4&lt;=0,"0",IF($E4&lt;=70,"36",IF($E4&lt;=80,"24","0"))))+0</f>
        <v>0</v>
      </c>
      <c r="AR4" s="81">
        <f>(IF($E4&lt;=0,"0",IF($E4&lt;=50,"30",IF($E4&lt;=60,"18","0"))))+0</f>
        <v>0</v>
      </c>
      <c r="AS4" s="81">
        <f>(IF($E4&lt;=0,"0",IF($E4&lt;=20,"18",IF($E4&lt;=40,"15","0"))))+0</f>
        <v>0</v>
      </c>
      <c r="AT4" s="83">
        <f>Summary2831[[#This Row],[3*2]]+Summary2831[[#This Row],[3*22]]+Summary2831[[#This Row],[3*23]]</f>
        <v>0</v>
      </c>
      <c r="AU4" s="85">
        <f>Summary2831[[#This Row],[2*2]]+Summary2831[[#This Row],[2*23]]+Summary2831[[#This Row],[2*24]]</f>
        <v>0</v>
      </c>
      <c r="AV4" s="85">
        <f>Summary2831[[#This Row],[1*2]]+Summary2831[[#This Row],[1*24]]+Summary2831[[#This Row],[1*25]]</f>
        <v>0</v>
      </c>
      <c r="AW4" s="70">
        <f>IF($F4&lt;=0,"0",IF($F4&lt;=6,"19",IF($F4&lt;=7,"18",IF($F4&lt;=8,"9",0))))+0</f>
        <v>0</v>
      </c>
      <c r="AX4" s="70">
        <f>IF($F4&lt;=0,"0",IF($F4&lt;=2,"22",IF($F4&lt;=3,"19",IF($F4&lt;=4,"15",IF($F4&lt;=5,"9",0)))))+0</f>
        <v>0</v>
      </c>
      <c r="AY4" s="70">
        <f>IF($F4&lt;=0,"0",IF($F4&lt;=1,"6",0))+0</f>
        <v>0</v>
      </c>
      <c r="AZ4" s="70">
        <f>IF($G4&lt;=0,"0",IF($G4&lt;=6,"19",IF($G4&lt;=7,"18",IF($G4&lt;=8,"9",0))))+0</f>
        <v>0</v>
      </c>
      <c r="BA4" s="70">
        <f>IF($G4&lt;=0,"0",IF($G4&lt;=2,"22",IF($G4&lt;=3,"19",IF($G4&lt;=4,"15",IF($G4&lt;=5,"9",0)))))+0</f>
        <v>0</v>
      </c>
      <c r="BB4" s="70">
        <f>IF($G4&lt;=0,"0",IF($G4&lt;=1,"6",0))+0</f>
        <v>0</v>
      </c>
      <c r="BC4" s="70">
        <f>IF($H4&lt;=0,"0",IF($H4&lt;=6,"19",IF($H4&lt;=7,"18",IF($H4&lt;=8,"9",0))))+0</f>
        <v>0</v>
      </c>
      <c r="BD4" s="70">
        <f>IF($H4&lt;=0,"0",IF($H4&lt;=2,"22",IF($H4&lt;=3,"19",IF($H4&lt;=4,"15",IF($H4&lt;=5,"9",0)))))+0</f>
        <v>0</v>
      </c>
      <c r="BE4" s="70">
        <f>IF($H4&lt;=0,"0",IF($H4&lt;=1,"6",0))+0</f>
        <v>0</v>
      </c>
      <c r="BF4" s="79">
        <f>SUM(Summary2831[[#This Row],[3*
(Tal)]],Summary2831[[#This Row],[3*
(Asc)]])</f>
        <v>0</v>
      </c>
      <c r="BG4" s="81">
        <f>SUM(Summary2831[[#This Row],[2*
(Tal)]],Summary2831[[#This Row],[2*
(Asc)]])</f>
        <v>0</v>
      </c>
      <c r="BH4" s="82">
        <f>SUM(Summary2831[[#This Row],[1*
(Tal)]],Summary2831[[#This Row],[1*
(Asc)]])</f>
        <v>0</v>
      </c>
      <c r="BI4" s="86">
        <f>(IF($E4&lt;=0,"0",IF($E4&lt;=1,"2092530",IF($E4&lt;=10,"2087525",IF($E4&lt;=20,"2068495",IF($E4&lt;=30,"2005910",IF($E4&lt;=40,"1932830",IF($E4&lt;=50,"1777010",IF($E4&lt;=60,"1546185",IF($E4&lt;=70,"1227000",IF($E4&lt;=80,"804625",IF($E4&lt;=81,"647990",IF($E4&lt;=90,"0",0)))))))))))))+0</f>
        <v>0</v>
      </c>
      <c r="BJ4" s="87">
        <f>(IF($F4&lt;=0,"0",IF($F4&lt;=1,"952500",IF($F4&lt;=2,"940000",IF($F4&lt;=3,"922500",IF($F4&lt;=4,"897500",IF($F4&lt;=5,"867500",IF($F4&lt;=6,"830000",IF($F4&lt;=7,"710000",IF($F4&lt;=8,"450000",0))))))))))+0</f>
        <v>0</v>
      </c>
      <c r="BK4" s="87">
        <f>(IF($G4&lt;=0,"0",IF($G4&lt;=1,"952500",IF($G4&lt;=2,"940000",IF($G4&lt;=3,"922500",IF($G4&lt;=4,"897500",IF($G4&lt;=5,"867500",IF($G4&lt;=6,"830000",IF($G4&lt;=7,"710000",IF($G4&lt;=8,"450000",0))))))))))+0</f>
        <v>0</v>
      </c>
      <c r="BL4" s="87">
        <f>(IF($H4&lt;=0,"0",IF($H4&lt;=1,"952500",IF($H4&lt;=2,"940000",IF($H4&lt;=3,"922500",IF($H4&lt;=4,"897500",IF($H4&lt;=5,"867500",IF($H4&lt;=6,"830000",IF($H4&lt;=7,"710000",IF($H4&lt;=8,"450000",0))))))))))+0</f>
        <v>0</v>
      </c>
      <c r="BM4" s="88">
        <f>SUM(BI4,BJ4,BK4,BL4)</f>
        <v>0</v>
      </c>
    </row>
    <row r="5" spans="1:65" s="81" customFormat="1">
      <c r="A5" s="46">
        <f ca="1">SUBTOTAL(3,$B$3:Summary2831[[#This Row],[Name]])</f>
        <v>3</v>
      </c>
      <c r="B5" s="140" t="s">
        <v>324</v>
      </c>
      <c r="C5" s="14" t="s">
        <v>621</v>
      </c>
      <c r="D5" s="154">
        <v>2.1</v>
      </c>
      <c r="E5" s="14">
        <v>21</v>
      </c>
      <c r="F5" s="9">
        <v>1</v>
      </c>
      <c r="G5" s="2">
        <v>1</v>
      </c>
      <c r="H5" s="2">
        <v>1</v>
      </c>
      <c r="I5" s="72">
        <v>81</v>
      </c>
      <c r="J5" s="73">
        <v>1</v>
      </c>
      <c r="K5" s="74">
        <v>9</v>
      </c>
      <c r="L5" s="74">
        <v>9</v>
      </c>
      <c r="M5" s="44" t="s">
        <v>156</v>
      </c>
      <c r="N5" s="10">
        <f>(IF($E5&lt;=0,"0",IF($E5&lt;=40,"46",IF($E5&lt;=50,"44",IF($E5&lt;=60,"40",IF($E5&lt;=70,"32",IF($E5&lt;=80,"20","0")))))))+0</f>
        <v>46</v>
      </c>
      <c r="O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5" s="49" t="s">
        <v>527</v>
      </c>
      <c r="Q5" s="50">
        <f>T5+W5+Z5</f>
        <v>66</v>
      </c>
      <c r="R5" s="50">
        <f>U5+X5+AA5</f>
        <v>63</v>
      </c>
      <c r="S5" s="51">
        <f>V5+Y5+AB5</f>
        <v>9</v>
      </c>
      <c r="T5" s="123">
        <f>(IF($F5&lt;=0,"0",IF($F5&lt;=6,"22",IF($F5&lt;=7,"18",IF($F5&lt;=8,"12",0)))))+0</f>
        <v>22</v>
      </c>
      <c r="U5" s="124">
        <f>(IF($F5&lt;=0,"0",IF($F5&lt;=2,"21",IF($F5&lt;=3,"19",IF($F5&lt;=4,"15",IF($F5&lt;=5,"9",0))))))+0</f>
        <v>21</v>
      </c>
      <c r="V5" s="124">
        <f>(IF($F5&lt;=0,"0",IF($F5&lt;=1,"3",0)))+0</f>
        <v>3</v>
      </c>
      <c r="W5" s="124">
        <f>(IF($G5&lt;=0,"0",IF($G5&lt;=6,"22",IF($G5&lt;=7,"18",IF($G5&lt;=8,"12",0)))))+0</f>
        <v>22</v>
      </c>
      <c r="X5" s="124">
        <f>(IF($G5&lt;=0,"0",IF($G5&lt;=2,"21",IF($G5&lt;=3,"19",IF($G5&lt;=4,"15",IF($G5&lt;=5,"9",0))))))+0</f>
        <v>21</v>
      </c>
      <c r="Y5" s="124">
        <f>(IF($G5&lt;=0,"0",IF($G5&lt;=1,"3",0)))+0</f>
        <v>3</v>
      </c>
      <c r="Z5" s="124">
        <f>(IF($H5&lt;=0,"0",IF($H5&lt;=6,"22",IF($H5&lt;=7,"18",IF($H5&lt;=8,"12",0)))))+0</f>
        <v>22</v>
      </c>
      <c r="AA5" s="124">
        <f>(IF($H5&lt;=0,"0",IF($H5&lt;=2,"21",IF($H5&lt;=3,"19",IF($H5&lt;=4,"15",IF($H5&lt;=5,"9",0))))))+0</f>
        <v>21</v>
      </c>
      <c r="AB5" s="125">
        <f>(IF($H5&lt;=0,"0",IF($H5&lt;=1,"3",0)))+0</f>
        <v>3</v>
      </c>
      <c r="AC5" s="8" t="s">
        <v>205</v>
      </c>
      <c r="AD5" s="1" t="s">
        <v>528</v>
      </c>
      <c r="AE5" s="126">
        <f>(IF($F5&lt;=0,"0",IF($F5&lt;=6,"4",IF($F5&lt;=7,"3",IF($F5&lt;=8,"2","0")))))+0</f>
        <v>4</v>
      </c>
      <c r="AF5" s="126">
        <f>(IF($G5&lt;=0,"0",IF($G5&lt;=6,"4",IF($G5&lt;=7,"3",IF($G5&lt;=8,"2","0")))))+0</f>
        <v>4</v>
      </c>
      <c r="AG5" s="126">
        <f>(IF($H5&lt;=0,"0",IF($H5&lt;=6,"4",IF($H5&lt;=7,"3",IF($H5&lt;=8,"2","0")))))+0</f>
        <v>4</v>
      </c>
      <c r="AH5" s="10">
        <f>SUM(AE5:AG5)</f>
        <v>12</v>
      </c>
      <c r="AI5" s="1" t="s">
        <v>529</v>
      </c>
      <c r="AJ5" s="2">
        <f>(IF($E5&lt;=0,"0",IF($E5&lt;=20,"168",IF($E5&lt;=30,"165",IF($E5&lt;=50,"155",IF($E5&lt;=60,"135",IF($E5&lt;=70,"105",IF($E5&lt;=80,"60","0"))))))))+0</f>
        <v>165</v>
      </c>
      <c r="AK5" s="44" t="s">
        <v>530</v>
      </c>
      <c r="AL5" s="1">
        <f>(IF($E5&lt;=0,"0",IF($E5&lt;=80,"6","0")))+0</f>
        <v>6</v>
      </c>
      <c r="AM5" s="1">
        <f>(IF($E5&lt;=0,"0",IF($E5&lt;=60,"9",IF($E5&lt;=70,"6","0"))))+0</f>
        <v>9</v>
      </c>
      <c r="AN5" s="1">
        <f>(IF($E5&lt;=0,"0",IF($E5&lt;=40,"9",IF($E5&lt;=50,"6","0"))))+0</f>
        <v>9</v>
      </c>
      <c r="AO5" s="34">
        <f>(IF($E5&lt;=0,"0",IF($E5&lt;=20,"1","0")))+0</f>
        <v>0</v>
      </c>
      <c r="AP5" s="44" t="s">
        <v>311</v>
      </c>
      <c r="AQ5" s="1">
        <f>(IF($E5&lt;=0,"0",IF($E5&lt;=70,"36",IF($E5&lt;=80,"24","0"))))+0</f>
        <v>36</v>
      </c>
      <c r="AR5" s="1">
        <f>(IF($E5&lt;=0,"0",IF($E5&lt;=50,"30",IF($E5&lt;=60,"18","0"))))+0</f>
        <v>30</v>
      </c>
      <c r="AS5" s="1">
        <f>(IF($E5&lt;=0,"0",IF($E5&lt;=20,"18",IF($E5&lt;=40,"15","0"))))+0</f>
        <v>15</v>
      </c>
      <c r="AT5" s="53">
        <f>Summary2831[[#This Row],[3*2]]+Summary2831[[#This Row],[3*22]]+Summary2831[[#This Row],[3*23]]</f>
        <v>57</v>
      </c>
      <c r="AU5" s="52">
        <f>Summary2831[[#This Row],[2*2]]+Summary2831[[#This Row],[2*23]]+Summary2831[[#This Row],[2*24]]</f>
        <v>66</v>
      </c>
      <c r="AV5" s="52">
        <f>Summary2831[[#This Row],[1*2]]+Summary2831[[#This Row],[1*24]]+Summary2831[[#This Row],[1*25]]</f>
        <v>18</v>
      </c>
      <c r="AW5" s="52">
        <f>IF($F5&lt;=0,"0",IF($F5&lt;=6,"19",IF($F5&lt;=7,"18",IF($F5&lt;=8,"9",0))))+0</f>
        <v>19</v>
      </c>
      <c r="AX5" s="52">
        <f>IF($F5&lt;=0,"0",IF($F5&lt;=2,"22",IF($F5&lt;=3,"19",IF($F5&lt;=4,"15",IF($F5&lt;=5,"9",0)))))+0</f>
        <v>22</v>
      </c>
      <c r="AY5" s="52">
        <f>IF($F5&lt;=0,"0",IF($F5&lt;=1,"6",0))+0</f>
        <v>6</v>
      </c>
      <c r="AZ5" s="52">
        <f>IF($G5&lt;=0,"0",IF($G5&lt;=6,"19",IF($G5&lt;=7,"18",IF($G5&lt;=8,"9",0))))+0</f>
        <v>19</v>
      </c>
      <c r="BA5" s="52">
        <f>IF($G5&lt;=0,"0",IF($G5&lt;=2,"22",IF($G5&lt;=3,"19",IF($G5&lt;=4,"15",IF($G5&lt;=5,"9",0)))))+0</f>
        <v>22</v>
      </c>
      <c r="BB5" s="52">
        <f>IF($G5&lt;=0,"0",IF($G5&lt;=1,"6",0))+0</f>
        <v>6</v>
      </c>
      <c r="BC5" s="52">
        <f>IF($H5&lt;=0,"0",IF($H5&lt;=6,"19",IF($H5&lt;=7,"18",IF($H5&lt;=8,"9",0))))+0</f>
        <v>19</v>
      </c>
      <c r="BD5" s="52">
        <f>IF($H5&lt;=0,"0",IF($H5&lt;=2,"22",IF($H5&lt;=3,"19",IF($H5&lt;=4,"15",IF($H5&lt;=5,"9",0)))))+0</f>
        <v>22</v>
      </c>
      <c r="BE5" s="52">
        <f>IF($H5&lt;=0,"0",IF($H5&lt;=1,"6",0))+0</f>
        <v>6</v>
      </c>
      <c r="BF5" s="44">
        <f>SUM(Summary2831[[#This Row],[3*
(Tal)]],Summary2831[[#This Row],[3*
(Asc)]])</f>
        <v>93</v>
      </c>
      <c r="BG5" s="1">
        <f>SUM(Summary2831[[#This Row],[2*
(Tal)]],Summary2831[[#This Row],[2*
(Asc)]])</f>
        <v>96</v>
      </c>
      <c r="BH5" s="34">
        <f>SUM(Summary2831[[#This Row],[1*
(Tal)]],Summary2831[[#This Row],[1*
(Asc)]])</f>
        <v>33</v>
      </c>
      <c r="BI5" s="86">
        <f>(IF($E5&lt;=0,"0",IF($E5&lt;=1,"2092530",IF($E5&lt;=10,"2087525",IF($E5&lt;=20,"2068495",IF($E5&lt;=30,"2005910",IF($E5&lt;=40,"1932830",IF($E5&lt;=50,"1777010",IF($E5&lt;=60,"1546185",IF($E5&lt;=70,"1227000",IF($E5&lt;=80,"804625",IF($E5&lt;=81,"647990",IF($E5&lt;=90,"0",0)))))))))))))+0</f>
        <v>2005910</v>
      </c>
      <c r="BJ5" s="56">
        <f>(IF($F5&lt;=0,"0",IF($F5&lt;=1,"952500",IF($F5&lt;=2,"940000",IF($F5&lt;=3,"922500",IF($F5&lt;=4,"897500",IF($F5&lt;=5,"867500",IF($F5&lt;=6,"830000",IF($F5&lt;=7,"710000",IF($F5&lt;=8,"450000",0))))))))))+0</f>
        <v>952500</v>
      </c>
      <c r="BK5" s="56">
        <f>(IF($G5&lt;=0,"0",IF($G5&lt;=1,"952500",IF($G5&lt;=2,"940000",IF($G5&lt;=3,"922500",IF($G5&lt;=4,"897500",IF($G5&lt;=5,"867500",IF($G5&lt;=6,"830000",IF($G5&lt;=7,"710000",IF($G5&lt;=8,"450000",0))))))))))+0</f>
        <v>952500</v>
      </c>
      <c r="BL5" s="56">
        <f>(IF($H5&lt;=0,"0",IF($H5&lt;=1,"952500",IF($H5&lt;=2,"940000",IF($H5&lt;=3,"922500",IF($H5&lt;=4,"897500",IF($H5&lt;=5,"867500",IF($H5&lt;=6,"830000",IF($H5&lt;=7,"710000",IF($H5&lt;=8,"450000",0))))))))))+0</f>
        <v>952500</v>
      </c>
      <c r="BM5" s="57">
        <f>SUM(BI5,BJ5,BK5,BL5)</f>
        <v>4863410</v>
      </c>
    </row>
    <row r="6" spans="1:65" s="81" customFormat="1">
      <c r="A6" s="46">
        <f ca="1">SUBTOTAL(3,$B$3:Summary2831[[#This Row],[Name]])</f>
        <v>4</v>
      </c>
      <c r="B6" s="140" t="s">
        <v>332</v>
      </c>
      <c r="C6" s="14" t="s">
        <v>622</v>
      </c>
      <c r="D6" s="155">
        <v>1</v>
      </c>
      <c r="E6" s="14">
        <v>60</v>
      </c>
      <c r="F6" s="9">
        <v>1</v>
      </c>
      <c r="G6" s="2">
        <v>1</v>
      </c>
      <c r="H6" s="2">
        <v>1</v>
      </c>
      <c r="I6" s="72">
        <v>81</v>
      </c>
      <c r="J6" s="73">
        <v>1</v>
      </c>
      <c r="K6" s="74">
        <v>9</v>
      </c>
      <c r="L6" s="74">
        <v>9</v>
      </c>
      <c r="M6" s="44" t="s">
        <v>136</v>
      </c>
      <c r="N6" s="10">
        <f>(IF($E6&lt;=0,"0",IF($E6&lt;=40,"46",IF($E6&lt;=50,"44",IF($E6&lt;=60,"40",IF($E6&lt;=70,"32",IF($E6&lt;=80,"20","0")))))))+0</f>
        <v>40</v>
      </c>
      <c r="O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6" s="49" t="s">
        <v>527</v>
      </c>
      <c r="Q6" s="50">
        <f>T6+W6+Z6</f>
        <v>66</v>
      </c>
      <c r="R6" s="50">
        <f>U6+X6+AA6</f>
        <v>63</v>
      </c>
      <c r="S6" s="51">
        <f>V6+Y6+AB6</f>
        <v>9</v>
      </c>
      <c r="T6" s="123">
        <f>(IF($F6&lt;=0,"0",IF($F6&lt;=6,"22",IF($F6&lt;=7,"18",IF($F6&lt;=8,"12",0)))))+0</f>
        <v>22</v>
      </c>
      <c r="U6" s="124">
        <f>(IF($F6&lt;=0,"0",IF($F6&lt;=2,"21",IF($F6&lt;=3,"19",IF($F6&lt;=4,"15",IF($F6&lt;=5,"9",0))))))+0</f>
        <v>21</v>
      </c>
      <c r="V6" s="124">
        <f>(IF($F6&lt;=0,"0",IF($F6&lt;=1,"3",0)))+0</f>
        <v>3</v>
      </c>
      <c r="W6" s="124">
        <f>(IF($G6&lt;=0,"0",IF($G6&lt;=6,"22",IF($G6&lt;=7,"18",IF($G6&lt;=8,"12",0)))))+0</f>
        <v>22</v>
      </c>
      <c r="X6" s="124">
        <f>(IF($G6&lt;=0,"0",IF($G6&lt;=2,"21",IF($G6&lt;=3,"19",IF($G6&lt;=4,"15",IF($G6&lt;=5,"9",0))))))+0</f>
        <v>21</v>
      </c>
      <c r="Y6" s="124">
        <f>(IF($G6&lt;=0,"0",IF($G6&lt;=1,"3",0)))+0</f>
        <v>3</v>
      </c>
      <c r="Z6" s="124">
        <f>(IF($H6&lt;=0,"0",IF($H6&lt;=6,"22",IF($H6&lt;=7,"18",IF($H6&lt;=8,"12",0)))))+0</f>
        <v>22</v>
      </c>
      <c r="AA6" s="124">
        <f>(IF($H6&lt;=0,"0",IF($H6&lt;=2,"21",IF($H6&lt;=3,"19",IF($H6&lt;=4,"15",IF($H6&lt;=5,"9",0))))))+0</f>
        <v>21</v>
      </c>
      <c r="AB6" s="125">
        <f>(IF($H6&lt;=0,"0",IF($H6&lt;=1,"3",0)))+0</f>
        <v>3</v>
      </c>
      <c r="AC6" s="8" t="s">
        <v>531</v>
      </c>
      <c r="AD6" s="1" t="s">
        <v>532</v>
      </c>
      <c r="AE6" s="126">
        <f>(IF($F6&lt;=0,"0",IF($F6&lt;=6,"4",IF($F6&lt;=7,"3",IF($F6&lt;=8,"2","0")))))+0</f>
        <v>4</v>
      </c>
      <c r="AF6" s="126">
        <f>(IF($G6&lt;=0,"0",IF($G6&lt;=6,"4",IF($G6&lt;=7,"3",IF($G6&lt;=8,"2","0")))))+0</f>
        <v>4</v>
      </c>
      <c r="AG6" s="126">
        <f>(IF($H6&lt;=0,"0",IF($H6&lt;=6,"4",IF($H6&lt;=7,"3",IF($H6&lt;=8,"2","0")))))+0</f>
        <v>4</v>
      </c>
      <c r="AH6" s="10">
        <f>SUM(AE6:AG6)</f>
        <v>12</v>
      </c>
      <c r="AI6" s="1" t="s">
        <v>533</v>
      </c>
      <c r="AJ6" s="2">
        <f>(IF($E6&lt;=0,"0",IF($E6&lt;=20,"168",IF($E6&lt;=30,"165",IF($E6&lt;=50,"155",IF($E6&lt;=60,"135",IF($E6&lt;=70,"105",IF($E6&lt;=80,"60","0"))))))))+0</f>
        <v>135</v>
      </c>
      <c r="AK6" s="44" t="s">
        <v>534</v>
      </c>
      <c r="AL6" s="1">
        <f>(IF($E6&lt;=0,"0",IF($E6&lt;=80,"6","0")))+0</f>
        <v>6</v>
      </c>
      <c r="AM6" s="1">
        <f>(IF($E6&lt;=0,"0",IF($E6&lt;=60,"9",IF($E6&lt;=70,"6","0"))))+0</f>
        <v>9</v>
      </c>
      <c r="AN6" s="1">
        <f>(IF($E6&lt;=0,"0",IF($E6&lt;=40,"9",IF($E6&lt;=50,"6","0"))))+0</f>
        <v>0</v>
      </c>
      <c r="AO6" s="34">
        <f>(IF($E6&lt;=0,"0",IF($E6&lt;=20,"1","0")))+0</f>
        <v>0</v>
      </c>
      <c r="AP6" s="44" t="s">
        <v>120</v>
      </c>
      <c r="AQ6" s="1">
        <f>(IF($E6&lt;=0,"0",IF($E6&lt;=70,"36",IF($E6&lt;=80,"24","0"))))+0</f>
        <v>36</v>
      </c>
      <c r="AR6" s="1">
        <f>(IF($E6&lt;=0,"0",IF($E6&lt;=50,"30",IF($E6&lt;=60,"18","0"))))+0</f>
        <v>18</v>
      </c>
      <c r="AS6" s="1">
        <f>(IF($E6&lt;=0,"0",IF($E6&lt;=20,"18",IF($E6&lt;=40,"15","0"))))+0</f>
        <v>0</v>
      </c>
      <c r="AT6" s="53">
        <f>Summary2831[[#This Row],[3*2]]+Summary2831[[#This Row],[3*22]]+Summary2831[[#This Row],[3*23]]</f>
        <v>57</v>
      </c>
      <c r="AU6" s="52">
        <f>Summary2831[[#This Row],[2*2]]+Summary2831[[#This Row],[2*23]]+Summary2831[[#This Row],[2*24]]</f>
        <v>66</v>
      </c>
      <c r="AV6" s="52">
        <f>Summary2831[[#This Row],[1*2]]+Summary2831[[#This Row],[1*24]]+Summary2831[[#This Row],[1*25]]</f>
        <v>18</v>
      </c>
      <c r="AW6" s="52">
        <f>IF($F6&lt;=0,"0",IF($F6&lt;=6,"19",IF($F6&lt;=7,"18",IF($F6&lt;=8,"9",0))))+0</f>
        <v>19</v>
      </c>
      <c r="AX6" s="52">
        <f>IF($F6&lt;=0,"0",IF($F6&lt;=2,"22",IF($F6&lt;=3,"19",IF($F6&lt;=4,"15",IF($F6&lt;=5,"9",0)))))+0</f>
        <v>22</v>
      </c>
      <c r="AY6" s="52">
        <f>IF($F6&lt;=0,"0",IF($F6&lt;=1,"6",0))+0</f>
        <v>6</v>
      </c>
      <c r="AZ6" s="52">
        <f>IF($G6&lt;=0,"0",IF($G6&lt;=6,"19",IF($G6&lt;=7,"18",IF($G6&lt;=8,"9",0))))+0</f>
        <v>19</v>
      </c>
      <c r="BA6" s="52">
        <f>IF($G6&lt;=0,"0",IF($G6&lt;=2,"22",IF($G6&lt;=3,"19",IF($G6&lt;=4,"15",IF($G6&lt;=5,"9",0)))))+0</f>
        <v>22</v>
      </c>
      <c r="BB6" s="52">
        <f>IF($G6&lt;=0,"0",IF($G6&lt;=1,"6",0))+0</f>
        <v>6</v>
      </c>
      <c r="BC6" s="52">
        <f>IF($H6&lt;=0,"0",IF($H6&lt;=6,"19",IF($H6&lt;=7,"18",IF($H6&lt;=8,"9",0))))+0</f>
        <v>19</v>
      </c>
      <c r="BD6" s="52">
        <f>IF($H6&lt;=0,"0",IF($H6&lt;=2,"22",IF($H6&lt;=3,"19",IF($H6&lt;=4,"15",IF($H6&lt;=5,"9",0)))))+0</f>
        <v>22</v>
      </c>
      <c r="BE6" s="52">
        <f>IF($H6&lt;=0,"0",IF($H6&lt;=1,"6",0))+0</f>
        <v>6</v>
      </c>
      <c r="BF6" s="44">
        <f>SUM(Summary2831[[#This Row],[3*
(Tal)]],Summary2831[[#This Row],[3*
(Asc)]])</f>
        <v>93</v>
      </c>
      <c r="BG6" s="1">
        <f>SUM(Summary2831[[#This Row],[2*
(Tal)]],Summary2831[[#This Row],[2*
(Asc)]])</f>
        <v>84</v>
      </c>
      <c r="BH6" s="34">
        <f>SUM(Summary2831[[#This Row],[1*
(Tal)]],Summary2831[[#This Row],[1*
(Asc)]])</f>
        <v>18</v>
      </c>
      <c r="BI6" s="86">
        <f>(IF($E6&lt;=0,"0",IF($E6&lt;=1,"2092530",IF($E6&lt;=10,"2087525",IF($E6&lt;=20,"2068495",IF($E6&lt;=30,"2005910",IF($E6&lt;=40,"1932830",IF($E6&lt;=50,"1777010",IF($E6&lt;=60,"1546185",IF($E6&lt;=70,"1227000",IF($E6&lt;=80,"804625",IF($E6&lt;=81,"647990",IF($E6&lt;=90,"0",0)))))))))))))+0</f>
        <v>1546185</v>
      </c>
      <c r="BJ6" s="56">
        <f>(IF($F6&lt;=0,"0",IF($F6&lt;=1,"952500",IF($F6&lt;=2,"940000",IF($F6&lt;=3,"922500",IF($F6&lt;=4,"897500",IF($F6&lt;=5,"867500",IF($F6&lt;=6,"830000",IF($F6&lt;=7,"710000",IF($F6&lt;=8,"450000",0))))))))))+0</f>
        <v>952500</v>
      </c>
      <c r="BK6" s="56">
        <f>(IF($G6&lt;=0,"0",IF($G6&lt;=1,"952500",IF($G6&lt;=2,"940000",IF($G6&lt;=3,"922500",IF($G6&lt;=4,"897500",IF($G6&lt;=5,"867500",IF($G6&lt;=6,"830000",IF($G6&lt;=7,"710000",IF($G6&lt;=8,"450000",0))))))))))+0</f>
        <v>952500</v>
      </c>
      <c r="BL6" s="56">
        <f>(IF($H6&lt;=0,"0",IF($H6&lt;=1,"952500",IF($H6&lt;=2,"940000",IF($H6&lt;=3,"922500",IF($H6&lt;=4,"897500",IF($H6&lt;=5,"867500",IF($H6&lt;=6,"830000",IF($H6&lt;=7,"710000",IF($H6&lt;=8,"450000",0))))))))))+0</f>
        <v>952500</v>
      </c>
      <c r="BM6" s="57">
        <f>SUM(BI6,BJ6,BK6,BL6)</f>
        <v>4403685</v>
      </c>
    </row>
    <row r="7" spans="1:65" s="81" customFormat="1">
      <c r="A7" s="71">
        <f ca="1">SUBTOTAL(3,$B$3:Summary2831[[#This Row],[Name]])</f>
        <v>5</v>
      </c>
      <c r="B7" s="72" t="s">
        <v>405</v>
      </c>
      <c r="C7" s="72" t="s">
        <v>619</v>
      </c>
      <c r="D7" s="154">
        <v>2.2999999999999998</v>
      </c>
      <c r="E7" s="72">
        <v>0</v>
      </c>
      <c r="F7" s="73">
        <v>0</v>
      </c>
      <c r="G7" s="74">
        <v>0</v>
      </c>
      <c r="H7" s="74">
        <v>0</v>
      </c>
      <c r="I7" s="72">
        <v>81</v>
      </c>
      <c r="J7" s="73">
        <v>1</v>
      </c>
      <c r="K7" s="74">
        <v>9</v>
      </c>
      <c r="L7" s="74">
        <v>9</v>
      </c>
      <c r="M7" s="79" t="s">
        <v>214</v>
      </c>
      <c r="N7" s="75">
        <f>(IF($E7&lt;=0,"0",IF($E7&lt;=40,"46",IF($E7&lt;=50,"44",IF($E7&lt;=60,"40",IF($E7&lt;=70,"32",IF($E7&lt;=80,"20","0")))))))+0</f>
        <v>0</v>
      </c>
      <c r="O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" s="76" t="s">
        <v>535</v>
      </c>
      <c r="Q7" s="77">
        <f>T7+W7+Z7</f>
        <v>0</v>
      </c>
      <c r="R7" s="77">
        <f>U7+X7+AA7</f>
        <v>0</v>
      </c>
      <c r="S7" s="78">
        <f>V7+Y7+AB7</f>
        <v>0</v>
      </c>
      <c r="T7" s="123">
        <f>(IF($F7&lt;=0,"0",IF($F7&lt;=6,"22",IF($F7&lt;=7,"18",IF($F7&lt;=8,"12",0)))))+0</f>
        <v>0</v>
      </c>
      <c r="U7" s="124">
        <f>(IF($F7&lt;=0,"0",IF($F7&lt;=2,"21",IF($F7&lt;=3,"19",IF($F7&lt;=4,"15",IF($F7&lt;=5,"9",0))))))+0</f>
        <v>0</v>
      </c>
      <c r="V7" s="124">
        <f>(IF($F7&lt;=0,"0",IF($F7&lt;=1,"3",0)))+0</f>
        <v>0</v>
      </c>
      <c r="W7" s="124">
        <f>(IF($G7&lt;=0,"0",IF($G7&lt;=6,"22",IF($G7&lt;=7,"18",IF($G7&lt;=8,"12",0)))))+0</f>
        <v>0</v>
      </c>
      <c r="X7" s="124">
        <f>(IF($G7&lt;=0,"0",IF($G7&lt;=2,"21",IF($G7&lt;=3,"19",IF($G7&lt;=4,"15",IF($G7&lt;=5,"9",0))))))+0</f>
        <v>0</v>
      </c>
      <c r="Y7" s="124">
        <f>(IF($G7&lt;=0,"0",IF($G7&lt;=1,"3",0)))+0</f>
        <v>0</v>
      </c>
      <c r="Z7" s="124">
        <f>(IF($H7&lt;=0,"0",IF($H7&lt;=6,"22",IF($H7&lt;=7,"18",IF($H7&lt;=8,"12",0)))))+0</f>
        <v>0</v>
      </c>
      <c r="AA7" s="124">
        <f>(IF($H7&lt;=0,"0",IF($H7&lt;=2,"21",IF($H7&lt;=3,"19",IF($H7&lt;=4,"15",IF($H7&lt;=5,"9",0))))))+0</f>
        <v>0</v>
      </c>
      <c r="AB7" s="125">
        <f>(IF($H7&lt;=0,"0",IF($H7&lt;=1,"3",0)))+0</f>
        <v>0</v>
      </c>
      <c r="AC7" s="80" t="s">
        <v>205</v>
      </c>
      <c r="AD7" s="81" t="s">
        <v>536</v>
      </c>
      <c r="AE7" s="126">
        <f>(IF($F7&lt;=0,"0",IF($F7&lt;=6,"4",IF($F7&lt;=7,"3",IF($F7&lt;=8,"2","0")))))+0</f>
        <v>0</v>
      </c>
      <c r="AF7" s="126">
        <f>(IF($G7&lt;=0,"0",IF($G7&lt;=6,"4",IF($G7&lt;=7,"3",IF($G7&lt;=8,"2","0")))))+0</f>
        <v>0</v>
      </c>
      <c r="AG7" s="126">
        <f>(IF($H7&lt;=0,"0",IF($H7&lt;=6,"4",IF($H7&lt;=7,"3",IF($H7&lt;=8,"2","0")))))+0</f>
        <v>0</v>
      </c>
      <c r="AH7" s="75">
        <f>SUM(AE7:AG7)</f>
        <v>0</v>
      </c>
      <c r="AI7" s="81" t="s">
        <v>291</v>
      </c>
      <c r="AJ7" s="74">
        <f>(IF($E7&lt;=0,"0",IF($E7&lt;=20,"168",IF($E7&lt;=30,"165",IF($E7&lt;=50,"155",IF($E7&lt;=60,"135",IF($E7&lt;=70,"105",IF($E7&lt;=80,"60","0"))))))))+0</f>
        <v>0</v>
      </c>
      <c r="AK7" s="79" t="s">
        <v>521</v>
      </c>
      <c r="AL7" s="81">
        <f>(IF($E7&lt;=0,"0",IF($E7&lt;=80,"6","0")))+0</f>
        <v>0</v>
      </c>
      <c r="AM7" s="81">
        <f>(IF($E7&lt;=0,"0",IF($E7&lt;=60,"9",IF($E7&lt;=70,"6","0"))))+0</f>
        <v>0</v>
      </c>
      <c r="AN7" s="81">
        <f>(IF($E7&lt;=0,"0",IF($E7&lt;=40,"9",IF($E7&lt;=50,"6","0"))))+0</f>
        <v>0</v>
      </c>
      <c r="AO7" s="82">
        <f>(IF($E7&lt;=0,"0",IF($E7&lt;=20,"1","0")))+0</f>
        <v>0</v>
      </c>
      <c r="AP7" s="79" t="s">
        <v>178</v>
      </c>
      <c r="AQ7" s="81">
        <f>(IF($E7&lt;=0,"0",IF($E7&lt;=70,"36",IF($E7&lt;=80,"24","0"))))+0</f>
        <v>0</v>
      </c>
      <c r="AR7" s="81">
        <f>(IF($E7&lt;=0,"0",IF($E7&lt;=50,"30",IF($E7&lt;=60,"18","0"))))+0</f>
        <v>0</v>
      </c>
      <c r="AS7" s="81">
        <f>(IF($E7&lt;=0,"0",IF($E7&lt;=20,"18",IF($E7&lt;=40,"15","0"))))+0</f>
        <v>0</v>
      </c>
      <c r="AT7" s="83">
        <f>Summary2831[[#This Row],[3*2]]+Summary2831[[#This Row],[3*22]]+Summary2831[[#This Row],[3*23]]</f>
        <v>0</v>
      </c>
      <c r="AU7" s="85">
        <f>Summary2831[[#This Row],[2*2]]+Summary2831[[#This Row],[2*23]]+Summary2831[[#This Row],[2*24]]</f>
        <v>0</v>
      </c>
      <c r="AV7" s="85">
        <f>Summary2831[[#This Row],[1*2]]+Summary2831[[#This Row],[1*24]]+Summary2831[[#This Row],[1*25]]</f>
        <v>0</v>
      </c>
      <c r="AW7" s="70">
        <f>IF($F7&lt;=0,"0",IF($F7&lt;=6,"19",IF($F7&lt;=7,"18",IF($F7&lt;=8,"9",0))))+0</f>
        <v>0</v>
      </c>
      <c r="AX7" s="70">
        <f>IF($F7&lt;=0,"0",IF($F7&lt;=2,"22",IF($F7&lt;=3,"19",IF($F7&lt;=4,"15",IF($F7&lt;=5,"9",0)))))+0</f>
        <v>0</v>
      </c>
      <c r="AY7" s="70">
        <f>IF($F7&lt;=0,"0",IF($F7&lt;=1,"6",0))+0</f>
        <v>0</v>
      </c>
      <c r="AZ7" s="70">
        <f>IF($G7&lt;=0,"0",IF($G7&lt;=6,"19",IF($G7&lt;=7,"18",IF($G7&lt;=8,"9",0))))+0</f>
        <v>0</v>
      </c>
      <c r="BA7" s="70">
        <f>IF($G7&lt;=0,"0",IF($G7&lt;=2,"22",IF($G7&lt;=3,"19",IF($G7&lt;=4,"15",IF($G7&lt;=5,"9",0)))))+0</f>
        <v>0</v>
      </c>
      <c r="BB7" s="70">
        <f>IF($G7&lt;=0,"0",IF($G7&lt;=1,"6",0))+0</f>
        <v>0</v>
      </c>
      <c r="BC7" s="70">
        <f>IF($H7&lt;=0,"0",IF($H7&lt;=6,"19",IF($H7&lt;=7,"18",IF($H7&lt;=8,"9",0))))+0</f>
        <v>0</v>
      </c>
      <c r="BD7" s="70">
        <f>IF($H7&lt;=0,"0",IF($H7&lt;=2,"22",IF($H7&lt;=3,"19",IF($H7&lt;=4,"15",IF($H7&lt;=5,"9",0)))))+0</f>
        <v>0</v>
      </c>
      <c r="BE7" s="70">
        <f>IF($H7&lt;=0,"0",IF($H7&lt;=1,"6",0))+0</f>
        <v>0</v>
      </c>
      <c r="BF7" s="79">
        <f>SUM(Summary2831[[#This Row],[3*
(Tal)]],Summary2831[[#This Row],[3*
(Asc)]])</f>
        <v>0</v>
      </c>
      <c r="BG7" s="81">
        <f>SUM(Summary2831[[#This Row],[2*
(Tal)]],Summary2831[[#This Row],[2*
(Asc)]])</f>
        <v>0</v>
      </c>
      <c r="BH7" s="82">
        <f>SUM(Summary2831[[#This Row],[1*
(Tal)]],Summary2831[[#This Row],[1*
(Asc)]])</f>
        <v>0</v>
      </c>
      <c r="BI7" s="86">
        <f>(IF($E7&lt;=0,"0",IF($E7&lt;=1,"2092530",IF($E7&lt;=10,"2087525",IF($E7&lt;=20,"2068495",IF($E7&lt;=30,"2005910",IF($E7&lt;=40,"1932830",IF($E7&lt;=50,"1777010",IF($E7&lt;=60,"1546185",IF($E7&lt;=70,"1227000",IF($E7&lt;=80,"804625",IF($E7&lt;=81,"647990",IF($E7&lt;=90,"0",0)))))))))))))+0</f>
        <v>0</v>
      </c>
      <c r="BJ7" s="87">
        <f>(IF($F7&lt;=0,"0",IF($F7&lt;=1,"952500",IF($F7&lt;=2,"940000",IF($F7&lt;=3,"922500",IF($F7&lt;=4,"897500",IF($F7&lt;=5,"867500",IF($F7&lt;=6,"830000",IF($F7&lt;=7,"710000",IF($F7&lt;=8,"450000",0))))))))))+0</f>
        <v>0</v>
      </c>
      <c r="BK7" s="87">
        <f>(IF($G7&lt;=0,"0",IF($G7&lt;=1,"952500",IF($G7&lt;=2,"940000",IF($G7&lt;=3,"922500",IF($G7&lt;=4,"897500",IF($G7&lt;=5,"867500",IF($G7&lt;=6,"830000",IF($G7&lt;=7,"710000",IF($G7&lt;=8,"450000",0))))))))))+0</f>
        <v>0</v>
      </c>
      <c r="BL7" s="87">
        <f>(IF($H7&lt;=0,"0",IF($H7&lt;=1,"952500",IF($H7&lt;=2,"940000",IF($H7&lt;=3,"922500",IF($H7&lt;=4,"897500",IF($H7&lt;=5,"867500",IF($H7&lt;=6,"830000",IF($H7&lt;=7,"710000",IF($H7&lt;=8,"450000",0))))))))))+0</f>
        <v>0</v>
      </c>
      <c r="BM7" s="88">
        <f>SUM(BI7,BJ7,BK7,BL7)</f>
        <v>0</v>
      </c>
    </row>
    <row r="8" spans="1:65" s="81" customFormat="1">
      <c r="A8" s="46">
        <f ca="1">SUBTOTAL(3,$B$3:Summary2831[[#This Row],[Name]])</f>
        <v>6</v>
      </c>
      <c r="B8" s="140" t="s">
        <v>424</v>
      </c>
      <c r="C8" s="72" t="s">
        <v>622</v>
      </c>
      <c r="D8" s="154">
        <v>4.5999999999999996</v>
      </c>
      <c r="E8" s="72">
        <v>90</v>
      </c>
      <c r="F8" s="73">
        <v>10</v>
      </c>
      <c r="G8" s="74">
        <v>10</v>
      </c>
      <c r="H8" s="74">
        <v>8</v>
      </c>
      <c r="I8" s="72">
        <v>81</v>
      </c>
      <c r="J8" s="73">
        <v>1</v>
      </c>
      <c r="K8" s="74">
        <v>9</v>
      </c>
      <c r="L8" s="74">
        <v>9</v>
      </c>
      <c r="M8" s="79" t="s">
        <v>357</v>
      </c>
      <c r="N8" s="75">
        <f>(IF($E8&lt;=0,"0",IF($E8&lt;=40,"46",IF($E8&lt;=50,"44",IF($E8&lt;=60,"40",IF($E8&lt;=70,"32",IF($E8&lt;=80,"20","0")))))))+0</f>
        <v>0</v>
      </c>
      <c r="O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" s="76" t="s">
        <v>537</v>
      </c>
      <c r="Q8" s="77">
        <f>T8+W8+Z8</f>
        <v>12</v>
      </c>
      <c r="R8" s="77">
        <f>U8+X8+AA8</f>
        <v>0</v>
      </c>
      <c r="S8" s="78">
        <f>V8+Y8+AB8</f>
        <v>0</v>
      </c>
      <c r="T8" s="123">
        <f>(IF($F8&lt;=0,"0",IF($F8&lt;=6,"22",IF($F8&lt;=7,"18",IF($F8&lt;=8,"12",0)))))+0</f>
        <v>0</v>
      </c>
      <c r="U8" s="124">
        <f>(IF($F8&lt;=0,"0",IF($F8&lt;=2,"21",IF($F8&lt;=3,"19",IF($F8&lt;=4,"15",IF($F8&lt;=5,"9",0))))))+0</f>
        <v>0</v>
      </c>
      <c r="V8" s="124">
        <f>(IF($F8&lt;=0,"0",IF($F8&lt;=1,"3",0)))+0</f>
        <v>0</v>
      </c>
      <c r="W8" s="124">
        <f>(IF($G8&lt;=0,"0",IF($G8&lt;=6,"22",IF($G8&lt;=7,"18",IF($G8&lt;=8,"12",0)))))+0</f>
        <v>0</v>
      </c>
      <c r="X8" s="124">
        <f>(IF($G8&lt;=0,"0",IF($G8&lt;=2,"21",IF($G8&lt;=3,"19",IF($G8&lt;=4,"15",IF($G8&lt;=5,"9",0))))))+0</f>
        <v>0</v>
      </c>
      <c r="Y8" s="124">
        <f>(IF($G8&lt;=0,"0",IF($G8&lt;=1,"3",0)))+0</f>
        <v>0</v>
      </c>
      <c r="Z8" s="124">
        <f>(IF($H8&lt;=0,"0",IF($H8&lt;=6,"22",IF($H8&lt;=7,"18",IF($H8&lt;=8,"12",0)))))+0</f>
        <v>12</v>
      </c>
      <c r="AA8" s="124">
        <f>(IF($H8&lt;=0,"0",IF($H8&lt;=2,"21",IF($H8&lt;=3,"19",IF($H8&lt;=4,"15",IF($H8&lt;=5,"9",0))))))+0</f>
        <v>0</v>
      </c>
      <c r="AB8" s="125">
        <f>(IF($H8&lt;=0,"0",IF($H8&lt;=1,"3",0)))+0</f>
        <v>0</v>
      </c>
      <c r="AC8" s="80" t="s">
        <v>335</v>
      </c>
      <c r="AD8" s="81" t="s">
        <v>538</v>
      </c>
      <c r="AE8" s="126">
        <f>(IF($F8&lt;=0,"0",IF($F8&lt;=6,"4",IF($F8&lt;=7,"3",IF($F8&lt;=8,"2","0")))))+0</f>
        <v>0</v>
      </c>
      <c r="AF8" s="126">
        <f>(IF($G8&lt;=0,"0",IF($G8&lt;=6,"4",IF($G8&lt;=7,"3",IF($G8&lt;=8,"2","0")))))+0</f>
        <v>0</v>
      </c>
      <c r="AG8" s="126">
        <f>(IF($H8&lt;=0,"0",IF($H8&lt;=6,"4",IF($H8&lt;=7,"3",IF($H8&lt;=8,"2","0")))))+0</f>
        <v>2</v>
      </c>
      <c r="AH8" s="75">
        <f>SUM(AE8:AG8)</f>
        <v>2</v>
      </c>
      <c r="AI8" s="81" t="s">
        <v>539</v>
      </c>
      <c r="AJ8" s="74">
        <f>(IF($E8&lt;=0,"0",IF($E8&lt;=20,"168",IF($E8&lt;=30,"165",IF($E8&lt;=50,"155",IF($E8&lt;=60,"135",IF($E8&lt;=70,"105",IF($E8&lt;=80,"60","0"))))))))+0</f>
        <v>0</v>
      </c>
      <c r="AK8" s="79" t="s">
        <v>534</v>
      </c>
      <c r="AL8" s="81">
        <f>(IF($E8&lt;=0,"0",IF($E8&lt;=80,"6","0")))+0</f>
        <v>0</v>
      </c>
      <c r="AM8" s="81">
        <f>(IF($E8&lt;=0,"0",IF($E8&lt;=60,"9",IF($E8&lt;=70,"6","0"))))+0</f>
        <v>0</v>
      </c>
      <c r="AN8" s="81">
        <f>(IF($E8&lt;=0,"0",IF($E8&lt;=40,"9",IF($E8&lt;=50,"6","0"))))+0</f>
        <v>0</v>
      </c>
      <c r="AO8" s="82">
        <f>(IF($E8&lt;=0,"0",IF($E8&lt;=20,"1","0")))+0</f>
        <v>0</v>
      </c>
      <c r="AP8" s="79" t="s">
        <v>236</v>
      </c>
      <c r="AQ8" s="81">
        <f>(IF($E8&lt;=0,"0",IF($E8&lt;=70,"36",IF($E8&lt;=80,"24","0"))))+0</f>
        <v>0</v>
      </c>
      <c r="AR8" s="81">
        <f>(IF($E8&lt;=0,"0",IF($E8&lt;=50,"30",IF($E8&lt;=60,"18","0"))))+0</f>
        <v>0</v>
      </c>
      <c r="AS8" s="81">
        <f>(IF($E8&lt;=0,"0",IF($E8&lt;=20,"18",IF($E8&lt;=40,"15","0"))))+0</f>
        <v>0</v>
      </c>
      <c r="AT8" s="121">
        <f>Summary2831[[#This Row],[3*2]]+Summary2831[[#This Row],[3*22]]+Summary2831[[#This Row],[3*23]]</f>
        <v>9</v>
      </c>
      <c r="AU8" s="85">
        <f>Summary2831[[#This Row],[2*2]]+Summary2831[[#This Row],[2*23]]+Summary2831[[#This Row],[2*24]]</f>
        <v>0</v>
      </c>
      <c r="AV8" s="85">
        <f>Summary2831[[#This Row],[1*2]]+Summary2831[[#This Row],[1*24]]+Summary2831[[#This Row],[1*25]]</f>
        <v>0</v>
      </c>
      <c r="AW8" s="70">
        <f>IF($F8&lt;=0,"0",IF($F8&lt;=6,"19",IF($F8&lt;=7,"18",IF($F8&lt;=8,"9",0))))+0</f>
        <v>0</v>
      </c>
      <c r="AX8" s="70">
        <f>IF($F8&lt;=0,"0",IF($F8&lt;=2,"22",IF($F8&lt;=3,"19",IF($F8&lt;=4,"15",IF($F8&lt;=5,"9",0)))))+0</f>
        <v>0</v>
      </c>
      <c r="AY8" s="70">
        <f>IF($F8&lt;=0,"0",IF($F8&lt;=1,"6",0))+0</f>
        <v>0</v>
      </c>
      <c r="AZ8" s="70">
        <f>IF($G8&lt;=0,"0",IF($G8&lt;=6,"19",IF($G8&lt;=7,"18",IF($G8&lt;=8,"9",0))))+0</f>
        <v>0</v>
      </c>
      <c r="BA8" s="70">
        <f>IF($G8&lt;=0,"0",IF($G8&lt;=2,"22",IF($G8&lt;=3,"19",IF($G8&lt;=4,"15",IF($G8&lt;=5,"9",0)))))+0</f>
        <v>0</v>
      </c>
      <c r="BB8" s="70">
        <f>IF($G8&lt;=0,"0",IF($G8&lt;=1,"6",0))+0</f>
        <v>0</v>
      </c>
      <c r="BC8" s="70">
        <f>IF($H8&lt;=0,"0",IF($H8&lt;=6,"19",IF($H8&lt;=7,"18",IF($H8&lt;=8,"9",0))))+0</f>
        <v>9</v>
      </c>
      <c r="BD8" s="70">
        <f>IF($H8&lt;=0,"0",IF($H8&lt;=2,"22",IF($H8&lt;=3,"19",IF($H8&lt;=4,"15",IF($H8&lt;=5,"9",0)))))+0</f>
        <v>0</v>
      </c>
      <c r="BE8" s="70">
        <f>IF($H8&lt;=0,"0",IF($H8&lt;=1,"6",0))+0</f>
        <v>0</v>
      </c>
      <c r="BF8" s="121">
        <f>SUM(Summary2831[[#This Row],[3*
(Tal)]],Summary2831[[#This Row],[3*
(Asc)]])</f>
        <v>9</v>
      </c>
      <c r="BG8" s="85">
        <f>SUM(Summary2831[[#This Row],[2*
(Tal)]],Summary2831[[#This Row],[2*
(Asc)]])</f>
        <v>0</v>
      </c>
      <c r="BH8" s="122">
        <f>SUM(Summary2831[[#This Row],[1*
(Tal)]],Summary2831[[#This Row],[1*
(Asc)]])</f>
        <v>0</v>
      </c>
      <c r="BI8" s="86">
        <f>(IF($E8&lt;=0,"0",IF($E8&lt;=1,"2092530",IF($E8&lt;=10,"2087525",IF($E8&lt;=20,"2068495",IF($E8&lt;=30,"2005910",IF($E8&lt;=40,"1932830",IF($E8&lt;=50,"1777010",IF($E8&lt;=60,"1546185",IF($E8&lt;=70,"1227000",IF($E8&lt;=80,"804625",IF($E8&lt;=81,"647990",IF($E8&lt;=90,"0",0)))))))))))))+0</f>
        <v>0</v>
      </c>
      <c r="BJ8" s="87">
        <f>(IF($F8&lt;=0,"0",IF($F8&lt;=1,"952500",IF($F8&lt;=2,"940000",IF($F8&lt;=3,"922500",IF($F8&lt;=4,"897500",IF($F8&lt;=5,"867500",IF($F8&lt;=6,"830000",IF($F8&lt;=7,"710000",IF($F8&lt;=8,"450000",0))))))))))+0</f>
        <v>0</v>
      </c>
      <c r="BK8" s="87">
        <f>(IF($G8&lt;=0,"0",IF($G8&lt;=1,"952500",IF($G8&lt;=2,"940000",IF($G8&lt;=3,"922500",IF($G8&lt;=4,"897500",IF($G8&lt;=5,"867500",IF($G8&lt;=6,"830000",IF($G8&lt;=7,"710000",IF($G8&lt;=8,"450000",0))))))))))+0</f>
        <v>0</v>
      </c>
      <c r="BL8" s="87">
        <f>(IF($H8&lt;=0,"0",IF($H8&lt;=1,"952500",IF($H8&lt;=2,"940000",IF($H8&lt;=3,"922500",IF($H8&lt;=4,"897500",IF($H8&lt;=5,"867500",IF($H8&lt;=6,"830000",IF($H8&lt;=7,"710000",IF($H8&lt;=8,"450000",0))))))))))+0</f>
        <v>450000</v>
      </c>
      <c r="BM8" s="88">
        <f>SUM(BI8,BJ8,BK8,BL8)</f>
        <v>450000</v>
      </c>
    </row>
    <row r="9" spans="1:65" s="81" customFormat="1">
      <c r="A9" s="71">
        <f ca="1">SUBTOTAL(3,$B$3:Summary2831[[#This Row],[Name]])</f>
        <v>7</v>
      </c>
      <c r="B9" s="72" t="s">
        <v>425</v>
      </c>
      <c r="C9" s="72" t="s">
        <v>620</v>
      </c>
      <c r="D9" s="154">
        <v>3.6</v>
      </c>
      <c r="E9" s="72">
        <v>90</v>
      </c>
      <c r="F9" s="73">
        <v>1</v>
      </c>
      <c r="G9" s="74">
        <v>9</v>
      </c>
      <c r="H9" s="74">
        <v>9</v>
      </c>
      <c r="I9" s="72">
        <v>81</v>
      </c>
      <c r="J9" s="73">
        <v>1</v>
      </c>
      <c r="K9" s="74">
        <v>9</v>
      </c>
      <c r="L9" s="74">
        <v>9</v>
      </c>
      <c r="M9" s="79" t="s">
        <v>293</v>
      </c>
      <c r="N9" s="75">
        <f>(IF($E9&lt;=0,"0",IF($E9&lt;=40,"46",IF($E9&lt;=50,"44",IF($E9&lt;=60,"40",IF($E9&lt;=70,"32",IF($E9&lt;=80,"20","0")))))))+0</f>
        <v>0</v>
      </c>
      <c r="O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9" s="76" t="s">
        <v>540</v>
      </c>
      <c r="Q9" s="77">
        <f>T9+W9+Z9</f>
        <v>22</v>
      </c>
      <c r="R9" s="77">
        <f>U9+X9+AA9</f>
        <v>21</v>
      </c>
      <c r="S9" s="78">
        <f>V9+Y9+AB9</f>
        <v>3</v>
      </c>
      <c r="T9" s="123">
        <f>(IF($F9&lt;=0,"0",IF($F9&lt;=6,"22",IF($F9&lt;=7,"18",IF($F9&lt;=8,"12",0)))))+0</f>
        <v>22</v>
      </c>
      <c r="U9" s="124">
        <f>(IF($F9&lt;=0,"0",IF($F9&lt;=2,"21",IF($F9&lt;=3,"19",IF($F9&lt;=4,"15",IF($F9&lt;=5,"9",0))))))+0</f>
        <v>21</v>
      </c>
      <c r="V9" s="124">
        <f>(IF($F9&lt;=0,"0",IF($F9&lt;=1,"3",0)))+0</f>
        <v>3</v>
      </c>
      <c r="W9" s="124">
        <f>(IF($G9&lt;=0,"0",IF($G9&lt;=6,"22",IF($G9&lt;=7,"18",IF($G9&lt;=8,"12",0)))))+0</f>
        <v>0</v>
      </c>
      <c r="X9" s="124">
        <f>(IF($G9&lt;=0,"0",IF($G9&lt;=2,"21",IF($G9&lt;=3,"19",IF($G9&lt;=4,"15",IF($G9&lt;=5,"9",0))))))+0</f>
        <v>0</v>
      </c>
      <c r="Y9" s="124">
        <f>(IF($G9&lt;=0,"0",IF($G9&lt;=1,"3",0)))+0</f>
        <v>0</v>
      </c>
      <c r="Z9" s="124">
        <f>(IF($H9&lt;=0,"0",IF($H9&lt;=6,"22",IF($H9&lt;=7,"18",IF($H9&lt;=8,"12",0)))))+0</f>
        <v>0</v>
      </c>
      <c r="AA9" s="124">
        <f>(IF($H9&lt;=0,"0",IF($H9&lt;=2,"21",IF($H9&lt;=3,"19",IF($H9&lt;=4,"15",IF($H9&lt;=5,"9",0))))))+0</f>
        <v>0</v>
      </c>
      <c r="AB9" s="125">
        <f>(IF($H9&lt;=0,"0",IF($H9&lt;=1,"3",0)))+0</f>
        <v>0</v>
      </c>
      <c r="AC9" s="80" t="s">
        <v>541</v>
      </c>
      <c r="AD9" s="81" t="s">
        <v>542</v>
      </c>
      <c r="AE9" s="126">
        <f>(IF($F9&lt;=0,"0",IF($F9&lt;=6,"4",IF($F9&lt;=7,"3",IF($F9&lt;=8,"2","0")))))+0</f>
        <v>4</v>
      </c>
      <c r="AF9" s="126">
        <f>(IF($G9&lt;=0,"0",IF($G9&lt;=6,"4",IF($G9&lt;=7,"3",IF($G9&lt;=8,"2","0")))))+0</f>
        <v>0</v>
      </c>
      <c r="AG9" s="126">
        <f>(IF($H9&lt;=0,"0",IF($H9&lt;=6,"4",IF($H9&lt;=7,"3",IF($H9&lt;=8,"2","0")))))+0</f>
        <v>0</v>
      </c>
      <c r="AH9" s="75">
        <f>SUM(AE9:AG9)</f>
        <v>4</v>
      </c>
      <c r="AI9" s="81" t="s">
        <v>401</v>
      </c>
      <c r="AJ9" s="74">
        <f>(IF($E9&lt;=0,"0",IF($E9&lt;=20,"168",IF($E9&lt;=30,"165",IF($E9&lt;=50,"155",IF($E9&lt;=60,"135",IF($E9&lt;=70,"105",IF($E9&lt;=80,"60","0"))))))))+0</f>
        <v>0</v>
      </c>
      <c r="AK9" s="79" t="s">
        <v>526</v>
      </c>
      <c r="AL9" s="81">
        <f>(IF($E9&lt;=0,"0",IF($E9&lt;=80,"6","0")))+0</f>
        <v>0</v>
      </c>
      <c r="AM9" s="81">
        <f>(IF($E9&lt;=0,"0",IF($E9&lt;=60,"9",IF($E9&lt;=70,"6","0"))))+0</f>
        <v>0</v>
      </c>
      <c r="AN9" s="81">
        <f>(IF($E9&lt;=0,"0",IF($E9&lt;=40,"9",IF($E9&lt;=50,"6","0"))))+0</f>
        <v>0</v>
      </c>
      <c r="AO9" s="82">
        <f>(IF($E9&lt;=0,"0",IF($E9&lt;=20,"1","0")))+0</f>
        <v>0</v>
      </c>
      <c r="AP9" s="79" t="s">
        <v>336</v>
      </c>
      <c r="AQ9" s="81">
        <f>(IF($E9&lt;=0,"0",IF($E9&lt;=70,"36",IF($E9&lt;=80,"24","0"))))+0</f>
        <v>0</v>
      </c>
      <c r="AR9" s="81">
        <f>(IF($E9&lt;=0,"0",IF($E9&lt;=50,"30",IF($E9&lt;=60,"18","0"))))+0</f>
        <v>0</v>
      </c>
      <c r="AS9" s="81">
        <f>(IF($E9&lt;=0,"0",IF($E9&lt;=20,"18",IF($E9&lt;=40,"15","0"))))+0</f>
        <v>0</v>
      </c>
      <c r="AT9" s="83">
        <f>Summary2831[[#This Row],[3*2]]+Summary2831[[#This Row],[3*22]]+Summary2831[[#This Row],[3*23]]</f>
        <v>19</v>
      </c>
      <c r="AU9" s="85">
        <f>Summary2831[[#This Row],[2*2]]+Summary2831[[#This Row],[2*23]]+Summary2831[[#This Row],[2*24]]</f>
        <v>22</v>
      </c>
      <c r="AV9" s="85">
        <f>Summary2831[[#This Row],[1*2]]+Summary2831[[#This Row],[1*24]]+Summary2831[[#This Row],[1*25]]</f>
        <v>6</v>
      </c>
      <c r="AW9" s="70">
        <f>IF($F9&lt;=0,"0",IF($F9&lt;=6,"19",IF($F9&lt;=7,"18",IF($F9&lt;=8,"9",0))))+0</f>
        <v>19</v>
      </c>
      <c r="AX9" s="70">
        <f>IF($F9&lt;=0,"0",IF($F9&lt;=2,"22",IF($F9&lt;=3,"19",IF($F9&lt;=4,"15",IF($F9&lt;=5,"9",0)))))+0</f>
        <v>22</v>
      </c>
      <c r="AY9" s="70">
        <f>IF($F9&lt;=0,"0",IF($F9&lt;=1,"6",0))+0</f>
        <v>6</v>
      </c>
      <c r="AZ9" s="70">
        <f>IF($G9&lt;=0,"0",IF($G9&lt;=6,"19",IF($G9&lt;=7,"18",IF($G9&lt;=8,"9",0))))+0</f>
        <v>0</v>
      </c>
      <c r="BA9" s="70">
        <f>IF($G9&lt;=0,"0",IF($G9&lt;=2,"22",IF($G9&lt;=3,"19",IF($G9&lt;=4,"15",IF($G9&lt;=5,"9",0)))))+0</f>
        <v>0</v>
      </c>
      <c r="BB9" s="70">
        <f>IF($G9&lt;=0,"0",IF($G9&lt;=1,"6",0))+0</f>
        <v>0</v>
      </c>
      <c r="BC9" s="70">
        <f>IF($H9&lt;=0,"0",IF($H9&lt;=6,"19",IF($H9&lt;=7,"18",IF($H9&lt;=8,"9",0))))+0</f>
        <v>0</v>
      </c>
      <c r="BD9" s="70">
        <f>IF($H9&lt;=0,"0",IF($H9&lt;=2,"22",IF($H9&lt;=3,"19",IF($H9&lt;=4,"15",IF($H9&lt;=5,"9",0)))))+0</f>
        <v>0</v>
      </c>
      <c r="BE9" s="70">
        <f>IF($H9&lt;=0,"0",IF($H9&lt;=1,"6",0))+0</f>
        <v>0</v>
      </c>
      <c r="BF9" s="79">
        <f>SUM(Summary2831[[#This Row],[3*
(Tal)]],Summary2831[[#This Row],[3*
(Asc)]])</f>
        <v>19</v>
      </c>
      <c r="BG9" s="81">
        <f>SUM(Summary2831[[#This Row],[2*
(Tal)]],Summary2831[[#This Row],[2*
(Asc)]])</f>
        <v>22</v>
      </c>
      <c r="BH9" s="82">
        <f>SUM(Summary2831[[#This Row],[1*
(Tal)]],Summary2831[[#This Row],[1*
(Asc)]])</f>
        <v>6</v>
      </c>
      <c r="BI9" s="86">
        <f>(IF($E9&lt;=0,"0",IF($E9&lt;=1,"2092530",IF($E9&lt;=10,"2087525",IF($E9&lt;=20,"2068495",IF($E9&lt;=30,"2005910",IF($E9&lt;=40,"1932830",IF($E9&lt;=50,"1777010",IF($E9&lt;=60,"1546185",IF($E9&lt;=70,"1227000",IF($E9&lt;=80,"804625",IF($E9&lt;=81,"647990",IF($E9&lt;=90,"0",0)))))))))))))+0</f>
        <v>0</v>
      </c>
      <c r="BJ9" s="87">
        <f>(IF($F9&lt;=0,"0",IF($F9&lt;=1,"952500",IF($F9&lt;=2,"940000",IF($F9&lt;=3,"922500",IF($F9&lt;=4,"897500",IF($F9&lt;=5,"867500",IF($F9&lt;=6,"830000",IF($F9&lt;=7,"710000",IF($F9&lt;=8,"450000",0))))))))))+0</f>
        <v>952500</v>
      </c>
      <c r="BK9" s="87">
        <f>(IF($G9&lt;=0,"0",IF($G9&lt;=1,"952500",IF($G9&lt;=2,"940000",IF($G9&lt;=3,"922500",IF($G9&lt;=4,"897500",IF($G9&lt;=5,"867500",IF($G9&lt;=6,"830000",IF($G9&lt;=7,"710000",IF($G9&lt;=8,"450000",0))))))))))+0</f>
        <v>0</v>
      </c>
      <c r="BL9" s="87">
        <f>(IF($H9&lt;=0,"0",IF($H9&lt;=1,"952500",IF($H9&lt;=2,"940000",IF($H9&lt;=3,"922500",IF($H9&lt;=4,"897500",IF($H9&lt;=5,"867500",IF($H9&lt;=6,"830000",IF($H9&lt;=7,"710000",IF($H9&lt;=8,"450000",0))))))))))+0</f>
        <v>0</v>
      </c>
      <c r="BM9" s="88">
        <f>SUM(BI9,BJ9,BK9,BL9)</f>
        <v>952500</v>
      </c>
    </row>
    <row r="10" spans="1:65" s="81" customFormat="1">
      <c r="A10" s="46">
        <f ca="1">SUBTOTAL(3,$B$3:Summary2831[[#This Row],[Name]])</f>
        <v>8</v>
      </c>
      <c r="B10" s="140" t="s">
        <v>426</v>
      </c>
      <c r="C10" s="14" t="s">
        <v>623</v>
      </c>
      <c r="D10" s="155">
        <v>1</v>
      </c>
      <c r="E10" s="14">
        <v>81</v>
      </c>
      <c r="F10" s="9">
        <v>1</v>
      </c>
      <c r="G10" s="2">
        <v>5</v>
      </c>
      <c r="H10" s="2">
        <v>5</v>
      </c>
      <c r="I10" s="72">
        <v>81</v>
      </c>
      <c r="J10" s="73">
        <v>1</v>
      </c>
      <c r="K10" s="74">
        <v>9</v>
      </c>
      <c r="L10" s="74">
        <v>9</v>
      </c>
      <c r="M10" s="44" t="s">
        <v>127</v>
      </c>
      <c r="N10" s="10">
        <f>(IF($E10&lt;=0,"0",IF($E10&lt;=40,"46",IF($E10&lt;=50,"44",IF($E10&lt;=60,"40",IF($E10&lt;=70,"32",IF($E10&lt;=80,"20","0")))))))+0</f>
        <v>0</v>
      </c>
      <c r="O1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0" s="49" t="s">
        <v>527</v>
      </c>
      <c r="Q10" s="50">
        <f>T10+W10+Z10</f>
        <v>66</v>
      </c>
      <c r="R10" s="50">
        <f>U10+X10+AA10</f>
        <v>39</v>
      </c>
      <c r="S10" s="51">
        <f>V10+Y10+AB10</f>
        <v>3</v>
      </c>
      <c r="T10" s="123">
        <f>(IF($F10&lt;=0,"0",IF($F10&lt;=6,"22",IF($F10&lt;=7,"18",IF($F10&lt;=8,"12",0)))))+0</f>
        <v>22</v>
      </c>
      <c r="U10" s="124">
        <f>(IF($F10&lt;=0,"0",IF($F10&lt;=2,"21",IF($F10&lt;=3,"19",IF($F10&lt;=4,"15",IF($F10&lt;=5,"9",0))))))+0</f>
        <v>21</v>
      </c>
      <c r="V10" s="124">
        <f>(IF($F10&lt;=0,"0",IF($F10&lt;=1,"3",0)))+0</f>
        <v>3</v>
      </c>
      <c r="W10" s="124">
        <f>(IF($G10&lt;=0,"0",IF($G10&lt;=6,"22",IF($G10&lt;=7,"18",IF($G10&lt;=8,"12",0)))))+0</f>
        <v>22</v>
      </c>
      <c r="X10" s="124">
        <f>(IF($G10&lt;=0,"0",IF($G10&lt;=2,"21",IF($G10&lt;=3,"19",IF($G10&lt;=4,"15",IF($G10&lt;=5,"9",0))))))+0</f>
        <v>9</v>
      </c>
      <c r="Y10" s="124">
        <f>(IF($G10&lt;=0,"0",IF($G10&lt;=1,"3",0)))+0</f>
        <v>0</v>
      </c>
      <c r="Z10" s="124">
        <f>(IF($H10&lt;=0,"0",IF($H10&lt;=6,"22",IF($H10&lt;=7,"18",IF($H10&lt;=8,"12",0)))))+0</f>
        <v>22</v>
      </c>
      <c r="AA10" s="124">
        <f>(IF($H10&lt;=0,"0",IF($H10&lt;=2,"21",IF($H10&lt;=3,"19",IF($H10&lt;=4,"15",IF($H10&lt;=5,"9",0))))))+0</f>
        <v>9</v>
      </c>
      <c r="AB10" s="125">
        <f>(IF($H10&lt;=0,"0",IF($H10&lt;=1,"3",0)))+0</f>
        <v>0</v>
      </c>
      <c r="AC10" s="8" t="s">
        <v>543</v>
      </c>
      <c r="AD10" s="1" t="s">
        <v>544</v>
      </c>
      <c r="AE10" s="126">
        <f>(IF($F10&lt;=0,"0",IF($F10&lt;=6,"4",IF($F10&lt;=7,"3",IF($F10&lt;=8,"2","0")))))+0</f>
        <v>4</v>
      </c>
      <c r="AF10" s="126">
        <f>(IF($G10&lt;=0,"0",IF($G10&lt;=6,"4",IF($G10&lt;=7,"3",IF($G10&lt;=8,"2","0")))))+0</f>
        <v>4</v>
      </c>
      <c r="AG10" s="126">
        <f>(IF($H10&lt;=0,"0",IF($H10&lt;=6,"4",IF($H10&lt;=7,"3",IF($H10&lt;=8,"2","0")))))+0</f>
        <v>4</v>
      </c>
      <c r="AH10" s="10">
        <f>SUM(AE10:AG10)</f>
        <v>12</v>
      </c>
      <c r="AI10" s="1" t="s">
        <v>545</v>
      </c>
      <c r="AJ10" s="2">
        <f>(IF($E10&lt;=0,"0",IF($E10&lt;=20,"168",IF($E10&lt;=30,"165",IF($E10&lt;=50,"155",IF($E10&lt;=60,"135",IF($E10&lt;=70,"105",IF($E10&lt;=80,"60","0"))))))))+0</f>
        <v>0</v>
      </c>
      <c r="AK10" s="44" t="s">
        <v>546</v>
      </c>
      <c r="AL10" s="1">
        <f>(IF($E10&lt;=0,"0",IF($E10&lt;=80,"6","0")))+0</f>
        <v>0</v>
      </c>
      <c r="AM10" s="1">
        <f>(IF($E10&lt;=0,"0",IF($E10&lt;=60,"9",IF($E10&lt;=70,"6","0"))))+0</f>
        <v>0</v>
      </c>
      <c r="AN10" s="1">
        <f>(IF($E10&lt;=0,"0",IF($E10&lt;=40,"9",IF($E10&lt;=50,"6","0"))))+0</f>
        <v>0</v>
      </c>
      <c r="AO10" s="34">
        <f>(IF($E10&lt;=0,"0",IF($E10&lt;=20,"1","0")))+0</f>
        <v>0</v>
      </c>
      <c r="AP10" s="44" t="s">
        <v>149</v>
      </c>
      <c r="AQ10" s="1">
        <f>(IF($E10&lt;=0,"0",IF($E10&lt;=70,"36",IF($E10&lt;=80,"24","0"))))+0</f>
        <v>0</v>
      </c>
      <c r="AR10" s="1">
        <f>(IF($E10&lt;=0,"0",IF($E10&lt;=50,"30",IF($E10&lt;=60,"18","0"))))+0</f>
        <v>0</v>
      </c>
      <c r="AS10" s="1">
        <f>(IF($E10&lt;=0,"0",IF($E10&lt;=20,"18",IF($E10&lt;=40,"15","0"))))+0</f>
        <v>0</v>
      </c>
      <c r="AT10" s="53">
        <f>Summary2831[[#This Row],[3*2]]+Summary2831[[#This Row],[3*22]]+Summary2831[[#This Row],[3*23]]</f>
        <v>57</v>
      </c>
      <c r="AU10" s="52">
        <f>Summary2831[[#This Row],[2*2]]+Summary2831[[#This Row],[2*23]]+Summary2831[[#This Row],[2*24]]</f>
        <v>40</v>
      </c>
      <c r="AV10" s="52">
        <f>Summary2831[[#This Row],[1*2]]+Summary2831[[#This Row],[1*24]]+Summary2831[[#This Row],[1*25]]</f>
        <v>6</v>
      </c>
      <c r="AW10" s="52">
        <f>IF($F10&lt;=0,"0",IF($F10&lt;=6,"19",IF($F10&lt;=7,"18",IF($F10&lt;=8,"9",0))))+0</f>
        <v>19</v>
      </c>
      <c r="AX10" s="52">
        <f>IF($F10&lt;=0,"0",IF($F10&lt;=2,"22",IF($F10&lt;=3,"19",IF($F10&lt;=4,"15",IF($F10&lt;=5,"9",0)))))+0</f>
        <v>22</v>
      </c>
      <c r="AY10" s="52">
        <f>IF($F10&lt;=0,"0",IF($F10&lt;=1,"6",0))+0</f>
        <v>6</v>
      </c>
      <c r="AZ10" s="52">
        <f>IF($G10&lt;=0,"0",IF($G10&lt;=6,"19",IF($G10&lt;=7,"18",IF($G10&lt;=8,"9",0))))+0</f>
        <v>19</v>
      </c>
      <c r="BA10" s="52">
        <f>IF($G10&lt;=0,"0",IF($G10&lt;=2,"22",IF($G10&lt;=3,"19",IF($G10&lt;=4,"15",IF($G10&lt;=5,"9",0)))))+0</f>
        <v>9</v>
      </c>
      <c r="BB10" s="52">
        <f>IF($G10&lt;=0,"0",IF($G10&lt;=1,"6",0))+0</f>
        <v>0</v>
      </c>
      <c r="BC10" s="52">
        <f>IF($H10&lt;=0,"0",IF($H10&lt;=6,"19",IF($H10&lt;=7,"18",IF($H10&lt;=8,"9",0))))+0</f>
        <v>19</v>
      </c>
      <c r="BD10" s="52">
        <f>IF($H10&lt;=0,"0",IF($H10&lt;=2,"22",IF($H10&lt;=3,"19",IF($H10&lt;=4,"15",IF($H10&lt;=5,"9",0)))))+0</f>
        <v>9</v>
      </c>
      <c r="BE10" s="52">
        <f>IF($H10&lt;=0,"0",IF($H10&lt;=1,"6",0))+0</f>
        <v>0</v>
      </c>
      <c r="BF10" s="44">
        <f>SUM(Summary2831[[#This Row],[3*
(Tal)]],Summary2831[[#This Row],[3*
(Asc)]])</f>
        <v>57</v>
      </c>
      <c r="BG10" s="1">
        <f>SUM(Summary2831[[#This Row],[2*
(Tal)]],Summary2831[[#This Row],[2*
(Asc)]])</f>
        <v>40</v>
      </c>
      <c r="BH10" s="34">
        <f>SUM(Summary2831[[#This Row],[1*
(Tal)]],Summary2831[[#This Row],[1*
(Asc)]])</f>
        <v>6</v>
      </c>
      <c r="BI10" s="86">
        <f>(IF($E10&lt;=0,"0",IF($E10&lt;=1,"2092530",IF($E10&lt;=10,"2087525",IF($E10&lt;=20,"2068495",IF($E10&lt;=30,"2005910",IF($E10&lt;=40,"1932830",IF($E10&lt;=50,"1777010",IF($E10&lt;=60,"1546185",IF($E10&lt;=70,"1227000",IF($E10&lt;=80,"804625",IF($E10&lt;=81,"647990",IF($E10&lt;=90,"0",0)))))))))))))+0</f>
        <v>647990</v>
      </c>
      <c r="BJ10" s="56">
        <f>(IF($F10&lt;=0,"0",IF($F10&lt;=1,"952500",IF($F10&lt;=2,"940000",IF($F10&lt;=3,"922500",IF($F10&lt;=4,"897500",IF($F10&lt;=5,"867500",IF($F10&lt;=6,"830000",IF($F10&lt;=7,"710000",IF($F10&lt;=8,"450000",0))))))))))+0</f>
        <v>952500</v>
      </c>
      <c r="BK10" s="56">
        <f>(IF($G10&lt;=0,"0",IF($G10&lt;=1,"952500",IF($G10&lt;=2,"940000",IF($G10&lt;=3,"922500",IF($G10&lt;=4,"897500",IF($G10&lt;=5,"867500",IF($G10&lt;=6,"830000",IF($G10&lt;=7,"710000",IF($G10&lt;=8,"450000",0))))))))))+0</f>
        <v>867500</v>
      </c>
      <c r="BL10" s="56">
        <f>(IF($H10&lt;=0,"0",IF($H10&lt;=1,"952500",IF($H10&lt;=2,"940000",IF($H10&lt;=3,"922500",IF($H10&lt;=4,"897500",IF($H10&lt;=5,"867500",IF($H10&lt;=6,"830000",IF($H10&lt;=7,"710000",IF($H10&lt;=8,"450000",0))))))))))+0</f>
        <v>867500</v>
      </c>
      <c r="BM10" s="57">
        <f>SUM(BI10,BJ10,BK10,BL10)</f>
        <v>3335490</v>
      </c>
    </row>
    <row r="11" spans="1:65" s="81" customFormat="1">
      <c r="A11" s="46">
        <f ca="1">SUBTOTAL(3,$B$3:Summary2831[[#This Row],[Name]])</f>
        <v>9</v>
      </c>
      <c r="B11" s="140" t="s">
        <v>408</v>
      </c>
      <c r="C11" s="14" t="s">
        <v>31</v>
      </c>
      <c r="D11" s="155">
        <v>1</v>
      </c>
      <c r="E11" s="14">
        <v>51</v>
      </c>
      <c r="F11" s="9">
        <v>1</v>
      </c>
      <c r="G11" s="2">
        <v>1</v>
      </c>
      <c r="H11" s="2">
        <v>1</v>
      </c>
      <c r="I11" s="72">
        <v>81</v>
      </c>
      <c r="J11" s="73">
        <v>1</v>
      </c>
      <c r="K11" s="74">
        <v>9</v>
      </c>
      <c r="L11" s="74">
        <v>9</v>
      </c>
      <c r="M11" s="44" t="s">
        <v>106</v>
      </c>
      <c r="N11" s="10">
        <f>(IF($E11&lt;=0,"0",IF($E11&lt;=40,"46",IF($E11&lt;=50,"44",IF($E11&lt;=60,"40",IF($E11&lt;=70,"32",IF($E11&lt;=80,"20","0")))))))+0</f>
        <v>40</v>
      </c>
      <c r="O1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P11" s="49" t="s">
        <v>540</v>
      </c>
      <c r="Q11" s="50">
        <f>T11+W11+Z11</f>
        <v>66</v>
      </c>
      <c r="R11" s="50">
        <f>U11+X11+AA11</f>
        <v>63</v>
      </c>
      <c r="S11" s="51">
        <f>V11+Y11+AB11</f>
        <v>9</v>
      </c>
      <c r="T11" s="123">
        <f>(IF($F11&lt;=0,"0",IF($F11&lt;=6,"22",IF($F11&lt;=7,"18",IF($F11&lt;=8,"12",0)))))+0</f>
        <v>22</v>
      </c>
      <c r="U11" s="124">
        <f>(IF($F11&lt;=0,"0",IF($F11&lt;=2,"21",IF($F11&lt;=3,"19",IF($F11&lt;=4,"15",IF($F11&lt;=5,"9",0))))))+0</f>
        <v>21</v>
      </c>
      <c r="V11" s="124">
        <f>(IF($F11&lt;=0,"0",IF($F11&lt;=1,"3",0)))+0</f>
        <v>3</v>
      </c>
      <c r="W11" s="124">
        <f>(IF($G11&lt;=0,"0",IF($G11&lt;=6,"22",IF($G11&lt;=7,"18",IF($G11&lt;=8,"12",0)))))+0</f>
        <v>22</v>
      </c>
      <c r="X11" s="124">
        <f>(IF($G11&lt;=0,"0",IF($G11&lt;=2,"21",IF($G11&lt;=3,"19",IF($G11&lt;=4,"15",IF($G11&lt;=5,"9",0))))))+0</f>
        <v>21</v>
      </c>
      <c r="Y11" s="124">
        <f>(IF($G11&lt;=0,"0",IF($G11&lt;=1,"3",0)))+0</f>
        <v>3</v>
      </c>
      <c r="Z11" s="124">
        <f>(IF($H11&lt;=0,"0",IF($H11&lt;=6,"22",IF($H11&lt;=7,"18",IF($H11&lt;=8,"12",0)))))+0</f>
        <v>22</v>
      </c>
      <c r="AA11" s="124">
        <f>(IF($H11&lt;=0,"0",IF($H11&lt;=2,"21",IF($H11&lt;=3,"19",IF($H11&lt;=4,"15",IF($H11&lt;=5,"9",0))))))+0</f>
        <v>21</v>
      </c>
      <c r="AB11" s="125">
        <f>(IF($H11&lt;=0,"0",IF($H11&lt;=1,"3",0)))+0</f>
        <v>3</v>
      </c>
      <c r="AC11" s="8" t="s">
        <v>531</v>
      </c>
      <c r="AD11" s="1" t="s">
        <v>532</v>
      </c>
      <c r="AE11" s="126">
        <f>(IF($F11&lt;=0,"0",IF($F11&lt;=6,"4",IF($F11&lt;=7,"3",IF($F11&lt;=8,"2","0")))))+0</f>
        <v>4</v>
      </c>
      <c r="AF11" s="126">
        <f>(IF($G11&lt;=0,"0",IF($G11&lt;=6,"4",IF($G11&lt;=7,"3",IF($G11&lt;=8,"2","0")))))+0</f>
        <v>4</v>
      </c>
      <c r="AG11" s="126">
        <f>(IF($H11&lt;=0,"0",IF($H11&lt;=6,"4",IF($H11&lt;=7,"3",IF($H11&lt;=8,"2","0")))))+0</f>
        <v>4</v>
      </c>
      <c r="AH11" s="10">
        <f>SUM(AE11:AG11)</f>
        <v>12</v>
      </c>
      <c r="AI11" s="1" t="s">
        <v>547</v>
      </c>
      <c r="AJ11" s="2">
        <f>(IF($E11&lt;=0,"0",IF($E11&lt;=20,"168",IF($E11&lt;=30,"165",IF($E11&lt;=50,"155",IF($E11&lt;=60,"135",IF($E11&lt;=70,"105",IF($E11&lt;=80,"60","0"))))))))+0</f>
        <v>135</v>
      </c>
      <c r="AK11" s="44" t="s">
        <v>548</v>
      </c>
      <c r="AL11" s="1">
        <f>(IF($E11&lt;=0,"0",IF($E11&lt;=80,"6","0")))+0</f>
        <v>6</v>
      </c>
      <c r="AM11" s="1">
        <f>(IF($E11&lt;=0,"0",IF($E11&lt;=60,"9",IF($E11&lt;=70,"6","0"))))+0</f>
        <v>9</v>
      </c>
      <c r="AN11" s="1">
        <f>(IF($E11&lt;=0,"0",IF($E11&lt;=40,"9",IF($E11&lt;=50,"6","0"))))+0</f>
        <v>0</v>
      </c>
      <c r="AO11" s="34">
        <f>(IF($E11&lt;=0,"0",IF($E11&lt;=20,"1","0")))+0</f>
        <v>0</v>
      </c>
      <c r="AP11" s="44" t="s">
        <v>207</v>
      </c>
      <c r="AQ11" s="1">
        <f>(IF($E11&lt;=0,"0",IF($E11&lt;=70,"36",IF($E11&lt;=80,"24","0"))))+0</f>
        <v>36</v>
      </c>
      <c r="AR11" s="1">
        <f>(IF($E11&lt;=0,"0",IF($E11&lt;=50,"30",IF($E11&lt;=60,"18","0"))))+0</f>
        <v>18</v>
      </c>
      <c r="AS11" s="1">
        <f>(IF($E11&lt;=0,"0",IF($E11&lt;=20,"18",IF($E11&lt;=40,"15","0"))))+0</f>
        <v>0</v>
      </c>
      <c r="AT11" s="53">
        <f>Summary2831[[#This Row],[3*2]]+Summary2831[[#This Row],[3*22]]+Summary2831[[#This Row],[3*23]]</f>
        <v>57</v>
      </c>
      <c r="AU11" s="52">
        <f>Summary2831[[#This Row],[2*2]]+Summary2831[[#This Row],[2*23]]+Summary2831[[#This Row],[2*24]]</f>
        <v>66</v>
      </c>
      <c r="AV11" s="52">
        <f>Summary2831[[#This Row],[1*2]]+Summary2831[[#This Row],[1*24]]+Summary2831[[#This Row],[1*25]]</f>
        <v>18</v>
      </c>
      <c r="AW11" s="52">
        <f>IF($F11&lt;=0,"0",IF($F11&lt;=6,"19",IF($F11&lt;=7,"18",IF($F11&lt;=8,"9",0))))+0</f>
        <v>19</v>
      </c>
      <c r="AX11" s="52">
        <f>IF($F11&lt;=0,"0",IF($F11&lt;=2,"22",IF($F11&lt;=3,"19",IF($F11&lt;=4,"15",IF($F11&lt;=5,"9",0)))))+0</f>
        <v>22</v>
      </c>
      <c r="AY11" s="52">
        <f>IF($F11&lt;=0,"0",IF($F11&lt;=1,"6",0))+0</f>
        <v>6</v>
      </c>
      <c r="AZ11" s="52">
        <f>IF($G11&lt;=0,"0",IF($G11&lt;=6,"19",IF($G11&lt;=7,"18",IF($G11&lt;=8,"9",0))))+0</f>
        <v>19</v>
      </c>
      <c r="BA11" s="52">
        <f>IF($G11&lt;=0,"0",IF($G11&lt;=2,"22",IF($G11&lt;=3,"19",IF($G11&lt;=4,"15",IF($G11&lt;=5,"9",0)))))+0</f>
        <v>22</v>
      </c>
      <c r="BB11" s="52">
        <f>IF($G11&lt;=0,"0",IF($G11&lt;=1,"6",0))+0</f>
        <v>6</v>
      </c>
      <c r="BC11" s="52">
        <f>IF($H11&lt;=0,"0",IF($H11&lt;=6,"19",IF($H11&lt;=7,"18",IF($H11&lt;=8,"9",0))))+0</f>
        <v>19</v>
      </c>
      <c r="BD11" s="52">
        <f>IF($H11&lt;=0,"0",IF($H11&lt;=2,"22",IF($H11&lt;=3,"19",IF($H11&lt;=4,"15",IF($H11&lt;=5,"9",0)))))+0</f>
        <v>22</v>
      </c>
      <c r="BE11" s="52">
        <f>IF($H11&lt;=0,"0",IF($H11&lt;=1,"6",0))+0</f>
        <v>6</v>
      </c>
      <c r="BF11" s="44">
        <f>SUM(Summary2831[[#This Row],[3*
(Tal)]],Summary2831[[#This Row],[3*
(Asc)]])</f>
        <v>93</v>
      </c>
      <c r="BG11" s="1">
        <f>SUM(Summary2831[[#This Row],[2*
(Tal)]],Summary2831[[#This Row],[2*
(Asc)]])</f>
        <v>84</v>
      </c>
      <c r="BH11" s="34">
        <f>SUM(Summary2831[[#This Row],[1*
(Tal)]],Summary2831[[#This Row],[1*
(Asc)]])</f>
        <v>18</v>
      </c>
      <c r="BI11" s="86">
        <f>(IF($E11&lt;=0,"0",IF($E11&lt;=1,"2092530",IF($E11&lt;=10,"2087525",IF($E11&lt;=20,"2068495",IF($E11&lt;=30,"2005910",IF($E11&lt;=40,"1932830",IF($E11&lt;=50,"1777010",IF($E11&lt;=60,"1546185",IF($E11&lt;=70,"1227000",IF($E11&lt;=80,"804625",IF($E11&lt;=81,"647990",IF($E11&lt;=90,"0",0)))))))))))))+0</f>
        <v>1546185</v>
      </c>
      <c r="BJ11" s="56">
        <f>(IF($F11&lt;=0,"0",IF($F11&lt;=1,"952500",IF($F11&lt;=2,"940000",IF($F11&lt;=3,"922500",IF($F11&lt;=4,"897500",IF($F11&lt;=5,"867500",IF($F11&lt;=6,"830000",IF($F11&lt;=7,"710000",IF($F11&lt;=8,"450000",0))))))))))+0</f>
        <v>952500</v>
      </c>
      <c r="BK11" s="56">
        <f>(IF($G11&lt;=0,"0",IF($G11&lt;=1,"952500",IF($G11&lt;=2,"940000",IF($G11&lt;=3,"922500",IF($G11&lt;=4,"897500",IF($G11&lt;=5,"867500",IF($G11&lt;=6,"830000",IF($G11&lt;=7,"710000",IF($G11&lt;=8,"450000",0))))))))))+0</f>
        <v>952500</v>
      </c>
      <c r="BL11" s="56">
        <f>(IF($H11&lt;=0,"0",IF($H11&lt;=1,"952500",IF($H11&lt;=2,"940000",IF($H11&lt;=3,"922500",IF($H11&lt;=4,"897500",IF($H11&lt;=5,"867500",IF($H11&lt;=6,"830000",IF($H11&lt;=7,"710000",IF($H11&lt;=8,"450000",0))))))))))+0</f>
        <v>952500</v>
      </c>
      <c r="BM11" s="57">
        <f>SUM(BI11,BJ11,BK11,BL11)</f>
        <v>4403685</v>
      </c>
    </row>
    <row r="12" spans="1:65">
      <c r="A12" s="46">
        <f ca="1">SUBTOTAL(3,$B$3:Summary2831[[#This Row],[Name]])</f>
        <v>10</v>
      </c>
      <c r="B12" s="140" t="s">
        <v>105</v>
      </c>
      <c r="C12" s="14" t="s">
        <v>622</v>
      </c>
      <c r="D12" s="155">
        <v>1</v>
      </c>
      <c r="E12" s="14">
        <v>90</v>
      </c>
      <c r="F12" s="9">
        <v>1</v>
      </c>
      <c r="G12" s="2">
        <v>7</v>
      </c>
      <c r="H12" s="2">
        <v>10</v>
      </c>
      <c r="I12" s="72">
        <v>81</v>
      </c>
      <c r="J12" s="73">
        <v>1</v>
      </c>
      <c r="K12" s="74">
        <v>9</v>
      </c>
      <c r="L12" s="74">
        <v>9</v>
      </c>
      <c r="M12" s="44" t="s">
        <v>136</v>
      </c>
      <c r="N12" s="10">
        <f>(IF($E12&lt;=0,"0",IF($E12&lt;=40,"46",IF($E12&lt;=50,"44",IF($E12&lt;=60,"40",IF($E12&lt;=70,"32",IF($E12&lt;=80,"20","0")))))))+0</f>
        <v>0</v>
      </c>
      <c r="O1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2" s="49" t="s">
        <v>549</v>
      </c>
      <c r="Q12" s="50">
        <f>T12+W12+Z12</f>
        <v>40</v>
      </c>
      <c r="R12" s="50">
        <f>U12+X12+AA12</f>
        <v>21</v>
      </c>
      <c r="S12" s="51">
        <f>V12+Y12+AB12</f>
        <v>3</v>
      </c>
      <c r="T12" s="123">
        <f>(IF($F12&lt;=0,"0",IF($F12&lt;=6,"22",IF($F12&lt;=7,"18",IF($F12&lt;=8,"12",0)))))+0</f>
        <v>22</v>
      </c>
      <c r="U12" s="124">
        <f>(IF($F12&lt;=0,"0",IF($F12&lt;=2,"21",IF($F12&lt;=3,"19",IF($F12&lt;=4,"15",IF($F12&lt;=5,"9",0))))))+0</f>
        <v>21</v>
      </c>
      <c r="V12" s="124">
        <f>(IF($F12&lt;=0,"0",IF($F12&lt;=1,"3",0)))+0</f>
        <v>3</v>
      </c>
      <c r="W12" s="124">
        <f>(IF($G12&lt;=0,"0",IF($G12&lt;=6,"22",IF($G12&lt;=7,"18",IF($G12&lt;=8,"12",0)))))+0</f>
        <v>18</v>
      </c>
      <c r="X12" s="124">
        <f>(IF($G12&lt;=0,"0",IF($G12&lt;=2,"21",IF($G12&lt;=3,"19",IF($G12&lt;=4,"15",IF($G12&lt;=5,"9",0))))))+0</f>
        <v>0</v>
      </c>
      <c r="Y12" s="124">
        <f>(IF($G12&lt;=0,"0",IF($G12&lt;=1,"3",0)))+0</f>
        <v>0</v>
      </c>
      <c r="Z12" s="124">
        <f>(IF($H12&lt;=0,"0",IF($H12&lt;=6,"22",IF($H12&lt;=7,"18",IF($H12&lt;=8,"12",0)))))+0</f>
        <v>0</v>
      </c>
      <c r="AA12" s="124">
        <f>(IF($H12&lt;=0,"0",IF($H12&lt;=2,"21",IF($H12&lt;=3,"19",IF($H12&lt;=4,"15",IF($H12&lt;=5,"9",0))))))+0</f>
        <v>0</v>
      </c>
      <c r="AB12" s="125">
        <f>(IF($H12&lt;=0,"0",IF($H12&lt;=1,"3",0)))+0</f>
        <v>0</v>
      </c>
      <c r="AC12" s="8" t="s">
        <v>531</v>
      </c>
      <c r="AD12" s="1" t="s">
        <v>550</v>
      </c>
      <c r="AE12" s="126">
        <f>(IF($F12&lt;=0,"0",IF($F12&lt;=6,"4",IF($F12&lt;=7,"3",IF($F12&lt;=8,"2","0")))))+0</f>
        <v>4</v>
      </c>
      <c r="AF12" s="126">
        <f>(IF($G12&lt;=0,"0",IF($G12&lt;=6,"4",IF($G12&lt;=7,"3",IF($G12&lt;=8,"2","0")))))+0</f>
        <v>3</v>
      </c>
      <c r="AG12" s="126">
        <f>(IF($H12&lt;=0,"0",IF($H12&lt;=6,"4",IF($H12&lt;=7,"3",IF($H12&lt;=8,"2","0")))))+0</f>
        <v>0</v>
      </c>
      <c r="AH12" s="10">
        <f>SUM(AE12:AG12)</f>
        <v>7</v>
      </c>
      <c r="AI12" s="1" t="s">
        <v>551</v>
      </c>
      <c r="AJ12" s="2">
        <f>(IF($E12&lt;=0,"0",IF($E12&lt;=20,"168",IF($E12&lt;=30,"165",IF($E12&lt;=50,"155",IF($E12&lt;=60,"135",IF($E12&lt;=70,"105",IF($E12&lt;=80,"60","0"))))))))+0</f>
        <v>0</v>
      </c>
      <c r="AK12" s="44" t="s">
        <v>534</v>
      </c>
      <c r="AL12" s="1">
        <f>(IF($E12&lt;=0,"0",IF($E12&lt;=80,"6","0")))+0</f>
        <v>0</v>
      </c>
      <c r="AM12" s="1">
        <f>(IF($E12&lt;=0,"0",IF($E12&lt;=60,"9",IF($E12&lt;=70,"6","0"))))+0</f>
        <v>0</v>
      </c>
      <c r="AN12" s="1">
        <f>(IF($E12&lt;=0,"0",IF($E12&lt;=40,"9",IF($E12&lt;=50,"6","0"))))+0</f>
        <v>0</v>
      </c>
      <c r="AO12" s="34">
        <f>(IF($E12&lt;=0,"0",IF($E12&lt;=20,"1","0")))+0</f>
        <v>0</v>
      </c>
      <c r="AP12" s="44" t="s">
        <v>207</v>
      </c>
      <c r="AQ12" s="1">
        <f>(IF($E12&lt;=0,"0",IF($E12&lt;=70,"36",IF($E12&lt;=80,"24","0"))))+0</f>
        <v>0</v>
      </c>
      <c r="AR12" s="1">
        <f>(IF($E12&lt;=0,"0",IF($E12&lt;=50,"30",IF($E12&lt;=60,"18","0"))))+0</f>
        <v>0</v>
      </c>
      <c r="AS12" s="1">
        <f>(IF($E12&lt;=0,"0",IF($E12&lt;=20,"18",IF($E12&lt;=40,"15","0"))))+0</f>
        <v>0</v>
      </c>
      <c r="AT12" s="53">
        <f>Summary2831[[#This Row],[3*2]]+Summary2831[[#This Row],[3*22]]+Summary2831[[#This Row],[3*23]]</f>
        <v>37</v>
      </c>
      <c r="AU12" s="52">
        <f>Summary2831[[#This Row],[2*2]]+Summary2831[[#This Row],[2*23]]+Summary2831[[#This Row],[2*24]]</f>
        <v>22</v>
      </c>
      <c r="AV12" s="52">
        <f>Summary2831[[#This Row],[1*2]]+Summary2831[[#This Row],[1*24]]+Summary2831[[#This Row],[1*25]]</f>
        <v>6</v>
      </c>
      <c r="AW12" s="52">
        <f>IF($F12&lt;=0,"0",IF($F12&lt;=6,"19",IF($F12&lt;=7,"18",IF($F12&lt;=8,"9",0))))+0</f>
        <v>19</v>
      </c>
      <c r="AX12" s="52">
        <f>IF($F12&lt;=0,"0",IF($F12&lt;=2,"22",IF($F12&lt;=3,"19",IF($F12&lt;=4,"15",IF($F12&lt;=5,"9",0)))))+0</f>
        <v>22</v>
      </c>
      <c r="AY12" s="52">
        <f>IF($F12&lt;=0,"0",IF($F12&lt;=1,"6",0))+0</f>
        <v>6</v>
      </c>
      <c r="AZ12" s="52">
        <f>IF($G12&lt;=0,"0",IF($G12&lt;=6,"19",IF($G12&lt;=7,"18",IF($G12&lt;=8,"9",0))))+0</f>
        <v>18</v>
      </c>
      <c r="BA12" s="52">
        <f>IF($G12&lt;=0,"0",IF($G12&lt;=2,"22",IF($G12&lt;=3,"19",IF($G12&lt;=4,"15",IF($G12&lt;=5,"9",0)))))+0</f>
        <v>0</v>
      </c>
      <c r="BB12" s="52">
        <f>IF($G12&lt;=0,"0",IF($G12&lt;=1,"6",0))+0</f>
        <v>0</v>
      </c>
      <c r="BC12" s="52">
        <f>IF($H12&lt;=0,"0",IF($H12&lt;=6,"19",IF($H12&lt;=7,"18",IF($H12&lt;=8,"9",0))))+0</f>
        <v>0</v>
      </c>
      <c r="BD12" s="52">
        <f>IF($H12&lt;=0,"0",IF($H12&lt;=2,"22",IF($H12&lt;=3,"19",IF($H12&lt;=4,"15",IF($H12&lt;=5,"9",0)))))+0</f>
        <v>0</v>
      </c>
      <c r="BE12" s="52">
        <f>IF($H12&lt;=0,"0",IF($H12&lt;=1,"6",0))+0</f>
        <v>0</v>
      </c>
      <c r="BF12" s="44">
        <f>SUM(Summary2831[[#This Row],[3*
(Tal)]],Summary2831[[#This Row],[3*
(Asc)]])</f>
        <v>37</v>
      </c>
      <c r="BG12" s="1">
        <f>SUM(Summary2831[[#This Row],[2*
(Tal)]],Summary2831[[#This Row],[2*
(Asc)]])</f>
        <v>22</v>
      </c>
      <c r="BH12" s="34">
        <f>SUM(Summary2831[[#This Row],[1*
(Tal)]],Summary2831[[#This Row],[1*
(Asc)]])</f>
        <v>6</v>
      </c>
      <c r="BI12" s="86">
        <f>(IF($E12&lt;=0,"0",IF($E12&lt;=1,"2092530",IF($E12&lt;=10,"2087525",IF($E12&lt;=20,"2068495",IF($E12&lt;=30,"2005910",IF($E12&lt;=40,"1932830",IF($E12&lt;=50,"1777010",IF($E12&lt;=60,"1546185",IF($E12&lt;=70,"1227000",IF($E12&lt;=80,"804625",IF($E12&lt;=81,"647990",IF($E12&lt;=90,"0",0)))))))))))))+0</f>
        <v>0</v>
      </c>
      <c r="BJ12" s="56">
        <f>(IF($F12&lt;=0,"0",IF($F12&lt;=1,"952500",IF($F12&lt;=2,"940000",IF($F12&lt;=3,"922500",IF($F12&lt;=4,"897500",IF($F12&lt;=5,"867500",IF($F12&lt;=6,"830000",IF($F12&lt;=7,"710000",IF($F12&lt;=8,"450000",0))))))))))+0</f>
        <v>952500</v>
      </c>
      <c r="BK12" s="56">
        <f>(IF($G12&lt;=0,"0",IF($G12&lt;=1,"952500",IF($G12&lt;=2,"940000",IF($G12&lt;=3,"922500",IF($G12&lt;=4,"897500",IF($G12&lt;=5,"867500",IF($G12&lt;=6,"830000",IF($G12&lt;=7,"710000",IF($G12&lt;=8,"450000",0))))))))))+0</f>
        <v>710000</v>
      </c>
      <c r="BL12" s="56">
        <f>(IF($H12&lt;=0,"0",IF($H12&lt;=1,"952500",IF($H12&lt;=2,"940000",IF($H12&lt;=3,"922500",IF($H12&lt;=4,"897500",IF($H12&lt;=5,"867500",IF($H12&lt;=6,"830000",IF($H12&lt;=7,"710000",IF($H12&lt;=8,"450000",0))))))))))+0</f>
        <v>0</v>
      </c>
      <c r="BM12" s="57">
        <f>SUM(BI12,BJ12,BK12,BL12)</f>
        <v>1662500</v>
      </c>
    </row>
    <row r="13" spans="1:65">
      <c r="A13" s="46">
        <f ca="1">SUBTOTAL(3,$B$3:Summary2831[[#This Row],[Name]])</f>
        <v>11</v>
      </c>
      <c r="B13" s="140" t="s">
        <v>442</v>
      </c>
      <c r="C13" s="14" t="s">
        <v>623</v>
      </c>
      <c r="D13" s="154">
        <v>3.1</v>
      </c>
      <c r="E13" s="14">
        <v>21</v>
      </c>
      <c r="F13" s="9">
        <v>1</v>
      </c>
      <c r="G13" s="2">
        <v>1</v>
      </c>
      <c r="H13" s="2">
        <v>1</v>
      </c>
      <c r="I13" s="72">
        <v>81</v>
      </c>
      <c r="J13" s="73">
        <v>1</v>
      </c>
      <c r="K13" s="74">
        <v>9</v>
      </c>
      <c r="L13" s="74">
        <v>9</v>
      </c>
      <c r="M13" s="44" t="s">
        <v>270</v>
      </c>
      <c r="N13" s="10">
        <f>(IF($E13&lt;=0,"0",IF($E13&lt;=40,"46",IF($E13&lt;=50,"44",IF($E13&lt;=60,"40",IF($E13&lt;=70,"32",IF($E13&lt;=80,"20","0")))))))+0</f>
        <v>46</v>
      </c>
      <c r="O1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13" s="49" t="s">
        <v>552</v>
      </c>
      <c r="Q13" s="50">
        <f>T13+W13+Z13</f>
        <v>66</v>
      </c>
      <c r="R13" s="50">
        <f>U13+X13+AA13</f>
        <v>63</v>
      </c>
      <c r="S13" s="51">
        <f>V13+Y13+AB13</f>
        <v>9</v>
      </c>
      <c r="T13" s="123">
        <f>(IF($F13&lt;=0,"0",IF($F13&lt;=6,"22",IF($F13&lt;=7,"18",IF($F13&lt;=8,"12",0)))))+0</f>
        <v>22</v>
      </c>
      <c r="U13" s="124">
        <f>(IF($F13&lt;=0,"0",IF($F13&lt;=2,"21",IF($F13&lt;=3,"19",IF($F13&lt;=4,"15",IF($F13&lt;=5,"9",0))))))+0</f>
        <v>21</v>
      </c>
      <c r="V13" s="124">
        <f>(IF($F13&lt;=0,"0",IF($F13&lt;=1,"3",0)))+0</f>
        <v>3</v>
      </c>
      <c r="W13" s="124">
        <f>(IF($G13&lt;=0,"0",IF($G13&lt;=6,"22",IF($G13&lt;=7,"18",IF($G13&lt;=8,"12",0)))))+0</f>
        <v>22</v>
      </c>
      <c r="X13" s="124">
        <f>(IF($G13&lt;=0,"0",IF($G13&lt;=2,"21",IF($G13&lt;=3,"19",IF($G13&lt;=4,"15",IF($G13&lt;=5,"9",0))))))+0</f>
        <v>21</v>
      </c>
      <c r="Y13" s="124">
        <f>(IF($G13&lt;=0,"0",IF($G13&lt;=1,"3",0)))+0</f>
        <v>3</v>
      </c>
      <c r="Z13" s="124">
        <f>(IF($H13&lt;=0,"0",IF($H13&lt;=6,"22",IF($H13&lt;=7,"18",IF($H13&lt;=8,"12",0)))))+0</f>
        <v>22</v>
      </c>
      <c r="AA13" s="124">
        <f>(IF($H13&lt;=0,"0",IF($H13&lt;=2,"21",IF($H13&lt;=3,"19",IF($H13&lt;=4,"15",IF($H13&lt;=5,"9",0))))))+0</f>
        <v>21</v>
      </c>
      <c r="AB13" s="125">
        <f>(IF($H13&lt;=0,"0",IF($H13&lt;=1,"3",0)))+0</f>
        <v>3</v>
      </c>
      <c r="AC13" s="8" t="s">
        <v>553</v>
      </c>
      <c r="AD13" s="1" t="s">
        <v>554</v>
      </c>
      <c r="AE13" s="126">
        <f>(IF($F13&lt;=0,"0",IF($F13&lt;=6,"4",IF($F13&lt;=7,"3",IF($F13&lt;=8,"2","0")))))+0</f>
        <v>4</v>
      </c>
      <c r="AF13" s="126">
        <f>(IF($G13&lt;=0,"0",IF($G13&lt;=6,"4",IF($G13&lt;=7,"3",IF($G13&lt;=8,"2","0")))))+0</f>
        <v>4</v>
      </c>
      <c r="AG13" s="126">
        <f>(IF($H13&lt;=0,"0",IF($H13&lt;=6,"4",IF($H13&lt;=7,"3",IF($H13&lt;=8,"2","0")))))+0</f>
        <v>4</v>
      </c>
      <c r="AH13" s="10">
        <f>SUM(AE13:AG13)</f>
        <v>12</v>
      </c>
      <c r="AI13" s="1" t="s">
        <v>555</v>
      </c>
      <c r="AJ13" s="2">
        <f>(IF($E13&lt;=0,"0",IF($E13&lt;=20,"168",IF($E13&lt;=30,"165",IF($E13&lt;=50,"155",IF($E13&lt;=60,"135",IF($E13&lt;=70,"105",IF($E13&lt;=80,"60","0"))))))))+0</f>
        <v>165</v>
      </c>
      <c r="AK13" s="44" t="s">
        <v>546</v>
      </c>
      <c r="AL13" s="1">
        <f>(IF($E13&lt;=0,"0",IF($E13&lt;=80,"6","0")))+0</f>
        <v>6</v>
      </c>
      <c r="AM13" s="1">
        <f>(IF($E13&lt;=0,"0",IF($E13&lt;=60,"9",IF($E13&lt;=70,"6","0"))))+0</f>
        <v>9</v>
      </c>
      <c r="AN13" s="1">
        <f>(IF($E13&lt;=0,"0",IF($E13&lt;=40,"9",IF($E13&lt;=50,"6","0"))))+0</f>
        <v>9</v>
      </c>
      <c r="AO13" s="34">
        <f>(IF($E13&lt;=0,"0",IF($E13&lt;=20,"1","0")))+0</f>
        <v>0</v>
      </c>
      <c r="AP13" s="44" t="s">
        <v>46</v>
      </c>
      <c r="AQ13" s="1">
        <f>(IF($E13&lt;=0,"0",IF($E13&lt;=70,"36",IF($E13&lt;=80,"24","0"))))+0</f>
        <v>36</v>
      </c>
      <c r="AR13" s="1">
        <f>(IF($E13&lt;=0,"0",IF($E13&lt;=50,"30",IF($E13&lt;=60,"18","0"))))+0</f>
        <v>30</v>
      </c>
      <c r="AS13" s="1">
        <f>(IF($E13&lt;=0,"0",IF($E13&lt;=20,"18",IF($E13&lt;=40,"15","0"))))+0</f>
        <v>15</v>
      </c>
      <c r="AT13" s="53">
        <f>Summary2831[[#This Row],[3*2]]+Summary2831[[#This Row],[3*22]]+Summary2831[[#This Row],[3*23]]</f>
        <v>57</v>
      </c>
      <c r="AU13" s="52">
        <f>Summary2831[[#This Row],[2*2]]+Summary2831[[#This Row],[2*23]]+Summary2831[[#This Row],[2*24]]</f>
        <v>66</v>
      </c>
      <c r="AV13" s="52">
        <f>Summary2831[[#This Row],[1*2]]+Summary2831[[#This Row],[1*24]]+Summary2831[[#This Row],[1*25]]</f>
        <v>18</v>
      </c>
      <c r="AW13" s="52">
        <f>IF($F13&lt;=0,"0",IF($F13&lt;=6,"19",IF($F13&lt;=7,"18",IF($F13&lt;=8,"9",0))))+0</f>
        <v>19</v>
      </c>
      <c r="AX13" s="52">
        <f>IF($F13&lt;=0,"0",IF($F13&lt;=2,"22",IF($F13&lt;=3,"19",IF($F13&lt;=4,"15",IF($F13&lt;=5,"9",0)))))+0</f>
        <v>22</v>
      </c>
      <c r="AY13" s="52">
        <f>IF($F13&lt;=0,"0",IF($F13&lt;=1,"6",0))+0</f>
        <v>6</v>
      </c>
      <c r="AZ13" s="52">
        <f>IF($G13&lt;=0,"0",IF($G13&lt;=6,"19",IF($G13&lt;=7,"18",IF($G13&lt;=8,"9",0))))+0</f>
        <v>19</v>
      </c>
      <c r="BA13" s="52">
        <f>IF($G13&lt;=0,"0",IF($G13&lt;=2,"22",IF($G13&lt;=3,"19",IF($G13&lt;=4,"15",IF($G13&lt;=5,"9",0)))))+0</f>
        <v>22</v>
      </c>
      <c r="BB13" s="52">
        <f>IF($G13&lt;=0,"0",IF($G13&lt;=1,"6",0))+0</f>
        <v>6</v>
      </c>
      <c r="BC13" s="52">
        <f>IF($H13&lt;=0,"0",IF($H13&lt;=6,"19",IF($H13&lt;=7,"18",IF($H13&lt;=8,"9",0))))+0</f>
        <v>19</v>
      </c>
      <c r="BD13" s="52">
        <f>IF($H13&lt;=0,"0",IF($H13&lt;=2,"22",IF($H13&lt;=3,"19",IF($H13&lt;=4,"15",IF($H13&lt;=5,"9",0)))))+0</f>
        <v>22</v>
      </c>
      <c r="BE13" s="52">
        <f>IF($H13&lt;=0,"0",IF($H13&lt;=1,"6",0))+0</f>
        <v>6</v>
      </c>
      <c r="BF13" s="44">
        <f>SUM(Summary2831[[#This Row],[3*
(Tal)]],Summary2831[[#This Row],[3*
(Asc)]])</f>
        <v>93</v>
      </c>
      <c r="BG13" s="1">
        <f>SUM(Summary2831[[#This Row],[2*
(Tal)]],Summary2831[[#This Row],[2*
(Asc)]])</f>
        <v>96</v>
      </c>
      <c r="BH13" s="34">
        <f>SUM(Summary2831[[#This Row],[1*
(Tal)]],Summary2831[[#This Row],[1*
(Asc)]])</f>
        <v>33</v>
      </c>
      <c r="BI13" s="86">
        <f>(IF($E13&lt;=0,"0",IF($E13&lt;=1,"2092530",IF($E13&lt;=10,"2087525",IF($E13&lt;=20,"2068495",IF($E13&lt;=30,"2005910",IF($E13&lt;=40,"1932830",IF($E13&lt;=50,"1777010",IF($E13&lt;=60,"1546185",IF($E13&lt;=70,"1227000",IF($E13&lt;=80,"804625",IF($E13&lt;=81,"647990",IF($E13&lt;=90,"0",0)))))))))))))+0</f>
        <v>2005910</v>
      </c>
      <c r="BJ13" s="56">
        <f>(IF($F13&lt;=0,"0",IF($F13&lt;=1,"952500",IF($F13&lt;=2,"940000",IF($F13&lt;=3,"922500",IF($F13&lt;=4,"897500",IF($F13&lt;=5,"867500",IF($F13&lt;=6,"830000",IF($F13&lt;=7,"710000",IF($F13&lt;=8,"450000",0))))))))))+0</f>
        <v>952500</v>
      </c>
      <c r="BK13" s="56">
        <f>(IF($G13&lt;=0,"0",IF($G13&lt;=1,"952500",IF($G13&lt;=2,"940000",IF($G13&lt;=3,"922500",IF($G13&lt;=4,"897500",IF($G13&lt;=5,"867500",IF($G13&lt;=6,"830000",IF($G13&lt;=7,"710000",IF($G13&lt;=8,"450000",0))))))))))+0</f>
        <v>952500</v>
      </c>
      <c r="BL13" s="56">
        <f>(IF($H13&lt;=0,"0",IF($H13&lt;=1,"952500",IF($H13&lt;=2,"940000",IF($H13&lt;=3,"922500",IF($H13&lt;=4,"897500",IF($H13&lt;=5,"867500",IF($H13&lt;=6,"830000",IF($H13&lt;=7,"710000",IF($H13&lt;=8,"450000",0))))))))))+0</f>
        <v>952500</v>
      </c>
      <c r="BM13" s="57">
        <f>SUM(BI13,BJ13,BK13,BL13)</f>
        <v>4863410</v>
      </c>
    </row>
    <row r="14" spans="1:65" s="81" customFormat="1">
      <c r="A14" s="46">
        <f ca="1">SUBTOTAL(3,$B$3:Summary2831[[#This Row],[Name]])</f>
        <v>12</v>
      </c>
      <c r="B14" s="140" t="s">
        <v>427</v>
      </c>
      <c r="C14" s="14" t="s">
        <v>621</v>
      </c>
      <c r="D14" s="154">
        <v>4.2</v>
      </c>
      <c r="E14" s="14">
        <v>81</v>
      </c>
      <c r="F14" s="9">
        <v>1</v>
      </c>
      <c r="G14" s="2">
        <v>6</v>
      </c>
      <c r="H14" s="2">
        <v>6</v>
      </c>
      <c r="I14" s="72">
        <v>81</v>
      </c>
      <c r="J14" s="73">
        <v>1</v>
      </c>
      <c r="K14" s="74">
        <v>9</v>
      </c>
      <c r="L14" s="74">
        <v>9</v>
      </c>
      <c r="M14" s="44" t="s">
        <v>325</v>
      </c>
      <c r="N14" s="10">
        <f>(IF($E14&lt;=0,"0",IF($E14&lt;=40,"46",IF($E14&lt;=50,"44",IF($E14&lt;=60,"40",IF($E14&lt;=70,"32",IF($E14&lt;=80,"20","0")))))))+0</f>
        <v>0</v>
      </c>
      <c r="O1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4" s="49" t="s">
        <v>556</v>
      </c>
      <c r="Q14" s="50">
        <f>T14+W14+Z14</f>
        <v>66</v>
      </c>
      <c r="R14" s="50">
        <f>U14+X14+AA14</f>
        <v>21</v>
      </c>
      <c r="S14" s="51">
        <f>V14+Y14+AB14</f>
        <v>3</v>
      </c>
      <c r="T14" s="123">
        <f>(IF($F14&lt;=0,"0",IF($F14&lt;=6,"22",IF($F14&lt;=7,"18",IF($F14&lt;=8,"12",0)))))+0</f>
        <v>22</v>
      </c>
      <c r="U14" s="124">
        <f>(IF($F14&lt;=0,"0",IF($F14&lt;=2,"21",IF($F14&lt;=3,"19",IF($F14&lt;=4,"15",IF($F14&lt;=5,"9",0))))))+0</f>
        <v>21</v>
      </c>
      <c r="V14" s="124">
        <f>(IF($F14&lt;=0,"0",IF($F14&lt;=1,"3",0)))+0</f>
        <v>3</v>
      </c>
      <c r="W14" s="124">
        <f>(IF($G14&lt;=0,"0",IF($G14&lt;=6,"22",IF($G14&lt;=7,"18",IF($G14&lt;=8,"12",0)))))+0</f>
        <v>22</v>
      </c>
      <c r="X14" s="124">
        <f>(IF($G14&lt;=0,"0",IF($G14&lt;=2,"21",IF($G14&lt;=3,"19",IF($G14&lt;=4,"15",IF($G14&lt;=5,"9",0))))))+0</f>
        <v>0</v>
      </c>
      <c r="Y14" s="124">
        <f>(IF($G14&lt;=0,"0",IF($G14&lt;=1,"3",0)))+0</f>
        <v>0</v>
      </c>
      <c r="Z14" s="124">
        <f>(IF($H14&lt;=0,"0",IF($H14&lt;=6,"22",IF($H14&lt;=7,"18",IF($H14&lt;=8,"12",0)))))+0</f>
        <v>22</v>
      </c>
      <c r="AA14" s="124">
        <f>(IF($H14&lt;=0,"0",IF($H14&lt;=2,"21",IF($H14&lt;=3,"19",IF($H14&lt;=4,"15",IF($H14&lt;=5,"9",0))))))+0</f>
        <v>0</v>
      </c>
      <c r="AB14" s="125">
        <f>(IF($H14&lt;=0,"0",IF($H14&lt;=1,"3",0)))+0</f>
        <v>0</v>
      </c>
      <c r="AC14" s="8" t="s">
        <v>557</v>
      </c>
      <c r="AD14" s="1" t="s">
        <v>558</v>
      </c>
      <c r="AE14" s="126">
        <f>(IF($F14&lt;=0,"0",IF($F14&lt;=6,"4",IF($F14&lt;=7,"3",IF($F14&lt;=8,"2","0")))))+0</f>
        <v>4</v>
      </c>
      <c r="AF14" s="126">
        <f>(IF($G14&lt;=0,"0",IF($G14&lt;=6,"4",IF($G14&lt;=7,"3",IF($G14&lt;=8,"2","0")))))+0</f>
        <v>4</v>
      </c>
      <c r="AG14" s="126">
        <f>(IF($H14&lt;=0,"0",IF($H14&lt;=6,"4",IF($H14&lt;=7,"3",IF($H14&lt;=8,"2","0")))))+0</f>
        <v>4</v>
      </c>
      <c r="AH14" s="10">
        <f>SUM(AE14:AG14)</f>
        <v>12</v>
      </c>
      <c r="AI14" s="1" t="s">
        <v>559</v>
      </c>
      <c r="AJ14" s="2">
        <f>(IF($E14&lt;=0,"0",IF($E14&lt;=20,"168",IF($E14&lt;=30,"165",IF($E14&lt;=50,"155",IF($E14&lt;=60,"135",IF($E14&lt;=70,"105",IF($E14&lt;=80,"60","0"))))))))+0</f>
        <v>0</v>
      </c>
      <c r="AK14" s="44" t="s">
        <v>530</v>
      </c>
      <c r="AL14" s="1">
        <f>(IF($E14&lt;=0,"0",IF($E14&lt;=80,"6","0")))+0</f>
        <v>0</v>
      </c>
      <c r="AM14" s="1">
        <f>(IF($E14&lt;=0,"0",IF($E14&lt;=60,"9",IF($E14&lt;=70,"6","0"))))+0</f>
        <v>0</v>
      </c>
      <c r="AN14" s="1">
        <f>(IF($E14&lt;=0,"0",IF($E14&lt;=40,"9",IF($E14&lt;=50,"6","0"))))+0</f>
        <v>0</v>
      </c>
      <c r="AO14" s="34">
        <f>(IF($E14&lt;=0,"0",IF($E14&lt;=20,"1","0")))+0</f>
        <v>0</v>
      </c>
      <c r="AP14" s="44" t="s">
        <v>385</v>
      </c>
      <c r="AQ14" s="1">
        <f>(IF($E14&lt;=0,"0",IF($E14&lt;=70,"36",IF($E14&lt;=80,"24","0"))))+0</f>
        <v>0</v>
      </c>
      <c r="AR14" s="1">
        <f>(IF($E14&lt;=0,"0",IF($E14&lt;=50,"30",IF($E14&lt;=60,"18","0"))))+0</f>
        <v>0</v>
      </c>
      <c r="AS14" s="1">
        <f>(IF($E14&lt;=0,"0",IF($E14&lt;=20,"18",IF($E14&lt;=40,"15","0"))))+0</f>
        <v>0</v>
      </c>
      <c r="AT14" s="53">
        <f>Summary2831[[#This Row],[3*2]]+Summary2831[[#This Row],[3*22]]+Summary2831[[#This Row],[3*23]]</f>
        <v>57</v>
      </c>
      <c r="AU14" s="52">
        <f>Summary2831[[#This Row],[2*2]]+Summary2831[[#This Row],[2*23]]+Summary2831[[#This Row],[2*24]]</f>
        <v>22</v>
      </c>
      <c r="AV14" s="52">
        <f>Summary2831[[#This Row],[1*2]]+Summary2831[[#This Row],[1*24]]+Summary2831[[#This Row],[1*25]]</f>
        <v>6</v>
      </c>
      <c r="AW14" s="52">
        <f>IF($F14&lt;=0,"0",IF($F14&lt;=6,"19",IF($F14&lt;=7,"18",IF($F14&lt;=8,"9",0))))+0</f>
        <v>19</v>
      </c>
      <c r="AX14" s="52">
        <f>IF($F14&lt;=0,"0",IF($F14&lt;=2,"22",IF($F14&lt;=3,"19",IF($F14&lt;=4,"15",IF($F14&lt;=5,"9",0)))))+0</f>
        <v>22</v>
      </c>
      <c r="AY14" s="52">
        <f>IF($F14&lt;=0,"0",IF($F14&lt;=1,"6",0))+0</f>
        <v>6</v>
      </c>
      <c r="AZ14" s="52">
        <f>IF($G14&lt;=0,"0",IF($G14&lt;=6,"19",IF($G14&lt;=7,"18",IF($G14&lt;=8,"9",0))))+0</f>
        <v>19</v>
      </c>
      <c r="BA14" s="52">
        <f>IF($G14&lt;=0,"0",IF($G14&lt;=2,"22",IF($G14&lt;=3,"19",IF($G14&lt;=4,"15",IF($G14&lt;=5,"9",0)))))+0</f>
        <v>0</v>
      </c>
      <c r="BB14" s="52">
        <f>IF($G14&lt;=0,"0",IF($G14&lt;=1,"6",0))+0</f>
        <v>0</v>
      </c>
      <c r="BC14" s="52">
        <f>IF($H14&lt;=0,"0",IF($H14&lt;=6,"19",IF($H14&lt;=7,"18",IF($H14&lt;=8,"9",0))))+0</f>
        <v>19</v>
      </c>
      <c r="BD14" s="52">
        <f>IF($H14&lt;=0,"0",IF($H14&lt;=2,"22",IF($H14&lt;=3,"19",IF($H14&lt;=4,"15",IF($H14&lt;=5,"9",0)))))+0</f>
        <v>0</v>
      </c>
      <c r="BE14" s="52">
        <f>IF($H14&lt;=0,"0",IF($H14&lt;=1,"6",0))+0</f>
        <v>0</v>
      </c>
      <c r="BF14" s="44">
        <f>SUM(Summary2831[[#This Row],[3*
(Tal)]],Summary2831[[#This Row],[3*
(Asc)]])</f>
        <v>57</v>
      </c>
      <c r="BG14" s="1">
        <f>SUM(Summary2831[[#This Row],[2*
(Tal)]],Summary2831[[#This Row],[2*
(Asc)]])</f>
        <v>22</v>
      </c>
      <c r="BH14" s="34">
        <f>SUM(Summary2831[[#This Row],[1*
(Tal)]],Summary2831[[#This Row],[1*
(Asc)]])</f>
        <v>6</v>
      </c>
      <c r="BI14" s="86">
        <f>(IF($E14&lt;=0,"0",IF($E14&lt;=1,"2092530",IF($E14&lt;=10,"2087525",IF($E14&lt;=20,"2068495",IF($E14&lt;=30,"2005910",IF($E14&lt;=40,"1932830",IF($E14&lt;=50,"1777010",IF($E14&lt;=60,"1546185",IF($E14&lt;=70,"1227000",IF($E14&lt;=80,"804625",IF($E14&lt;=81,"647990",IF($E14&lt;=90,"0",0)))))))))))))+0</f>
        <v>647990</v>
      </c>
      <c r="BJ14" s="56">
        <f>(IF($F14&lt;=0,"0",IF($F14&lt;=1,"952500",IF($F14&lt;=2,"940000",IF($F14&lt;=3,"922500",IF($F14&lt;=4,"897500",IF($F14&lt;=5,"867500",IF($F14&lt;=6,"830000",IF($F14&lt;=7,"710000",IF($F14&lt;=8,"450000",0))))))))))+0</f>
        <v>952500</v>
      </c>
      <c r="BK14" s="56">
        <f>(IF($G14&lt;=0,"0",IF($G14&lt;=1,"952500",IF($G14&lt;=2,"940000",IF($G14&lt;=3,"922500",IF($G14&lt;=4,"897500",IF($G14&lt;=5,"867500",IF($G14&lt;=6,"830000",IF($G14&lt;=7,"710000",IF($G14&lt;=8,"450000",0))))))))))+0</f>
        <v>830000</v>
      </c>
      <c r="BL14" s="56">
        <f>(IF($H14&lt;=0,"0",IF($H14&lt;=1,"952500",IF($H14&lt;=2,"940000",IF($H14&lt;=3,"922500",IF($H14&lt;=4,"897500",IF($H14&lt;=5,"867500",IF($H14&lt;=6,"830000",IF($H14&lt;=7,"710000",IF($H14&lt;=8,"450000",0))))))))))+0</f>
        <v>830000</v>
      </c>
      <c r="BM14" s="57">
        <f>SUM(BI14,BJ14,BK14,BL14)</f>
        <v>3260490</v>
      </c>
    </row>
    <row r="15" spans="1:65" s="81" customFormat="1">
      <c r="A15" s="46">
        <f ca="1">SUBTOTAL(3,$B$3:Summary2831[[#This Row],[Name]])</f>
        <v>13</v>
      </c>
      <c r="B15" s="140" t="s">
        <v>443</v>
      </c>
      <c r="C15" s="14" t="s">
        <v>622</v>
      </c>
      <c r="D15" s="155">
        <v>4.3</v>
      </c>
      <c r="E15" s="14">
        <v>0</v>
      </c>
      <c r="F15" s="9">
        <v>0</v>
      </c>
      <c r="G15" s="2">
        <v>0</v>
      </c>
      <c r="H15" s="2">
        <v>0</v>
      </c>
      <c r="I15" s="72">
        <v>81</v>
      </c>
      <c r="J15" s="73">
        <v>1</v>
      </c>
      <c r="K15" s="74">
        <v>9</v>
      </c>
      <c r="L15" s="74">
        <v>9</v>
      </c>
      <c r="M15" s="44" t="s">
        <v>333</v>
      </c>
      <c r="N15" s="10">
        <f>(IF($E15&lt;=0,"0",IF($E15&lt;=40,"46",IF($E15&lt;=50,"44",IF($E15&lt;=60,"40",IF($E15&lt;=70,"32",IF($E15&lt;=80,"20","0")))))))+0</f>
        <v>0</v>
      </c>
      <c r="O1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5" s="49" t="s">
        <v>537</v>
      </c>
      <c r="Q15" s="50">
        <f>T15+W15+Z15</f>
        <v>0</v>
      </c>
      <c r="R15" s="50">
        <f>U15+X15+AA15</f>
        <v>0</v>
      </c>
      <c r="S15" s="51">
        <f>V15+Y15+AB15</f>
        <v>0</v>
      </c>
      <c r="T15" s="123">
        <f>(IF($F15&lt;=0,"0",IF($F15&lt;=6,"22",IF($F15&lt;=7,"18",IF($F15&lt;=8,"12",0)))))+0</f>
        <v>0</v>
      </c>
      <c r="U15" s="124">
        <f>(IF($F15&lt;=0,"0",IF($F15&lt;=2,"21",IF($F15&lt;=3,"19",IF($F15&lt;=4,"15",IF($F15&lt;=5,"9",0))))))+0</f>
        <v>0</v>
      </c>
      <c r="V15" s="124">
        <f>(IF($F15&lt;=0,"0",IF($F15&lt;=1,"3",0)))+0</f>
        <v>0</v>
      </c>
      <c r="W15" s="124">
        <f>(IF($G15&lt;=0,"0",IF($G15&lt;=6,"22",IF($G15&lt;=7,"18",IF($G15&lt;=8,"12",0)))))+0</f>
        <v>0</v>
      </c>
      <c r="X15" s="124">
        <f>(IF($G15&lt;=0,"0",IF($G15&lt;=2,"21",IF($G15&lt;=3,"19",IF($G15&lt;=4,"15",IF($G15&lt;=5,"9",0))))))+0</f>
        <v>0</v>
      </c>
      <c r="Y15" s="124">
        <f>(IF($G15&lt;=0,"0",IF($G15&lt;=1,"3",0)))+0</f>
        <v>0</v>
      </c>
      <c r="Z15" s="124">
        <f>(IF($H15&lt;=0,"0",IF($H15&lt;=6,"22",IF($H15&lt;=7,"18",IF($H15&lt;=8,"12",0)))))+0</f>
        <v>0</v>
      </c>
      <c r="AA15" s="124">
        <f>(IF($H15&lt;=0,"0",IF($H15&lt;=2,"21",IF($H15&lt;=3,"19",IF($H15&lt;=4,"15",IF($H15&lt;=5,"9",0))))))+0</f>
        <v>0</v>
      </c>
      <c r="AB15" s="125">
        <f>(IF($H15&lt;=0,"0",IF($H15&lt;=1,"3",0)))+0</f>
        <v>0</v>
      </c>
      <c r="AC15" s="8" t="s">
        <v>557</v>
      </c>
      <c r="AD15" s="1" t="s">
        <v>558</v>
      </c>
      <c r="AE15" s="126">
        <f>(IF($F15&lt;=0,"0",IF($F15&lt;=6,"4",IF($F15&lt;=7,"3",IF($F15&lt;=8,"2","0")))))+0</f>
        <v>0</v>
      </c>
      <c r="AF15" s="126">
        <f>(IF($G15&lt;=0,"0",IF($G15&lt;=6,"4",IF($G15&lt;=7,"3",IF($G15&lt;=8,"2","0")))))+0</f>
        <v>0</v>
      </c>
      <c r="AG15" s="126">
        <f>(IF($H15&lt;=0,"0",IF($H15&lt;=6,"4",IF($H15&lt;=7,"3",IF($H15&lt;=8,"2","0")))))+0</f>
        <v>0</v>
      </c>
      <c r="AH15" s="10">
        <f>SUM(AE15:AG15)</f>
        <v>0</v>
      </c>
      <c r="AI15" s="1" t="s">
        <v>560</v>
      </c>
      <c r="AJ15" s="2">
        <f>(IF($E15&lt;=0,"0",IF($E15&lt;=20,"168",IF($E15&lt;=30,"165",IF($E15&lt;=50,"155",IF($E15&lt;=60,"135",IF($E15&lt;=70,"105",IF($E15&lt;=80,"60","0"))))))))+0</f>
        <v>0</v>
      </c>
      <c r="AK15" s="44" t="s">
        <v>534</v>
      </c>
      <c r="AL15" s="1">
        <f>(IF($E15&lt;=0,"0",IF($E15&lt;=80,"6","0")))+0</f>
        <v>0</v>
      </c>
      <c r="AM15" s="1">
        <f>(IF($E15&lt;=0,"0",IF($E15&lt;=60,"9",IF($E15&lt;=70,"6","0"))))+0</f>
        <v>0</v>
      </c>
      <c r="AN15" s="1">
        <f>(IF($E15&lt;=0,"0",IF($E15&lt;=40,"9",IF($E15&lt;=50,"6","0"))))+0</f>
        <v>0</v>
      </c>
      <c r="AO15" s="34">
        <f>(IF($E15&lt;=0,"0",IF($E15&lt;=20,"1","0")))+0</f>
        <v>0</v>
      </c>
      <c r="AP15" s="44" t="s">
        <v>385</v>
      </c>
      <c r="AQ15" s="1">
        <f>(IF($E15&lt;=0,"0",IF($E15&lt;=70,"36",IF($E15&lt;=80,"24","0"))))+0</f>
        <v>0</v>
      </c>
      <c r="AR15" s="1">
        <f>(IF($E15&lt;=0,"0",IF($E15&lt;=50,"30",IF($E15&lt;=60,"18","0"))))+0</f>
        <v>0</v>
      </c>
      <c r="AS15" s="1">
        <f>(IF($E15&lt;=0,"0",IF($E15&lt;=20,"18",IF($E15&lt;=40,"15","0"))))+0</f>
        <v>0</v>
      </c>
      <c r="AT15" s="53">
        <f>Summary2831[[#This Row],[3*2]]+Summary2831[[#This Row],[3*22]]+Summary2831[[#This Row],[3*23]]</f>
        <v>0</v>
      </c>
      <c r="AU15" s="52">
        <f>Summary2831[[#This Row],[2*2]]+Summary2831[[#This Row],[2*23]]+Summary2831[[#This Row],[2*24]]</f>
        <v>0</v>
      </c>
      <c r="AV15" s="52">
        <f>Summary2831[[#This Row],[1*2]]+Summary2831[[#This Row],[1*24]]+Summary2831[[#This Row],[1*25]]</f>
        <v>0</v>
      </c>
      <c r="AW15" s="52">
        <f>IF($F15&lt;=0,"0",IF($F15&lt;=6,"19",IF($F15&lt;=7,"18",IF($F15&lt;=8,"9",0))))+0</f>
        <v>0</v>
      </c>
      <c r="AX15" s="52">
        <f>IF($F15&lt;=0,"0",IF($F15&lt;=2,"22",IF($F15&lt;=3,"19",IF($F15&lt;=4,"15",IF($F15&lt;=5,"9",0)))))+0</f>
        <v>0</v>
      </c>
      <c r="AY15" s="52">
        <f>IF($F15&lt;=0,"0",IF($F15&lt;=1,"6",0))+0</f>
        <v>0</v>
      </c>
      <c r="AZ15" s="52">
        <f>IF($G15&lt;=0,"0",IF($G15&lt;=6,"19",IF($G15&lt;=7,"18",IF($G15&lt;=8,"9",0))))+0</f>
        <v>0</v>
      </c>
      <c r="BA15" s="52">
        <f>IF($G15&lt;=0,"0",IF($G15&lt;=2,"22",IF($G15&lt;=3,"19",IF($G15&lt;=4,"15",IF($G15&lt;=5,"9",0)))))+0</f>
        <v>0</v>
      </c>
      <c r="BB15" s="52">
        <f>IF($G15&lt;=0,"0",IF($G15&lt;=1,"6",0))+0</f>
        <v>0</v>
      </c>
      <c r="BC15" s="52">
        <f>IF($H15&lt;=0,"0",IF($H15&lt;=6,"19",IF($H15&lt;=7,"18",IF($H15&lt;=8,"9",0))))+0</f>
        <v>0</v>
      </c>
      <c r="BD15" s="52">
        <f>IF($H15&lt;=0,"0",IF($H15&lt;=2,"22",IF($H15&lt;=3,"19",IF($H15&lt;=4,"15",IF($H15&lt;=5,"9",0)))))+0</f>
        <v>0</v>
      </c>
      <c r="BE15" s="52">
        <f>IF($H15&lt;=0,"0",IF($H15&lt;=1,"6",0))+0</f>
        <v>0</v>
      </c>
      <c r="BF15" s="44">
        <f>SUM(Summary2831[[#This Row],[3*
(Tal)]],Summary2831[[#This Row],[3*
(Asc)]])</f>
        <v>0</v>
      </c>
      <c r="BG15" s="1">
        <f>SUM(Summary2831[[#This Row],[2*
(Tal)]],Summary2831[[#This Row],[2*
(Asc)]])</f>
        <v>0</v>
      </c>
      <c r="BH15" s="34">
        <f>SUM(Summary2831[[#This Row],[1*
(Tal)]],Summary2831[[#This Row],[1*
(Asc)]])</f>
        <v>0</v>
      </c>
      <c r="BI15" s="86">
        <f>(IF($E15&lt;=0,"0",IF($E15&lt;=1,"2092530",IF($E15&lt;=10,"2087525",IF($E15&lt;=20,"2068495",IF($E15&lt;=30,"2005910",IF($E15&lt;=40,"1932830",IF($E15&lt;=50,"1777010",IF($E15&lt;=60,"1546185",IF($E15&lt;=70,"1227000",IF($E15&lt;=80,"804625",IF($E15&lt;=81,"647990",IF($E15&lt;=90,"0",0)))))))))))))+0</f>
        <v>0</v>
      </c>
      <c r="BJ15" s="56">
        <f>(IF($F15&lt;=0,"0",IF($F15&lt;=1,"952500",IF($F15&lt;=2,"940000",IF($F15&lt;=3,"922500",IF($F15&lt;=4,"897500",IF($F15&lt;=5,"867500",IF($F15&lt;=6,"830000",IF($F15&lt;=7,"710000",IF($F15&lt;=8,"450000",0))))))))))+0</f>
        <v>0</v>
      </c>
      <c r="BK15" s="56">
        <f>(IF($G15&lt;=0,"0",IF($G15&lt;=1,"952500",IF($G15&lt;=2,"940000",IF($G15&lt;=3,"922500",IF($G15&lt;=4,"897500",IF($G15&lt;=5,"867500",IF($G15&lt;=6,"830000",IF($G15&lt;=7,"710000",IF($G15&lt;=8,"450000",0))))))))))+0</f>
        <v>0</v>
      </c>
      <c r="BL15" s="56">
        <f>(IF($H15&lt;=0,"0",IF($H15&lt;=1,"952500",IF($H15&lt;=2,"940000",IF($H15&lt;=3,"922500",IF($H15&lt;=4,"897500",IF($H15&lt;=5,"867500",IF($H15&lt;=6,"830000",IF($H15&lt;=7,"710000",IF($H15&lt;=8,"450000",0))))))))))+0</f>
        <v>0</v>
      </c>
      <c r="BM15" s="57">
        <f>SUM(BI15,BJ15,BK15,BL15)</f>
        <v>0</v>
      </c>
    </row>
    <row r="16" spans="1:65">
      <c r="A16" s="71">
        <f ca="1">SUBTOTAL(3,$B$3:Summary2831[[#This Row],[Name]])</f>
        <v>14</v>
      </c>
      <c r="B16" s="72" t="s">
        <v>115</v>
      </c>
      <c r="C16" s="72" t="s">
        <v>619</v>
      </c>
      <c r="D16" s="154">
        <v>4.5</v>
      </c>
      <c r="E16" s="72">
        <v>0</v>
      </c>
      <c r="F16" s="73">
        <v>0</v>
      </c>
      <c r="G16" s="74">
        <v>0</v>
      </c>
      <c r="H16" s="74">
        <v>0</v>
      </c>
      <c r="I16" s="72">
        <v>81</v>
      </c>
      <c r="J16" s="73">
        <v>1</v>
      </c>
      <c r="K16" s="74">
        <v>9</v>
      </c>
      <c r="L16" s="74">
        <v>9</v>
      </c>
      <c r="M16" s="79" t="s">
        <v>300</v>
      </c>
      <c r="N16" s="75">
        <f>(IF($E16&lt;=0,"0",IF($E16&lt;=40,"46",IF($E16&lt;=50,"44",IF($E16&lt;=60,"40",IF($E16&lt;=70,"32",IF($E16&lt;=80,"20","0")))))))+0</f>
        <v>0</v>
      </c>
      <c r="O1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6" s="76" t="s">
        <v>561</v>
      </c>
      <c r="Q16" s="77">
        <f>T16+W16+Z16</f>
        <v>0</v>
      </c>
      <c r="R16" s="77">
        <f>U16+X16+AA16</f>
        <v>0</v>
      </c>
      <c r="S16" s="78">
        <f>V16+Y16+AB16</f>
        <v>0</v>
      </c>
      <c r="T16" s="123">
        <f>(IF($F16&lt;=0,"0",IF($F16&lt;=6,"22",IF($F16&lt;=7,"18",IF($F16&lt;=8,"12",0)))))+0</f>
        <v>0</v>
      </c>
      <c r="U16" s="124">
        <f>(IF($F16&lt;=0,"0",IF($F16&lt;=2,"21",IF($F16&lt;=3,"19",IF($F16&lt;=4,"15",IF($F16&lt;=5,"9",0))))))+0</f>
        <v>0</v>
      </c>
      <c r="V16" s="124">
        <f>(IF($F16&lt;=0,"0",IF($F16&lt;=1,"3",0)))+0</f>
        <v>0</v>
      </c>
      <c r="W16" s="124">
        <f>(IF($G16&lt;=0,"0",IF($G16&lt;=6,"22",IF($G16&lt;=7,"18",IF($G16&lt;=8,"12",0)))))+0</f>
        <v>0</v>
      </c>
      <c r="X16" s="124">
        <f>(IF($G16&lt;=0,"0",IF($G16&lt;=2,"21",IF($G16&lt;=3,"19",IF($G16&lt;=4,"15",IF($G16&lt;=5,"9",0))))))+0</f>
        <v>0</v>
      </c>
      <c r="Y16" s="124">
        <f>(IF($G16&lt;=0,"0",IF($G16&lt;=1,"3",0)))+0</f>
        <v>0</v>
      </c>
      <c r="Z16" s="124">
        <f>(IF($H16&lt;=0,"0",IF($H16&lt;=6,"22",IF($H16&lt;=7,"18",IF($H16&lt;=8,"12",0)))))+0</f>
        <v>0</v>
      </c>
      <c r="AA16" s="124">
        <f>(IF($H16&lt;=0,"0",IF($H16&lt;=2,"21",IF($H16&lt;=3,"19",IF($H16&lt;=4,"15",IF($H16&lt;=5,"9",0))))))+0</f>
        <v>0</v>
      </c>
      <c r="AB16" s="125">
        <f>(IF($H16&lt;=0,"0",IF($H16&lt;=1,"3",0)))+0</f>
        <v>0</v>
      </c>
      <c r="AC16" s="80" t="s">
        <v>557</v>
      </c>
      <c r="AD16" s="81" t="s">
        <v>558</v>
      </c>
      <c r="AE16" s="126">
        <f>(IF($F16&lt;=0,"0",IF($F16&lt;=6,"4",IF($F16&lt;=7,"3",IF($F16&lt;=8,"2","0")))))+0</f>
        <v>0</v>
      </c>
      <c r="AF16" s="126">
        <f>(IF($G16&lt;=0,"0",IF($G16&lt;=6,"4",IF($G16&lt;=7,"3",IF($G16&lt;=8,"2","0")))))+0</f>
        <v>0</v>
      </c>
      <c r="AG16" s="126">
        <f>(IF($H16&lt;=0,"0",IF($H16&lt;=6,"4",IF($H16&lt;=7,"3",IF($H16&lt;=8,"2","0")))))+0</f>
        <v>0</v>
      </c>
      <c r="AH16" s="75">
        <f>SUM(AE16:AG16)</f>
        <v>0</v>
      </c>
      <c r="AI16" s="81" t="s">
        <v>170</v>
      </c>
      <c r="AJ16" s="74">
        <f>(IF($E16&lt;=0,"0",IF($E16&lt;=20,"168",IF($E16&lt;=30,"165",IF($E16&lt;=50,"155",IF($E16&lt;=60,"135",IF($E16&lt;=70,"105",IF($E16&lt;=80,"60","0"))))))))+0</f>
        <v>0</v>
      </c>
      <c r="AK16" s="79" t="s">
        <v>521</v>
      </c>
      <c r="AL16" s="81">
        <f>(IF($E16&lt;=0,"0",IF($E16&lt;=80,"6","0")))+0</f>
        <v>0</v>
      </c>
      <c r="AM16" s="81">
        <f>(IF($E16&lt;=0,"0",IF($E16&lt;=60,"9",IF($E16&lt;=70,"6","0"))))+0</f>
        <v>0</v>
      </c>
      <c r="AN16" s="81">
        <f>(IF($E16&lt;=0,"0",IF($E16&lt;=40,"9",IF($E16&lt;=50,"6","0"))))+0</f>
        <v>0</v>
      </c>
      <c r="AO16" s="82">
        <f>(IF($E16&lt;=0,"0",IF($E16&lt;=20,"1","0")))+0</f>
        <v>0</v>
      </c>
      <c r="AP16" s="44" t="s">
        <v>311</v>
      </c>
      <c r="AQ16" s="81">
        <f>(IF($E16&lt;=0,"0",IF($E16&lt;=70,"36",IF($E16&lt;=80,"24","0"))))+0</f>
        <v>0</v>
      </c>
      <c r="AR16" s="81">
        <f>(IF($E16&lt;=0,"0",IF($E16&lt;=50,"30",IF($E16&lt;=60,"18","0"))))+0</f>
        <v>0</v>
      </c>
      <c r="AS16" s="81">
        <f>(IF($E16&lt;=0,"0",IF($E16&lt;=20,"18",IF($E16&lt;=40,"15","0"))))+0</f>
        <v>0</v>
      </c>
      <c r="AT16" s="83">
        <f>Summary2831[[#This Row],[3*2]]+Summary2831[[#This Row],[3*22]]+Summary2831[[#This Row],[3*23]]</f>
        <v>0</v>
      </c>
      <c r="AU16" s="85">
        <f>Summary2831[[#This Row],[2*2]]+Summary2831[[#This Row],[2*23]]+Summary2831[[#This Row],[2*24]]</f>
        <v>0</v>
      </c>
      <c r="AV16" s="85">
        <f>Summary2831[[#This Row],[1*2]]+Summary2831[[#This Row],[1*24]]+Summary2831[[#This Row],[1*25]]</f>
        <v>0</v>
      </c>
      <c r="AW16" s="70">
        <f>IF($F16&lt;=0,"0",IF($F16&lt;=6,"19",IF($F16&lt;=7,"18",IF($F16&lt;=8,"9",0))))+0</f>
        <v>0</v>
      </c>
      <c r="AX16" s="70">
        <f>IF($F16&lt;=0,"0",IF($F16&lt;=2,"22",IF($F16&lt;=3,"19",IF($F16&lt;=4,"15",IF($F16&lt;=5,"9",0)))))+0</f>
        <v>0</v>
      </c>
      <c r="AY16" s="70">
        <f>IF($F16&lt;=0,"0",IF($F16&lt;=1,"6",0))+0</f>
        <v>0</v>
      </c>
      <c r="AZ16" s="70">
        <f>IF($G16&lt;=0,"0",IF($G16&lt;=6,"19",IF($G16&lt;=7,"18",IF($G16&lt;=8,"9",0))))+0</f>
        <v>0</v>
      </c>
      <c r="BA16" s="70">
        <f>IF($G16&lt;=0,"0",IF($G16&lt;=2,"22",IF($G16&lt;=3,"19",IF($G16&lt;=4,"15",IF($G16&lt;=5,"9",0)))))+0</f>
        <v>0</v>
      </c>
      <c r="BB16" s="70">
        <f>IF($G16&lt;=0,"0",IF($G16&lt;=1,"6",0))+0</f>
        <v>0</v>
      </c>
      <c r="BC16" s="70">
        <f>IF($H16&lt;=0,"0",IF($H16&lt;=6,"19",IF($H16&lt;=7,"18",IF($H16&lt;=8,"9",0))))+0</f>
        <v>0</v>
      </c>
      <c r="BD16" s="70">
        <f>IF($H16&lt;=0,"0",IF($H16&lt;=2,"22",IF($H16&lt;=3,"19",IF($H16&lt;=4,"15",IF($H16&lt;=5,"9",0)))))+0</f>
        <v>0</v>
      </c>
      <c r="BE16" s="70">
        <f>IF($H16&lt;=0,"0",IF($H16&lt;=1,"6",0))+0</f>
        <v>0</v>
      </c>
      <c r="BF16" s="79">
        <f>SUM(Summary2831[[#This Row],[3*
(Tal)]],Summary2831[[#This Row],[3*
(Asc)]])</f>
        <v>0</v>
      </c>
      <c r="BG16" s="81">
        <f>SUM(Summary2831[[#This Row],[2*
(Tal)]],Summary2831[[#This Row],[2*
(Asc)]])</f>
        <v>0</v>
      </c>
      <c r="BH16" s="82">
        <f>SUM(Summary2831[[#This Row],[1*
(Tal)]],Summary2831[[#This Row],[1*
(Asc)]])</f>
        <v>0</v>
      </c>
      <c r="BI16" s="86">
        <f>(IF($E16&lt;=0,"0",IF($E16&lt;=1,"2092530",IF($E16&lt;=10,"2087525",IF($E16&lt;=20,"2068495",IF($E16&lt;=30,"2005910",IF($E16&lt;=40,"1932830",IF($E16&lt;=50,"1777010",IF($E16&lt;=60,"1546185",IF($E16&lt;=70,"1227000",IF($E16&lt;=80,"804625",IF($E16&lt;=81,"647990",IF($E16&lt;=90,"0",0)))))))))))))+0</f>
        <v>0</v>
      </c>
      <c r="BJ16" s="87">
        <f>(IF($F16&lt;=0,"0",IF($F16&lt;=1,"952500",IF($F16&lt;=2,"940000",IF($F16&lt;=3,"922500",IF($F16&lt;=4,"897500",IF($F16&lt;=5,"867500",IF($F16&lt;=6,"830000",IF($F16&lt;=7,"710000",IF($F16&lt;=8,"450000",0))))))))))+0</f>
        <v>0</v>
      </c>
      <c r="BK16" s="87">
        <f>(IF($G16&lt;=0,"0",IF($G16&lt;=1,"952500",IF($G16&lt;=2,"940000",IF($G16&lt;=3,"922500",IF($G16&lt;=4,"897500",IF($G16&lt;=5,"867500",IF($G16&lt;=6,"830000",IF($G16&lt;=7,"710000",IF($G16&lt;=8,"450000",0))))))))))+0</f>
        <v>0</v>
      </c>
      <c r="BL16" s="87">
        <f>(IF($H16&lt;=0,"0",IF($H16&lt;=1,"952500",IF($H16&lt;=2,"940000",IF($H16&lt;=3,"922500",IF($H16&lt;=4,"897500",IF($H16&lt;=5,"867500",IF($H16&lt;=6,"830000",IF($H16&lt;=7,"710000",IF($H16&lt;=8,"450000",0))))))))))+0</f>
        <v>0</v>
      </c>
      <c r="BM16" s="88">
        <f>SUM(BI16,BJ16,BK16,BL16)</f>
        <v>0</v>
      </c>
    </row>
    <row r="17" spans="1:65">
      <c r="A17" s="46">
        <f ca="1">SUBTOTAL(3,$B$3:Summary2831[[#This Row],[Name]])</f>
        <v>15</v>
      </c>
      <c r="B17" s="140" t="s">
        <v>410</v>
      </c>
      <c r="C17" s="14" t="s">
        <v>621</v>
      </c>
      <c r="D17" s="155">
        <v>1</v>
      </c>
      <c r="E17" s="14">
        <v>21</v>
      </c>
      <c r="F17" s="9">
        <v>1</v>
      </c>
      <c r="G17" s="2">
        <v>1</v>
      </c>
      <c r="H17" s="2">
        <v>1</v>
      </c>
      <c r="I17" s="72">
        <v>81</v>
      </c>
      <c r="J17" s="73">
        <v>1</v>
      </c>
      <c r="K17" s="74">
        <v>9</v>
      </c>
      <c r="L17" s="74">
        <v>9</v>
      </c>
      <c r="M17" s="44" t="s">
        <v>96</v>
      </c>
      <c r="N17" s="10">
        <f>(IF($E17&lt;=0,"0",IF($E17&lt;=40,"46",IF($E17&lt;=50,"44",IF($E17&lt;=60,"40",IF($E17&lt;=70,"32",IF($E17&lt;=80,"20","0")))))))+0</f>
        <v>46</v>
      </c>
      <c r="O1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17" s="49" t="s">
        <v>562</v>
      </c>
      <c r="Q17" s="50">
        <f>T17+W17+Z17</f>
        <v>66</v>
      </c>
      <c r="R17" s="50">
        <f>U17+X17+AA17</f>
        <v>63</v>
      </c>
      <c r="S17" s="51">
        <f>V17+Y17+AB17</f>
        <v>9</v>
      </c>
      <c r="T17" s="123">
        <f>(IF($F17&lt;=0,"0",IF($F17&lt;=6,"22",IF($F17&lt;=7,"18",IF($F17&lt;=8,"12",0)))))+0</f>
        <v>22</v>
      </c>
      <c r="U17" s="124">
        <f>(IF($F17&lt;=0,"0",IF($F17&lt;=2,"21",IF($F17&lt;=3,"19",IF($F17&lt;=4,"15",IF($F17&lt;=5,"9",0))))))+0</f>
        <v>21</v>
      </c>
      <c r="V17" s="124">
        <f>(IF($F17&lt;=0,"0",IF($F17&lt;=1,"3",0)))+0</f>
        <v>3</v>
      </c>
      <c r="W17" s="124">
        <f>(IF($G17&lt;=0,"0",IF($G17&lt;=6,"22",IF($G17&lt;=7,"18",IF($G17&lt;=8,"12",0)))))+0</f>
        <v>22</v>
      </c>
      <c r="X17" s="124">
        <f>(IF($G17&lt;=0,"0",IF($G17&lt;=2,"21",IF($G17&lt;=3,"19",IF($G17&lt;=4,"15",IF($G17&lt;=5,"9",0))))))+0</f>
        <v>21</v>
      </c>
      <c r="Y17" s="124">
        <f>(IF($G17&lt;=0,"0",IF($G17&lt;=1,"3",0)))+0</f>
        <v>3</v>
      </c>
      <c r="Z17" s="124">
        <f>(IF($H17&lt;=0,"0",IF($H17&lt;=6,"22",IF($H17&lt;=7,"18",IF($H17&lt;=8,"12",0)))))+0</f>
        <v>22</v>
      </c>
      <c r="AA17" s="124">
        <f>(IF($H17&lt;=0,"0",IF($H17&lt;=2,"21",IF($H17&lt;=3,"19",IF($H17&lt;=4,"15",IF($H17&lt;=5,"9",0))))))+0</f>
        <v>21</v>
      </c>
      <c r="AB17" s="125">
        <f>(IF($H17&lt;=0,"0",IF($H17&lt;=1,"3",0)))+0</f>
        <v>3</v>
      </c>
      <c r="AC17" s="8" t="s">
        <v>531</v>
      </c>
      <c r="AD17" s="1" t="s">
        <v>532</v>
      </c>
      <c r="AE17" s="126">
        <f>(IF($F17&lt;=0,"0",IF($F17&lt;=6,"4",IF($F17&lt;=7,"3",IF($F17&lt;=8,"2","0")))))+0</f>
        <v>4</v>
      </c>
      <c r="AF17" s="126">
        <f>(IF($G17&lt;=0,"0",IF($G17&lt;=6,"4",IF($G17&lt;=7,"3",IF($G17&lt;=8,"2","0")))))+0</f>
        <v>4</v>
      </c>
      <c r="AG17" s="126">
        <f>(IF($H17&lt;=0,"0",IF($H17&lt;=6,"4",IF($H17&lt;=7,"3",IF($H17&lt;=8,"2","0")))))+0</f>
        <v>4</v>
      </c>
      <c r="AH17" s="10">
        <f>SUM(AE17:AG17)</f>
        <v>12</v>
      </c>
      <c r="AI17" s="1" t="s">
        <v>563</v>
      </c>
      <c r="AJ17" s="2">
        <f>(IF($E17&lt;=0,"0",IF($E17&lt;=20,"168",IF($E17&lt;=30,"165",IF($E17&lt;=50,"155",IF($E17&lt;=60,"135",IF($E17&lt;=70,"105",IF($E17&lt;=80,"60","0"))))))))+0</f>
        <v>165</v>
      </c>
      <c r="AK17" s="44" t="s">
        <v>530</v>
      </c>
      <c r="AL17" s="1">
        <f>(IF($E17&lt;=0,"0",IF($E17&lt;=80,"6","0")))+0</f>
        <v>6</v>
      </c>
      <c r="AM17" s="1">
        <f>(IF($E17&lt;=0,"0",IF($E17&lt;=60,"9",IF($E17&lt;=70,"6","0"))))+0</f>
        <v>9</v>
      </c>
      <c r="AN17" s="1">
        <f>(IF($E17&lt;=0,"0",IF($E17&lt;=40,"9",IF($E17&lt;=50,"6","0"))))+0</f>
        <v>9</v>
      </c>
      <c r="AO17" s="34">
        <f>(IF($E17&lt;=0,"0",IF($E17&lt;=20,"1","0")))+0</f>
        <v>0</v>
      </c>
      <c r="AP17" s="44" t="s">
        <v>89</v>
      </c>
      <c r="AQ17" s="1">
        <f>(IF($E17&lt;=0,"0",IF($E17&lt;=70,"36",IF($E17&lt;=80,"24","0"))))+0</f>
        <v>36</v>
      </c>
      <c r="AR17" s="1">
        <f>(IF($E17&lt;=0,"0",IF($E17&lt;=50,"30",IF($E17&lt;=60,"18","0"))))+0</f>
        <v>30</v>
      </c>
      <c r="AS17" s="1">
        <f>(IF($E17&lt;=0,"0",IF($E17&lt;=20,"18",IF($E17&lt;=40,"15","0"))))+0</f>
        <v>15</v>
      </c>
      <c r="AT17" s="53">
        <f>Summary2831[[#This Row],[3*2]]+Summary2831[[#This Row],[3*22]]+Summary2831[[#This Row],[3*23]]</f>
        <v>57</v>
      </c>
      <c r="AU17" s="52">
        <f>Summary2831[[#This Row],[2*2]]+Summary2831[[#This Row],[2*23]]+Summary2831[[#This Row],[2*24]]</f>
        <v>66</v>
      </c>
      <c r="AV17" s="52">
        <f>Summary2831[[#This Row],[1*2]]+Summary2831[[#This Row],[1*24]]+Summary2831[[#This Row],[1*25]]</f>
        <v>18</v>
      </c>
      <c r="AW17" s="52">
        <f>IF($F17&lt;=0,"0",IF($F17&lt;=6,"19",IF($F17&lt;=7,"18",IF($F17&lt;=8,"9",0))))+0</f>
        <v>19</v>
      </c>
      <c r="AX17" s="52">
        <f>IF($F17&lt;=0,"0",IF($F17&lt;=2,"22",IF($F17&lt;=3,"19",IF($F17&lt;=4,"15",IF($F17&lt;=5,"9",0)))))+0</f>
        <v>22</v>
      </c>
      <c r="AY17" s="52">
        <f>IF($F17&lt;=0,"0",IF($F17&lt;=1,"6",0))+0</f>
        <v>6</v>
      </c>
      <c r="AZ17" s="52">
        <f>IF($G17&lt;=0,"0",IF($G17&lt;=6,"19",IF($G17&lt;=7,"18",IF($G17&lt;=8,"9",0))))+0</f>
        <v>19</v>
      </c>
      <c r="BA17" s="52">
        <f>IF($G17&lt;=0,"0",IF($G17&lt;=2,"22",IF($G17&lt;=3,"19",IF($G17&lt;=4,"15",IF($G17&lt;=5,"9",0)))))+0</f>
        <v>22</v>
      </c>
      <c r="BB17" s="52">
        <f>IF($G17&lt;=0,"0",IF($G17&lt;=1,"6",0))+0</f>
        <v>6</v>
      </c>
      <c r="BC17" s="52">
        <f>IF($H17&lt;=0,"0",IF($H17&lt;=6,"19",IF($H17&lt;=7,"18",IF($H17&lt;=8,"9",0))))+0</f>
        <v>19</v>
      </c>
      <c r="BD17" s="52">
        <f>IF($H17&lt;=0,"0",IF($H17&lt;=2,"22",IF($H17&lt;=3,"19",IF($H17&lt;=4,"15",IF($H17&lt;=5,"9",0)))))+0</f>
        <v>22</v>
      </c>
      <c r="BE17" s="52">
        <f>IF($H17&lt;=0,"0",IF($H17&lt;=1,"6",0))+0</f>
        <v>6</v>
      </c>
      <c r="BF17" s="44">
        <f>SUM(Summary2831[[#This Row],[3*
(Tal)]],Summary2831[[#This Row],[3*
(Asc)]])</f>
        <v>93</v>
      </c>
      <c r="BG17" s="1">
        <f>SUM(Summary2831[[#This Row],[2*
(Tal)]],Summary2831[[#This Row],[2*
(Asc)]])</f>
        <v>96</v>
      </c>
      <c r="BH17" s="34">
        <f>SUM(Summary2831[[#This Row],[1*
(Tal)]],Summary2831[[#This Row],[1*
(Asc)]])</f>
        <v>33</v>
      </c>
      <c r="BI17" s="86">
        <f>(IF($E17&lt;=0,"0",IF($E17&lt;=1,"2092530",IF($E17&lt;=10,"2087525",IF($E17&lt;=20,"2068495",IF($E17&lt;=30,"2005910",IF($E17&lt;=40,"1932830",IF($E17&lt;=50,"1777010",IF($E17&lt;=60,"1546185",IF($E17&lt;=70,"1227000",IF($E17&lt;=80,"804625",IF($E17&lt;=81,"647990",IF($E17&lt;=90,"0",0)))))))))))))+0</f>
        <v>2005910</v>
      </c>
      <c r="BJ17" s="56">
        <f>(IF($F17&lt;=0,"0",IF($F17&lt;=1,"952500",IF($F17&lt;=2,"940000",IF($F17&lt;=3,"922500",IF($F17&lt;=4,"897500",IF($F17&lt;=5,"867500",IF($F17&lt;=6,"830000",IF($F17&lt;=7,"710000",IF($F17&lt;=8,"450000",0))))))))))+0</f>
        <v>952500</v>
      </c>
      <c r="BK17" s="56">
        <f>(IF($G17&lt;=0,"0",IF($G17&lt;=1,"952500",IF($G17&lt;=2,"940000",IF($G17&lt;=3,"922500",IF($G17&lt;=4,"897500",IF($G17&lt;=5,"867500",IF($G17&lt;=6,"830000",IF($G17&lt;=7,"710000",IF($G17&lt;=8,"450000",0))))))))))+0</f>
        <v>952500</v>
      </c>
      <c r="BL17" s="56">
        <f>(IF($H17&lt;=0,"0",IF($H17&lt;=1,"952500",IF($H17&lt;=2,"940000",IF($H17&lt;=3,"922500",IF($H17&lt;=4,"897500",IF($H17&lt;=5,"867500",IF($H17&lt;=6,"830000",IF($H17&lt;=7,"710000",IF($H17&lt;=8,"450000",0))))))))))+0</f>
        <v>952500</v>
      </c>
      <c r="BM17" s="57">
        <f>SUM(BI17,BJ17,BK17,BL17)</f>
        <v>4863410</v>
      </c>
    </row>
    <row r="18" spans="1:65">
      <c r="A18" s="46">
        <f ca="1">SUBTOTAL(3,$B$3:Summary2831[[#This Row],[Name]])</f>
        <v>16</v>
      </c>
      <c r="B18" s="140" t="s">
        <v>126</v>
      </c>
      <c r="C18" s="72" t="s">
        <v>31</v>
      </c>
      <c r="D18" s="154">
        <v>4.8</v>
      </c>
      <c r="E18" s="72">
        <v>0</v>
      </c>
      <c r="F18" s="73">
        <v>0</v>
      </c>
      <c r="G18" s="74">
        <v>0</v>
      </c>
      <c r="H18" s="74">
        <v>0</v>
      </c>
      <c r="I18" s="72">
        <v>81</v>
      </c>
      <c r="J18" s="73">
        <v>1</v>
      </c>
      <c r="K18" s="74">
        <v>9</v>
      </c>
      <c r="L18" s="74">
        <v>9</v>
      </c>
      <c r="M18" s="79" t="s">
        <v>333</v>
      </c>
      <c r="N18" s="75">
        <f>(IF($E18&lt;=0,"0",IF($E18&lt;=40,"46",IF($E18&lt;=50,"44",IF($E18&lt;=60,"40",IF($E18&lt;=70,"32",IF($E18&lt;=80,"20","0")))))))+0</f>
        <v>0</v>
      </c>
      <c r="O1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18" s="76" t="s">
        <v>556</v>
      </c>
      <c r="Q18" s="77">
        <f>T18+W18+Z18</f>
        <v>0</v>
      </c>
      <c r="R18" s="77">
        <f>U18+X18+AA18</f>
        <v>0</v>
      </c>
      <c r="S18" s="78">
        <f>V18+Y18+AB18</f>
        <v>0</v>
      </c>
      <c r="T18" s="123">
        <f>(IF($F18&lt;=0,"0",IF($F18&lt;=6,"22",IF($F18&lt;=7,"18",IF($F18&lt;=8,"12",0)))))+0</f>
        <v>0</v>
      </c>
      <c r="U18" s="124">
        <f>(IF($F18&lt;=0,"0",IF($F18&lt;=2,"21",IF($F18&lt;=3,"19",IF($F18&lt;=4,"15",IF($F18&lt;=5,"9",0))))))+0</f>
        <v>0</v>
      </c>
      <c r="V18" s="124">
        <f>(IF($F18&lt;=0,"0",IF($F18&lt;=1,"3",0)))+0</f>
        <v>0</v>
      </c>
      <c r="W18" s="124">
        <f>(IF($G18&lt;=0,"0",IF($G18&lt;=6,"22",IF($G18&lt;=7,"18",IF($G18&lt;=8,"12",0)))))+0</f>
        <v>0</v>
      </c>
      <c r="X18" s="124">
        <f>(IF($G18&lt;=0,"0",IF($G18&lt;=2,"21",IF($G18&lt;=3,"19",IF($G18&lt;=4,"15",IF($G18&lt;=5,"9",0))))))+0</f>
        <v>0</v>
      </c>
      <c r="Y18" s="124">
        <f>(IF($G18&lt;=0,"0",IF($G18&lt;=1,"3",0)))+0</f>
        <v>0</v>
      </c>
      <c r="Z18" s="124">
        <f>(IF($H18&lt;=0,"0",IF($H18&lt;=6,"22",IF($H18&lt;=7,"18",IF($H18&lt;=8,"12",0)))))+0</f>
        <v>0</v>
      </c>
      <c r="AA18" s="124">
        <f>(IF($H18&lt;=0,"0",IF($H18&lt;=2,"21",IF($H18&lt;=3,"19",IF($H18&lt;=4,"15",IF($H18&lt;=5,"9",0))))))+0</f>
        <v>0</v>
      </c>
      <c r="AB18" s="125">
        <f>(IF($H18&lt;=0,"0",IF($H18&lt;=1,"3",0)))+0</f>
        <v>0</v>
      </c>
      <c r="AC18" s="80" t="s">
        <v>286</v>
      </c>
      <c r="AD18" s="81" t="s">
        <v>295</v>
      </c>
      <c r="AE18" s="126">
        <f>(IF($F18&lt;=0,"0",IF($F18&lt;=6,"4",IF($F18&lt;=7,"3",IF($F18&lt;=8,"2","0")))))+0</f>
        <v>0</v>
      </c>
      <c r="AF18" s="126">
        <f>(IF($G18&lt;=0,"0",IF($G18&lt;=6,"4",IF($G18&lt;=7,"3",IF($G18&lt;=8,"2","0")))))+0</f>
        <v>0</v>
      </c>
      <c r="AG18" s="126">
        <f>(IF($H18&lt;=0,"0",IF($H18&lt;=6,"4",IF($H18&lt;=7,"3",IF($H18&lt;=8,"2","0")))))+0</f>
        <v>0</v>
      </c>
      <c r="AH18" s="75">
        <f>SUM(AE18:AG18)</f>
        <v>0</v>
      </c>
      <c r="AI18" s="81" t="s">
        <v>248</v>
      </c>
      <c r="AJ18" s="74">
        <f>(IF($E18&lt;=0,"0",IF($E18&lt;=20,"168",IF($E18&lt;=30,"165",IF($E18&lt;=50,"155",IF($E18&lt;=60,"135",IF($E18&lt;=70,"105",IF($E18&lt;=80,"60","0"))))))))+0</f>
        <v>0</v>
      </c>
      <c r="AK18" s="79" t="s">
        <v>548</v>
      </c>
      <c r="AL18" s="81">
        <f>(IF($E18&lt;=0,"0",IF($E18&lt;=80,"6","0")))+0</f>
        <v>0</v>
      </c>
      <c r="AM18" s="81">
        <f>(IF($E18&lt;=0,"0",IF($E18&lt;=60,"9",IF($E18&lt;=70,"6","0"))))+0</f>
        <v>0</v>
      </c>
      <c r="AN18" s="81">
        <f>(IF($E18&lt;=0,"0",IF($E18&lt;=40,"9",IF($E18&lt;=50,"6","0"))))+0</f>
        <v>0</v>
      </c>
      <c r="AO18" s="82">
        <f>(IF($E18&lt;=0,"0",IF($E18&lt;=20,"1","0")))+0</f>
        <v>0</v>
      </c>
      <c r="AP18" s="79" t="s">
        <v>373</v>
      </c>
      <c r="AQ18" s="81">
        <f>(IF($E18&lt;=0,"0",IF($E18&lt;=70,"36",IF($E18&lt;=80,"24","0"))))+0</f>
        <v>0</v>
      </c>
      <c r="AR18" s="81">
        <f>(IF($E18&lt;=0,"0",IF($E18&lt;=50,"30",IF($E18&lt;=60,"18","0"))))+0</f>
        <v>0</v>
      </c>
      <c r="AS18" s="81">
        <f>(IF($E18&lt;=0,"0",IF($E18&lt;=20,"18",IF($E18&lt;=40,"15","0"))))+0</f>
        <v>0</v>
      </c>
      <c r="AT18" s="121">
        <f>Summary2831[[#This Row],[3*2]]+Summary2831[[#This Row],[3*22]]+Summary2831[[#This Row],[3*23]]</f>
        <v>0</v>
      </c>
      <c r="AU18" s="85">
        <f>Summary2831[[#This Row],[2*2]]+Summary2831[[#This Row],[2*23]]+Summary2831[[#This Row],[2*24]]</f>
        <v>0</v>
      </c>
      <c r="AV18" s="85">
        <f>Summary2831[[#This Row],[1*2]]+Summary2831[[#This Row],[1*24]]+Summary2831[[#This Row],[1*25]]</f>
        <v>0</v>
      </c>
      <c r="AW18" s="70">
        <f>IF($F18&lt;=0,"0",IF($F18&lt;=6,"19",IF($F18&lt;=7,"18",IF($F18&lt;=8,"9",0))))+0</f>
        <v>0</v>
      </c>
      <c r="AX18" s="70">
        <f>IF($F18&lt;=0,"0",IF($F18&lt;=2,"22",IF($F18&lt;=3,"19",IF($F18&lt;=4,"15",IF($F18&lt;=5,"9",0)))))+0</f>
        <v>0</v>
      </c>
      <c r="AY18" s="70">
        <f>IF($F18&lt;=0,"0",IF($F18&lt;=1,"6",0))+0</f>
        <v>0</v>
      </c>
      <c r="AZ18" s="70">
        <f>IF($G18&lt;=0,"0",IF($G18&lt;=6,"19",IF($G18&lt;=7,"18",IF($G18&lt;=8,"9",0))))+0</f>
        <v>0</v>
      </c>
      <c r="BA18" s="70">
        <f>IF($G18&lt;=0,"0",IF($G18&lt;=2,"22",IF($G18&lt;=3,"19",IF($G18&lt;=4,"15",IF($G18&lt;=5,"9",0)))))+0</f>
        <v>0</v>
      </c>
      <c r="BB18" s="70">
        <f>IF($G18&lt;=0,"0",IF($G18&lt;=1,"6",0))+0</f>
        <v>0</v>
      </c>
      <c r="BC18" s="70">
        <f>IF($H18&lt;=0,"0",IF($H18&lt;=6,"19",IF($H18&lt;=7,"18",IF($H18&lt;=8,"9",0))))+0</f>
        <v>0</v>
      </c>
      <c r="BD18" s="70">
        <f>IF($H18&lt;=0,"0",IF($H18&lt;=2,"22",IF($H18&lt;=3,"19",IF($H18&lt;=4,"15",IF($H18&lt;=5,"9",0)))))+0</f>
        <v>0</v>
      </c>
      <c r="BE18" s="70">
        <f>IF($H18&lt;=0,"0",IF($H18&lt;=1,"6",0))+0</f>
        <v>0</v>
      </c>
      <c r="BF18" s="121">
        <f>SUM(Summary2831[[#This Row],[3*
(Tal)]],Summary2831[[#This Row],[3*
(Asc)]])</f>
        <v>0</v>
      </c>
      <c r="BG18" s="85">
        <f>SUM(Summary2831[[#This Row],[2*
(Tal)]],Summary2831[[#This Row],[2*
(Asc)]])</f>
        <v>0</v>
      </c>
      <c r="BH18" s="122">
        <f>SUM(Summary2831[[#This Row],[1*
(Tal)]],Summary2831[[#This Row],[1*
(Asc)]])</f>
        <v>0</v>
      </c>
      <c r="BI18" s="86">
        <f>(IF($E18&lt;=0,"0",IF($E18&lt;=1,"2092530",IF($E18&lt;=10,"2087525",IF($E18&lt;=20,"2068495",IF($E18&lt;=30,"2005910",IF($E18&lt;=40,"1932830",IF($E18&lt;=50,"1777010",IF($E18&lt;=60,"1546185",IF($E18&lt;=70,"1227000",IF($E18&lt;=80,"804625",IF($E18&lt;=81,"647990",IF($E18&lt;=90,"0",0)))))))))))))+0</f>
        <v>0</v>
      </c>
      <c r="BJ18" s="87">
        <f>(IF($F18&lt;=0,"0",IF($F18&lt;=1,"952500",IF($F18&lt;=2,"940000",IF($F18&lt;=3,"922500",IF($F18&lt;=4,"897500",IF($F18&lt;=5,"867500",IF($F18&lt;=6,"830000",IF($F18&lt;=7,"710000",IF($F18&lt;=8,"450000",0))))))))))+0</f>
        <v>0</v>
      </c>
      <c r="BK18" s="87">
        <f>(IF($G18&lt;=0,"0",IF($G18&lt;=1,"952500",IF($G18&lt;=2,"940000",IF($G18&lt;=3,"922500",IF($G18&lt;=4,"897500",IF($G18&lt;=5,"867500",IF($G18&lt;=6,"830000",IF($G18&lt;=7,"710000",IF($G18&lt;=8,"450000",0))))))))))+0</f>
        <v>0</v>
      </c>
      <c r="BL18" s="87">
        <f>(IF($H18&lt;=0,"0",IF($H18&lt;=1,"952500",IF($H18&lt;=2,"940000",IF($H18&lt;=3,"922500",IF($H18&lt;=4,"897500",IF($H18&lt;=5,"867500",IF($H18&lt;=6,"830000",IF($H18&lt;=7,"710000",IF($H18&lt;=8,"450000",0))))))))))+0</f>
        <v>0</v>
      </c>
      <c r="BM18" s="88">
        <f>SUM(BI18,BJ18,BK18,BL18)</f>
        <v>0</v>
      </c>
    </row>
    <row r="19" spans="1:65">
      <c r="A19" s="46">
        <f ca="1">SUBTOTAL(3,$B$3:Summary2831[[#This Row],[Name]])</f>
        <v>17</v>
      </c>
      <c r="B19" s="140" t="s">
        <v>341</v>
      </c>
      <c r="C19" s="14" t="s">
        <v>620</v>
      </c>
      <c r="D19" s="155">
        <v>3</v>
      </c>
      <c r="E19" s="14">
        <v>22</v>
      </c>
      <c r="F19" s="9">
        <v>1</v>
      </c>
      <c r="G19" s="2">
        <v>1</v>
      </c>
      <c r="H19" s="2">
        <v>1</v>
      </c>
      <c r="I19" s="72">
        <v>81</v>
      </c>
      <c r="J19" s="73">
        <v>1</v>
      </c>
      <c r="K19" s="74">
        <v>9</v>
      </c>
      <c r="L19" s="74">
        <v>9</v>
      </c>
      <c r="M19" s="44" t="s">
        <v>252</v>
      </c>
      <c r="N19" s="10">
        <f>(IF($E19&lt;=0,"0",IF($E19&lt;=40,"46",IF($E19&lt;=50,"44",IF($E19&lt;=60,"40",IF($E19&lt;=70,"32",IF($E19&lt;=80,"20","0")))))))+0</f>
        <v>46</v>
      </c>
      <c r="O1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19" s="49" t="s">
        <v>39</v>
      </c>
      <c r="Q19" s="50">
        <f>T19+W19+Z19</f>
        <v>66</v>
      </c>
      <c r="R19" s="50">
        <f>U19+X19+AA19</f>
        <v>63</v>
      </c>
      <c r="S19" s="51">
        <f>V19+Y19+AB19</f>
        <v>9</v>
      </c>
      <c r="T19" s="123">
        <f>(IF($F19&lt;=0,"0",IF($F19&lt;=6,"22",IF($F19&lt;=7,"18",IF($F19&lt;=8,"12",0)))))+0</f>
        <v>22</v>
      </c>
      <c r="U19" s="124">
        <f>(IF($F19&lt;=0,"0",IF($F19&lt;=2,"21",IF($F19&lt;=3,"19",IF($F19&lt;=4,"15",IF($F19&lt;=5,"9",0))))))+0</f>
        <v>21</v>
      </c>
      <c r="V19" s="124">
        <f>(IF($F19&lt;=0,"0",IF($F19&lt;=1,"3",0)))+0</f>
        <v>3</v>
      </c>
      <c r="W19" s="124">
        <f>(IF($G19&lt;=0,"0",IF($G19&lt;=6,"22",IF($G19&lt;=7,"18",IF($G19&lt;=8,"12",0)))))+0</f>
        <v>22</v>
      </c>
      <c r="X19" s="124">
        <f>(IF($G19&lt;=0,"0",IF($G19&lt;=2,"21",IF($G19&lt;=3,"19",IF($G19&lt;=4,"15",IF($G19&lt;=5,"9",0))))))+0</f>
        <v>21</v>
      </c>
      <c r="Y19" s="124">
        <f>(IF($G19&lt;=0,"0",IF($G19&lt;=1,"3",0)))+0</f>
        <v>3</v>
      </c>
      <c r="Z19" s="124">
        <f>(IF($H19&lt;=0,"0",IF($H19&lt;=6,"22",IF($H19&lt;=7,"18",IF($H19&lt;=8,"12",0)))))+0</f>
        <v>22</v>
      </c>
      <c r="AA19" s="124">
        <f>(IF($H19&lt;=0,"0",IF($H19&lt;=2,"21",IF($H19&lt;=3,"19",IF($H19&lt;=4,"15",IF($H19&lt;=5,"9",0))))))+0</f>
        <v>21</v>
      </c>
      <c r="AB19" s="125">
        <f>(IF($H19&lt;=0,"0",IF($H19&lt;=1,"3",0)))+0</f>
        <v>3</v>
      </c>
      <c r="AC19" s="8" t="s">
        <v>553</v>
      </c>
      <c r="AD19" s="1" t="s">
        <v>554</v>
      </c>
      <c r="AE19" s="126">
        <f>(IF($F19&lt;=0,"0",IF($F19&lt;=6,"4",IF($F19&lt;=7,"3",IF($F19&lt;=8,"2","0")))))+0</f>
        <v>4</v>
      </c>
      <c r="AF19" s="126">
        <f>(IF($G19&lt;=0,"0",IF($G19&lt;=6,"4",IF($G19&lt;=7,"3",IF($G19&lt;=8,"2","0")))))+0</f>
        <v>4</v>
      </c>
      <c r="AG19" s="126">
        <f>(IF($H19&lt;=0,"0",IF($H19&lt;=6,"4",IF($H19&lt;=7,"3",IF($H19&lt;=8,"2","0")))))+0</f>
        <v>4</v>
      </c>
      <c r="AH19" s="10">
        <f>SUM(AE19:AG19)</f>
        <v>12</v>
      </c>
      <c r="AI19" s="1" t="s">
        <v>564</v>
      </c>
      <c r="AJ19" s="2">
        <f>(IF($E19&lt;=0,"0",IF($E19&lt;=20,"168",IF($E19&lt;=30,"165",IF($E19&lt;=50,"155",IF($E19&lt;=60,"135",IF($E19&lt;=70,"105",IF($E19&lt;=80,"60","0"))))))))+0</f>
        <v>165</v>
      </c>
      <c r="AK19" s="44" t="s">
        <v>526</v>
      </c>
      <c r="AL19" s="1">
        <f>(IF($E19&lt;=0,"0",IF($E19&lt;=80,"6","0")))+0</f>
        <v>6</v>
      </c>
      <c r="AM19" s="1">
        <f>(IF($E19&lt;=0,"0",IF($E19&lt;=60,"9",IF($E19&lt;=70,"6","0"))))+0</f>
        <v>9</v>
      </c>
      <c r="AN19" s="1">
        <f>(IF($E19&lt;=0,"0",IF($E19&lt;=40,"9",IF($E19&lt;=50,"6","0"))))+0</f>
        <v>9</v>
      </c>
      <c r="AO19" s="34">
        <f>(IF($E19&lt;=0,"0",IF($E19&lt;=20,"1","0")))+0</f>
        <v>0</v>
      </c>
      <c r="AP19" s="44" t="s">
        <v>120</v>
      </c>
      <c r="AQ19" s="1">
        <f>(IF($E19&lt;=0,"0",IF($E19&lt;=70,"36",IF($E19&lt;=80,"24","0"))))+0</f>
        <v>36</v>
      </c>
      <c r="AR19" s="1">
        <f>(IF($E19&lt;=0,"0",IF($E19&lt;=50,"30",IF($E19&lt;=60,"18","0"))))+0</f>
        <v>30</v>
      </c>
      <c r="AS19" s="1">
        <f>(IF($E19&lt;=0,"0",IF($E19&lt;=20,"18",IF($E19&lt;=40,"15","0"))))+0</f>
        <v>15</v>
      </c>
      <c r="AT19" s="53">
        <f>Summary2831[[#This Row],[3*2]]+Summary2831[[#This Row],[3*22]]+Summary2831[[#This Row],[3*23]]</f>
        <v>57</v>
      </c>
      <c r="AU19" s="52">
        <f>Summary2831[[#This Row],[2*2]]+Summary2831[[#This Row],[2*23]]+Summary2831[[#This Row],[2*24]]</f>
        <v>66</v>
      </c>
      <c r="AV19" s="52">
        <f>Summary2831[[#This Row],[1*2]]+Summary2831[[#This Row],[1*24]]+Summary2831[[#This Row],[1*25]]</f>
        <v>18</v>
      </c>
      <c r="AW19" s="52">
        <f>IF($F19&lt;=0,"0",IF($F19&lt;=6,"19",IF($F19&lt;=7,"18",IF($F19&lt;=8,"9",0))))+0</f>
        <v>19</v>
      </c>
      <c r="AX19" s="52">
        <f>IF($F19&lt;=0,"0",IF($F19&lt;=2,"22",IF($F19&lt;=3,"19",IF($F19&lt;=4,"15",IF($F19&lt;=5,"9",0)))))+0</f>
        <v>22</v>
      </c>
      <c r="AY19" s="52">
        <f>IF($F19&lt;=0,"0",IF($F19&lt;=1,"6",0))+0</f>
        <v>6</v>
      </c>
      <c r="AZ19" s="52">
        <f>IF($G19&lt;=0,"0",IF($G19&lt;=6,"19",IF($G19&lt;=7,"18",IF($G19&lt;=8,"9",0))))+0</f>
        <v>19</v>
      </c>
      <c r="BA19" s="52">
        <f>IF($G19&lt;=0,"0",IF($G19&lt;=2,"22",IF($G19&lt;=3,"19",IF($G19&lt;=4,"15",IF($G19&lt;=5,"9",0)))))+0</f>
        <v>22</v>
      </c>
      <c r="BB19" s="52">
        <f>IF($G19&lt;=0,"0",IF($G19&lt;=1,"6",0))+0</f>
        <v>6</v>
      </c>
      <c r="BC19" s="52">
        <f>IF($H19&lt;=0,"0",IF($H19&lt;=6,"19",IF($H19&lt;=7,"18",IF($H19&lt;=8,"9",0))))+0</f>
        <v>19</v>
      </c>
      <c r="BD19" s="52">
        <f>IF($H19&lt;=0,"0",IF($H19&lt;=2,"22",IF($H19&lt;=3,"19",IF($H19&lt;=4,"15",IF($H19&lt;=5,"9",0)))))+0</f>
        <v>22</v>
      </c>
      <c r="BE19" s="52">
        <f>IF($H19&lt;=0,"0",IF($H19&lt;=1,"6",0))+0</f>
        <v>6</v>
      </c>
      <c r="BF19" s="44">
        <f>SUM(Summary2831[[#This Row],[3*
(Tal)]],Summary2831[[#This Row],[3*
(Asc)]])</f>
        <v>93</v>
      </c>
      <c r="BG19" s="1">
        <f>SUM(Summary2831[[#This Row],[2*
(Tal)]],Summary2831[[#This Row],[2*
(Asc)]])</f>
        <v>96</v>
      </c>
      <c r="BH19" s="34">
        <f>SUM(Summary2831[[#This Row],[1*
(Tal)]],Summary2831[[#This Row],[1*
(Asc)]])</f>
        <v>33</v>
      </c>
      <c r="BI19" s="86">
        <f>(IF($E19&lt;=0,"0",IF($E19&lt;=1,"2092530",IF($E19&lt;=10,"2087525",IF($E19&lt;=20,"2068495",IF($E19&lt;=30,"2005910",IF($E19&lt;=40,"1932830",IF($E19&lt;=50,"1777010",IF($E19&lt;=60,"1546185",IF($E19&lt;=70,"1227000",IF($E19&lt;=80,"804625",IF($E19&lt;=81,"647990",IF($E19&lt;=90,"0",0)))))))))))))+0</f>
        <v>2005910</v>
      </c>
      <c r="BJ19" s="56">
        <f>(IF($F19&lt;=0,"0",IF($F19&lt;=1,"952500",IF($F19&lt;=2,"940000",IF($F19&lt;=3,"922500",IF($F19&lt;=4,"897500",IF($F19&lt;=5,"867500",IF($F19&lt;=6,"830000",IF($F19&lt;=7,"710000",IF($F19&lt;=8,"450000",0))))))))))+0</f>
        <v>952500</v>
      </c>
      <c r="BK19" s="56">
        <f>(IF($G19&lt;=0,"0",IF($G19&lt;=1,"952500",IF($G19&lt;=2,"940000",IF($G19&lt;=3,"922500",IF($G19&lt;=4,"897500",IF($G19&lt;=5,"867500",IF($G19&lt;=6,"830000",IF($G19&lt;=7,"710000",IF($G19&lt;=8,"450000",0))))))))))+0</f>
        <v>952500</v>
      </c>
      <c r="BL19" s="56">
        <f>(IF($H19&lt;=0,"0",IF($H19&lt;=1,"952500",IF($H19&lt;=2,"940000",IF($H19&lt;=3,"922500",IF($H19&lt;=4,"897500",IF($H19&lt;=5,"867500",IF($H19&lt;=6,"830000",IF($H19&lt;=7,"710000",IF($H19&lt;=8,"450000",0))))))))))+0</f>
        <v>952500</v>
      </c>
      <c r="BM19" s="57">
        <f>SUM(BI19,BJ19,BK19,BL19)</f>
        <v>4863410</v>
      </c>
    </row>
    <row r="20" spans="1:65">
      <c r="A20" s="71">
        <f ca="1">SUBTOTAL(3,$B$3:Summary2831[[#This Row],[Name]])</f>
        <v>18</v>
      </c>
      <c r="B20" s="72" t="s">
        <v>444</v>
      </c>
      <c r="C20" s="72" t="s">
        <v>31</v>
      </c>
      <c r="D20" s="154">
        <v>3.1</v>
      </c>
      <c r="E20" s="72">
        <v>0</v>
      </c>
      <c r="F20" s="73">
        <v>0</v>
      </c>
      <c r="G20" s="74">
        <v>0</v>
      </c>
      <c r="H20" s="74">
        <v>0</v>
      </c>
      <c r="I20" s="72">
        <v>81</v>
      </c>
      <c r="J20" s="73">
        <v>1</v>
      </c>
      <c r="K20" s="74">
        <v>9</v>
      </c>
      <c r="L20" s="74">
        <v>9</v>
      </c>
      <c r="M20" s="79" t="s">
        <v>106</v>
      </c>
      <c r="N20" s="75">
        <f>(IF($E20&lt;=0,"0",IF($E20&lt;=40,"46",IF($E20&lt;=50,"44",IF($E20&lt;=60,"40",IF($E20&lt;=70,"32",IF($E20&lt;=80,"20","0")))))))+0</f>
        <v>0</v>
      </c>
      <c r="O2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0" s="76" t="s">
        <v>552</v>
      </c>
      <c r="Q20" s="77">
        <f>T20+W20+Z20</f>
        <v>0</v>
      </c>
      <c r="R20" s="77">
        <f>U20+X20+AA20</f>
        <v>0</v>
      </c>
      <c r="S20" s="78">
        <f>V20+Y20+AB20</f>
        <v>0</v>
      </c>
      <c r="T20" s="123">
        <f>(IF($F20&lt;=0,"0",IF($F20&lt;=6,"22",IF($F20&lt;=7,"18",IF($F20&lt;=8,"12",0)))))+0</f>
        <v>0</v>
      </c>
      <c r="U20" s="124">
        <f>(IF($F20&lt;=0,"0",IF($F20&lt;=2,"21",IF($F20&lt;=3,"19",IF($F20&lt;=4,"15",IF($F20&lt;=5,"9",0))))))+0</f>
        <v>0</v>
      </c>
      <c r="V20" s="124">
        <f>(IF($F20&lt;=0,"0",IF($F20&lt;=1,"3",0)))+0</f>
        <v>0</v>
      </c>
      <c r="W20" s="124">
        <f>(IF($G20&lt;=0,"0",IF($G20&lt;=6,"22",IF($G20&lt;=7,"18",IF($G20&lt;=8,"12",0)))))+0</f>
        <v>0</v>
      </c>
      <c r="X20" s="124">
        <f>(IF($G20&lt;=0,"0",IF($G20&lt;=2,"21",IF($G20&lt;=3,"19",IF($G20&lt;=4,"15",IF($G20&lt;=5,"9",0))))))+0</f>
        <v>0</v>
      </c>
      <c r="Y20" s="124">
        <f>(IF($G20&lt;=0,"0",IF($G20&lt;=1,"3",0)))+0</f>
        <v>0</v>
      </c>
      <c r="Z20" s="124">
        <f>(IF($H20&lt;=0,"0",IF($H20&lt;=6,"22",IF($H20&lt;=7,"18",IF($H20&lt;=8,"12",0)))))+0</f>
        <v>0</v>
      </c>
      <c r="AA20" s="124">
        <f>(IF($H20&lt;=0,"0",IF($H20&lt;=2,"21",IF($H20&lt;=3,"19",IF($H20&lt;=4,"15",IF($H20&lt;=5,"9",0))))))+0</f>
        <v>0</v>
      </c>
      <c r="AB20" s="125">
        <f>(IF($H20&lt;=0,"0",IF($H20&lt;=1,"3",0)))+0</f>
        <v>0</v>
      </c>
      <c r="AC20" s="80" t="s">
        <v>553</v>
      </c>
      <c r="AD20" s="81" t="s">
        <v>565</v>
      </c>
      <c r="AE20" s="126">
        <f>(IF($F20&lt;=0,"0",IF($F20&lt;=6,"4",IF($F20&lt;=7,"3",IF($F20&lt;=8,"2","0")))))+0</f>
        <v>0</v>
      </c>
      <c r="AF20" s="126">
        <f>(IF($G20&lt;=0,"0",IF($G20&lt;=6,"4",IF($G20&lt;=7,"3",IF($G20&lt;=8,"2","0")))))+0</f>
        <v>0</v>
      </c>
      <c r="AG20" s="126">
        <f>(IF($H20&lt;=0,"0",IF($H20&lt;=6,"4",IF($H20&lt;=7,"3",IF($H20&lt;=8,"2","0")))))+0</f>
        <v>0</v>
      </c>
      <c r="AH20" s="75">
        <f>SUM(AE20:AG20)</f>
        <v>0</v>
      </c>
      <c r="AI20" s="81" t="s">
        <v>366</v>
      </c>
      <c r="AJ20" s="74">
        <f>(IF($E20&lt;=0,"0",IF($E20&lt;=20,"168",IF($E20&lt;=30,"165",IF($E20&lt;=50,"155",IF($E20&lt;=60,"135",IF($E20&lt;=70,"105",IF($E20&lt;=80,"60","0"))))))))+0</f>
        <v>0</v>
      </c>
      <c r="AK20" s="79" t="s">
        <v>548</v>
      </c>
      <c r="AL20" s="81">
        <f>(IF($E20&lt;=0,"0",IF($E20&lt;=80,"6","0")))+0</f>
        <v>0</v>
      </c>
      <c r="AM20" s="81">
        <f>(IF($E20&lt;=0,"0",IF($E20&lt;=60,"9",IF($E20&lt;=70,"6","0"))))+0</f>
        <v>0</v>
      </c>
      <c r="AN20" s="81">
        <f>(IF($E20&lt;=0,"0",IF($E20&lt;=40,"9",IF($E20&lt;=50,"6","0"))))+0</f>
        <v>0</v>
      </c>
      <c r="AO20" s="82">
        <f>(IF($E20&lt;=0,"0",IF($E20&lt;=20,"1","0")))+0</f>
        <v>0</v>
      </c>
      <c r="AP20" s="79" t="s">
        <v>149</v>
      </c>
      <c r="AQ20" s="81">
        <f>(IF($E20&lt;=0,"0",IF($E20&lt;=70,"36",IF($E20&lt;=80,"24","0"))))+0</f>
        <v>0</v>
      </c>
      <c r="AR20" s="81">
        <f>(IF($E20&lt;=0,"0",IF($E20&lt;=50,"30",IF($E20&lt;=60,"18","0"))))+0</f>
        <v>0</v>
      </c>
      <c r="AS20" s="81">
        <f>(IF($E20&lt;=0,"0",IF($E20&lt;=20,"18",IF($E20&lt;=40,"15","0"))))+0</f>
        <v>0</v>
      </c>
      <c r="AT20" s="83">
        <f>Summary2831[[#This Row],[3*2]]+Summary2831[[#This Row],[3*22]]+Summary2831[[#This Row],[3*23]]</f>
        <v>0</v>
      </c>
      <c r="AU20" s="85">
        <f>Summary2831[[#This Row],[2*2]]+Summary2831[[#This Row],[2*23]]+Summary2831[[#This Row],[2*24]]</f>
        <v>0</v>
      </c>
      <c r="AV20" s="85">
        <f>Summary2831[[#This Row],[1*2]]+Summary2831[[#This Row],[1*24]]+Summary2831[[#This Row],[1*25]]</f>
        <v>0</v>
      </c>
      <c r="AW20" s="70">
        <f>IF($F20&lt;=0,"0",IF($F20&lt;=6,"19",IF($F20&lt;=7,"18",IF($F20&lt;=8,"9",0))))+0</f>
        <v>0</v>
      </c>
      <c r="AX20" s="70">
        <f>IF($F20&lt;=0,"0",IF($F20&lt;=2,"22",IF($F20&lt;=3,"19",IF($F20&lt;=4,"15",IF($F20&lt;=5,"9",0)))))+0</f>
        <v>0</v>
      </c>
      <c r="AY20" s="70">
        <f>IF($F20&lt;=0,"0",IF($F20&lt;=1,"6",0))+0</f>
        <v>0</v>
      </c>
      <c r="AZ20" s="70">
        <f>IF($G20&lt;=0,"0",IF($G20&lt;=6,"19",IF($G20&lt;=7,"18",IF($G20&lt;=8,"9",0))))+0</f>
        <v>0</v>
      </c>
      <c r="BA20" s="70">
        <f>IF($G20&lt;=0,"0",IF($G20&lt;=2,"22",IF($G20&lt;=3,"19",IF($G20&lt;=4,"15",IF($G20&lt;=5,"9",0)))))+0</f>
        <v>0</v>
      </c>
      <c r="BB20" s="70">
        <f>IF($G20&lt;=0,"0",IF($G20&lt;=1,"6",0))+0</f>
        <v>0</v>
      </c>
      <c r="BC20" s="70">
        <f>IF($H20&lt;=0,"0",IF($H20&lt;=6,"19",IF($H20&lt;=7,"18",IF($H20&lt;=8,"9",0))))+0</f>
        <v>0</v>
      </c>
      <c r="BD20" s="70">
        <f>IF($H20&lt;=0,"0",IF($H20&lt;=2,"22",IF($H20&lt;=3,"19",IF($H20&lt;=4,"15",IF($H20&lt;=5,"9",0)))))+0</f>
        <v>0</v>
      </c>
      <c r="BE20" s="70">
        <f>IF($H20&lt;=0,"0",IF($H20&lt;=1,"6",0))+0</f>
        <v>0</v>
      </c>
      <c r="BF20" s="79">
        <f>SUM(Summary2831[[#This Row],[3*
(Tal)]],Summary2831[[#This Row],[3*
(Asc)]])</f>
        <v>0</v>
      </c>
      <c r="BG20" s="81">
        <f>SUM(Summary2831[[#This Row],[2*
(Tal)]],Summary2831[[#This Row],[2*
(Asc)]])</f>
        <v>0</v>
      </c>
      <c r="BH20" s="82">
        <f>SUM(Summary2831[[#This Row],[1*
(Tal)]],Summary2831[[#This Row],[1*
(Asc)]])</f>
        <v>0</v>
      </c>
      <c r="BI20" s="86">
        <f>(IF($E20&lt;=0,"0",IF($E20&lt;=1,"2092530",IF($E20&lt;=10,"2087525",IF($E20&lt;=20,"2068495",IF($E20&lt;=30,"2005910",IF($E20&lt;=40,"1932830",IF($E20&lt;=50,"1777010",IF($E20&lt;=60,"1546185",IF($E20&lt;=70,"1227000",IF($E20&lt;=80,"804625",IF($E20&lt;=81,"647990",IF($E20&lt;=90,"0",0)))))))))))))+0</f>
        <v>0</v>
      </c>
      <c r="BJ20" s="87">
        <f>(IF($F20&lt;=0,"0",IF($F20&lt;=1,"952500",IF($F20&lt;=2,"940000",IF($F20&lt;=3,"922500",IF($F20&lt;=4,"897500",IF($F20&lt;=5,"867500",IF($F20&lt;=6,"830000",IF($F20&lt;=7,"710000",IF($F20&lt;=8,"450000",0))))))))))+0</f>
        <v>0</v>
      </c>
      <c r="BK20" s="87">
        <f>(IF($G20&lt;=0,"0",IF($G20&lt;=1,"952500",IF($G20&lt;=2,"940000",IF($G20&lt;=3,"922500",IF($G20&lt;=4,"897500",IF($G20&lt;=5,"867500",IF($G20&lt;=6,"830000",IF($G20&lt;=7,"710000",IF($G20&lt;=8,"450000",0))))))))))+0</f>
        <v>0</v>
      </c>
      <c r="BL20" s="87">
        <f>(IF($H20&lt;=0,"0",IF($H20&lt;=1,"952500",IF($H20&lt;=2,"940000",IF($H20&lt;=3,"922500",IF($H20&lt;=4,"897500",IF($H20&lt;=5,"867500",IF($H20&lt;=6,"830000",IF($H20&lt;=7,"710000",IF($H20&lt;=8,"450000",0))))))))))+0</f>
        <v>0</v>
      </c>
      <c r="BM20" s="88">
        <f>SUM(BI20,BJ20,BK20,BL20)</f>
        <v>0</v>
      </c>
    </row>
    <row r="21" spans="1:65">
      <c r="A21" s="71">
        <f ca="1">SUBTOTAL(3,$B$3:Summary2831[[#This Row],[Name]])</f>
        <v>19</v>
      </c>
      <c r="B21" s="72" t="s">
        <v>412</v>
      </c>
      <c r="C21" s="72" t="s">
        <v>622</v>
      </c>
      <c r="D21" s="154">
        <v>3.5</v>
      </c>
      <c r="E21" s="72">
        <v>0</v>
      </c>
      <c r="F21" s="73">
        <v>0</v>
      </c>
      <c r="G21" s="74">
        <v>0</v>
      </c>
      <c r="H21" s="74">
        <v>0</v>
      </c>
      <c r="I21" s="72">
        <v>81</v>
      </c>
      <c r="J21" s="73">
        <v>1</v>
      </c>
      <c r="K21" s="74">
        <v>9</v>
      </c>
      <c r="L21" s="74">
        <v>9</v>
      </c>
      <c r="M21" s="79" t="s">
        <v>270</v>
      </c>
      <c r="N21" s="75">
        <f>(IF($E21&lt;=0,"0",IF($E21&lt;=40,"46",IF($E21&lt;=50,"44",IF($E21&lt;=60,"40",IF($E21&lt;=70,"32",IF($E21&lt;=80,"20","0")))))))+0</f>
        <v>0</v>
      </c>
      <c r="O2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1" s="76" t="s">
        <v>39</v>
      </c>
      <c r="Q21" s="77">
        <f>T21+W21+Z21</f>
        <v>0</v>
      </c>
      <c r="R21" s="77">
        <f>U21+X21+AA21</f>
        <v>0</v>
      </c>
      <c r="S21" s="78">
        <f>V21+Y21+AB21</f>
        <v>0</v>
      </c>
      <c r="T21" s="123">
        <f>(IF($F21&lt;=0,"0",IF($F21&lt;=6,"22",IF($F21&lt;=7,"18",IF($F21&lt;=8,"12",0)))))+0</f>
        <v>0</v>
      </c>
      <c r="U21" s="124">
        <f>(IF($F21&lt;=0,"0",IF($F21&lt;=2,"21",IF($F21&lt;=3,"19",IF($F21&lt;=4,"15",IF($F21&lt;=5,"9",0))))))+0</f>
        <v>0</v>
      </c>
      <c r="V21" s="124">
        <f>(IF($F21&lt;=0,"0",IF($F21&lt;=1,"3",0)))+0</f>
        <v>0</v>
      </c>
      <c r="W21" s="124">
        <f>(IF($G21&lt;=0,"0",IF($G21&lt;=6,"22",IF($G21&lt;=7,"18",IF($G21&lt;=8,"12",0)))))+0</f>
        <v>0</v>
      </c>
      <c r="X21" s="124">
        <f>(IF($G21&lt;=0,"0",IF($G21&lt;=2,"21",IF($G21&lt;=3,"19",IF($G21&lt;=4,"15",IF($G21&lt;=5,"9",0))))))+0</f>
        <v>0</v>
      </c>
      <c r="Y21" s="124">
        <f>(IF($G21&lt;=0,"0",IF($G21&lt;=1,"3",0)))+0</f>
        <v>0</v>
      </c>
      <c r="Z21" s="124">
        <f>(IF($H21&lt;=0,"0",IF($H21&lt;=6,"22",IF($H21&lt;=7,"18",IF($H21&lt;=8,"12",0)))))+0</f>
        <v>0</v>
      </c>
      <c r="AA21" s="124">
        <f>(IF($H21&lt;=0,"0",IF($H21&lt;=2,"21",IF($H21&lt;=3,"19",IF($H21&lt;=4,"15",IF($H21&lt;=5,"9",0))))))+0</f>
        <v>0</v>
      </c>
      <c r="AB21" s="125">
        <f>(IF($H21&lt;=0,"0",IF($H21&lt;=1,"3",0)))+0</f>
        <v>0</v>
      </c>
      <c r="AC21" s="80" t="s">
        <v>523</v>
      </c>
      <c r="AD21" s="81" t="s">
        <v>566</v>
      </c>
      <c r="AE21" s="126">
        <f>(IF($F21&lt;=0,"0",IF($F21&lt;=6,"4",IF($F21&lt;=7,"3",IF($F21&lt;=8,"2","0")))))+0</f>
        <v>0</v>
      </c>
      <c r="AF21" s="126">
        <f>(IF($G21&lt;=0,"0",IF($G21&lt;=6,"4",IF($G21&lt;=7,"3",IF($G21&lt;=8,"2","0")))))+0</f>
        <v>0</v>
      </c>
      <c r="AG21" s="126">
        <f>(IF($H21&lt;=0,"0",IF($H21&lt;=6,"4",IF($H21&lt;=7,"3",IF($H21&lt;=8,"2","0")))))+0</f>
        <v>0</v>
      </c>
      <c r="AH21" s="75">
        <f>SUM(AE21:AG21)</f>
        <v>0</v>
      </c>
      <c r="AI21" s="81" t="s">
        <v>525</v>
      </c>
      <c r="AJ21" s="74">
        <f>(IF($E21&lt;=0,"0",IF($E21&lt;=20,"168",IF($E21&lt;=30,"165",IF($E21&lt;=50,"155",IF($E21&lt;=60,"135",IF($E21&lt;=70,"105",IF($E21&lt;=80,"60","0"))))))))+0</f>
        <v>0</v>
      </c>
      <c r="AK21" s="79" t="s">
        <v>534</v>
      </c>
      <c r="AL21" s="81">
        <f>(IF($E21&lt;=0,"0",IF($E21&lt;=80,"6","0")))+0</f>
        <v>0</v>
      </c>
      <c r="AM21" s="81">
        <f>(IF($E21&lt;=0,"0",IF($E21&lt;=60,"9",IF($E21&lt;=70,"6","0"))))+0</f>
        <v>0</v>
      </c>
      <c r="AN21" s="81">
        <f>(IF($E21&lt;=0,"0",IF($E21&lt;=40,"9",IF($E21&lt;=50,"6","0"))))+0</f>
        <v>0</v>
      </c>
      <c r="AO21" s="82">
        <f>(IF($E21&lt;=0,"0",IF($E21&lt;=20,"1","0")))+0</f>
        <v>0</v>
      </c>
      <c r="AP21" s="79" t="s">
        <v>46</v>
      </c>
      <c r="AQ21" s="81">
        <f>(IF($E21&lt;=0,"0",IF($E21&lt;=70,"36",IF($E21&lt;=80,"24","0"))))+0</f>
        <v>0</v>
      </c>
      <c r="AR21" s="81">
        <f>(IF($E21&lt;=0,"0",IF($E21&lt;=50,"30",IF($E21&lt;=60,"18","0"))))+0</f>
        <v>0</v>
      </c>
      <c r="AS21" s="81">
        <f>(IF($E21&lt;=0,"0",IF($E21&lt;=20,"18",IF($E21&lt;=40,"15","0"))))+0</f>
        <v>0</v>
      </c>
      <c r="AT21" s="83">
        <f>Summary2831[[#This Row],[3*2]]+Summary2831[[#This Row],[3*22]]+Summary2831[[#This Row],[3*23]]</f>
        <v>0</v>
      </c>
      <c r="AU21" s="85">
        <f>Summary2831[[#This Row],[2*2]]+Summary2831[[#This Row],[2*23]]+Summary2831[[#This Row],[2*24]]</f>
        <v>0</v>
      </c>
      <c r="AV21" s="85">
        <f>Summary2831[[#This Row],[1*2]]+Summary2831[[#This Row],[1*24]]+Summary2831[[#This Row],[1*25]]</f>
        <v>0</v>
      </c>
      <c r="AW21" s="70">
        <f>IF($F21&lt;=0,"0",IF($F21&lt;=6,"19",IF($F21&lt;=7,"18",IF($F21&lt;=8,"9",0))))+0</f>
        <v>0</v>
      </c>
      <c r="AX21" s="70">
        <f>IF($F21&lt;=0,"0",IF($F21&lt;=2,"22",IF($F21&lt;=3,"19",IF($F21&lt;=4,"15",IF($F21&lt;=5,"9",0)))))+0</f>
        <v>0</v>
      </c>
      <c r="AY21" s="70">
        <f>IF($F21&lt;=0,"0",IF($F21&lt;=1,"6",0))+0</f>
        <v>0</v>
      </c>
      <c r="AZ21" s="70">
        <f>IF($G21&lt;=0,"0",IF($G21&lt;=6,"19",IF($G21&lt;=7,"18",IF($G21&lt;=8,"9",0))))+0</f>
        <v>0</v>
      </c>
      <c r="BA21" s="70">
        <f>IF($G21&lt;=0,"0",IF($G21&lt;=2,"22",IF($G21&lt;=3,"19",IF($G21&lt;=4,"15",IF($G21&lt;=5,"9",0)))))+0</f>
        <v>0</v>
      </c>
      <c r="BB21" s="70">
        <f>IF($G21&lt;=0,"0",IF($G21&lt;=1,"6",0))+0</f>
        <v>0</v>
      </c>
      <c r="BC21" s="70">
        <f>IF($H21&lt;=0,"0",IF($H21&lt;=6,"19",IF($H21&lt;=7,"18",IF($H21&lt;=8,"9",0))))+0</f>
        <v>0</v>
      </c>
      <c r="BD21" s="70">
        <f>IF($H21&lt;=0,"0",IF($H21&lt;=2,"22",IF($H21&lt;=3,"19",IF($H21&lt;=4,"15",IF($H21&lt;=5,"9",0)))))+0</f>
        <v>0</v>
      </c>
      <c r="BE21" s="70">
        <f>IF($H21&lt;=0,"0",IF($H21&lt;=1,"6",0))+0</f>
        <v>0</v>
      </c>
      <c r="BF21" s="79">
        <f>SUM(Summary2831[[#This Row],[3*
(Tal)]],Summary2831[[#This Row],[3*
(Asc)]])</f>
        <v>0</v>
      </c>
      <c r="BG21" s="81">
        <f>SUM(Summary2831[[#This Row],[2*
(Tal)]],Summary2831[[#This Row],[2*
(Asc)]])</f>
        <v>0</v>
      </c>
      <c r="BH21" s="82">
        <f>SUM(Summary2831[[#This Row],[1*
(Tal)]],Summary2831[[#This Row],[1*
(Asc)]])</f>
        <v>0</v>
      </c>
      <c r="BI21" s="86">
        <f>(IF($E21&lt;=0,"0",IF($E21&lt;=1,"2092530",IF($E21&lt;=10,"2087525",IF($E21&lt;=20,"2068495",IF($E21&lt;=30,"2005910",IF($E21&lt;=40,"1932830",IF($E21&lt;=50,"1777010",IF($E21&lt;=60,"1546185",IF($E21&lt;=70,"1227000",IF($E21&lt;=80,"804625",IF($E21&lt;=81,"647990",IF($E21&lt;=90,"0",0)))))))))))))+0</f>
        <v>0</v>
      </c>
      <c r="BJ21" s="87">
        <f>(IF($F21&lt;=0,"0",IF($F21&lt;=1,"952500",IF($F21&lt;=2,"940000",IF($F21&lt;=3,"922500",IF($F21&lt;=4,"897500",IF($F21&lt;=5,"867500",IF($F21&lt;=6,"830000",IF($F21&lt;=7,"710000",IF($F21&lt;=8,"450000",0))))))))))+0</f>
        <v>0</v>
      </c>
      <c r="BK21" s="87">
        <f>(IF($G21&lt;=0,"0",IF($G21&lt;=1,"952500",IF($G21&lt;=2,"940000",IF($G21&lt;=3,"922500",IF($G21&lt;=4,"897500",IF($G21&lt;=5,"867500",IF($G21&lt;=6,"830000",IF($G21&lt;=7,"710000",IF($G21&lt;=8,"450000",0))))))))))+0</f>
        <v>0</v>
      </c>
      <c r="BL21" s="87">
        <f>(IF($H21&lt;=0,"0",IF($H21&lt;=1,"952500",IF($H21&lt;=2,"940000",IF($H21&lt;=3,"922500",IF($H21&lt;=4,"897500",IF($H21&lt;=5,"867500",IF($H21&lt;=6,"830000",IF($H21&lt;=7,"710000",IF($H21&lt;=8,"450000",0))))))))))+0</f>
        <v>0</v>
      </c>
      <c r="BM21" s="88">
        <f>SUM(BI21,BJ21,BK21,BL21)</f>
        <v>0</v>
      </c>
    </row>
    <row r="22" spans="1:65" s="81" customFormat="1">
      <c r="A22" s="71">
        <f ca="1">SUBTOTAL(3,$B$3:Summary2831[[#This Row],[Name]])</f>
        <v>20</v>
      </c>
      <c r="B22" s="72" t="s">
        <v>413</v>
      </c>
      <c r="C22" s="72" t="s">
        <v>622</v>
      </c>
      <c r="D22" s="155">
        <v>1</v>
      </c>
      <c r="E22" s="72">
        <v>22</v>
      </c>
      <c r="F22" s="73">
        <v>1</v>
      </c>
      <c r="G22" s="74">
        <v>1</v>
      </c>
      <c r="H22" s="74">
        <v>1</v>
      </c>
      <c r="I22" s="72">
        <v>81</v>
      </c>
      <c r="J22" s="73">
        <v>1</v>
      </c>
      <c r="K22" s="74">
        <v>9</v>
      </c>
      <c r="L22" s="74">
        <v>9</v>
      </c>
      <c r="M22" s="79" t="s">
        <v>136</v>
      </c>
      <c r="N22" s="75">
        <f>(IF($E22&lt;=0,"0",IF($E22&lt;=40,"46",IF($E22&lt;=50,"44",IF($E22&lt;=60,"40",IF($E22&lt;=70,"32",IF($E22&lt;=80,"20","0")))))))+0</f>
        <v>46</v>
      </c>
      <c r="O2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22" s="76" t="s">
        <v>549</v>
      </c>
      <c r="Q22" s="77">
        <f>T22+W22+Z22</f>
        <v>66</v>
      </c>
      <c r="R22" s="77">
        <f>U22+X22+AA22</f>
        <v>63</v>
      </c>
      <c r="S22" s="78">
        <f>V22+Y22+AB22</f>
        <v>9</v>
      </c>
      <c r="T22" s="123">
        <f>(IF($F22&lt;=0,"0",IF($F22&lt;=6,"22",IF($F22&lt;=7,"18",IF($F22&lt;=8,"12",0)))))+0</f>
        <v>22</v>
      </c>
      <c r="U22" s="124">
        <f>(IF($F22&lt;=0,"0",IF($F22&lt;=2,"21",IF($F22&lt;=3,"19",IF($F22&lt;=4,"15",IF($F22&lt;=5,"9",0))))))+0</f>
        <v>21</v>
      </c>
      <c r="V22" s="124">
        <f>(IF($F22&lt;=0,"0",IF($F22&lt;=1,"3",0)))+0</f>
        <v>3</v>
      </c>
      <c r="W22" s="124">
        <f>(IF($G22&lt;=0,"0",IF($G22&lt;=6,"22",IF($G22&lt;=7,"18",IF($G22&lt;=8,"12",0)))))+0</f>
        <v>22</v>
      </c>
      <c r="X22" s="124">
        <f>(IF($G22&lt;=0,"0",IF($G22&lt;=2,"21",IF($G22&lt;=3,"19",IF($G22&lt;=4,"15",IF($G22&lt;=5,"9",0))))))+0</f>
        <v>21</v>
      </c>
      <c r="Y22" s="124">
        <f>(IF($G22&lt;=0,"0",IF($G22&lt;=1,"3",0)))+0</f>
        <v>3</v>
      </c>
      <c r="Z22" s="124">
        <f>(IF($H22&lt;=0,"0",IF($H22&lt;=6,"22",IF($H22&lt;=7,"18",IF($H22&lt;=8,"12",0)))))+0</f>
        <v>22</v>
      </c>
      <c r="AA22" s="124">
        <f>(IF($H22&lt;=0,"0",IF($H22&lt;=2,"21",IF($H22&lt;=3,"19",IF($H22&lt;=4,"15",IF($H22&lt;=5,"9",0))))))+0</f>
        <v>21</v>
      </c>
      <c r="AB22" s="125">
        <f>(IF($H22&lt;=0,"0",IF($H22&lt;=1,"3",0)))+0</f>
        <v>3</v>
      </c>
      <c r="AC22" s="80" t="s">
        <v>531</v>
      </c>
      <c r="AD22" s="81" t="s">
        <v>550</v>
      </c>
      <c r="AE22" s="126">
        <f>(IF($F22&lt;=0,"0",IF($F22&lt;=6,"4",IF($F22&lt;=7,"3",IF($F22&lt;=8,"2","0")))))+0</f>
        <v>4</v>
      </c>
      <c r="AF22" s="126">
        <f>(IF($G22&lt;=0,"0",IF($G22&lt;=6,"4",IF($G22&lt;=7,"3",IF($G22&lt;=8,"2","0")))))+0</f>
        <v>4</v>
      </c>
      <c r="AG22" s="126">
        <f>(IF($H22&lt;=0,"0",IF($H22&lt;=6,"4",IF($H22&lt;=7,"3",IF($H22&lt;=8,"2","0")))))+0</f>
        <v>4</v>
      </c>
      <c r="AH22" s="75">
        <f>SUM(AE22:AG22)</f>
        <v>12</v>
      </c>
      <c r="AI22" s="81" t="s">
        <v>533</v>
      </c>
      <c r="AJ22" s="74">
        <f>(IF($E22&lt;=0,"0",IF($E22&lt;=20,"168",IF($E22&lt;=30,"165",IF($E22&lt;=50,"155",IF($E22&lt;=60,"135",IF($E22&lt;=70,"105",IF($E22&lt;=80,"60","0"))))))))+0</f>
        <v>165</v>
      </c>
      <c r="AK22" s="79" t="s">
        <v>534</v>
      </c>
      <c r="AL22" s="81">
        <f>(IF($E22&lt;=0,"0",IF($E22&lt;=80,"6","0")))+0</f>
        <v>6</v>
      </c>
      <c r="AM22" s="81">
        <f>(IF($E22&lt;=0,"0",IF($E22&lt;=60,"9",IF($E22&lt;=70,"6","0"))))+0</f>
        <v>9</v>
      </c>
      <c r="AN22" s="81">
        <f>(IF($E22&lt;=0,"0",IF($E22&lt;=40,"9",IF($E22&lt;=50,"6","0"))))+0</f>
        <v>9</v>
      </c>
      <c r="AO22" s="82">
        <f>(IF($E22&lt;=0,"0",IF($E22&lt;=20,"1","0")))+0</f>
        <v>0</v>
      </c>
      <c r="AP22" s="79" t="s">
        <v>236</v>
      </c>
      <c r="AQ22" s="81">
        <f>(IF($E22&lt;=0,"0",IF($E22&lt;=70,"36",IF($E22&lt;=80,"24","0"))))+0</f>
        <v>36</v>
      </c>
      <c r="AR22" s="81">
        <f>(IF($E22&lt;=0,"0",IF($E22&lt;=50,"30",IF($E22&lt;=60,"18","0"))))+0</f>
        <v>30</v>
      </c>
      <c r="AS22" s="81">
        <f>(IF($E22&lt;=0,"0",IF($E22&lt;=20,"18",IF($E22&lt;=40,"15","0"))))+0</f>
        <v>15</v>
      </c>
      <c r="AT22" s="83">
        <f>Summary2831[[#This Row],[3*2]]+Summary2831[[#This Row],[3*22]]+Summary2831[[#This Row],[3*23]]</f>
        <v>57</v>
      </c>
      <c r="AU22" s="85">
        <f>Summary2831[[#This Row],[2*2]]+Summary2831[[#This Row],[2*23]]+Summary2831[[#This Row],[2*24]]</f>
        <v>66</v>
      </c>
      <c r="AV22" s="85">
        <f>Summary2831[[#This Row],[1*2]]+Summary2831[[#This Row],[1*24]]+Summary2831[[#This Row],[1*25]]</f>
        <v>18</v>
      </c>
      <c r="AW22" s="70">
        <f>IF($F22&lt;=0,"0",IF($F22&lt;=6,"19",IF($F22&lt;=7,"18",IF($F22&lt;=8,"9",0))))+0</f>
        <v>19</v>
      </c>
      <c r="AX22" s="70">
        <f>IF($F22&lt;=0,"0",IF($F22&lt;=2,"22",IF($F22&lt;=3,"19",IF($F22&lt;=4,"15",IF($F22&lt;=5,"9",0)))))+0</f>
        <v>22</v>
      </c>
      <c r="AY22" s="70">
        <f>IF($F22&lt;=0,"0",IF($F22&lt;=1,"6",0))+0</f>
        <v>6</v>
      </c>
      <c r="AZ22" s="70">
        <f>IF($G22&lt;=0,"0",IF($G22&lt;=6,"19",IF($G22&lt;=7,"18",IF($G22&lt;=8,"9",0))))+0</f>
        <v>19</v>
      </c>
      <c r="BA22" s="70">
        <f>IF($G22&lt;=0,"0",IF($G22&lt;=2,"22",IF($G22&lt;=3,"19",IF($G22&lt;=4,"15",IF($G22&lt;=5,"9",0)))))+0</f>
        <v>22</v>
      </c>
      <c r="BB22" s="70">
        <f>IF($G22&lt;=0,"0",IF($G22&lt;=1,"6",0))+0</f>
        <v>6</v>
      </c>
      <c r="BC22" s="70">
        <f>IF($H22&lt;=0,"0",IF($H22&lt;=6,"19",IF($H22&lt;=7,"18",IF($H22&lt;=8,"9",0))))+0</f>
        <v>19</v>
      </c>
      <c r="BD22" s="70">
        <f>IF($H22&lt;=0,"0",IF($H22&lt;=2,"22",IF($H22&lt;=3,"19",IF($H22&lt;=4,"15",IF($H22&lt;=5,"9",0)))))+0</f>
        <v>22</v>
      </c>
      <c r="BE22" s="70">
        <f>IF($H22&lt;=0,"0",IF($H22&lt;=1,"6",0))+0</f>
        <v>6</v>
      </c>
      <c r="BF22" s="79">
        <f>SUM(Summary2831[[#This Row],[3*
(Tal)]],Summary2831[[#This Row],[3*
(Asc)]])</f>
        <v>93</v>
      </c>
      <c r="BG22" s="81">
        <f>SUM(Summary2831[[#This Row],[2*
(Tal)]],Summary2831[[#This Row],[2*
(Asc)]])</f>
        <v>96</v>
      </c>
      <c r="BH22" s="82">
        <f>SUM(Summary2831[[#This Row],[1*
(Tal)]],Summary2831[[#This Row],[1*
(Asc)]])</f>
        <v>33</v>
      </c>
      <c r="BI22" s="86">
        <f>(IF($E22&lt;=0,"0",IF($E22&lt;=1,"2092530",IF($E22&lt;=10,"2087525",IF($E22&lt;=20,"2068495",IF($E22&lt;=30,"2005910",IF($E22&lt;=40,"1932830",IF($E22&lt;=50,"1777010",IF($E22&lt;=60,"1546185",IF($E22&lt;=70,"1227000",IF($E22&lt;=80,"804625",IF($E22&lt;=81,"647990",IF($E22&lt;=90,"0",0)))))))))))))+0</f>
        <v>2005910</v>
      </c>
      <c r="BJ22" s="87">
        <f>(IF($F22&lt;=0,"0",IF($F22&lt;=1,"952500",IF($F22&lt;=2,"940000",IF($F22&lt;=3,"922500",IF($F22&lt;=4,"897500",IF($F22&lt;=5,"867500",IF($F22&lt;=6,"830000",IF($F22&lt;=7,"710000",IF($F22&lt;=8,"450000",0))))))))))+0</f>
        <v>952500</v>
      </c>
      <c r="BK22" s="87">
        <f>(IF($G22&lt;=0,"0",IF($G22&lt;=1,"952500",IF($G22&lt;=2,"940000",IF($G22&lt;=3,"922500",IF($G22&lt;=4,"897500",IF($G22&lt;=5,"867500",IF($G22&lt;=6,"830000",IF($G22&lt;=7,"710000",IF($G22&lt;=8,"450000",0))))))))))+0</f>
        <v>952500</v>
      </c>
      <c r="BL22" s="87">
        <f>(IF($H22&lt;=0,"0",IF($H22&lt;=1,"952500",IF($H22&lt;=2,"940000",IF($H22&lt;=3,"922500",IF($H22&lt;=4,"897500",IF($H22&lt;=5,"867500",IF($H22&lt;=6,"830000",IF($H22&lt;=7,"710000",IF($H22&lt;=8,"450000",0))))))))))+0</f>
        <v>952500</v>
      </c>
      <c r="BM22" s="88">
        <f>SUM(BI22,BJ22,BK22,BL22)</f>
        <v>4863410</v>
      </c>
    </row>
    <row r="23" spans="1:65">
      <c r="A23" s="46">
        <f ca="1">SUBTOTAL(3,$B$3:Summary2831[[#This Row],[Name]])</f>
        <v>21</v>
      </c>
      <c r="B23" s="140" t="s">
        <v>349</v>
      </c>
      <c r="C23" s="14" t="s">
        <v>621</v>
      </c>
      <c r="D23" s="154">
        <v>1.1000000000000001</v>
      </c>
      <c r="E23" s="14">
        <v>50</v>
      </c>
      <c r="F23" s="9">
        <v>2</v>
      </c>
      <c r="G23" s="2">
        <v>2</v>
      </c>
      <c r="H23" s="2">
        <v>2</v>
      </c>
      <c r="I23" s="72">
        <v>81</v>
      </c>
      <c r="J23" s="73">
        <v>1</v>
      </c>
      <c r="K23" s="74">
        <v>9</v>
      </c>
      <c r="L23" s="74">
        <v>9</v>
      </c>
      <c r="M23" s="44" t="s">
        <v>96</v>
      </c>
      <c r="N23" s="10">
        <f>(IF($E23&lt;=0,"0",IF($E23&lt;=40,"46",IF($E23&lt;=50,"44",IF($E23&lt;=60,"40",IF($E23&lt;=70,"32",IF($E23&lt;=80,"20","0")))))))+0</f>
        <v>44</v>
      </c>
      <c r="O2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193</v>
      </c>
      <c r="P23" s="49" t="s">
        <v>527</v>
      </c>
      <c r="Q23" s="50">
        <f>T23+W23+Z23</f>
        <v>66</v>
      </c>
      <c r="R23" s="50">
        <f>U23+X23+AA23</f>
        <v>63</v>
      </c>
      <c r="S23" s="51">
        <f>V23+Y23+AB23</f>
        <v>0</v>
      </c>
      <c r="T23" s="123">
        <f>(IF($F23&lt;=0,"0",IF($F23&lt;=6,"22",IF($F23&lt;=7,"18",IF($F23&lt;=8,"12",0)))))+0</f>
        <v>22</v>
      </c>
      <c r="U23" s="124">
        <f>(IF($F23&lt;=0,"0",IF($F23&lt;=2,"21",IF($F23&lt;=3,"19",IF($F23&lt;=4,"15",IF($F23&lt;=5,"9",0))))))+0</f>
        <v>21</v>
      </c>
      <c r="V23" s="124">
        <f>(IF($F23&lt;=0,"0",IF($F23&lt;=1,"3",0)))+0</f>
        <v>0</v>
      </c>
      <c r="W23" s="124">
        <f>(IF($G23&lt;=0,"0",IF($G23&lt;=6,"22",IF($G23&lt;=7,"18",IF($G23&lt;=8,"12",0)))))+0</f>
        <v>22</v>
      </c>
      <c r="X23" s="124">
        <f>(IF($G23&lt;=0,"0",IF($G23&lt;=2,"21",IF($G23&lt;=3,"19",IF($G23&lt;=4,"15",IF($G23&lt;=5,"9",0))))))+0</f>
        <v>21</v>
      </c>
      <c r="Y23" s="124">
        <f>(IF($G23&lt;=0,"0",IF($G23&lt;=1,"3",0)))+0</f>
        <v>0</v>
      </c>
      <c r="Z23" s="124">
        <f>(IF($H23&lt;=0,"0",IF($H23&lt;=6,"22",IF($H23&lt;=7,"18",IF($H23&lt;=8,"12",0)))))+0</f>
        <v>22</v>
      </c>
      <c r="AA23" s="124">
        <f>(IF($H23&lt;=0,"0",IF($H23&lt;=2,"21",IF($H23&lt;=3,"19",IF($H23&lt;=4,"15",IF($H23&lt;=5,"9",0))))))+0</f>
        <v>21</v>
      </c>
      <c r="AB23" s="125">
        <f>(IF($H23&lt;=0,"0",IF($H23&lt;=1,"3",0)))+0</f>
        <v>0</v>
      </c>
      <c r="AC23" s="8" t="s">
        <v>389</v>
      </c>
      <c r="AD23" s="1" t="s">
        <v>567</v>
      </c>
      <c r="AE23" s="126">
        <f>(IF($F23&lt;=0,"0",IF($F23&lt;=6,"4",IF($F23&lt;=7,"3",IF($F23&lt;=8,"2","0")))))+0</f>
        <v>4</v>
      </c>
      <c r="AF23" s="126">
        <f>(IF($G23&lt;=0,"0",IF($G23&lt;=6,"4",IF($G23&lt;=7,"3",IF($G23&lt;=8,"2","0")))))+0</f>
        <v>4</v>
      </c>
      <c r="AG23" s="126">
        <f>(IF($H23&lt;=0,"0",IF($H23&lt;=6,"4",IF($H23&lt;=7,"3",IF($H23&lt;=8,"2","0")))))+0</f>
        <v>4</v>
      </c>
      <c r="AH23" s="10">
        <f>SUM(AE23:AG23)</f>
        <v>12</v>
      </c>
      <c r="AI23" s="1" t="s">
        <v>568</v>
      </c>
      <c r="AJ23" s="2">
        <f>(IF($E23&lt;=0,"0",IF($E23&lt;=20,"168",IF($E23&lt;=30,"165",IF($E23&lt;=50,"155",IF($E23&lt;=60,"135",IF($E23&lt;=70,"105",IF($E23&lt;=80,"60","0"))))))))+0</f>
        <v>155</v>
      </c>
      <c r="AK23" s="44" t="s">
        <v>530</v>
      </c>
      <c r="AL23" s="1">
        <f>(IF($E23&lt;=0,"0",IF($E23&lt;=80,"6","0")))+0</f>
        <v>6</v>
      </c>
      <c r="AM23" s="1">
        <f>(IF($E23&lt;=0,"0",IF($E23&lt;=60,"9",IF($E23&lt;=70,"6","0"))))+0</f>
        <v>9</v>
      </c>
      <c r="AN23" s="1">
        <f>(IF($E23&lt;=0,"0",IF($E23&lt;=40,"9",IF($E23&lt;=50,"6","0"))))+0</f>
        <v>6</v>
      </c>
      <c r="AO23" s="34">
        <f>(IF($E23&lt;=0,"0",IF($E23&lt;=20,"1","0")))+0</f>
        <v>0</v>
      </c>
      <c r="AP23" s="44" t="s">
        <v>120</v>
      </c>
      <c r="AQ23" s="1">
        <f>(IF($E23&lt;=0,"0",IF($E23&lt;=70,"36",IF($E23&lt;=80,"24","0"))))+0</f>
        <v>36</v>
      </c>
      <c r="AR23" s="1">
        <f>(IF($E23&lt;=0,"0",IF($E23&lt;=50,"30",IF($E23&lt;=60,"18","0"))))+0</f>
        <v>30</v>
      </c>
      <c r="AS23" s="1">
        <f>(IF($E23&lt;=0,"0",IF($E23&lt;=20,"18",IF($E23&lt;=40,"15","0"))))+0</f>
        <v>0</v>
      </c>
      <c r="AT23" s="53">
        <f>Summary2831[[#This Row],[3*2]]+Summary2831[[#This Row],[3*22]]+Summary2831[[#This Row],[3*23]]</f>
        <v>57</v>
      </c>
      <c r="AU23" s="52">
        <f>Summary2831[[#This Row],[2*2]]+Summary2831[[#This Row],[2*23]]+Summary2831[[#This Row],[2*24]]</f>
        <v>66</v>
      </c>
      <c r="AV23" s="52">
        <f>Summary2831[[#This Row],[1*2]]+Summary2831[[#This Row],[1*24]]+Summary2831[[#This Row],[1*25]]</f>
        <v>0</v>
      </c>
      <c r="AW23" s="52">
        <f>IF($F23&lt;=0,"0",IF($F23&lt;=6,"19",IF($F23&lt;=7,"18",IF($F23&lt;=8,"9",0))))+0</f>
        <v>19</v>
      </c>
      <c r="AX23" s="52">
        <f>IF($F23&lt;=0,"0",IF($F23&lt;=2,"22",IF($F23&lt;=3,"19",IF($F23&lt;=4,"15",IF($F23&lt;=5,"9",0)))))+0</f>
        <v>22</v>
      </c>
      <c r="AY23" s="52">
        <f>IF($F23&lt;=0,"0",IF($F23&lt;=1,"6",0))+0</f>
        <v>0</v>
      </c>
      <c r="AZ23" s="52">
        <f>IF($G23&lt;=0,"0",IF($G23&lt;=6,"19",IF($G23&lt;=7,"18",IF($G23&lt;=8,"9",0))))+0</f>
        <v>19</v>
      </c>
      <c r="BA23" s="52">
        <f>IF($G23&lt;=0,"0",IF($G23&lt;=2,"22",IF($G23&lt;=3,"19",IF($G23&lt;=4,"15",IF($G23&lt;=5,"9",0)))))+0</f>
        <v>22</v>
      </c>
      <c r="BB23" s="52">
        <f>IF($G23&lt;=0,"0",IF($G23&lt;=1,"6",0))+0</f>
        <v>0</v>
      </c>
      <c r="BC23" s="52">
        <f>IF($H23&lt;=0,"0",IF($H23&lt;=6,"19",IF($H23&lt;=7,"18",IF($H23&lt;=8,"9",0))))+0</f>
        <v>19</v>
      </c>
      <c r="BD23" s="52">
        <f>IF($H23&lt;=0,"0",IF($H23&lt;=2,"22",IF($H23&lt;=3,"19",IF($H23&lt;=4,"15",IF($H23&lt;=5,"9",0)))))+0</f>
        <v>22</v>
      </c>
      <c r="BE23" s="52">
        <f>IF($H23&lt;=0,"0",IF($H23&lt;=1,"6",0))+0</f>
        <v>0</v>
      </c>
      <c r="BF23" s="44">
        <f>SUM(Summary2831[[#This Row],[3*
(Tal)]],Summary2831[[#This Row],[3*
(Asc)]])</f>
        <v>93</v>
      </c>
      <c r="BG23" s="1">
        <f>SUM(Summary2831[[#This Row],[2*
(Tal)]],Summary2831[[#This Row],[2*
(Asc)]])</f>
        <v>96</v>
      </c>
      <c r="BH23" s="34">
        <f>SUM(Summary2831[[#This Row],[1*
(Tal)]],Summary2831[[#This Row],[1*
(Asc)]])</f>
        <v>0</v>
      </c>
      <c r="BI23" s="86">
        <f>(IF($E23&lt;=0,"0",IF($E23&lt;=1,"2092530",IF($E23&lt;=10,"2087525",IF($E23&lt;=20,"2068495",IF($E23&lt;=30,"2005910",IF($E23&lt;=40,"1932830",IF($E23&lt;=50,"1777010",IF($E23&lt;=60,"1546185",IF($E23&lt;=70,"1227000",IF($E23&lt;=80,"804625",IF($E23&lt;=81,"647990",IF($E23&lt;=90,"0",0)))))))))))))+0</f>
        <v>1777010</v>
      </c>
      <c r="BJ23" s="56">
        <f>(IF($F23&lt;=0,"0",IF($F23&lt;=1,"952500",IF($F23&lt;=2,"940000",IF($F23&lt;=3,"922500",IF($F23&lt;=4,"897500",IF($F23&lt;=5,"867500",IF($F23&lt;=6,"830000",IF($F23&lt;=7,"710000",IF($F23&lt;=8,"450000",0))))))))))+0</f>
        <v>940000</v>
      </c>
      <c r="BK23" s="56">
        <f>(IF($G23&lt;=0,"0",IF($G23&lt;=1,"952500",IF($G23&lt;=2,"940000",IF($G23&lt;=3,"922500",IF($G23&lt;=4,"897500",IF($G23&lt;=5,"867500",IF($G23&lt;=6,"830000",IF($G23&lt;=7,"710000",IF($G23&lt;=8,"450000",0))))))))))+0</f>
        <v>940000</v>
      </c>
      <c r="BL23" s="56">
        <f>(IF($H23&lt;=0,"0",IF($H23&lt;=1,"952500",IF($H23&lt;=2,"940000",IF($H23&lt;=3,"922500",IF($H23&lt;=4,"897500",IF($H23&lt;=5,"867500",IF($H23&lt;=6,"830000",IF($H23&lt;=7,"710000",IF($H23&lt;=8,"450000",0))))))))))+0</f>
        <v>940000</v>
      </c>
      <c r="BM23" s="57">
        <f>SUM(BI23,BJ23,BK23,BL23)</f>
        <v>4597010</v>
      </c>
    </row>
    <row r="24" spans="1:65">
      <c r="A24" s="46">
        <f ca="1">SUBTOTAL(3,$B$3:Summary2831[[#This Row],[Name]])</f>
        <v>22</v>
      </c>
      <c r="B24" s="140" t="s">
        <v>414</v>
      </c>
      <c r="C24" s="14" t="s">
        <v>31</v>
      </c>
      <c r="D24" s="155">
        <v>3</v>
      </c>
      <c r="E24" s="14">
        <v>51</v>
      </c>
      <c r="F24" s="9">
        <v>1</v>
      </c>
      <c r="G24" s="2">
        <v>1</v>
      </c>
      <c r="H24" s="2">
        <v>1</v>
      </c>
      <c r="I24" s="72">
        <v>81</v>
      </c>
      <c r="J24" s="73">
        <v>1</v>
      </c>
      <c r="K24" s="74">
        <v>9</v>
      </c>
      <c r="L24" s="74">
        <v>9</v>
      </c>
      <c r="M24" s="44" t="s">
        <v>243</v>
      </c>
      <c r="N24" s="10">
        <f>(IF($E24&lt;=0,"0",IF($E24&lt;=40,"46",IF($E24&lt;=50,"44",IF($E24&lt;=60,"40",IF($E24&lt;=70,"32",IF($E24&lt;=80,"20","0")))))))+0</f>
        <v>40</v>
      </c>
      <c r="O2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189</v>
      </c>
      <c r="P24" s="49" t="s">
        <v>522</v>
      </c>
      <c r="Q24" s="50">
        <f>T24+W24+Z24</f>
        <v>66</v>
      </c>
      <c r="R24" s="50">
        <f>U24+X24+AA24</f>
        <v>63</v>
      </c>
      <c r="S24" s="51">
        <f>V24+Y24+AB24</f>
        <v>9</v>
      </c>
      <c r="T24" s="123">
        <f>(IF($F24&lt;=0,"0",IF($F24&lt;=6,"22",IF($F24&lt;=7,"18",IF($F24&lt;=8,"12",0)))))+0</f>
        <v>22</v>
      </c>
      <c r="U24" s="124">
        <f>(IF($F24&lt;=0,"0",IF($F24&lt;=2,"21",IF($F24&lt;=3,"19",IF($F24&lt;=4,"15",IF($F24&lt;=5,"9",0))))))+0</f>
        <v>21</v>
      </c>
      <c r="V24" s="124">
        <f>(IF($F24&lt;=0,"0",IF($F24&lt;=1,"3",0)))+0</f>
        <v>3</v>
      </c>
      <c r="W24" s="124">
        <f>(IF($G24&lt;=0,"0",IF($G24&lt;=6,"22",IF($G24&lt;=7,"18",IF($G24&lt;=8,"12",0)))))+0</f>
        <v>22</v>
      </c>
      <c r="X24" s="124">
        <f>(IF($G24&lt;=0,"0",IF($G24&lt;=2,"21",IF($G24&lt;=3,"19",IF($G24&lt;=4,"15",IF($G24&lt;=5,"9",0))))))+0</f>
        <v>21</v>
      </c>
      <c r="Y24" s="124">
        <f>(IF($G24&lt;=0,"0",IF($G24&lt;=1,"3",0)))+0</f>
        <v>3</v>
      </c>
      <c r="Z24" s="124">
        <f>(IF($H24&lt;=0,"0",IF($H24&lt;=6,"22",IF($H24&lt;=7,"18",IF($H24&lt;=8,"12",0)))))+0</f>
        <v>22</v>
      </c>
      <c r="AA24" s="124">
        <f>(IF($H24&lt;=0,"0",IF($H24&lt;=2,"21",IF($H24&lt;=3,"19",IF($H24&lt;=4,"15",IF($H24&lt;=5,"9",0))))))+0</f>
        <v>21</v>
      </c>
      <c r="AB24" s="125">
        <f>(IF($H24&lt;=0,"0",IF($H24&lt;=1,"3",0)))+0</f>
        <v>3</v>
      </c>
      <c r="AC24" s="8" t="s">
        <v>176</v>
      </c>
      <c r="AD24" s="1" t="s">
        <v>569</v>
      </c>
      <c r="AE24" s="126">
        <f>(IF($F24&lt;=0,"0",IF($F24&lt;=6,"4",IF($F24&lt;=7,"3",IF($F24&lt;=8,"2","0")))))+0</f>
        <v>4</v>
      </c>
      <c r="AF24" s="126">
        <f>(IF($G24&lt;=0,"0",IF($G24&lt;=6,"4",IF($G24&lt;=7,"3",IF($G24&lt;=8,"2","0")))))+0</f>
        <v>4</v>
      </c>
      <c r="AG24" s="126">
        <f>(IF($H24&lt;=0,"0",IF($H24&lt;=6,"4",IF($H24&lt;=7,"3",IF($H24&lt;=8,"2","0")))))+0</f>
        <v>4</v>
      </c>
      <c r="AH24" s="10">
        <f>SUM(AE24:AG24)</f>
        <v>12</v>
      </c>
      <c r="AI24" s="1" t="s">
        <v>570</v>
      </c>
      <c r="AJ24" s="2">
        <f>(IF($E24&lt;=0,"0",IF($E24&lt;=20,"168",IF($E24&lt;=30,"165",IF($E24&lt;=50,"155",IF($E24&lt;=60,"135",IF($E24&lt;=70,"105",IF($E24&lt;=80,"60","0"))))))))+0</f>
        <v>135</v>
      </c>
      <c r="AK24" s="44" t="s">
        <v>526</v>
      </c>
      <c r="AL24" s="1">
        <f>(IF($E24&lt;=0,"0",IF($E24&lt;=80,"6","0")))+0</f>
        <v>6</v>
      </c>
      <c r="AM24" s="1">
        <f>(IF($E24&lt;=0,"0",IF($E24&lt;=60,"9",IF($E24&lt;=70,"6","0"))))+0</f>
        <v>9</v>
      </c>
      <c r="AN24" s="1">
        <f>(IF($E24&lt;=0,"0",IF($E24&lt;=40,"9",IF($E24&lt;=50,"6","0"))))+0</f>
        <v>0</v>
      </c>
      <c r="AO24" s="34">
        <f>(IF($E24&lt;=0,"0",IF($E24&lt;=20,"1","0")))+0</f>
        <v>0</v>
      </c>
      <c r="AP24" s="44" t="s">
        <v>46</v>
      </c>
      <c r="AQ24" s="1">
        <f>(IF($E24&lt;=0,"0",IF($E24&lt;=70,"36",IF($E24&lt;=80,"24","0"))))+0</f>
        <v>36</v>
      </c>
      <c r="AR24" s="1">
        <f>(IF($E24&lt;=0,"0",IF($E24&lt;=50,"30",IF($E24&lt;=60,"18","0"))))+0</f>
        <v>18</v>
      </c>
      <c r="AS24" s="1">
        <f>(IF($E24&lt;=0,"0",IF($E24&lt;=20,"18",IF($E24&lt;=40,"15","0"))))+0</f>
        <v>0</v>
      </c>
      <c r="AT24" s="53">
        <f>Summary2831[[#This Row],[3*2]]+Summary2831[[#This Row],[3*22]]+Summary2831[[#This Row],[3*23]]</f>
        <v>57</v>
      </c>
      <c r="AU24" s="52">
        <f>Summary2831[[#This Row],[2*2]]+Summary2831[[#This Row],[2*23]]+Summary2831[[#This Row],[2*24]]</f>
        <v>66</v>
      </c>
      <c r="AV24" s="52">
        <f>Summary2831[[#This Row],[1*2]]+Summary2831[[#This Row],[1*24]]+Summary2831[[#This Row],[1*25]]</f>
        <v>18</v>
      </c>
      <c r="AW24" s="52">
        <f>IF($F24&lt;=0,"0",IF($F24&lt;=6,"19",IF($F24&lt;=7,"18",IF($F24&lt;=8,"9",0))))+0</f>
        <v>19</v>
      </c>
      <c r="AX24" s="52">
        <f>IF($F24&lt;=0,"0",IF($F24&lt;=2,"22",IF($F24&lt;=3,"19",IF($F24&lt;=4,"15",IF($F24&lt;=5,"9",0)))))+0</f>
        <v>22</v>
      </c>
      <c r="AY24" s="52">
        <f>IF($F24&lt;=0,"0",IF($F24&lt;=1,"6",0))+0</f>
        <v>6</v>
      </c>
      <c r="AZ24" s="52">
        <f>IF($G24&lt;=0,"0",IF($G24&lt;=6,"19",IF($G24&lt;=7,"18",IF($G24&lt;=8,"9",0))))+0</f>
        <v>19</v>
      </c>
      <c r="BA24" s="52">
        <f>IF($G24&lt;=0,"0",IF($G24&lt;=2,"22",IF($G24&lt;=3,"19",IF($G24&lt;=4,"15",IF($G24&lt;=5,"9",0)))))+0</f>
        <v>22</v>
      </c>
      <c r="BB24" s="52">
        <f>IF($G24&lt;=0,"0",IF($G24&lt;=1,"6",0))+0</f>
        <v>6</v>
      </c>
      <c r="BC24" s="52">
        <f>IF($H24&lt;=0,"0",IF($H24&lt;=6,"19",IF($H24&lt;=7,"18",IF($H24&lt;=8,"9",0))))+0</f>
        <v>19</v>
      </c>
      <c r="BD24" s="52">
        <f>IF($H24&lt;=0,"0",IF($H24&lt;=2,"22",IF($H24&lt;=3,"19",IF($H24&lt;=4,"15",IF($H24&lt;=5,"9",0)))))+0</f>
        <v>22</v>
      </c>
      <c r="BE24" s="52">
        <f>IF($H24&lt;=0,"0",IF($H24&lt;=1,"6",0))+0</f>
        <v>6</v>
      </c>
      <c r="BF24" s="44">
        <f>SUM(Summary2831[[#This Row],[3*
(Tal)]],Summary2831[[#This Row],[3*
(Asc)]])</f>
        <v>93</v>
      </c>
      <c r="BG24" s="1">
        <f>SUM(Summary2831[[#This Row],[2*
(Tal)]],Summary2831[[#This Row],[2*
(Asc)]])</f>
        <v>84</v>
      </c>
      <c r="BH24" s="34">
        <f>SUM(Summary2831[[#This Row],[1*
(Tal)]],Summary2831[[#This Row],[1*
(Asc)]])</f>
        <v>18</v>
      </c>
      <c r="BI24" s="86">
        <f>(IF($E24&lt;=0,"0",IF($E24&lt;=1,"2092530",IF($E24&lt;=10,"2087525",IF($E24&lt;=20,"2068495",IF($E24&lt;=30,"2005910",IF($E24&lt;=40,"1932830",IF($E24&lt;=50,"1777010",IF($E24&lt;=60,"1546185",IF($E24&lt;=70,"1227000",IF($E24&lt;=80,"804625",IF($E24&lt;=81,"647990",IF($E24&lt;=90,"0",0)))))))))))))+0</f>
        <v>1546185</v>
      </c>
      <c r="BJ24" s="56">
        <f>(IF($F24&lt;=0,"0",IF($F24&lt;=1,"952500",IF($F24&lt;=2,"940000",IF($F24&lt;=3,"922500",IF($F24&lt;=4,"897500",IF($F24&lt;=5,"867500",IF($F24&lt;=6,"830000",IF($F24&lt;=7,"710000",IF($F24&lt;=8,"450000",0))))))))))+0</f>
        <v>952500</v>
      </c>
      <c r="BK24" s="56">
        <f>(IF($G24&lt;=0,"0",IF($G24&lt;=1,"952500",IF($G24&lt;=2,"940000",IF($G24&lt;=3,"922500",IF($G24&lt;=4,"897500",IF($G24&lt;=5,"867500",IF($G24&lt;=6,"830000",IF($G24&lt;=7,"710000",IF($G24&lt;=8,"450000",0))))))))))+0</f>
        <v>952500</v>
      </c>
      <c r="BL24" s="56">
        <f>(IF($H24&lt;=0,"0",IF($H24&lt;=1,"952500",IF($H24&lt;=2,"940000",IF($H24&lt;=3,"922500",IF($H24&lt;=4,"897500",IF($H24&lt;=5,"867500",IF($H24&lt;=6,"830000",IF($H24&lt;=7,"710000",IF($H24&lt;=8,"450000",0))))))))))+0</f>
        <v>952500</v>
      </c>
      <c r="BM24" s="57">
        <f>SUM(BI24,BJ24,BK24,BL24)</f>
        <v>4403685</v>
      </c>
    </row>
    <row r="25" spans="1:65" s="81" customFormat="1">
      <c r="A25" s="71">
        <f ca="1">SUBTOTAL(3,$B$3:Summary2831[[#This Row],[Name]])</f>
        <v>23</v>
      </c>
      <c r="B25" s="72" t="s">
        <v>415</v>
      </c>
      <c r="C25" s="72" t="s">
        <v>621</v>
      </c>
      <c r="D25" s="154">
        <v>1.5</v>
      </c>
      <c r="E25" s="72">
        <v>90</v>
      </c>
      <c r="F25" s="73">
        <v>9</v>
      </c>
      <c r="G25" s="74">
        <v>8</v>
      </c>
      <c r="H25" s="74">
        <v>10</v>
      </c>
      <c r="I25" s="72">
        <v>81</v>
      </c>
      <c r="J25" s="73">
        <v>1</v>
      </c>
      <c r="K25" s="74">
        <v>9</v>
      </c>
      <c r="L25" s="74">
        <v>9</v>
      </c>
      <c r="M25" s="79" t="s">
        <v>156</v>
      </c>
      <c r="N25" s="75">
        <f>(IF($E25&lt;=0,"0",IF($E25&lt;=40,"46",IF($E25&lt;=50,"44",IF($E25&lt;=60,"40",IF($E25&lt;=70,"32",IF($E25&lt;=80,"20","0")))))))+0</f>
        <v>0</v>
      </c>
      <c r="O2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5" s="76" t="s">
        <v>549</v>
      </c>
      <c r="Q25" s="77">
        <f>T25+W25+Z25</f>
        <v>12</v>
      </c>
      <c r="R25" s="77">
        <f>U25+X25+AA25</f>
        <v>0</v>
      </c>
      <c r="S25" s="78">
        <f>V25+Y25+AB25</f>
        <v>0</v>
      </c>
      <c r="T25" s="123">
        <f>(IF($F25&lt;=0,"0",IF($F25&lt;=6,"22",IF($F25&lt;=7,"18",IF($F25&lt;=8,"12",0)))))+0</f>
        <v>0</v>
      </c>
      <c r="U25" s="124">
        <f>(IF($F25&lt;=0,"0",IF($F25&lt;=2,"21",IF($F25&lt;=3,"19",IF($F25&lt;=4,"15",IF($F25&lt;=5,"9",0))))))+0</f>
        <v>0</v>
      </c>
      <c r="V25" s="124">
        <f>(IF($F25&lt;=0,"0",IF($F25&lt;=1,"3",0)))+0</f>
        <v>0</v>
      </c>
      <c r="W25" s="124">
        <f>(IF($G25&lt;=0,"0",IF($G25&lt;=6,"22",IF($G25&lt;=7,"18",IF($G25&lt;=8,"12",0)))))+0</f>
        <v>12</v>
      </c>
      <c r="X25" s="124">
        <f>(IF($G25&lt;=0,"0",IF($G25&lt;=2,"21",IF($G25&lt;=3,"19",IF($G25&lt;=4,"15",IF($G25&lt;=5,"9",0))))))+0</f>
        <v>0</v>
      </c>
      <c r="Y25" s="124">
        <f>(IF($G25&lt;=0,"0",IF($G25&lt;=1,"3",0)))+0</f>
        <v>0</v>
      </c>
      <c r="Z25" s="124">
        <f>(IF($H25&lt;=0,"0",IF($H25&lt;=6,"22",IF($H25&lt;=7,"18",IF($H25&lt;=8,"12",0)))))+0</f>
        <v>0</v>
      </c>
      <c r="AA25" s="124">
        <f>(IF($H25&lt;=0,"0",IF($H25&lt;=2,"21",IF($H25&lt;=3,"19",IF($H25&lt;=4,"15",IF($H25&lt;=5,"9",0))))))+0</f>
        <v>0</v>
      </c>
      <c r="AB25" s="125">
        <f>(IF($H25&lt;=0,"0",IF($H25&lt;=1,"3",0)))+0</f>
        <v>0</v>
      </c>
      <c r="AC25" s="80" t="s">
        <v>176</v>
      </c>
      <c r="AD25" s="81" t="s">
        <v>571</v>
      </c>
      <c r="AE25" s="126">
        <f>(IF($F25&lt;=0,"0",IF($F25&lt;=6,"4",IF($F25&lt;=7,"3",IF($F25&lt;=8,"2","0")))))+0</f>
        <v>0</v>
      </c>
      <c r="AF25" s="126">
        <f>(IF($G25&lt;=0,"0",IF($G25&lt;=6,"4",IF($G25&lt;=7,"3",IF($G25&lt;=8,"2","0")))))+0</f>
        <v>2</v>
      </c>
      <c r="AG25" s="126">
        <f>(IF($H25&lt;=0,"0",IF($H25&lt;=6,"4",IF($H25&lt;=7,"3",IF($H25&lt;=8,"2","0")))))+0</f>
        <v>0</v>
      </c>
      <c r="AH25" s="75">
        <f>SUM(AE25:AG25)</f>
        <v>2</v>
      </c>
      <c r="AI25" s="81" t="s">
        <v>572</v>
      </c>
      <c r="AJ25" s="74">
        <f>(IF($E25&lt;=0,"0",IF($E25&lt;=20,"168",IF($E25&lt;=30,"165",IF($E25&lt;=50,"155",IF($E25&lt;=60,"135",IF($E25&lt;=70,"105",IF($E25&lt;=80,"60","0"))))))))+0</f>
        <v>0</v>
      </c>
      <c r="AK25" s="79" t="s">
        <v>530</v>
      </c>
      <c r="AL25" s="81">
        <f>(IF($E25&lt;=0,"0",IF($E25&lt;=80,"6","0")))+0</f>
        <v>0</v>
      </c>
      <c r="AM25" s="81">
        <f>(IF($E25&lt;=0,"0",IF($E25&lt;=60,"9",IF($E25&lt;=70,"6","0"))))+0</f>
        <v>0</v>
      </c>
      <c r="AN25" s="81">
        <f>(IF($E25&lt;=0,"0",IF($E25&lt;=40,"9",IF($E25&lt;=50,"6","0"))))+0</f>
        <v>0</v>
      </c>
      <c r="AO25" s="82">
        <f>(IF($E25&lt;=0,"0",IF($E25&lt;=20,"1","0")))+0</f>
        <v>0</v>
      </c>
      <c r="AP25" s="79" t="s">
        <v>89</v>
      </c>
      <c r="AQ25" s="81">
        <f>(IF($E25&lt;=0,"0",IF($E25&lt;=70,"36",IF($E25&lt;=80,"24","0"))))+0</f>
        <v>0</v>
      </c>
      <c r="AR25" s="81">
        <f>(IF($E25&lt;=0,"0",IF($E25&lt;=50,"30",IF($E25&lt;=60,"18","0"))))+0</f>
        <v>0</v>
      </c>
      <c r="AS25" s="81">
        <f>(IF($E25&lt;=0,"0",IF($E25&lt;=20,"18",IF($E25&lt;=40,"15","0"))))+0</f>
        <v>0</v>
      </c>
      <c r="AT25" s="83">
        <f>Summary2831[[#This Row],[3*2]]+Summary2831[[#This Row],[3*22]]+Summary2831[[#This Row],[3*23]]</f>
        <v>9</v>
      </c>
      <c r="AU25" s="85">
        <f>Summary2831[[#This Row],[2*2]]+Summary2831[[#This Row],[2*23]]+Summary2831[[#This Row],[2*24]]</f>
        <v>0</v>
      </c>
      <c r="AV25" s="85">
        <f>Summary2831[[#This Row],[1*2]]+Summary2831[[#This Row],[1*24]]+Summary2831[[#This Row],[1*25]]</f>
        <v>0</v>
      </c>
      <c r="AW25" s="70">
        <f>IF($F25&lt;=0,"0",IF($F25&lt;=6,"19",IF($F25&lt;=7,"18",IF($F25&lt;=8,"9",0))))+0</f>
        <v>0</v>
      </c>
      <c r="AX25" s="70">
        <f>IF($F25&lt;=0,"0",IF($F25&lt;=2,"22",IF($F25&lt;=3,"19",IF($F25&lt;=4,"15",IF($F25&lt;=5,"9",0)))))+0</f>
        <v>0</v>
      </c>
      <c r="AY25" s="70">
        <f>IF($F25&lt;=0,"0",IF($F25&lt;=1,"6",0))+0</f>
        <v>0</v>
      </c>
      <c r="AZ25" s="70">
        <f>IF($G25&lt;=0,"0",IF($G25&lt;=6,"19",IF($G25&lt;=7,"18",IF($G25&lt;=8,"9",0))))+0</f>
        <v>9</v>
      </c>
      <c r="BA25" s="70">
        <f>IF($G25&lt;=0,"0",IF($G25&lt;=2,"22",IF($G25&lt;=3,"19",IF($G25&lt;=4,"15",IF($G25&lt;=5,"9",0)))))+0</f>
        <v>0</v>
      </c>
      <c r="BB25" s="70">
        <f>IF($G25&lt;=0,"0",IF($G25&lt;=1,"6",0))+0</f>
        <v>0</v>
      </c>
      <c r="BC25" s="70">
        <f>IF($H25&lt;=0,"0",IF($H25&lt;=6,"19",IF($H25&lt;=7,"18",IF($H25&lt;=8,"9",0))))+0</f>
        <v>0</v>
      </c>
      <c r="BD25" s="70">
        <f>IF($H25&lt;=0,"0",IF($H25&lt;=2,"22",IF($H25&lt;=3,"19",IF($H25&lt;=4,"15",IF($H25&lt;=5,"9",0)))))+0</f>
        <v>0</v>
      </c>
      <c r="BE25" s="70">
        <f>IF($H25&lt;=0,"0",IF($H25&lt;=1,"6",0))+0</f>
        <v>0</v>
      </c>
      <c r="BF25" s="79">
        <f>SUM(Summary2831[[#This Row],[3*
(Tal)]],Summary2831[[#This Row],[3*
(Asc)]])</f>
        <v>9</v>
      </c>
      <c r="BG25" s="81">
        <f>SUM(Summary2831[[#This Row],[2*
(Tal)]],Summary2831[[#This Row],[2*
(Asc)]])</f>
        <v>0</v>
      </c>
      <c r="BH25" s="82">
        <f>SUM(Summary2831[[#This Row],[1*
(Tal)]],Summary2831[[#This Row],[1*
(Asc)]])</f>
        <v>0</v>
      </c>
      <c r="BI25" s="86">
        <f>(IF($E25&lt;=0,"0",IF($E25&lt;=1,"2092530",IF($E25&lt;=10,"2087525",IF($E25&lt;=20,"2068495",IF($E25&lt;=30,"2005910",IF($E25&lt;=40,"1932830",IF($E25&lt;=50,"1777010",IF($E25&lt;=60,"1546185",IF($E25&lt;=70,"1227000",IF($E25&lt;=80,"804625",IF($E25&lt;=81,"647990",IF($E25&lt;=90,"0",0)))))))))))))+0</f>
        <v>0</v>
      </c>
      <c r="BJ25" s="87">
        <f>(IF($F25&lt;=0,"0",IF($F25&lt;=1,"952500",IF($F25&lt;=2,"940000",IF($F25&lt;=3,"922500",IF($F25&lt;=4,"897500",IF($F25&lt;=5,"867500",IF($F25&lt;=6,"830000",IF($F25&lt;=7,"710000",IF($F25&lt;=8,"450000",0))))))))))+0</f>
        <v>0</v>
      </c>
      <c r="BK25" s="87">
        <f>(IF($G25&lt;=0,"0",IF($G25&lt;=1,"952500",IF($G25&lt;=2,"940000",IF($G25&lt;=3,"922500",IF($G25&lt;=4,"897500",IF($G25&lt;=5,"867500",IF($G25&lt;=6,"830000",IF($G25&lt;=7,"710000",IF($G25&lt;=8,"450000",0))))))))))+0</f>
        <v>450000</v>
      </c>
      <c r="BL25" s="87">
        <f>(IF($H25&lt;=0,"0",IF($H25&lt;=1,"952500",IF($H25&lt;=2,"940000",IF($H25&lt;=3,"922500",IF($H25&lt;=4,"897500",IF($H25&lt;=5,"867500",IF($H25&lt;=6,"830000",IF($H25&lt;=7,"710000",IF($H25&lt;=8,"450000",0))))))))))+0</f>
        <v>0</v>
      </c>
      <c r="BM25" s="88">
        <f>SUM(BI25,BJ25,BK25,BL25)</f>
        <v>450000</v>
      </c>
    </row>
    <row r="26" spans="1:65" s="81" customFormat="1">
      <c r="A26" s="46">
        <f ca="1">SUBTOTAL(3,$B$3:Summary2831[[#This Row],[Name]])</f>
        <v>24</v>
      </c>
      <c r="B26" s="140" t="s">
        <v>356</v>
      </c>
      <c r="C26" s="14" t="s">
        <v>624</v>
      </c>
      <c r="D26" s="154">
        <v>3.3</v>
      </c>
      <c r="E26" s="14">
        <v>90</v>
      </c>
      <c r="F26" s="9">
        <v>4</v>
      </c>
      <c r="G26" s="2">
        <v>9</v>
      </c>
      <c r="H26" s="2">
        <v>10</v>
      </c>
      <c r="I26" s="72">
        <v>81</v>
      </c>
      <c r="J26" s="73">
        <v>1</v>
      </c>
      <c r="K26" s="74">
        <v>9</v>
      </c>
      <c r="L26" s="74">
        <v>9</v>
      </c>
      <c r="M26" s="44" t="s">
        <v>270</v>
      </c>
      <c r="N26" s="10">
        <f>(IF($E26&lt;=0,"0",IF($E26&lt;=40,"46",IF($E26&lt;=50,"44",IF($E26&lt;=60,"40",IF($E26&lt;=70,"32",IF($E26&lt;=80,"20","0")))))))+0</f>
        <v>0</v>
      </c>
      <c r="O2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6" s="49" t="s">
        <v>552</v>
      </c>
      <c r="Q26" s="50">
        <f>T26+W26+Z26</f>
        <v>22</v>
      </c>
      <c r="R26" s="50">
        <f>U26+X26+AA26</f>
        <v>15</v>
      </c>
      <c r="S26" s="51">
        <f>V26+Y26+AB26</f>
        <v>0</v>
      </c>
      <c r="T26" s="123">
        <f>(IF($F26&lt;=0,"0",IF($F26&lt;=6,"22",IF($F26&lt;=7,"18",IF($F26&lt;=8,"12",0)))))+0</f>
        <v>22</v>
      </c>
      <c r="U26" s="124">
        <f>(IF($F26&lt;=0,"0",IF($F26&lt;=2,"21",IF($F26&lt;=3,"19",IF($F26&lt;=4,"15",IF($F26&lt;=5,"9",0))))))+0</f>
        <v>15</v>
      </c>
      <c r="V26" s="124">
        <f>(IF($F26&lt;=0,"0",IF($F26&lt;=1,"3",0)))+0</f>
        <v>0</v>
      </c>
      <c r="W26" s="124">
        <f>(IF($G26&lt;=0,"0",IF($G26&lt;=6,"22",IF($G26&lt;=7,"18",IF($G26&lt;=8,"12",0)))))+0</f>
        <v>0</v>
      </c>
      <c r="X26" s="124">
        <f>(IF($G26&lt;=0,"0",IF($G26&lt;=2,"21",IF($G26&lt;=3,"19",IF($G26&lt;=4,"15",IF($G26&lt;=5,"9",0))))))+0</f>
        <v>0</v>
      </c>
      <c r="Y26" s="124">
        <f>(IF($G26&lt;=0,"0",IF($G26&lt;=1,"3",0)))+0</f>
        <v>0</v>
      </c>
      <c r="Z26" s="124">
        <f>(IF($H26&lt;=0,"0",IF($H26&lt;=6,"22",IF($H26&lt;=7,"18",IF($H26&lt;=8,"12",0)))))+0</f>
        <v>0</v>
      </c>
      <c r="AA26" s="124">
        <f>(IF($H26&lt;=0,"0",IF($H26&lt;=2,"21",IF($H26&lt;=3,"19",IF($H26&lt;=4,"15",IF($H26&lt;=5,"9",0))))))+0</f>
        <v>0</v>
      </c>
      <c r="AB26" s="125">
        <f>(IF($H26&lt;=0,"0",IF($H26&lt;=1,"3",0)))+0</f>
        <v>0</v>
      </c>
      <c r="AC26" s="8" t="s">
        <v>523</v>
      </c>
      <c r="AD26" s="1" t="s">
        <v>566</v>
      </c>
      <c r="AE26" s="126">
        <f>(IF($F26&lt;=0,"0",IF($F26&lt;=6,"4",IF($F26&lt;=7,"3",IF($F26&lt;=8,"2","0")))))+0</f>
        <v>4</v>
      </c>
      <c r="AF26" s="126">
        <f>(IF($G26&lt;=0,"0",IF($G26&lt;=6,"4",IF($G26&lt;=7,"3",IF($G26&lt;=8,"2","0")))))+0</f>
        <v>0</v>
      </c>
      <c r="AG26" s="126">
        <f>(IF($H26&lt;=0,"0",IF($H26&lt;=6,"4",IF($H26&lt;=7,"3",IF($H26&lt;=8,"2","0")))))+0</f>
        <v>0</v>
      </c>
      <c r="AH26" s="10">
        <f>SUM(AE26:AG26)</f>
        <v>4</v>
      </c>
      <c r="AI26" s="1" t="s">
        <v>551</v>
      </c>
      <c r="AJ26" s="2">
        <f>(IF($E26&lt;=0,"0",IF($E26&lt;=20,"168",IF($E26&lt;=30,"165",IF($E26&lt;=50,"155",IF($E26&lt;=60,"135",IF($E26&lt;=70,"105",IF($E26&lt;=80,"60","0"))))))))+0</f>
        <v>0</v>
      </c>
      <c r="AK26" s="44" t="s">
        <v>573</v>
      </c>
      <c r="AL26" s="1">
        <f>(IF($E26&lt;=0,"0",IF($E26&lt;=80,"6","0")))+0</f>
        <v>0</v>
      </c>
      <c r="AM26" s="1">
        <f>(IF($E26&lt;=0,"0",IF($E26&lt;=60,"9",IF($E26&lt;=70,"6","0"))))+0</f>
        <v>0</v>
      </c>
      <c r="AN26" s="1">
        <f>(IF($E26&lt;=0,"0",IF($E26&lt;=40,"9",IF($E26&lt;=50,"6","0"))))+0</f>
        <v>0</v>
      </c>
      <c r="AO26" s="34">
        <f>(IF($E26&lt;=0,"0",IF($E26&lt;=20,"1","0")))+0</f>
        <v>0</v>
      </c>
      <c r="AP26" s="44" t="s">
        <v>46</v>
      </c>
      <c r="AQ26" s="1">
        <f>(IF($E26&lt;=0,"0",IF($E26&lt;=70,"36",IF($E26&lt;=80,"24","0"))))+0</f>
        <v>0</v>
      </c>
      <c r="AR26" s="1">
        <f>(IF($E26&lt;=0,"0",IF($E26&lt;=50,"30",IF($E26&lt;=60,"18","0"))))+0</f>
        <v>0</v>
      </c>
      <c r="AS26" s="1">
        <f>(IF($E26&lt;=0,"0",IF($E26&lt;=20,"18",IF($E26&lt;=40,"15","0"))))+0</f>
        <v>0</v>
      </c>
      <c r="AT26" s="53">
        <f>Summary2831[[#This Row],[3*2]]+Summary2831[[#This Row],[3*22]]+Summary2831[[#This Row],[3*23]]</f>
        <v>19</v>
      </c>
      <c r="AU26" s="52">
        <f>Summary2831[[#This Row],[2*2]]+Summary2831[[#This Row],[2*23]]+Summary2831[[#This Row],[2*24]]</f>
        <v>15</v>
      </c>
      <c r="AV26" s="52">
        <f>Summary2831[[#This Row],[1*2]]+Summary2831[[#This Row],[1*24]]+Summary2831[[#This Row],[1*25]]</f>
        <v>0</v>
      </c>
      <c r="AW26" s="52">
        <f>IF($F26&lt;=0,"0",IF($F26&lt;=6,"19",IF($F26&lt;=7,"18",IF($F26&lt;=8,"9",0))))+0</f>
        <v>19</v>
      </c>
      <c r="AX26" s="52">
        <f>IF($F26&lt;=0,"0",IF($F26&lt;=2,"22",IF($F26&lt;=3,"19",IF($F26&lt;=4,"15",IF($F26&lt;=5,"9",0)))))+0</f>
        <v>15</v>
      </c>
      <c r="AY26" s="52">
        <f>IF($F26&lt;=0,"0",IF($F26&lt;=1,"6",0))+0</f>
        <v>0</v>
      </c>
      <c r="AZ26" s="52">
        <f>IF($G26&lt;=0,"0",IF($G26&lt;=6,"19",IF($G26&lt;=7,"18",IF($G26&lt;=8,"9",0))))+0</f>
        <v>0</v>
      </c>
      <c r="BA26" s="52">
        <f>IF($G26&lt;=0,"0",IF($G26&lt;=2,"22",IF($G26&lt;=3,"19",IF($G26&lt;=4,"15",IF($G26&lt;=5,"9",0)))))+0</f>
        <v>0</v>
      </c>
      <c r="BB26" s="52">
        <f>IF($G26&lt;=0,"0",IF($G26&lt;=1,"6",0))+0</f>
        <v>0</v>
      </c>
      <c r="BC26" s="52">
        <f>IF($H26&lt;=0,"0",IF($H26&lt;=6,"19",IF($H26&lt;=7,"18",IF($H26&lt;=8,"9",0))))+0</f>
        <v>0</v>
      </c>
      <c r="BD26" s="52">
        <f>IF($H26&lt;=0,"0",IF($H26&lt;=2,"22",IF($H26&lt;=3,"19",IF($H26&lt;=4,"15",IF($H26&lt;=5,"9",0)))))+0</f>
        <v>0</v>
      </c>
      <c r="BE26" s="52">
        <f>IF($H26&lt;=0,"0",IF($H26&lt;=1,"6",0))+0</f>
        <v>0</v>
      </c>
      <c r="BF26" s="44">
        <f>SUM(Summary2831[[#This Row],[3*
(Tal)]],Summary2831[[#This Row],[3*
(Asc)]])</f>
        <v>19</v>
      </c>
      <c r="BG26" s="1">
        <f>SUM(Summary2831[[#This Row],[2*
(Tal)]],Summary2831[[#This Row],[2*
(Asc)]])</f>
        <v>15</v>
      </c>
      <c r="BH26" s="34">
        <f>SUM(Summary2831[[#This Row],[1*
(Tal)]],Summary2831[[#This Row],[1*
(Asc)]])</f>
        <v>0</v>
      </c>
      <c r="BI26" s="86">
        <f>(IF($E26&lt;=0,"0",IF($E26&lt;=1,"2092530",IF($E26&lt;=10,"2087525",IF($E26&lt;=20,"2068495",IF($E26&lt;=30,"2005910",IF($E26&lt;=40,"1932830",IF($E26&lt;=50,"1777010",IF($E26&lt;=60,"1546185",IF($E26&lt;=70,"1227000",IF($E26&lt;=80,"804625",IF($E26&lt;=81,"647990",IF($E26&lt;=90,"0",0)))))))))))))+0</f>
        <v>0</v>
      </c>
      <c r="BJ26" s="56">
        <f>(IF($F26&lt;=0,"0",IF($F26&lt;=1,"952500",IF($F26&lt;=2,"940000",IF($F26&lt;=3,"922500",IF($F26&lt;=4,"897500",IF($F26&lt;=5,"867500",IF($F26&lt;=6,"830000",IF($F26&lt;=7,"710000",IF($F26&lt;=8,"450000",0))))))))))+0</f>
        <v>897500</v>
      </c>
      <c r="BK26" s="56">
        <f>(IF($G26&lt;=0,"0",IF($G26&lt;=1,"952500",IF($G26&lt;=2,"940000",IF($G26&lt;=3,"922500",IF($G26&lt;=4,"897500",IF($G26&lt;=5,"867500",IF($G26&lt;=6,"830000",IF($G26&lt;=7,"710000",IF($G26&lt;=8,"450000",0))))))))))+0</f>
        <v>0</v>
      </c>
      <c r="BL26" s="56">
        <f>(IF($H26&lt;=0,"0",IF($H26&lt;=1,"952500",IF($H26&lt;=2,"940000",IF($H26&lt;=3,"922500",IF($H26&lt;=4,"897500",IF($H26&lt;=5,"867500",IF($H26&lt;=6,"830000",IF($H26&lt;=7,"710000",IF($H26&lt;=8,"450000",0))))))))))+0</f>
        <v>0</v>
      </c>
      <c r="BM26" s="57">
        <f>SUM(BI26,BJ26,BK26,BL26)</f>
        <v>897500</v>
      </c>
    </row>
    <row r="27" spans="1:65" s="81" customFormat="1">
      <c r="A27" s="46">
        <f ca="1">SUBTOTAL(3,$B$3:Summary2831[[#This Row],[Name]])</f>
        <v>25</v>
      </c>
      <c r="B27" s="140" t="s">
        <v>363</v>
      </c>
      <c r="C27" s="14" t="s">
        <v>31</v>
      </c>
      <c r="D27" s="155">
        <v>1</v>
      </c>
      <c r="E27" s="14">
        <v>90</v>
      </c>
      <c r="F27" s="9">
        <v>1</v>
      </c>
      <c r="G27" s="2">
        <v>10</v>
      </c>
      <c r="H27" s="2">
        <v>1</v>
      </c>
      <c r="I27" s="72">
        <v>81</v>
      </c>
      <c r="J27" s="73">
        <v>1</v>
      </c>
      <c r="K27" s="74">
        <v>9</v>
      </c>
      <c r="L27" s="74">
        <v>9</v>
      </c>
      <c r="M27" s="44" t="s">
        <v>106</v>
      </c>
      <c r="N27" s="10">
        <f>(IF($E27&lt;=0,"0",IF($E27&lt;=40,"46",IF($E27&lt;=50,"44",IF($E27&lt;=60,"40",IF($E27&lt;=70,"32",IF($E27&lt;=80,"20","0")))))))+0</f>
        <v>0</v>
      </c>
      <c r="O2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7" s="49" t="s">
        <v>519</v>
      </c>
      <c r="Q27" s="50">
        <f>T27+W27+Z27</f>
        <v>44</v>
      </c>
      <c r="R27" s="50">
        <f>U27+X27+AA27</f>
        <v>42</v>
      </c>
      <c r="S27" s="51">
        <f>V27+Y27+AB27</f>
        <v>6</v>
      </c>
      <c r="T27" s="123">
        <f>(IF($F27&lt;=0,"0",IF($F27&lt;=6,"22",IF($F27&lt;=7,"18",IF($F27&lt;=8,"12",0)))))+0</f>
        <v>22</v>
      </c>
      <c r="U27" s="124">
        <f>(IF($F27&lt;=0,"0",IF($F27&lt;=2,"21",IF($F27&lt;=3,"19",IF($F27&lt;=4,"15",IF($F27&lt;=5,"9",0))))))+0</f>
        <v>21</v>
      </c>
      <c r="V27" s="124">
        <f>(IF($F27&lt;=0,"0",IF($F27&lt;=1,"3",0)))+0</f>
        <v>3</v>
      </c>
      <c r="W27" s="124">
        <f>(IF($G27&lt;=0,"0",IF($G27&lt;=6,"22",IF($G27&lt;=7,"18",IF($G27&lt;=8,"12",0)))))+0</f>
        <v>0</v>
      </c>
      <c r="X27" s="124">
        <f>(IF($G27&lt;=0,"0",IF($G27&lt;=2,"21",IF($G27&lt;=3,"19",IF($G27&lt;=4,"15",IF($G27&lt;=5,"9",0))))))+0</f>
        <v>0</v>
      </c>
      <c r="Y27" s="124">
        <f>(IF($G27&lt;=0,"0",IF($G27&lt;=1,"3",0)))+0</f>
        <v>0</v>
      </c>
      <c r="Z27" s="124">
        <f>(IF($H27&lt;=0,"0",IF($H27&lt;=6,"22",IF($H27&lt;=7,"18",IF($H27&lt;=8,"12",0)))))+0</f>
        <v>22</v>
      </c>
      <c r="AA27" s="124">
        <f>(IF($H27&lt;=0,"0",IF($H27&lt;=2,"21",IF($H27&lt;=3,"19",IF($H27&lt;=4,"15",IF($H27&lt;=5,"9",0))))))+0</f>
        <v>21</v>
      </c>
      <c r="AB27" s="125">
        <f>(IF($H27&lt;=0,"0",IF($H27&lt;=1,"3",0)))+0</f>
        <v>3</v>
      </c>
      <c r="AC27" s="8" t="s">
        <v>543</v>
      </c>
      <c r="AD27" s="1" t="s">
        <v>574</v>
      </c>
      <c r="AE27" s="126">
        <f>(IF($F27&lt;=0,"0",IF($F27&lt;=6,"4",IF($F27&lt;=7,"3",IF($F27&lt;=8,"2","0")))))+0</f>
        <v>4</v>
      </c>
      <c r="AF27" s="126">
        <f>(IF($G27&lt;=0,"0",IF($G27&lt;=6,"4",IF($G27&lt;=7,"3",IF($G27&lt;=8,"2","0")))))+0</f>
        <v>0</v>
      </c>
      <c r="AG27" s="126">
        <f>(IF($H27&lt;=0,"0",IF($H27&lt;=6,"4",IF($H27&lt;=7,"3",IF($H27&lt;=8,"2","0")))))+0</f>
        <v>4</v>
      </c>
      <c r="AH27" s="10">
        <f>SUM(AE27:AG27)</f>
        <v>8</v>
      </c>
      <c r="AI27" s="1" t="s">
        <v>533</v>
      </c>
      <c r="AJ27" s="2">
        <f>(IF($E27&lt;=0,"0",IF($E27&lt;=20,"168",IF($E27&lt;=30,"165",IF($E27&lt;=50,"155",IF($E27&lt;=60,"135",IF($E27&lt;=70,"105",IF($E27&lt;=80,"60","0"))))))))+0</f>
        <v>0</v>
      </c>
      <c r="AK27" s="44" t="s">
        <v>548</v>
      </c>
      <c r="AL27" s="1">
        <f>(IF($E27&lt;=0,"0",IF($E27&lt;=80,"6","0")))+0</f>
        <v>0</v>
      </c>
      <c r="AM27" s="1">
        <f>(IF($E27&lt;=0,"0",IF($E27&lt;=60,"9",IF($E27&lt;=70,"6","0"))))+0</f>
        <v>0</v>
      </c>
      <c r="AN27" s="1">
        <f>(IF($E27&lt;=0,"0",IF($E27&lt;=40,"9",IF($E27&lt;=50,"6","0"))))+0</f>
        <v>0</v>
      </c>
      <c r="AO27" s="34">
        <f>(IF($E27&lt;=0,"0",IF($E27&lt;=20,"1","0")))+0</f>
        <v>0</v>
      </c>
      <c r="AP27" s="44" t="s">
        <v>120</v>
      </c>
      <c r="AQ27" s="1">
        <f>(IF($E27&lt;=0,"0",IF($E27&lt;=70,"36",IF($E27&lt;=80,"24","0"))))+0</f>
        <v>0</v>
      </c>
      <c r="AR27" s="1">
        <f>(IF($E27&lt;=0,"0",IF($E27&lt;=50,"30",IF($E27&lt;=60,"18","0"))))+0</f>
        <v>0</v>
      </c>
      <c r="AS27" s="1">
        <f>(IF($E27&lt;=0,"0",IF($E27&lt;=20,"18",IF($E27&lt;=40,"15","0"))))+0</f>
        <v>0</v>
      </c>
      <c r="AT27" s="53">
        <f>Summary2831[[#This Row],[3*2]]+Summary2831[[#This Row],[3*22]]+Summary2831[[#This Row],[3*23]]</f>
        <v>38</v>
      </c>
      <c r="AU27" s="52">
        <f>Summary2831[[#This Row],[2*2]]+Summary2831[[#This Row],[2*23]]+Summary2831[[#This Row],[2*24]]</f>
        <v>44</v>
      </c>
      <c r="AV27" s="52">
        <f>Summary2831[[#This Row],[1*2]]+Summary2831[[#This Row],[1*24]]+Summary2831[[#This Row],[1*25]]</f>
        <v>12</v>
      </c>
      <c r="AW27" s="52">
        <f>IF($F27&lt;=0,"0",IF($F27&lt;=6,"19",IF($F27&lt;=7,"18",IF($F27&lt;=8,"9",0))))+0</f>
        <v>19</v>
      </c>
      <c r="AX27" s="52">
        <f>IF($F27&lt;=0,"0",IF($F27&lt;=2,"22",IF($F27&lt;=3,"19",IF($F27&lt;=4,"15",IF($F27&lt;=5,"9",0)))))+0</f>
        <v>22</v>
      </c>
      <c r="AY27" s="52">
        <f>IF($F27&lt;=0,"0",IF($F27&lt;=1,"6",0))+0</f>
        <v>6</v>
      </c>
      <c r="AZ27" s="52">
        <f>IF($G27&lt;=0,"0",IF($G27&lt;=6,"19",IF($G27&lt;=7,"18",IF($G27&lt;=8,"9",0))))+0</f>
        <v>0</v>
      </c>
      <c r="BA27" s="52">
        <f>IF($G27&lt;=0,"0",IF($G27&lt;=2,"22",IF($G27&lt;=3,"19",IF($G27&lt;=4,"15",IF($G27&lt;=5,"9",0)))))+0</f>
        <v>0</v>
      </c>
      <c r="BB27" s="52">
        <f>IF($G27&lt;=0,"0",IF($G27&lt;=1,"6",0))+0</f>
        <v>0</v>
      </c>
      <c r="BC27" s="52">
        <f>IF($H27&lt;=0,"0",IF($H27&lt;=6,"19",IF($H27&lt;=7,"18",IF($H27&lt;=8,"9",0))))+0</f>
        <v>19</v>
      </c>
      <c r="BD27" s="52">
        <f>IF($H27&lt;=0,"0",IF($H27&lt;=2,"22",IF($H27&lt;=3,"19",IF($H27&lt;=4,"15",IF($H27&lt;=5,"9",0)))))+0</f>
        <v>22</v>
      </c>
      <c r="BE27" s="52">
        <f>IF($H27&lt;=0,"0",IF($H27&lt;=1,"6",0))+0</f>
        <v>6</v>
      </c>
      <c r="BF27" s="44">
        <f>SUM(Summary2831[[#This Row],[3*
(Tal)]],Summary2831[[#This Row],[3*
(Asc)]])</f>
        <v>38</v>
      </c>
      <c r="BG27" s="1">
        <f>SUM(Summary2831[[#This Row],[2*
(Tal)]],Summary2831[[#This Row],[2*
(Asc)]])</f>
        <v>44</v>
      </c>
      <c r="BH27" s="34">
        <f>SUM(Summary2831[[#This Row],[1*
(Tal)]],Summary2831[[#This Row],[1*
(Asc)]])</f>
        <v>12</v>
      </c>
      <c r="BI27" s="86">
        <f>(IF($E27&lt;=0,"0",IF($E27&lt;=1,"2092530",IF($E27&lt;=10,"2087525",IF($E27&lt;=20,"2068495",IF($E27&lt;=30,"2005910",IF($E27&lt;=40,"1932830",IF($E27&lt;=50,"1777010",IF($E27&lt;=60,"1546185",IF($E27&lt;=70,"1227000",IF($E27&lt;=80,"804625",IF($E27&lt;=81,"647990",IF($E27&lt;=90,"0",0)))))))))))))+0</f>
        <v>0</v>
      </c>
      <c r="BJ27" s="56">
        <f>(IF($F27&lt;=0,"0",IF($F27&lt;=1,"952500",IF($F27&lt;=2,"940000",IF($F27&lt;=3,"922500",IF($F27&lt;=4,"897500",IF($F27&lt;=5,"867500",IF($F27&lt;=6,"830000",IF($F27&lt;=7,"710000",IF($F27&lt;=8,"450000",0))))))))))+0</f>
        <v>952500</v>
      </c>
      <c r="BK27" s="56">
        <f>(IF($G27&lt;=0,"0",IF($G27&lt;=1,"952500",IF($G27&lt;=2,"940000",IF($G27&lt;=3,"922500",IF($G27&lt;=4,"897500",IF($G27&lt;=5,"867500",IF($G27&lt;=6,"830000",IF($G27&lt;=7,"710000",IF($G27&lt;=8,"450000",0))))))))))+0</f>
        <v>0</v>
      </c>
      <c r="BL27" s="56">
        <f>(IF($H27&lt;=0,"0",IF($H27&lt;=1,"952500",IF($H27&lt;=2,"940000",IF($H27&lt;=3,"922500",IF($H27&lt;=4,"897500",IF($H27&lt;=5,"867500",IF($H27&lt;=6,"830000",IF($H27&lt;=7,"710000",IF($H27&lt;=8,"450000",0))))))))))+0</f>
        <v>952500</v>
      </c>
      <c r="BM27" s="57">
        <f>SUM(BI27,BJ27,BK27,BL27)</f>
        <v>1905000</v>
      </c>
    </row>
    <row r="28" spans="1:65">
      <c r="A28" s="46">
        <f ca="1">SUBTOTAL(3,$B$3:Summary2831[[#This Row],[Name]])</f>
        <v>26</v>
      </c>
      <c r="B28" s="140" t="s">
        <v>416</v>
      </c>
      <c r="C28" s="14" t="s">
        <v>621</v>
      </c>
      <c r="D28" s="155">
        <v>4</v>
      </c>
      <c r="E28" s="14">
        <v>22</v>
      </c>
      <c r="F28" s="9">
        <v>1</v>
      </c>
      <c r="G28" s="2">
        <v>1</v>
      </c>
      <c r="H28" s="2">
        <v>1</v>
      </c>
      <c r="I28" s="72">
        <v>81</v>
      </c>
      <c r="J28" s="73">
        <v>1</v>
      </c>
      <c r="K28" s="74">
        <v>9</v>
      </c>
      <c r="L28" s="74">
        <v>9</v>
      </c>
      <c r="M28" s="44" t="s">
        <v>307</v>
      </c>
      <c r="N28" s="10">
        <f>(IF($E28&lt;=0,"0",IF($E28&lt;=40,"46",IF($E28&lt;=50,"44",IF($E28&lt;=60,"40",IF($E28&lt;=70,"32",IF($E28&lt;=80,"20","0")))))))+0</f>
        <v>46</v>
      </c>
      <c r="O2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28" s="49" t="s">
        <v>556</v>
      </c>
      <c r="Q28" s="50">
        <f>T28+W28+Z28</f>
        <v>66</v>
      </c>
      <c r="R28" s="50">
        <f>U28+X28+AA28</f>
        <v>63</v>
      </c>
      <c r="S28" s="51">
        <f>V28+Y28+AB28</f>
        <v>9</v>
      </c>
      <c r="T28" s="123">
        <f>(IF($F28&lt;=0,"0",IF($F28&lt;=6,"22",IF($F28&lt;=7,"18",IF($F28&lt;=8,"12",0)))))+0</f>
        <v>22</v>
      </c>
      <c r="U28" s="124">
        <f>(IF($F28&lt;=0,"0",IF($F28&lt;=2,"21",IF($F28&lt;=3,"19",IF($F28&lt;=4,"15",IF($F28&lt;=5,"9",0))))))+0</f>
        <v>21</v>
      </c>
      <c r="V28" s="124">
        <f>(IF($F28&lt;=0,"0",IF($F28&lt;=1,"3",0)))+0</f>
        <v>3</v>
      </c>
      <c r="W28" s="124">
        <f>(IF($G28&lt;=0,"0",IF($G28&lt;=6,"22",IF($G28&lt;=7,"18",IF($G28&lt;=8,"12",0)))))+0</f>
        <v>22</v>
      </c>
      <c r="X28" s="124">
        <f>(IF($G28&lt;=0,"0",IF($G28&lt;=2,"21",IF($G28&lt;=3,"19",IF($G28&lt;=4,"15",IF($G28&lt;=5,"9",0))))))+0</f>
        <v>21</v>
      </c>
      <c r="Y28" s="124">
        <f>(IF($G28&lt;=0,"0",IF($G28&lt;=1,"3",0)))+0</f>
        <v>3</v>
      </c>
      <c r="Z28" s="124">
        <f>(IF($H28&lt;=0,"0",IF($H28&lt;=6,"22",IF($H28&lt;=7,"18",IF($H28&lt;=8,"12",0)))))+0</f>
        <v>22</v>
      </c>
      <c r="AA28" s="124">
        <f>(IF($H28&lt;=0,"0",IF($H28&lt;=2,"21",IF($H28&lt;=3,"19",IF($H28&lt;=4,"15",IF($H28&lt;=5,"9",0))))))+0</f>
        <v>21</v>
      </c>
      <c r="AB28" s="125">
        <f>(IF($H28&lt;=0,"0",IF($H28&lt;=1,"3",0)))+0</f>
        <v>3</v>
      </c>
      <c r="AC28" s="8" t="s">
        <v>541</v>
      </c>
      <c r="AD28" s="1" t="s">
        <v>542</v>
      </c>
      <c r="AE28" s="126">
        <f>(IF($F28&lt;=0,"0",IF($F28&lt;=6,"4",IF($F28&lt;=7,"3",IF($F28&lt;=8,"2","0")))))+0</f>
        <v>4</v>
      </c>
      <c r="AF28" s="126">
        <f>(IF($G28&lt;=0,"0",IF($G28&lt;=6,"4",IF($G28&lt;=7,"3",IF($G28&lt;=8,"2","0")))))+0</f>
        <v>4</v>
      </c>
      <c r="AG28" s="126">
        <f>(IF($H28&lt;=0,"0",IF($H28&lt;=6,"4",IF($H28&lt;=7,"3",IF($H28&lt;=8,"2","0")))))+0</f>
        <v>4</v>
      </c>
      <c r="AH28" s="10">
        <f>SUM(AE28:AG28)</f>
        <v>12</v>
      </c>
      <c r="AI28" s="1" t="s">
        <v>575</v>
      </c>
      <c r="AJ28" s="2">
        <f>(IF($E28&lt;=0,"0",IF($E28&lt;=20,"168",IF($E28&lt;=30,"165",IF($E28&lt;=50,"155",IF($E28&lt;=60,"135",IF($E28&lt;=70,"105",IF($E28&lt;=80,"60","0"))))))))+0</f>
        <v>165</v>
      </c>
      <c r="AK28" s="44" t="s">
        <v>530</v>
      </c>
      <c r="AL28" s="1">
        <f>(IF($E28&lt;=0,"0",IF($E28&lt;=80,"6","0")))+0</f>
        <v>6</v>
      </c>
      <c r="AM28" s="1">
        <f>(IF($E28&lt;=0,"0",IF($E28&lt;=60,"9",IF($E28&lt;=70,"6","0"))))+0</f>
        <v>9</v>
      </c>
      <c r="AN28" s="1">
        <f>(IF($E28&lt;=0,"0",IF($E28&lt;=40,"9",IF($E28&lt;=50,"6","0"))))+0</f>
        <v>9</v>
      </c>
      <c r="AO28" s="34">
        <f>(IF($E28&lt;=0,"0",IF($E28&lt;=20,"1","0")))+0</f>
        <v>0</v>
      </c>
      <c r="AP28" s="44" t="s">
        <v>373</v>
      </c>
      <c r="AQ28" s="1">
        <f>(IF($E28&lt;=0,"0",IF($E28&lt;=70,"36",IF($E28&lt;=80,"24","0"))))+0</f>
        <v>36</v>
      </c>
      <c r="AR28" s="1">
        <f>(IF($E28&lt;=0,"0",IF($E28&lt;=50,"30",IF($E28&lt;=60,"18","0"))))+0</f>
        <v>30</v>
      </c>
      <c r="AS28" s="1">
        <f>(IF($E28&lt;=0,"0",IF($E28&lt;=20,"18",IF($E28&lt;=40,"15","0"))))+0</f>
        <v>15</v>
      </c>
      <c r="AT28" s="53">
        <f>Summary2831[[#This Row],[3*2]]+Summary2831[[#This Row],[3*22]]+Summary2831[[#This Row],[3*23]]</f>
        <v>57</v>
      </c>
      <c r="AU28" s="52">
        <f>Summary2831[[#This Row],[2*2]]+Summary2831[[#This Row],[2*23]]+Summary2831[[#This Row],[2*24]]</f>
        <v>66</v>
      </c>
      <c r="AV28" s="52">
        <f>Summary2831[[#This Row],[1*2]]+Summary2831[[#This Row],[1*24]]+Summary2831[[#This Row],[1*25]]</f>
        <v>18</v>
      </c>
      <c r="AW28" s="52">
        <f>IF($F28&lt;=0,"0",IF($F28&lt;=6,"19",IF($F28&lt;=7,"18",IF($F28&lt;=8,"9",0))))+0</f>
        <v>19</v>
      </c>
      <c r="AX28" s="52">
        <f>IF($F28&lt;=0,"0",IF($F28&lt;=2,"22",IF($F28&lt;=3,"19",IF($F28&lt;=4,"15",IF($F28&lt;=5,"9",0)))))+0</f>
        <v>22</v>
      </c>
      <c r="AY28" s="52">
        <f>IF($F28&lt;=0,"0",IF($F28&lt;=1,"6",0))+0</f>
        <v>6</v>
      </c>
      <c r="AZ28" s="52">
        <f>IF($G28&lt;=0,"0",IF($G28&lt;=6,"19",IF($G28&lt;=7,"18",IF($G28&lt;=8,"9",0))))+0</f>
        <v>19</v>
      </c>
      <c r="BA28" s="52">
        <f>IF($G28&lt;=0,"0",IF($G28&lt;=2,"22",IF($G28&lt;=3,"19",IF($G28&lt;=4,"15",IF($G28&lt;=5,"9",0)))))+0</f>
        <v>22</v>
      </c>
      <c r="BB28" s="52">
        <f>IF($G28&lt;=0,"0",IF($G28&lt;=1,"6",0))+0</f>
        <v>6</v>
      </c>
      <c r="BC28" s="52">
        <f>IF($H28&lt;=0,"0",IF($H28&lt;=6,"19",IF($H28&lt;=7,"18",IF($H28&lt;=8,"9",0))))+0</f>
        <v>19</v>
      </c>
      <c r="BD28" s="52">
        <f>IF($H28&lt;=0,"0",IF($H28&lt;=2,"22",IF($H28&lt;=3,"19",IF($H28&lt;=4,"15",IF($H28&lt;=5,"9",0)))))+0</f>
        <v>22</v>
      </c>
      <c r="BE28" s="52">
        <f>IF($H28&lt;=0,"0",IF($H28&lt;=1,"6",0))+0</f>
        <v>6</v>
      </c>
      <c r="BF28" s="44">
        <f>SUM(Summary2831[[#This Row],[3*
(Tal)]],Summary2831[[#This Row],[3*
(Asc)]])</f>
        <v>93</v>
      </c>
      <c r="BG28" s="1">
        <f>SUM(Summary2831[[#This Row],[2*
(Tal)]],Summary2831[[#This Row],[2*
(Asc)]])</f>
        <v>96</v>
      </c>
      <c r="BH28" s="34">
        <f>SUM(Summary2831[[#This Row],[1*
(Tal)]],Summary2831[[#This Row],[1*
(Asc)]])</f>
        <v>33</v>
      </c>
      <c r="BI28" s="86">
        <f>(IF($E28&lt;=0,"0",IF($E28&lt;=1,"2092530",IF($E28&lt;=10,"2087525",IF($E28&lt;=20,"2068495",IF($E28&lt;=30,"2005910",IF($E28&lt;=40,"1932830",IF($E28&lt;=50,"1777010",IF($E28&lt;=60,"1546185",IF($E28&lt;=70,"1227000",IF($E28&lt;=80,"804625",IF($E28&lt;=81,"647990",IF($E28&lt;=90,"0",0)))))))))))))+0</f>
        <v>2005910</v>
      </c>
      <c r="BJ28" s="56">
        <f>(IF($F28&lt;=0,"0",IF($F28&lt;=1,"952500",IF($F28&lt;=2,"940000",IF($F28&lt;=3,"922500",IF($F28&lt;=4,"897500",IF($F28&lt;=5,"867500",IF($F28&lt;=6,"830000",IF($F28&lt;=7,"710000",IF($F28&lt;=8,"450000",0))))))))))+0</f>
        <v>952500</v>
      </c>
      <c r="BK28" s="56">
        <f>(IF($G28&lt;=0,"0",IF($G28&lt;=1,"952500",IF($G28&lt;=2,"940000",IF($G28&lt;=3,"922500",IF($G28&lt;=4,"897500",IF($G28&lt;=5,"867500",IF($G28&lt;=6,"830000",IF($G28&lt;=7,"710000",IF($G28&lt;=8,"450000",0))))))))))+0</f>
        <v>952500</v>
      </c>
      <c r="BL28" s="56">
        <f>(IF($H28&lt;=0,"0",IF($H28&lt;=1,"952500",IF($H28&lt;=2,"940000",IF($H28&lt;=3,"922500",IF($H28&lt;=4,"897500",IF($H28&lt;=5,"867500",IF($H28&lt;=6,"830000",IF($H28&lt;=7,"710000",IF($H28&lt;=8,"450000",0))))))))))+0</f>
        <v>952500</v>
      </c>
      <c r="BM28" s="57">
        <f>SUM(BI28,BJ28,BK28,BL28)</f>
        <v>4863410</v>
      </c>
    </row>
    <row r="29" spans="1:65">
      <c r="A29" s="71">
        <f ca="1">SUBTOTAL(3,$B$3:Summary2831[[#This Row],[Name]])</f>
        <v>27</v>
      </c>
      <c r="B29" s="72" t="s">
        <v>135</v>
      </c>
      <c r="C29" s="72" t="s">
        <v>623</v>
      </c>
      <c r="D29" s="154">
        <v>4.2</v>
      </c>
      <c r="E29" s="72">
        <v>90</v>
      </c>
      <c r="F29" s="73">
        <v>1</v>
      </c>
      <c r="G29" s="74">
        <v>10</v>
      </c>
      <c r="H29" s="74">
        <v>10</v>
      </c>
      <c r="I29" s="72">
        <v>81</v>
      </c>
      <c r="J29" s="73">
        <v>1</v>
      </c>
      <c r="K29" s="74">
        <v>9</v>
      </c>
      <c r="L29" s="74">
        <v>9</v>
      </c>
      <c r="M29" s="79" t="s">
        <v>342</v>
      </c>
      <c r="N29" s="75">
        <f>(IF($E29&lt;=0,"0",IF($E29&lt;=40,"46",IF($E29&lt;=50,"44",IF($E29&lt;=60,"40",IF($E29&lt;=70,"32",IF($E29&lt;=80,"20","0")))))))+0</f>
        <v>0</v>
      </c>
      <c r="O2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29" s="76" t="s">
        <v>556</v>
      </c>
      <c r="Q29" s="77">
        <f>T29+W29+Z29</f>
        <v>22</v>
      </c>
      <c r="R29" s="77">
        <f>U29+X29+AA29</f>
        <v>21</v>
      </c>
      <c r="S29" s="78">
        <f>V29+Y29+AB29</f>
        <v>3</v>
      </c>
      <c r="T29" s="123">
        <f>(IF($F29&lt;=0,"0",IF($F29&lt;=6,"22",IF($F29&lt;=7,"18",IF($F29&lt;=8,"12",0)))))+0</f>
        <v>22</v>
      </c>
      <c r="U29" s="124">
        <f>(IF($F29&lt;=0,"0",IF($F29&lt;=2,"21",IF($F29&lt;=3,"19",IF($F29&lt;=4,"15",IF($F29&lt;=5,"9",0))))))+0</f>
        <v>21</v>
      </c>
      <c r="V29" s="124">
        <f>(IF($F29&lt;=0,"0",IF($F29&lt;=1,"3",0)))+0</f>
        <v>3</v>
      </c>
      <c r="W29" s="124">
        <f>(IF($G29&lt;=0,"0",IF($G29&lt;=6,"22",IF($G29&lt;=7,"18",IF($G29&lt;=8,"12",0)))))+0</f>
        <v>0</v>
      </c>
      <c r="X29" s="124">
        <f>(IF($G29&lt;=0,"0",IF($G29&lt;=2,"21",IF($G29&lt;=3,"19",IF($G29&lt;=4,"15",IF($G29&lt;=5,"9",0))))))+0</f>
        <v>0</v>
      </c>
      <c r="Y29" s="124">
        <f>(IF($G29&lt;=0,"0",IF($G29&lt;=1,"3",0)))+0</f>
        <v>0</v>
      </c>
      <c r="Z29" s="124">
        <f>(IF($H29&lt;=0,"0",IF($H29&lt;=6,"22",IF($H29&lt;=7,"18",IF($H29&lt;=8,"12",0)))))+0</f>
        <v>0</v>
      </c>
      <c r="AA29" s="124">
        <f>(IF($H29&lt;=0,"0",IF($H29&lt;=2,"21",IF($H29&lt;=3,"19",IF($H29&lt;=4,"15",IF($H29&lt;=5,"9",0))))))+0</f>
        <v>0</v>
      </c>
      <c r="AB29" s="125">
        <f>(IF($H29&lt;=0,"0",IF($H29&lt;=1,"3",0)))+0</f>
        <v>0</v>
      </c>
      <c r="AC29" s="80" t="s">
        <v>557</v>
      </c>
      <c r="AD29" s="81" t="s">
        <v>576</v>
      </c>
      <c r="AE29" s="126">
        <f>(IF($F29&lt;=0,"0",IF($F29&lt;=6,"4",IF($F29&lt;=7,"3",IF($F29&lt;=8,"2","0")))))+0</f>
        <v>4</v>
      </c>
      <c r="AF29" s="126">
        <f>(IF($G29&lt;=0,"0",IF($G29&lt;=6,"4",IF($G29&lt;=7,"3",IF($G29&lt;=8,"2","0")))))+0</f>
        <v>0</v>
      </c>
      <c r="AG29" s="126">
        <f>(IF($H29&lt;=0,"0",IF($H29&lt;=6,"4",IF($H29&lt;=7,"3",IF($H29&lt;=8,"2","0")))))+0</f>
        <v>0</v>
      </c>
      <c r="AH29" s="75">
        <f>SUM(AE29:AG29)</f>
        <v>4</v>
      </c>
      <c r="AI29" s="81" t="s">
        <v>577</v>
      </c>
      <c r="AJ29" s="74">
        <f>(IF($E29&lt;=0,"0",IF($E29&lt;=20,"168",IF($E29&lt;=30,"165",IF($E29&lt;=50,"155",IF($E29&lt;=60,"135",IF($E29&lt;=70,"105",IF($E29&lt;=80,"60","0"))))))))+0</f>
        <v>0</v>
      </c>
      <c r="AK29" s="79" t="s">
        <v>546</v>
      </c>
      <c r="AL29" s="81">
        <f>(IF($E29&lt;=0,"0",IF($E29&lt;=80,"6","0")))+0</f>
        <v>0</v>
      </c>
      <c r="AM29" s="81">
        <f>(IF($E29&lt;=0,"0",IF($E29&lt;=60,"9",IF($E29&lt;=70,"6","0"))))+0</f>
        <v>0</v>
      </c>
      <c r="AN29" s="81">
        <f>(IF($E29&lt;=0,"0",IF($E29&lt;=40,"9",IF($E29&lt;=50,"6","0"))))+0</f>
        <v>0</v>
      </c>
      <c r="AO29" s="82">
        <f>(IF($E29&lt;=0,"0",IF($E29&lt;=20,"1","0")))+0</f>
        <v>0</v>
      </c>
      <c r="AP29" s="79" t="s">
        <v>264</v>
      </c>
      <c r="AQ29" s="81">
        <f>(IF($E29&lt;=0,"0",IF($E29&lt;=70,"36",IF($E29&lt;=80,"24","0"))))+0</f>
        <v>0</v>
      </c>
      <c r="AR29" s="81">
        <f>(IF($E29&lt;=0,"0",IF($E29&lt;=50,"30",IF($E29&lt;=60,"18","0"))))+0</f>
        <v>0</v>
      </c>
      <c r="AS29" s="81">
        <f>(IF($E29&lt;=0,"0",IF($E29&lt;=20,"18",IF($E29&lt;=40,"15","0"))))+0</f>
        <v>0</v>
      </c>
      <c r="AT29" s="83">
        <f>Summary2831[[#This Row],[3*2]]+Summary2831[[#This Row],[3*22]]+Summary2831[[#This Row],[3*23]]</f>
        <v>19</v>
      </c>
      <c r="AU29" s="85">
        <f>Summary2831[[#This Row],[2*2]]+Summary2831[[#This Row],[2*23]]+Summary2831[[#This Row],[2*24]]</f>
        <v>22</v>
      </c>
      <c r="AV29" s="85">
        <f>Summary2831[[#This Row],[1*2]]+Summary2831[[#This Row],[1*24]]+Summary2831[[#This Row],[1*25]]</f>
        <v>6</v>
      </c>
      <c r="AW29" s="70">
        <f>IF($F29&lt;=0,"0",IF($F29&lt;=6,"19",IF($F29&lt;=7,"18",IF($F29&lt;=8,"9",0))))+0</f>
        <v>19</v>
      </c>
      <c r="AX29" s="70">
        <f>IF($F29&lt;=0,"0",IF($F29&lt;=2,"22",IF($F29&lt;=3,"19",IF($F29&lt;=4,"15",IF($F29&lt;=5,"9",0)))))+0</f>
        <v>22</v>
      </c>
      <c r="AY29" s="70">
        <f>IF($F29&lt;=0,"0",IF($F29&lt;=1,"6",0))+0</f>
        <v>6</v>
      </c>
      <c r="AZ29" s="70">
        <f>IF($G29&lt;=0,"0",IF($G29&lt;=6,"19",IF($G29&lt;=7,"18",IF($G29&lt;=8,"9",0))))+0</f>
        <v>0</v>
      </c>
      <c r="BA29" s="70">
        <f>IF($G29&lt;=0,"0",IF($G29&lt;=2,"22",IF($G29&lt;=3,"19",IF($G29&lt;=4,"15",IF($G29&lt;=5,"9",0)))))+0</f>
        <v>0</v>
      </c>
      <c r="BB29" s="70">
        <f>IF($G29&lt;=0,"0",IF($G29&lt;=1,"6",0))+0</f>
        <v>0</v>
      </c>
      <c r="BC29" s="70">
        <f>IF($H29&lt;=0,"0",IF($H29&lt;=6,"19",IF($H29&lt;=7,"18",IF($H29&lt;=8,"9",0))))+0</f>
        <v>0</v>
      </c>
      <c r="BD29" s="70">
        <f>IF($H29&lt;=0,"0",IF($H29&lt;=2,"22",IF($H29&lt;=3,"19",IF($H29&lt;=4,"15",IF($H29&lt;=5,"9",0)))))+0</f>
        <v>0</v>
      </c>
      <c r="BE29" s="70">
        <f>IF($H29&lt;=0,"0",IF($H29&lt;=1,"6",0))+0</f>
        <v>0</v>
      </c>
      <c r="BF29" s="79">
        <f>SUM(Summary2831[[#This Row],[3*
(Tal)]],Summary2831[[#This Row],[3*
(Asc)]])</f>
        <v>19</v>
      </c>
      <c r="BG29" s="81">
        <f>SUM(Summary2831[[#This Row],[2*
(Tal)]],Summary2831[[#This Row],[2*
(Asc)]])</f>
        <v>22</v>
      </c>
      <c r="BH29" s="82">
        <f>SUM(Summary2831[[#This Row],[1*
(Tal)]],Summary2831[[#This Row],[1*
(Asc)]])</f>
        <v>6</v>
      </c>
      <c r="BI29" s="86">
        <f>(IF($E29&lt;=0,"0",IF($E29&lt;=1,"2092530",IF($E29&lt;=10,"2087525",IF($E29&lt;=20,"2068495",IF($E29&lt;=30,"2005910",IF($E29&lt;=40,"1932830",IF($E29&lt;=50,"1777010",IF($E29&lt;=60,"1546185",IF($E29&lt;=70,"1227000",IF($E29&lt;=80,"804625",IF($E29&lt;=81,"647990",IF($E29&lt;=90,"0",0)))))))))))))+0</f>
        <v>0</v>
      </c>
      <c r="BJ29" s="87">
        <f>(IF($F29&lt;=0,"0",IF($F29&lt;=1,"952500",IF($F29&lt;=2,"940000",IF($F29&lt;=3,"922500",IF($F29&lt;=4,"897500",IF($F29&lt;=5,"867500",IF($F29&lt;=6,"830000",IF($F29&lt;=7,"710000",IF($F29&lt;=8,"450000",0))))))))))+0</f>
        <v>952500</v>
      </c>
      <c r="BK29" s="87">
        <f>(IF($G29&lt;=0,"0",IF($G29&lt;=1,"952500",IF($G29&lt;=2,"940000",IF($G29&lt;=3,"922500",IF($G29&lt;=4,"897500",IF($G29&lt;=5,"867500",IF($G29&lt;=6,"830000",IF($G29&lt;=7,"710000",IF($G29&lt;=8,"450000",0))))))))))+0</f>
        <v>0</v>
      </c>
      <c r="BL29" s="87">
        <f>(IF($H29&lt;=0,"0",IF($H29&lt;=1,"952500",IF($H29&lt;=2,"940000",IF($H29&lt;=3,"922500",IF($H29&lt;=4,"897500",IF($H29&lt;=5,"867500",IF($H29&lt;=6,"830000",IF($H29&lt;=7,"710000",IF($H29&lt;=8,"450000",0))))))))))+0</f>
        <v>0</v>
      </c>
      <c r="BM29" s="88">
        <f>SUM(BI29,BJ29,BK29,BL29)</f>
        <v>952500</v>
      </c>
    </row>
    <row r="30" spans="1:65" s="81" customFormat="1">
      <c r="A30" s="46">
        <f ca="1">SUBTOTAL(3,$B$3:Summary2831[[#This Row],[Name]])</f>
        <v>28</v>
      </c>
      <c r="B30" s="140" t="s">
        <v>417</v>
      </c>
      <c r="C30" s="14" t="s">
        <v>622</v>
      </c>
      <c r="D30" s="155">
        <v>4.4000000000000004</v>
      </c>
      <c r="E30" s="14">
        <v>22</v>
      </c>
      <c r="F30" s="9">
        <v>1</v>
      </c>
      <c r="G30" s="2">
        <v>1</v>
      </c>
      <c r="H30" s="2">
        <v>1</v>
      </c>
      <c r="I30" s="72">
        <v>81</v>
      </c>
      <c r="J30" s="73">
        <v>1</v>
      </c>
      <c r="K30" s="74">
        <v>9</v>
      </c>
      <c r="L30" s="74">
        <v>9</v>
      </c>
      <c r="M30" s="44" t="s">
        <v>317</v>
      </c>
      <c r="N30" s="10">
        <f>(IF($E30&lt;=0,"0",IF($E30&lt;=40,"46",IF($E30&lt;=50,"44",IF($E30&lt;=60,"40",IF($E30&lt;=70,"32",IF($E30&lt;=80,"20","0")))))))+0</f>
        <v>46</v>
      </c>
      <c r="O3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30" s="49" t="s">
        <v>578</v>
      </c>
      <c r="Q30" s="50">
        <f>T30+W30+Z30</f>
        <v>66</v>
      </c>
      <c r="R30" s="50">
        <f>U30+X30+AA30</f>
        <v>63</v>
      </c>
      <c r="S30" s="51">
        <f>V30+Y30+AB30</f>
        <v>9</v>
      </c>
      <c r="T30" s="123">
        <f>(IF($F30&lt;=0,"0",IF($F30&lt;=6,"22",IF($F30&lt;=7,"18",IF($F30&lt;=8,"12",0)))))+0</f>
        <v>22</v>
      </c>
      <c r="U30" s="124">
        <f>(IF($F30&lt;=0,"0",IF($F30&lt;=2,"21",IF($F30&lt;=3,"19",IF($F30&lt;=4,"15",IF($F30&lt;=5,"9",0))))))+0</f>
        <v>21</v>
      </c>
      <c r="V30" s="124">
        <f>(IF($F30&lt;=0,"0",IF($F30&lt;=1,"3",0)))+0</f>
        <v>3</v>
      </c>
      <c r="W30" s="124">
        <f>(IF($G30&lt;=0,"0",IF($G30&lt;=6,"22",IF($G30&lt;=7,"18",IF($G30&lt;=8,"12",0)))))+0</f>
        <v>22</v>
      </c>
      <c r="X30" s="124">
        <f>(IF($G30&lt;=0,"0",IF($G30&lt;=2,"21",IF($G30&lt;=3,"19",IF($G30&lt;=4,"15",IF($G30&lt;=5,"9",0))))))+0</f>
        <v>21</v>
      </c>
      <c r="Y30" s="124">
        <f>(IF($G30&lt;=0,"0",IF($G30&lt;=1,"3",0)))+0</f>
        <v>3</v>
      </c>
      <c r="Z30" s="124">
        <f>(IF($H30&lt;=0,"0",IF($H30&lt;=6,"22",IF($H30&lt;=7,"18",IF($H30&lt;=8,"12",0)))))+0</f>
        <v>22</v>
      </c>
      <c r="AA30" s="124">
        <f>(IF($H30&lt;=0,"0",IF($H30&lt;=2,"21",IF($H30&lt;=3,"19",IF($H30&lt;=4,"15",IF($H30&lt;=5,"9",0))))))+0</f>
        <v>21</v>
      </c>
      <c r="AB30" s="125">
        <f>(IF($H30&lt;=0,"0",IF($H30&lt;=1,"3",0)))+0</f>
        <v>3</v>
      </c>
      <c r="AC30" s="8" t="s">
        <v>557</v>
      </c>
      <c r="AD30" s="1" t="s">
        <v>576</v>
      </c>
      <c r="AE30" s="126">
        <f>(IF($F30&lt;=0,"0",IF($F30&lt;=6,"4",IF($F30&lt;=7,"3",IF($F30&lt;=8,"2","0")))))+0</f>
        <v>4</v>
      </c>
      <c r="AF30" s="126">
        <f>(IF($G30&lt;=0,"0",IF($G30&lt;=6,"4",IF($G30&lt;=7,"3",IF($G30&lt;=8,"2","0")))))+0</f>
        <v>4</v>
      </c>
      <c r="AG30" s="126">
        <f>(IF($H30&lt;=0,"0",IF($H30&lt;=6,"4",IF($H30&lt;=7,"3",IF($H30&lt;=8,"2","0")))))+0</f>
        <v>4</v>
      </c>
      <c r="AH30" s="10">
        <f>SUM(AE30:AG30)</f>
        <v>12</v>
      </c>
      <c r="AI30" s="1" t="s">
        <v>388</v>
      </c>
      <c r="AJ30" s="2">
        <f>(IF($E30&lt;=0,"0",IF($E30&lt;=20,"168",IF($E30&lt;=30,"165",IF($E30&lt;=50,"155",IF($E30&lt;=60,"135",IF($E30&lt;=70,"105",IF($E30&lt;=80,"60","0"))))))))+0</f>
        <v>165</v>
      </c>
      <c r="AK30" s="44" t="s">
        <v>534</v>
      </c>
      <c r="AL30" s="1">
        <f>(IF($E30&lt;=0,"0",IF($E30&lt;=80,"6","0")))+0</f>
        <v>6</v>
      </c>
      <c r="AM30" s="1">
        <f>(IF($E30&lt;=0,"0",IF($E30&lt;=60,"9",IF($E30&lt;=70,"6","0"))))+0</f>
        <v>9</v>
      </c>
      <c r="AN30" s="1">
        <f>(IF($E30&lt;=0,"0",IF($E30&lt;=40,"9",IF($E30&lt;=50,"6","0"))))+0</f>
        <v>9</v>
      </c>
      <c r="AO30" s="34">
        <f>(IF($E30&lt;=0,"0",IF($E30&lt;=20,"1","0")))+0</f>
        <v>0</v>
      </c>
      <c r="AP30" s="44" t="s">
        <v>178</v>
      </c>
      <c r="AQ30" s="1">
        <f>(IF($E30&lt;=0,"0",IF($E30&lt;=70,"36",IF($E30&lt;=80,"24","0"))))+0</f>
        <v>36</v>
      </c>
      <c r="AR30" s="1">
        <f>(IF($E30&lt;=0,"0",IF($E30&lt;=50,"30",IF($E30&lt;=60,"18","0"))))+0</f>
        <v>30</v>
      </c>
      <c r="AS30" s="1">
        <f>(IF($E30&lt;=0,"0",IF($E30&lt;=20,"18",IF($E30&lt;=40,"15","0"))))+0</f>
        <v>15</v>
      </c>
      <c r="AT30" s="53">
        <f>Summary2831[[#This Row],[3*2]]+Summary2831[[#This Row],[3*22]]+Summary2831[[#This Row],[3*23]]</f>
        <v>57</v>
      </c>
      <c r="AU30" s="52">
        <f>Summary2831[[#This Row],[2*2]]+Summary2831[[#This Row],[2*23]]+Summary2831[[#This Row],[2*24]]</f>
        <v>66</v>
      </c>
      <c r="AV30" s="52">
        <f>Summary2831[[#This Row],[1*2]]+Summary2831[[#This Row],[1*24]]+Summary2831[[#This Row],[1*25]]</f>
        <v>18</v>
      </c>
      <c r="AW30" s="52">
        <f>IF($F30&lt;=0,"0",IF($F30&lt;=6,"19",IF($F30&lt;=7,"18",IF($F30&lt;=8,"9",0))))+0</f>
        <v>19</v>
      </c>
      <c r="AX30" s="52">
        <f>IF($F30&lt;=0,"0",IF($F30&lt;=2,"22",IF($F30&lt;=3,"19",IF($F30&lt;=4,"15",IF($F30&lt;=5,"9",0)))))+0</f>
        <v>22</v>
      </c>
      <c r="AY30" s="52">
        <f>IF($F30&lt;=0,"0",IF($F30&lt;=1,"6",0))+0</f>
        <v>6</v>
      </c>
      <c r="AZ30" s="52">
        <f>IF($G30&lt;=0,"0",IF($G30&lt;=6,"19",IF($G30&lt;=7,"18",IF($G30&lt;=8,"9",0))))+0</f>
        <v>19</v>
      </c>
      <c r="BA30" s="52">
        <f>IF($G30&lt;=0,"0",IF($G30&lt;=2,"22",IF($G30&lt;=3,"19",IF($G30&lt;=4,"15",IF($G30&lt;=5,"9",0)))))+0</f>
        <v>22</v>
      </c>
      <c r="BB30" s="52">
        <f>IF($G30&lt;=0,"0",IF($G30&lt;=1,"6",0))+0</f>
        <v>6</v>
      </c>
      <c r="BC30" s="52">
        <f>IF($H30&lt;=0,"0",IF($H30&lt;=6,"19",IF($H30&lt;=7,"18",IF($H30&lt;=8,"9",0))))+0</f>
        <v>19</v>
      </c>
      <c r="BD30" s="52">
        <f>IF($H30&lt;=0,"0",IF($H30&lt;=2,"22",IF($H30&lt;=3,"19",IF($H30&lt;=4,"15",IF($H30&lt;=5,"9",0)))))+0</f>
        <v>22</v>
      </c>
      <c r="BE30" s="52">
        <f>IF($H30&lt;=0,"0",IF($H30&lt;=1,"6",0))+0</f>
        <v>6</v>
      </c>
      <c r="BF30" s="44">
        <f>SUM(Summary2831[[#This Row],[3*
(Tal)]],Summary2831[[#This Row],[3*
(Asc)]])</f>
        <v>93</v>
      </c>
      <c r="BG30" s="1">
        <f>SUM(Summary2831[[#This Row],[2*
(Tal)]],Summary2831[[#This Row],[2*
(Asc)]])</f>
        <v>96</v>
      </c>
      <c r="BH30" s="34">
        <f>SUM(Summary2831[[#This Row],[1*
(Tal)]],Summary2831[[#This Row],[1*
(Asc)]])</f>
        <v>33</v>
      </c>
      <c r="BI30" s="86">
        <f>(IF($E30&lt;=0,"0",IF($E30&lt;=1,"2092530",IF($E30&lt;=10,"2087525",IF($E30&lt;=20,"2068495",IF($E30&lt;=30,"2005910",IF($E30&lt;=40,"1932830",IF($E30&lt;=50,"1777010",IF($E30&lt;=60,"1546185",IF($E30&lt;=70,"1227000",IF($E30&lt;=80,"804625",IF($E30&lt;=81,"647990",IF($E30&lt;=90,"0",0)))))))))))))+0</f>
        <v>2005910</v>
      </c>
      <c r="BJ30" s="56">
        <f>(IF($F30&lt;=0,"0",IF($F30&lt;=1,"952500",IF($F30&lt;=2,"940000",IF($F30&lt;=3,"922500",IF($F30&lt;=4,"897500",IF($F30&lt;=5,"867500",IF($F30&lt;=6,"830000",IF($F30&lt;=7,"710000",IF($F30&lt;=8,"450000",0))))))))))+0</f>
        <v>952500</v>
      </c>
      <c r="BK30" s="56">
        <f>(IF($G30&lt;=0,"0",IF($G30&lt;=1,"952500",IF($G30&lt;=2,"940000",IF($G30&lt;=3,"922500",IF($G30&lt;=4,"897500",IF($G30&lt;=5,"867500",IF($G30&lt;=6,"830000",IF($G30&lt;=7,"710000",IF($G30&lt;=8,"450000",0))))))))))+0</f>
        <v>952500</v>
      </c>
      <c r="BL30" s="56">
        <f>(IF($H30&lt;=0,"0",IF($H30&lt;=1,"952500",IF($H30&lt;=2,"940000",IF($H30&lt;=3,"922500",IF($H30&lt;=4,"897500",IF($H30&lt;=5,"867500",IF($H30&lt;=6,"830000",IF($H30&lt;=7,"710000",IF($H30&lt;=8,"450000",0))))))))))+0</f>
        <v>952500</v>
      </c>
      <c r="BM30" s="57">
        <f>SUM(BI30,BJ30,BK30,BL30)</f>
        <v>4863410</v>
      </c>
    </row>
    <row r="31" spans="1:65">
      <c r="A31" s="71">
        <f ca="1">SUBTOTAL(3,$B$3:Summary2831[[#This Row],[Name]])</f>
        <v>29</v>
      </c>
      <c r="B31" s="72" t="s">
        <v>368</v>
      </c>
      <c r="C31" s="72" t="s">
        <v>621</v>
      </c>
      <c r="D31" s="154">
        <v>1.2</v>
      </c>
      <c r="E31" s="72">
        <v>90</v>
      </c>
      <c r="F31" s="73">
        <v>10</v>
      </c>
      <c r="G31" s="74">
        <v>8</v>
      </c>
      <c r="H31" s="74">
        <v>10</v>
      </c>
      <c r="I31" s="72">
        <v>81</v>
      </c>
      <c r="J31" s="73">
        <v>1</v>
      </c>
      <c r="K31" s="74">
        <v>9</v>
      </c>
      <c r="L31" s="74">
        <v>9</v>
      </c>
      <c r="M31" s="79" t="s">
        <v>96</v>
      </c>
      <c r="N31" s="75">
        <f>(IF($E31&lt;=0,"0",IF($E31&lt;=40,"46",IF($E31&lt;=50,"44",IF($E31&lt;=60,"40",IF($E31&lt;=70,"32",IF($E31&lt;=80,"20","0")))))))+0</f>
        <v>0</v>
      </c>
      <c r="O3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1" s="76" t="s">
        <v>562</v>
      </c>
      <c r="Q31" s="77">
        <f>T31+W31+Z31</f>
        <v>12</v>
      </c>
      <c r="R31" s="77">
        <f>U31+X31+AA31</f>
        <v>0</v>
      </c>
      <c r="S31" s="78">
        <f>V31+Y31+AB31</f>
        <v>0</v>
      </c>
      <c r="T31" s="123">
        <f>(IF($F31&lt;=0,"0",IF($F31&lt;=6,"22",IF($F31&lt;=7,"18",IF($F31&lt;=8,"12",0)))))+0</f>
        <v>0</v>
      </c>
      <c r="U31" s="124">
        <f>(IF($F31&lt;=0,"0",IF($F31&lt;=2,"21",IF($F31&lt;=3,"19",IF($F31&lt;=4,"15",IF($F31&lt;=5,"9",0))))))+0</f>
        <v>0</v>
      </c>
      <c r="V31" s="124">
        <f>(IF($F31&lt;=0,"0",IF($F31&lt;=1,"3",0)))+0</f>
        <v>0</v>
      </c>
      <c r="W31" s="124">
        <f>(IF($G31&lt;=0,"0",IF($G31&lt;=6,"22",IF($G31&lt;=7,"18",IF($G31&lt;=8,"12",0)))))+0</f>
        <v>12</v>
      </c>
      <c r="X31" s="124">
        <f>(IF($G31&lt;=0,"0",IF($G31&lt;=2,"21",IF($G31&lt;=3,"19",IF($G31&lt;=4,"15",IF($G31&lt;=5,"9",0))))))+0</f>
        <v>0</v>
      </c>
      <c r="Y31" s="124">
        <f>(IF($G31&lt;=0,"0",IF($G31&lt;=1,"3",0)))+0</f>
        <v>0</v>
      </c>
      <c r="Z31" s="124">
        <f>(IF($H31&lt;=0,"0",IF($H31&lt;=6,"22",IF($H31&lt;=7,"18",IF($H31&lt;=8,"12",0)))))+0</f>
        <v>0</v>
      </c>
      <c r="AA31" s="124">
        <f>(IF($H31&lt;=0,"0",IF($H31&lt;=2,"21",IF($H31&lt;=3,"19",IF($H31&lt;=4,"15",IF($H31&lt;=5,"9",0))))))+0</f>
        <v>0</v>
      </c>
      <c r="AB31" s="125">
        <f>(IF($H31&lt;=0,"0",IF($H31&lt;=1,"3",0)))+0</f>
        <v>0</v>
      </c>
      <c r="AC31" s="80" t="s">
        <v>389</v>
      </c>
      <c r="AD31" s="81" t="s">
        <v>579</v>
      </c>
      <c r="AE31" s="126">
        <f>(IF($F31&lt;=0,"0",IF($F31&lt;=6,"4",IF($F31&lt;=7,"3",IF($F31&lt;=8,"2","0")))))+0</f>
        <v>0</v>
      </c>
      <c r="AF31" s="126">
        <f>(IF($G31&lt;=0,"0",IF($G31&lt;=6,"4",IF($G31&lt;=7,"3",IF($G31&lt;=8,"2","0")))))+0</f>
        <v>2</v>
      </c>
      <c r="AG31" s="126">
        <f>(IF($H31&lt;=0,"0",IF($H31&lt;=6,"4",IF($H31&lt;=7,"3",IF($H31&lt;=8,"2","0")))))+0</f>
        <v>0</v>
      </c>
      <c r="AH31" s="75">
        <f>SUM(AE31:AG31)</f>
        <v>2</v>
      </c>
      <c r="AI31" s="81" t="s">
        <v>314</v>
      </c>
      <c r="AJ31" s="74">
        <f>(IF($E31&lt;=0,"0",IF($E31&lt;=20,"168",IF($E31&lt;=30,"165",IF($E31&lt;=50,"155",IF($E31&lt;=60,"135",IF($E31&lt;=70,"105",IF($E31&lt;=80,"60","0"))))))))+0</f>
        <v>0</v>
      </c>
      <c r="AK31" s="79" t="s">
        <v>530</v>
      </c>
      <c r="AL31" s="81">
        <f>(IF($E31&lt;=0,"0",IF($E31&lt;=80,"6","0")))+0</f>
        <v>0</v>
      </c>
      <c r="AM31" s="81">
        <f>(IF($E31&lt;=0,"0",IF($E31&lt;=60,"9",IF($E31&lt;=70,"6","0"))))+0</f>
        <v>0</v>
      </c>
      <c r="AN31" s="81">
        <f>(IF($E31&lt;=0,"0",IF($E31&lt;=40,"9",IF($E31&lt;=50,"6","0"))))+0</f>
        <v>0</v>
      </c>
      <c r="AO31" s="82">
        <f>(IF($E31&lt;=0,"0",IF($E31&lt;=20,"1","0")))+0</f>
        <v>0</v>
      </c>
      <c r="AP31" s="79" t="s">
        <v>264</v>
      </c>
      <c r="AQ31" s="81">
        <f>(IF($E31&lt;=0,"0",IF($E31&lt;=70,"36",IF($E31&lt;=80,"24","0"))))+0</f>
        <v>0</v>
      </c>
      <c r="AR31" s="81">
        <f>(IF($E31&lt;=0,"0",IF($E31&lt;=50,"30",IF($E31&lt;=60,"18","0"))))+0</f>
        <v>0</v>
      </c>
      <c r="AS31" s="81">
        <f>(IF($E31&lt;=0,"0",IF($E31&lt;=20,"18",IF($E31&lt;=40,"15","0"))))+0</f>
        <v>0</v>
      </c>
      <c r="AT31" s="83">
        <f>Summary2831[[#This Row],[3*2]]+Summary2831[[#This Row],[3*22]]+Summary2831[[#This Row],[3*23]]</f>
        <v>9</v>
      </c>
      <c r="AU31" s="85">
        <f>Summary2831[[#This Row],[2*2]]+Summary2831[[#This Row],[2*23]]+Summary2831[[#This Row],[2*24]]</f>
        <v>0</v>
      </c>
      <c r="AV31" s="85">
        <f>Summary2831[[#This Row],[1*2]]+Summary2831[[#This Row],[1*24]]+Summary2831[[#This Row],[1*25]]</f>
        <v>0</v>
      </c>
      <c r="AW31" s="70">
        <f>IF($F31&lt;=0,"0",IF($F31&lt;=6,"19",IF($F31&lt;=7,"18",IF($F31&lt;=8,"9",0))))+0</f>
        <v>0</v>
      </c>
      <c r="AX31" s="70">
        <f>IF($F31&lt;=0,"0",IF($F31&lt;=2,"22",IF($F31&lt;=3,"19",IF($F31&lt;=4,"15",IF($F31&lt;=5,"9",0)))))+0</f>
        <v>0</v>
      </c>
      <c r="AY31" s="70">
        <f>IF($F31&lt;=0,"0",IF($F31&lt;=1,"6",0))+0</f>
        <v>0</v>
      </c>
      <c r="AZ31" s="70">
        <f>IF($G31&lt;=0,"0",IF($G31&lt;=6,"19",IF($G31&lt;=7,"18",IF($G31&lt;=8,"9",0))))+0</f>
        <v>9</v>
      </c>
      <c r="BA31" s="70">
        <f>IF($G31&lt;=0,"0",IF($G31&lt;=2,"22",IF($G31&lt;=3,"19",IF($G31&lt;=4,"15",IF($G31&lt;=5,"9",0)))))+0</f>
        <v>0</v>
      </c>
      <c r="BB31" s="70">
        <f>IF($G31&lt;=0,"0",IF($G31&lt;=1,"6",0))+0</f>
        <v>0</v>
      </c>
      <c r="BC31" s="70">
        <f>IF($H31&lt;=0,"0",IF($H31&lt;=6,"19",IF($H31&lt;=7,"18",IF($H31&lt;=8,"9",0))))+0</f>
        <v>0</v>
      </c>
      <c r="BD31" s="70">
        <f>IF($H31&lt;=0,"0",IF($H31&lt;=2,"22",IF($H31&lt;=3,"19",IF($H31&lt;=4,"15",IF($H31&lt;=5,"9",0)))))+0</f>
        <v>0</v>
      </c>
      <c r="BE31" s="70">
        <f>IF($H31&lt;=0,"0",IF($H31&lt;=1,"6",0))+0</f>
        <v>0</v>
      </c>
      <c r="BF31" s="79">
        <f>SUM(Summary2831[[#This Row],[3*
(Tal)]],Summary2831[[#This Row],[3*
(Asc)]])</f>
        <v>9</v>
      </c>
      <c r="BG31" s="81">
        <f>SUM(Summary2831[[#This Row],[2*
(Tal)]],Summary2831[[#This Row],[2*
(Asc)]])</f>
        <v>0</v>
      </c>
      <c r="BH31" s="82">
        <f>SUM(Summary2831[[#This Row],[1*
(Tal)]],Summary2831[[#This Row],[1*
(Asc)]])</f>
        <v>0</v>
      </c>
      <c r="BI31" s="86">
        <f>(IF($E31&lt;=0,"0",IF($E31&lt;=1,"2092530",IF($E31&lt;=10,"2087525",IF($E31&lt;=20,"2068495",IF($E31&lt;=30,"2005910",IF($E31&lt;=40,"1932830",IF($E31&lt;=50,"1777010",IF($E31&lt;=60,"1546185",IF($E31&lt;=70,"1227000",IF($E31&lt;=80,"804625",IF($E31&lt;=81,"647990",IF($E31&lt;=90,"0",0)))))))))))))+0</f>
        <v>0</v>
      </c>
      <c r="BJ31" s="87">
        <f>(IF($F31&lt;=0,"0",IF($F31&lt;=1,"952500",IF($F31&lt;=2,"940000",IF($F31&lt;=3,"922500",IF($F31&lt;=4,"897500",IF($F31&lt;=5,"867500",IF($F31&lt;=6,"830000",IF($F31&lt;=7,"710000",IF($F31&lt;=8,"450000",0))))))))))+0</f>
        <v>0</v>
      </c>
      <c r="BK31" s="87">
        <f>(IF($G31&lt;=0,"0",IF($G31&lt;=1,"952500",IF($G31&lt;=2,"940000",IF($G31&lt;=3,"922500",IF($G31&lt;=4,"897500",IF($G31&lt;=5,"867500",IF($G31&lt;=6,"830000",IF($G31&lt;=7,"710000",IF($G31&lt;=8,"450000",0))))))))))+0</f>
        <v>450000</v>
      </c>
      <c r="BL31" s="87">
        <f>(IF($H31&lt;=0,"0",IF($H31&lt;=1,"952500",IF($H31&lt;=2,"940000",IF($H31&lt;=3,"922500",IF($H31&lt;=4,"897500",IF($H31&lt;=5,"867500",IF($H31&lt;=6,"830000",IF($H31&lt;=7,"710000",IF($H31&lt;=8,"450000",0))))))))))+0</f>
        <v>0</v>
      </c>
      <c r="BM31" s="88">
        <f>SUM(BI31,BJ31,BK31,BL31)</f>
        <v>450000</v>
      </c>
    </row>
    <row r="32" spans="1:65">
      <c r="A32" s="46">
        <f ca="1">SUBTOTAL(3,$B$3:Summary2831[[#This Row],[Name]])</f>
        <v>30</v>
      </c>
      <c r="B32" s="140" t="s">
        <v>372</v>
      </c>
      <c r="C32" s="14" t="s">
        <v>619</v>
      </c>
      <c r="D32" s="155">
        <v>2.2999999999999998</v>
      </c>
      <c r="E32" s="14">
        <v>21</v>
      </c>
      <c r="F32" s="9">
        <v>1</v>
      </c>
      <c r="G32" s="2">
        <v>1</v>
      </c>
      <c r="H32" s="2">
        <v>1</v>
      </c>
      <c r="I32" s="72">
        <v>81</v>
      </c>
      <c r="J32" s="73">
        <v>1</v>
      </c>
      <c r="K32" s="74">
        <v>9</v>
      </c>
      <c r="L32" s="74">
        <v>9</v>
      </c>
      <c r="M32" s="44" t="s">
        <v>174</v>
      </c>
      <c r="N32" s="10">
        <f>(IF($E32&lt;=0,"0",IF($E32&lt;=40,"46",IF($E32&lt;=50,"44",IF($E32&lt;=60,"40",IF($E32&lt;=70,"32",IF($E32&lt;=80,"20","0")))))))+0</f>
        <v>46</v>
      </c>
      <c r="O3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32" s="49" t="s">
        <v>561</v>
      </c>
      <c r="Q32" s="50">
        <f>T32+W32+Z32</f>
        <v>66</v>
      </c>
      <c r="R32" s="50">
        <f>U32+X32+AA32</f>
        <v>63</v>
      </c>
      <c r="S32" s="51">
        <f>V32+Y32+AB32</f>
        <v>9</v>
      </c>
      <c r="T32" s="123">
        <f>(IF($F32&lt;=0,"0",IF($F32&lt;=6,"22",IF($F32&lt;=7,"18",IF($F32&lt;=8,"12",0)))))+0</f>
        <v>22</v>
      </c>
      <c r="U32" s="124">
        <f>(IF($F32&lt;=0,"0",IF($F32&lt;=2,"21",IF($F32&lt;=3,"19",IF($F32&lt;=4,"15",IF($F32&lt;=5,"9",0))))))+0</f>
        <v>21</v>
      </c>
      <c r="V32" s="124">
        <f>(IF($F32&lt;=0,"0",IF($F32&lt;=1,"3",0)))+0</f>
        <v>3</v>
      </c>
      <c r="W32" s="124">
        <f>(IF($G32&lt;=0,"0",IF($G32&lt;=6,"22",IF($G32&lt;=7,"18",IF($G32&lt;=8,"12",0)))))+0</f>
        <v>22</v>
      </c>
      <c r="X32" s="124">
        <f>(IF($G32&lt;=0,"0",IF($G32&lt;=2,"21",IF($G32&lt;=3,"19",IF($G32&lt;=4,"15",IF($G32&lt;=5,"9",0))))))+0</f>
        <v>21</v>
      </c>
      <c r="Y32" s="124">
        <f>(IF($G32&lt;=0,"0",IF($G32&lt;=1,"3",0)))+0</f>
        <v>3</v>
      </c>
      <c r="Z32" s="124">
        <f>(IF($H32&lt;=0,"0",IF($H32&lt;=6,"22",IF($H32&lt;=7,"18",IF($H32&lt;=8,"12",0)))))+0</f>
        <v>22</v>
      </c>
      <c r="AA32" s="124">
        <f>(IF($H32&lt;=0,"0",IF($H32&lt;=2,"21",IF($H32&lt;=3,"19",IF($H32&lt;=4,"15",IF($H32&lt;=5,"9",0))))))+0</f>
        <v>21</v>
      </c>
      <c r="AB32" s="125">
        <f>(IF($H32&lt;=0,"0",IF($H32&lt;=1,"3",0)))+0</f>
        <v>3</v>
      </c>
      <c r="AC32" s="8" t="s">
        <v>205</v>
      </c>
      <c r="AD32" s="1" t="s">
        <v>528</v>
      </c>
      <c r="AE32" s="126">
        <f>(IF($F32&lt;=0,"0",IF($F32&lt;=6,"4",IF($F32&lt;=7,"3",IF($F32&lt;=8,"2","0")))))+0</f>
        <v>4</v>
      </c>
      <c r="AF32" s="126">
        <f>(IF($G32&lt;=0,"0",IF($G32&lt;=6,"4",IF($G32&lt;=7,"3",IF($G32&lt;=8,"2","0")))))+0</f>
        <v>4</v>
      </c>
      <c r="AG32" s="126">
        <f>(IF($H32&lt;=0,"0",IF($H32&lt;=6,"4",IF($H32&lt;=7,"3",IF($H32&lt;=8,"2","0")))))+0</f>
        <v>4</v>
      </c>
      <c r="AH32" s="10">
        <f>SUM(AE32:AG32)</f>
        <v>12</v>
      </c>
      <c r="AI32" s="1" t="s">
        <v>580</v>
      </c>
      <c r="AJ32" s="2">
        <f>(IF($E32&lt;=0,"0",IF($E32&lt;=20,"168",IF($E32&lt;=30,"165",IF($E32&lt;=50,"155",IF($E32&lt;=60,"135",IF($E32&lt;=70,"105",IF($E32&lt;=80,"60","0"))))))))+0</f>
        <v>165</v>
      </c>
      <c r="AK32" s="44" t="s">
        <v>521</v>
      </c>
      <c r="AL32" s="1">
        <f>(IF($E32&lt;=0,"0",IF($E32&lt;=80,"6","0")))+0</f>
        <v>6</v>
      </c>
      <c r="AM32" s="1">
        <f>(IF($E32&lt;=0,"0",IF($E32&lt;=60,"9",IF($E32&lt;=70,"6","0"))))+0</f>
        <v>9</v>
      </c>
      <c r="AN32" s="1">
        <f>(IF($E32&lt;=0,"0",IF($E32&lt;=40,"9",IF($E32&lt;=50,"6","0"))))+0</f>
        <v>9</v>
      </c>
      <c r="AO32" s="34">
        <f>(IF($E32&lt;=0,"0",IF($E32&lt;=20,"1","0")))+0</f>
        <v>0</v>
      </c>
      <c r="AP32" s="44" t="s">
        <v>311</v>
      </c>
      <c r="AQ32" s="1">
        <f>(IF($E32&lt;=0,"0",IF($E32&lt;=70,"36",IF($E32&lt;=80,"24","0"))))+0</f>
        <v>36</v>
      </c>
      <c r="AR32" s="1">
        <f>(IF($E32&lt;=0,"0",IF($E32&lt;=50,"30",IF($E32&lt;=60,"18","0"))))+0</f>
        <v>30</v>
      </c>
      <c r="AS32" s="1">
        <f>(IF($E32&lt;=0,"0",IF($E32&lt;=20,"18",IF($E32&lt;=40,"15","0"))))+0</f>
        <v>15</v>
      </c>
      <c r="AT32" s="53">
        <f>Summary2831[[#This Row],[3*2]]+Summary2831[[#This Row],[3*22]]+Summary2831[[#This Row],[3*23]]</f>
        <v>57</v>
      </c>
      <c r="AU32" s="52">
        <f>Summary2831[[#This Row],[2*2]]+Summary2831[[#This Row],[2*23]]+Summary2831[[#This Row],[2*24]]</f>
        <v>66</v>
      </c>
      <c r="AV32" s="52">
        <f>Summary2831[[#This Row],[1*2]]+Summary2831[[#This Row],[1*24]]+Summary2831[[#This Row],[1*25]]</f>
        <v>18</v>
      </c>
      <c r="AW32" s="52">
        <f>IF($F32&lt;=0,"0",IF($F32&lt;=6,"19",IF($F32&lt;=7,"18",IF($F32&lt;=8,"9",0))))+0</f>
        <v>19</v>
      </c>
      <c r="AX32" s="52">
        <f>IF($F32&lt;=0,"0",IF($F32&lt;=2,"22",IF($F32&lt;=3,"19",IF($F32&lt;=4,"15",IF($F32&lt;=5,"9",0)))))+0</f>
        <v>22</v>
      </c>
      <c r="AY32" s="52">
        <f>IF($F32&lt;=0,"0",IF($F32&lt;=1,"6",0))+0</f>
        <v>6</v>
      </c>
      <c r="AZ32" s="52">
        <f>IF($G32&lt;=0,"0",IF($G32&lt;=6,"19",IF($G32&lt;=7,"18",IF($G32&lt;=8,"9",0))))+0</f>
        <v>19</v>
      </c>
      <c r="BA32" s="52">
        <f>IF($G32&lt;=0,"0",IF($G32&lt;=2,"22",IF($G32&lt;=3,"19",IF($G32&lt;=4,"15",IF($G32&lt;=5,"9",0)))))+0</f>
        <v>22</v>
      </c>
      <c r="BB32" s="52">
        <f>IF($G32&lt;=0,"0",IF($G32&lt;=1,"6",0))+0</f>
        <v>6</v>
      </c>
      <c r="BC32" s="52">
        <f>IF($H32&lt;=0,"0",IF($H32&lt;=6,"19",IF($H32&lt;=7,"18",IF($H32&lt;=8,"9",0))))+0</f>
        <v>19</v>
      </c>
      <c r="BD32" s="52">
        <f>IF($H32&lt;=0,"0",IF($H32&lt;=2,"22",IF($H32&lt;=3,"19",IF($H32&lt;=4,"15",IF($H32&lt;=5,"9",0)))))+0</f>
        <v>22</v>
      </c>
      <c r="BE32" s="52">
        <f>IF($H32&lt;=0,"0",IF($H32&lt;=1,"6",0))+0</f>
        <v>6</v>
      </c>
      <c r="BF32" s="44">
        <f>SUM(Summary2831[[#This Row],[3*
(Tal)]],Summary2831[[#This Row],[3*
(Asc)]])</f>
        <v>93</v>
      </c>
      <c r="BG32" s="1">
        <f>SUM(Summary2831[[#This Row],[2*
(Tal)]],Summary2831[[#This Row],[2*
(Asc)]])</f>
        <v>96</v>
      </c>
      <c r="BH32" s="34">
        <f>SUM(Summary2831[[#This Row],[1*
(Tal)]],Summary2831[[#This Row],[1*
(Asc)]])</f>
        <v>33</v>
      </c>
      <c r="BI32" s="86">
        <f>(IF($E32&lt;=0,"0",IF($E32&lt;=1,"2092530",IF($E32&lt;=10,"2087525",IF($E32&lt;=20,"2068495",IF($E32&lt;=30,"2005910",IF($E32&lt;=40,"1932830",IF($E32&lt;=50,"1777010",IF($E32&lt;=60,"1546185",IF($E32&lt;=70,"1227000",IF($E32&lt;=80,"804625",IF($E32&lt;=81,"647990",IF($E32&lt;=90,"0",0)))))))))))))+0</f>
        <v>2005910</v>
      </c>
      <c r="BJ32" s="56">
        <f>(IF($F32&lt;=0,"0",IF($F32&lt;=1,"952500",IF($F32&lt;=2,"940000",IF($F32&lt;=3,"922500",IF($F32&lt;=4,"897500",IF($F32&lt;=5,"867500",IF($F32&lt;=6,"830000",IF($F32&lt;=7,"710000",IF($F32&lt;=8,"450000",0))))))))))+0</f>
        <v>952500</v>
      </c>
      <c r="BK32" s="56">
        <f>(IF($G32&lt;=0,"0",IF($G32&lt;=1,"952500",IF($G32&lt;=2,"940000",IF($G32&lt;=3,"922500",IF($G32&lt;=4,"897500",IF($G32&lt;=5,"867500",IF($G32&lt;=6,"830000",IF($G32&lt;=7,"710000",IF($G32&lt;=8,"450000",0))))))))))+0</f>
        <v>952500</v>
      </c>
      <c r="BL32" s="56">
        <f>(IF($H32&lt;=0,"0",IF($H32&lt;=1,"952500",IF($H32&lt;=2,"940000",IF($H32&lt;=3,"922500",IF($H32&lt;=4,"897500",IF($H32&lt;=5,"867500",IF($H32&lt;=6,"830000",IF($H32&lt;=7,"710000",IF($H32&lt;=8,"450000",0))))))))))+0</f>
        <v>952500</v>
      </c>
      <c r="BM32" s="57">
        <f>SUM(BI32,BJ32,BK32,BL32)</f>
        <v>4863410</v>
      </c>
    </row>
    <row r="33" spans="1:65">
      <c r="A33" s="46">
        <f ca="1">SUBTOTAL(3,$B$3:Summary2831[[#This Row],[Name]])</f>
        <v>31</v>
      </c>
      <c r="B33" s="140" t="s">
        <v>625</v>
      </c>
      <c r="C33" s="14" t="s">
        <v>624</v>
      </c>
      <c r="D33" s="155">
        <v>2.8</v>
      </c>
      <c r="E33" s="14">
        <v>60</v>
      </c>
      <c r="F33" s="9">
        <v>1</v>
      </c>
      <c r="G33" s="2">
        <v>1</v>
      </c>
      <c r="H33" s="2">
        <v>1</v>
      </c>
      <c r="I33" s="72">
        <v>81</v>
      </c>
      <c r="J33" s="73">
        <v>1</v>
      </c>
      <c r="K33" s="74">
        <v>9</v>
      </c>
      <c r="L33" s="74">
        <v>9</v>
      </c>
      <c r="M33" s="44" t="s">
        <v>232</v>
      </c>
      <c r="N33" s="10">
        <f>(IF($E33&lt;=0,"0",IF($E33&lt;=40,"46",IF($E33&lt;=50,"44",IF($E33&lt;=60,"40",IF($E33&lt;=70,"32",IF($E33&lt;=80,"20","0")))))))+0</f>
        <v>40</v>
      </c>
      <c r="O3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33" s="49" t="s">
        <v>582</v>
      </c>
      <c r="Q33" s="50">
        <f>T33+W33+Z33</f>
        <v>66</v>
      </c>
      <c r="R33" s="50">
        <f>U33+X33+AA33</f>
        <v>63</v>
      </c>
      <c r="S33" s="51">
        <f>V33+Y33+AB33</f>
        <v>9</v>
      </c>
      <c r="T33" s="123">
        <f>(IF($F33&lt;=0,"0",IF($F33&lt;=6,"22",IF($F33&lt;=7,"18",IF($F33&lt;=8,"12",0)))))+0</f>
        <v>22</v>
      </c>
      <c r="U33" s="124">
        <f>(IF($F33&lt;=0,"0",IF($F33&lt;=2,"21",IF($F33&lt;=3,"19",IF($F33&lt;=4,"15",IF($F33&lt;=5,"9",0))))))+0</f>
        <v>21</v>
      </c>
      <c r="V33" s="124">
        <f>(IF($F33&lt;=0,"0",IF($F33&lt;=1,"3",0)))+0</f>
        <v>3</v>
      </c>
      <c r="W33" s="124">
        <f>(IF($G33&lt;=0,"0",IF($G33&lt;=6,"22",IF($G33&lt;=7,"18",IF($G33&lt;=8,"12",0)))))+0</f>
        <v>22</v>
      </c>
      <c r="X33" s="124">
        <f>(IF($G33&lt;=0,"0",IF($G33&lt;=2,"21",IF($G33&lt;=3,"19",IF($G33&lt;=4,"15",IF($G33&lt;=5,"9",0))))))+0</f>
        <v>21</v>
      </c>
      <c r="Y33" s="124">
        <f>(IF($G33&lt;=0,"0",IF($G33&lt;=1,"3",0)))+0</f>
        <v>3</v>
      </c>
      <c r="Z33" s="124">
        <f>(IF($H33&lt;=0,"0",IF($H33&lt;=6,"22",IF($H33&lt;=7,"18",IF($H33&lt;=8,"12",0)))))+0</f>
        <v>22</v>
      </c>
      <c r="AA33" s="124">
        <f>(IF($H33&lt;=0,"0",IF($H33&lt;=2,"21",IF($H33&lt;=3,"19",IF($H33&lt;=4,"15",IF($H33&lt;=5,"9",0))))))+0</f>
        <v>21</v>
      </c>
      <c r="AB33" s="125">
        <f>(IF($H33&lt;=0,"0",IF($H33&lt;=1,"3",0)))+0</f>
        <v>3</v>
      </c>
      <c r="AC33" s="8" t="s">
        <v>553</v>
      </c>
      <c r="AD33" s="1" t="s">
        <v>583</v>
      </c>
      <c r="AE33" s="126">
        <f>(IF($F33&lt;=0,"0",IF($F33&lt;=6,"4",IF($F33&lt;=7,"3",IF($F33&lt;=8,"2","0")))))+0</f>
        <v>4</v>
      </c>
      <c r="AF33" s="126">
        <f>(IF($G33&lt;=0,"0",IF($G33&lt;=6,"4",IF($G33&lt;=7,"3",IF($G33&lt;=8,"2","0")))))+0</f>
        <v>4</v>
      </c>
      <c r="AG33" s="126">
        <f>(IF($H33&lt;=0,"0",IF($H33&lt;=6,"4",IF($H33&lt;=7,"3",IF($H33&lt;=8,"2","0")))))+0</f>
        <v>4</v>
      </c>
      <c r="AH33" s="10">
        <f>SUM(AE33:AG33)</f>
        <v>12</v>
      </c>
      <c r="AI33" s="1" t="s">
        <v>291</v>
      </c>
      <c r="AJ33" s="2">
        <f>(IF($E33&lt;=0,"0",IF($E33&lt;=20,"168",IF($E33&lt;=30,"165",IF($E33&lt;=50,"155",IF($E33&lt;=60,"135",IF($E33&lt;=70,"105",IF($E33&lt;=80,"60","0"))))))))+0</f>
        <v>135</v>
      </c>
      <c r="AK33" s="44" t="s">
        <v>573</v>
      </c>
      <c r="AL33" s="1">
        <f>(IF($E33&lt;=0,"0",IF($E33&lt;=80,"6","0")))+0</f>
        <v>6</v>
      </c>
      <c r="AM33" s="1">
        <f>(IF($E33&lt;=0,"0",IF($E33&lt;=60,"9",IF($E33&lt;=70,"6","0"))))+0</f>
        <v>9</v>
      </c>
      <c r="AN33" s="1">
        <f>(IF($E33&lt;=0,"0",IF($E33&lt;=40,"9",IF($E33&lt;=50,"6","0"))))+0</f>
        <v>0</v>
      </c>
      <c r="AO33" s="34">
        <f>(IF($E33&lt;=0,"0",IF($E33&lt;=20,"1","0")))+0</f>
        <v>0</v>
      </c>
      <c r="AP33" s="44" t="s">
        <v>207</v>
      </c>
      <c r="AQ33" s="1">
        <f>(IF($E33&lt;=0,"0",IF($E33&lt;=70,"36",IF($E33&lt;=80,"24","0"))))+0</f>
        <v>36</v>
      </c>
      <c r="AR33" s="1">
        <f>(IF($E33&lt;=0,"0",IF($E33&lt;=50,"30",IF($E33&lt;=60,"18","0"))))+0</f>
        <v>18</v>
      </c>
      <c r="AS33" s="1">
        <f>(IF($E33&lt;=0,"0",IF($E33&lt;=20,"18",IF($E33&lt;=40,"15","0"))))+0</f>
        <v>0</v>
      </c>
      <c r="AT33" s="53">
        <f>Summary2831[[#This Row],[3*2]]+Summary2831[[#This Row],[3*22]]+Summary2831[[#This Row],[3*23]]</f>
        <v>57</v>
      </c>
      <c r="AU33" s="52">
        <f>Summary2831[[#This Row],[2*2]]+Summary2831[[#This Row],[2*23]]+Summary2831[[#This Row],[2*24]]</f>
        <v>66</v>
      </c>
      <c r="AV33" s="52">
        <f>Summary2831[[#This Row],[1*2]]+Summary2831[[#This Row],[1*24]]+Summary2831[[#This Row],[1*25]]</f>
        <v>18</v>
      </c>
      <c r="AW33" s="52">
        <f>IF($F33&lt;=0,"0",IF($F33&lt;=6,"19",IF($F33&lt;=7,"18",IF($F33&lt;=8,"9",0))))+0</f>
        <v>19</v>
      </c>
      <c r="AX33" s="52">
        <f>IF($F33&lt;=0,"0",IF($F33&lt;=2,"22",IF($F33&lt;=3,"19",IF($F33&lt;=4,"15",IF($F33&lt;=5,"9",0)))))+0</f>
        <v>22</v>
      </c>
      <c r="AY33" s="52">
        <f>IF($F33&lt;=0,"0",IF($F33&lt;=1,"6",0))+0</f>
        <v>6</v>
      </c>
      <c r="AZ33" s="52">
        <f>IF($G33&lt;=0,"0",IF($G33&lt;=6,"19",IF($G33&lt;=7,"18",IF($G33&lt;=8,"9",0))))+0</f>
        <v>19</v>
      </c>
      <c r="BA33" s="52">
        <f>IF($G33&lt;=0,"0",IF($G33&lt;=2,"22",IF($G33&lt;=3,"19",IF($G33&lt;=4,"15",IF($G33&lt;=5,"9",0)))))+0</f>
        <v>22</v>
      </c>
      <c r="BB33" s="52">
        <f>IF($G33&lt;=0,"0",IF($G33&lt;=1,"6",0))+0</f>
        <v>6</v>
      </c>
      <c r="BC33" s="52">
        <f>IF($H33&lt;=0,"0",IF($H33&lt;=6,"19",IF($H33&lt;=7,"18",IF($H33&lt;=8,"9",0))))+0</f>
        <v>19</v>
      </c>
      <c r="BD33" s="52">
        <f>IF($H33&lt;=0,"0",IF($H33&lt;=2,"22",IF($H33&lt;=3,"19",IF($H33&lt;=4,"15",IF($H33&lt;=5,"9",0)))))+0</f>
        <v>22</v>
      </c>
      <c r="BE33" s="52">
        <f>IF($H33&lt;=0,"0",IF($H33&lt;=1,"6",0))+0</f>
        <v>6</v>
      </c>
      <c r="BF33" s="44">
        <f>SUM(Summary2831[[#This Row],[3*
(Tal)]],Summary2831[[#This Row],[3*
(Asc)]])</f>
        <v>93</v>
      </c>
      <c r="BG33" s="1">
        <f>SUM(Summary2831[[#This Row],[2*
(Tal)]],Summary2831[[#This Row],[2*
(Asc)]])</f>
        <v>84</v>
      </c>
      <c r="BH33" s="34">
        <f>SUM(Summary2831[[#This Row],[1*
(Tal)]],Summary2831[[#This Row],[1*
(Asc)]])</f>
        <v>18</v>
      </c>
      <c r="BI33" s="86">
        <f>(IF($E33&lt;=0,"0",IF($E33&lt;=1,"2092530",IF($E33&lt;=10,"2087525",IF($E33&lt;=20,"2068495",IF($E33&lt;=30,"2005910",IF($E33&lt;=40,"1932830",IF($E33&lt;=50,"1777010",IF($E33&lt;=60,"1546185",IF($E33&lt;=70,"1227000",IF($E33&lt;=80,"804625",IF($E33&lt;=81,"647990",IF($E33&lt;=90,"0",0)))))))))))))+0</f>
        <v>1546185</v>
      </c>
      <c r="BJ33" s="56">
        <f>(IF($F33&lt;=0,"0",IF($F33&lt;=1,"952500",IF($F33&lt;=2,"940000",IF($F33&lt;=3,"922500",IF($F33&lt;=4,"897500",IF($F33&lt;=5,"867500",IF($F33&lt;=6,"830000",IF($F33&lt;=7,"710000",IF($F33&lt;=8,"450000",0))))))))))+0</f>
        <v>952500</v>
      </c>
      <c r="BK33" s="56">
        <f>(IF($G33&lt;=0,"0",IF($G33&lt;=1,"952500",IF($G33&lt;=2,"940000",IF($G33&lt;=3,"922500",IF($G33&lt;=4,"897500",IF($G33&lt;=5,"867500",IF($G33&lt;=6,"830000",IF($G33&lt;=7,"710000",IF($G33&lt;=8,"450000",0))))))))))+0</f>
        <v>952500</v>
      </c>
      <c r="BL33" s="56">
        <f>(IF($H33&lt;=0,"0",IF($H33&lt;=1,"952500",IF($H33&lt;=2,"940000",IF($H33&lt;=3,"922500",IF($H33&lt;=4,"897500",IF($H33&lt;=5,"867500",IF($H33&lt;=6,"830000",IF($H33&lt;=7,"710000",IF($H33&lt;=8,"450000",0))))))))))+0</f>
        <v>952500</v>
      </c>
      <c r="BM33" s="57">
        <f>SUM(BI33,BJ33,BK33,BL33)</f>
        <v>4403685</v>
      </c>
    </row>
    <row r="34" spans="1:65" s="81" customFormat="1">
      <c r="A34" s="71">
        <f ca="1">SUBTOTAL(3,$B$3:Summary2831[[#This Row],[Name]])</f>
        <v>32</v>
      </c>
      <c r="B34" s="72" t="s">
        <v>581</v>
      </c>
      <c r="C34" s="72" t="s">
        <v>622</v>
      </c>
      <c r="D34" s="154">
        <v>1.3</v>
      </c>
      <c r="E34" s="72">
        <v>90</v>
      </c>
      <c r="F34" s="73">
        <v>10</v>
      </c>
      <c r="G34" s="74">
        <v>10</v>
      </c>
      <c r="H34" s="74">
        <v>10</v>
      </c>
      <c r="I34" s="72">
        <v>81</v>
      </c>
      <c r="J34" s="73">
        <v>1</v>
      </c>
      <c r="K34" s="74">
        <v>9</v>
      </c>
      <c r="L34" s="74">
        <v>9</v>
      </c>
      <c r="M34" s="79" t="s">
        <v>145</v>
      </c>
      <c r="N34" s="75">
        <f>(IF($E34&lt;=0,"0",IF($E34&lt;=40,"46",IF($E34&lt;=50,"44",IF($E34&lt;=60,"40",IF($E34&lt;=70,"32",IF($E34&lt;=80,"20","0")))))))+0</f>
        <v>0</v>
      </c>
      <c r="O3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4" s="76" t="s">
        <v>562</v>
      </c>
      <c r="Q34" s="77">
        <f>T34+W34+Z34</f>
        <v>0</v>
      </c>
      <c r="R34" s="77">
        <f>U34+X34+AA34</f>
        <v>0</v>
      </c>
      <c r="S34" s="78">
        <f>V34+Y34+AB34</f>
        <v>0</v>
      </c>
      <c r="T34" s="123">
        <f>(IF($F34&lt;=0,"0",IF($F34&lt;=6,"22",IF($F34&lt;=7,"18",IF($F34&lt;=8,"12",0)))))+0</f>
        <v>0</v>
      </c>
      <c r="U34" s="124">
        <f>(IF($F34&lt;=0,"0",IF($F34&lt;=2,"21",IF($F34&lt;=3,"19",IF($F34&lt;=4,"15",IF($F34&lt;=5,"9",0))))))+0</f>
        <v>0</v>
      </c>
      <c r="V34" s="124">
        <f>(IF($F34&lt;=0,"0",IF($F34&lt;=1,"3",0)))+0</f>
        <v>0</v>
      </c>
      <c r="W34" s="124">
        <f>(IF($G34&lt;=0,"0",IF($G34&lt;=6,"22",IF($G34&lt;=7,"18",IF($G34&lt;=8,"12",0)))))+0</f>
        <v>0</v>
      </c>
      <c r="X34" s="124">
        <f>(IF($G34&lt;=0,"0",IF($G34&lt;=2,"21",IF($G34&lt;=3,"19",IF($G34&lt;=4,"15",IF($G34&lt;=5,"9",0))))))+0</f>
        <v>0</v>
      </c>
      <c r="Y34" s="124">
        <f>(IF($G34&lt;=0,"0",IF($G34&lt;=1,"3",0)))+0</f>
        <v>0</v>
      </c>
      <c r="Z34" s="124">
        <f>(IF($H34&lt;=0,"0",IF($H34&lt;=6,"22",IF($H34&lt;=7,"18",IF($H34&lt;=8,"12",0)))))+0</f>
        <v>0</v>
      </c>
      <c r="AA34" s="124">
        <f>(IF($H34&lt;=0,"0",IF($H34&lt;=2,"21",IF($H34&lt;=3,"19",IF($H34&lt;=4,"15",IF($H34&lt;=5,"9",0))))))+0</f>
        <v>0</v>
      </c>
      <c r="AB34" s="125">
        <f>(IF($H34&lt;=0,"0",IF($H34&lt;=1,"3",0)))+0</f>
        <v>0</v>
      </c>
      <c r="AC34" s="80" t="s">
        <v>389</v>
      </c>
      <c r="AD34" s="81" t="s">
        <v>567</v>
      </c>
      <c r="AE34" s="126">
        <f>(IF($F34&lt;=0,"0",IF($F34&lt;=6,"4",IF($F34&lt;=7,"3",IF($F34&lt;=8,"2","0")))))+0</f>
        <v>0</v>
      </c>
      <c r="AF34" s="126">
        <f>(IF($G34&lt;=0,"0",IF($G34&lt;=6,"4",IF($G34&lt;=7,"3",IF($G34&lt;=8,"2","0")))))+0</f>
        <v>0</v>
      </c>
      <c r="AG34" s="126">
        <f>(IF($H34&lt;=0,"0",IF($H34&lt;=6,"4",IF($H34&lt;=7,"3",IF($H34&lt;=8,"2","0")))))+0</f>
        <v>0</v>
      </c>
      <c r="AH34" s="75">
        <f>SUM(AE34:AG34)</f>
        <v>0</v>
      </c>
      <c r="AI34" s="81" t="s">
        <v>584</v>
      </c>
      <c r="AJ34" s="74">
        <f>(IF($E34&lt;=0,"0",IF($E34&lt;=20,"168",IF($E34&lt;=30,"165",IF($E34&lt;=50,"155",IF($E34&lt;=60,"135",IF($E34&lt;=70,"105",IF($E34&lt;=80,"60","0"))))))))+0</f>
        <v>0</v>
      </c>
      <c r="AK34" s="79" t="s">
        <v>534</v>
      </c>
      <c r="AL34" s="81">
        <f>(IF($E34&lt;=0,"0",IF($E34&lt;=80,"6","0")))+0</f>
        <v>0</v>
      </c>
      <c r="AM34" s="81">
        <f>(IF($E34&lt;=0,"0",IF($E34&lt;=60,"9",IF($E34&lt;=70,"6","0"))))+0</f>
        <v>0</v>
      </c>
      <c r="AN34" s="81">
        <f>(IF($E34&lt;=0,"0",IF($E34&lt;=40,"9",IF($E34&lt;=50,"6","0"))))+0</f>
        <v>0</v>
      </c>
      <c r="AO34" s="82">
        <f>(IF($E34&lt;=0,"0",IF($E34&lt;=20,"1","0")))+0</f>
        <v>0</v>
      </c>
      <c r="AP34" s="79" t="s">
        <v>264</v>
      </c>
      <c r="AQ34" s="81">
        <f>(IF($E34&lt;=0,"0",IF($E34&lt;=70,"36",IF($E34&lt;=80,"24","0"))))+0</f>
        <v>0</v>
      </c>
      <c r="AR34" s="81">
        <f>(IF($E34&lt;=0,"0",IF($E34&lt;=50,"30",IF($E34&lt;=60,"18","0"))))+0</f>
        <v>0</v>
      </c>
      <c r="AS34" s="81">
        <f>(IF($E34&lt;=0,"0",IF($E34&lt;=20,"18",IF($E34&lt;=40,"15","0"))))+0</f>
        <v>0</v>
      </c>
      <c r="AT34" s="83">
        <f>Summary2831[[#This Row],[3*2]]+Summary2831[[#This Row],[3*22]]+Summary2831[[#This Row],[3*23]]</f>
        <v>0</v>
      </c>
      <c r="AU34" s="85">
        <f>Summary2831[[#This Row],[2*2]]+Summary2831[[#This Row],[2*23]]+Summary2831[[#This Row],[2*24]]</f>
        <v>0</v>
      </c>
      <c r="AV34" s="85">
        <f>Summary2831[[#This Row],[1*2]]+Summary2831[[#This Row],[1*24]]+Summary2831[[#This Row],[1*25]]</f>
        <v>0</v>
      </c>
      <c r="AW34" s="70">
        <f>IF($F34&lt;=0,"0",IF($F34&lt;=6,"19",IF($F34&lt;=7,"18",IF($F34&lt;=8,"9",0))))+0</f>
        <v>0</v>
      </c>
      <c r="AX34" s="70">
        <f>IF($F34&lt;=0,"0",IF($F34&lt;=2,"22",IF($F34&lt;=3,"19",IF($F34&lt;=4,"15",IF($F34&lt;=5,"9",0)))))+0</f>
        <v>0</v>
      </c>
      <c r="AY34" s="70">
        <f>IF($F34&lt;=0,"0",IF($F34&lt;=1,"6",0))+0</f>
        <v>0</v>
      </c>
      <c r="AZ34" s="70">
        <f>IF($G34&lt;=0,"0",IF($G34&lt;=6,"19",IF($G34&lt;=7,"18",IF($G34&lt;=8,"9",0))))+0</f>
        <v>0</v>
      </c>
      <c r="BA34" s="70">
        <f>IF($G34&lt;=0,"0",IF($G34&lt;=2,"22",IF($G34&lt;=3,"19",IF($G34&lt;=4,"15",IF($G34&lt;=5,"9",0)))))+0</f>
        <v>0</v>
      </c>
      <c r="BB34" s="70">
        <f>IF($G34&lt;=0,"0",IF($G34&lt;=1,"6",0))+0</f>
        <v>0</v>
      </c>
      <c r="BC34" s="70">
        <f>IF($H34&lt;=0,"0",IF($H34&lt;=6,"19",IF($H34&lt;=7,"18",IF($H34&lt;=8,"9",0))))+0</f>
        <v>0</v>
      </c>
      <c r="BD34" s="70">
        <f>IF($H34&lt;=0,"0",IF($H34&lt;=2,"22",IF($H34&lt;=3,"19",IF($H34&lt;=4,"15",IF($H34&lt;=5,"9",0)))))+0</f>
        <v>0</v>
      </c>
      <c r="BE34" s="70">
        <f>IF($H34&lt;=0,"0",IF($H34&lt;=1,"6",0))+0</f>
        <v>0</v>
      </c>
      <c r="BF34" s="79">
        <f>SUM(Summary2831[[#This Row],[3*
(Tal)]],Summary2831[[#This Row],[3*
(Asc)]])</f>
        <v>0</v>
      </c>
      <c r="BG34" s="81">
        <f>SUM(Summary2831[[#This Row],[2*
(Tal)]],Summary2831[[#This Row],[2*
(Asc)]])</f>
        <v>0</v>
      </c>
      <c r="BH34" s="82">
        <f>SUM(Summary2831[[#This Row],[1*
(Tal)]],Summary2831[[#This Row],[1*
(Asc)]])</f>
        <v>0</v>
      </c>
      <c r="BI34" s="86">
        <f>(IF($E34&lt;=0,"0",IF($E34&lt;=1,"2092530",IF($E34&lt;=10,"2087525",IF($E34&lt;=20,"2068495",IF($E34&lt;=30,"2005910",IF($E34&lt;=40,"1932830",IF($E34&lt;=50,"1777010",IF($E34&lt;=60,"1546185",IF($E34&lt;=70,"1227000",IF($E34&lt;=80,"804625",IF($E34&lt;=81,"647990",IF($E34&lt;=90,"0",0)))))))))))))+0</f>
        <v>0</v>
      </c>
      <c r="BJ34" s="87">
        <f>(IF($F34&lt;=0,"0",IF($F34&lt;=1,"952500",IF($F34&lt;=2,"940000",IF($F34&lt;=3,"922500",IF($F34&lt;=4,"897500",IF($F34&lt;=5,"867500",IF($F34&lt;=6,"830000",IF($F34&lt;=7,"710000",IF($F34&lt;=8,"450000",0))))))))))+0</f>
        <v>0</v>
      </c>
      <c r="BK34" s="87">
        <f>(IF($G34&lt;=0,"0",IF($G34&lt;=1,"952500",IF($G34&lt;=2,"940000",IF($G34&lt;=3,"922500",IF($G34&lt;=4,"897500",IF($G34&lt;=5,"867500",IF($G34&lt;=6,"830000",IF($G34&lt;=7,"710000",IF($G34&lt;=8,"450000",0))))))))))+0</f>
        <v>0</v>
      </c>
      <c r="BL34" s="87">
        <f>(IF($H34&lt;=0,"0",IF($H34&lt;=1,"952500",IF($H34&lt;=2,"940000",IF($H34&lt;=3,"922500",IF($H34&lt;=4,"897500",IF($H34&lt;=5,"867500",IF($H34&lt;=6,"830000",IF($H34&lt;=7,"710000",IF($H34&lt;=8,"450000",0))))))))))+0</f>
        <v>0</v>
      </c>
      <c r="BM34" s="88">
        <f>SUM(BI34,BJ34,BK34,BL34)</f>
        <v>0</v>
      </c>
    </row>
    <row r="35" spans="1:65">
      <c r="A35" s="71">
        <f ca="1">SUBTOTAL(3,$B$3:Summary2831[[#This Row],[Name]])</f>
        <v>33</v>
      </c>
      <c r="B35" s="72" t="s">
        <v>144</v>
      </c>
      <c r="C35" s="72" t="s">
        <v>624</v>
      </c>
      <c r="D35" s="155">
        <v>1</v>
      </c>
      <c r="E35" s="72">
        <v>40</v>
      </c>
      <c r="F35" s="73">
        <v>1</v>
      </c>
      <c r="G35" s="74">
        <v>1</v>
      </c>
      <c r="H35" s="74">
        <v>1</v>
      </c>
      <c r="I35" s="72">
        <v>81</v>
      </c>
      <c r="J35" s="73">
        <v>1</v>
      </c>
      <c r="K35" s="74">
        <v>9</v>
      </c>
      <c r="L35" s="74">
        <v>9</v>
      </c>
      <c r="M35" s="79" t="s">
        <v>85</v>
      </c>
      <c r="N35" s="75">
        <f>(IF($E35&lt;=0,"0",IF($E35&lt;=40,"46",IF($E35&lt;=50,"44",IF($E35&lt;=60,"40",IF($E35&lt;=70,"32",IF($E35&lt;=80,"20","0")))))))+0</f>
        <v>46</v>
      </c>
      <c r="O3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35" s="76" t="s">
        <v>549</v>
      </c>
      <c r="Q35" s="77">
        <f>T35+W35+Z35</f>
        <v>66</v>
      </c>
      <c r="R35" s="77">
        <f>U35+X35+AA35</f>
        <v>63</v>
      </c>
      <c r="S35" s="78">
        <f>V35+Y35+AB35</f>
        <v>9</v>
      </c>
      <c r="T35" s="123">
        <f>(IF($F35&lt;=0,"0",IF($F35&lt;=6,"22",IF($F35&lt;=7,"18",IF($F35&lt;=8,"12",0)))))+0</f>
        <v>22</v>
      </c>
      <c r="U35" s="124">
        <f>(IF($F35&lt;=0,"0",IF($F35&lt;=2,"21",IF($F35&lt;=3,"19",IF($F35&lt;=4,"15",IF($F35&lt;=5,"9",0))))))+0</f>
        <v>21</v>
      </c>
      <c r="V35" s="124">
        <f>(IF($F35&lt;=0,"0",IF($F35&lt;=1,"3",0)))+0</f>
        <v>3</v>
      </c>
      <c r="W35" s="124">
        <f>(IF($G35&lt;=0,"0",IF($G35&lt;=6,"22",IF($G35&lt;=7,"18",IF($G35&lt;=8,"12",0)))))+0</f>
        <v>22</v>
      </c>
      <c r="X35" s="124">
        <f>(IF($G35&lt;=0,"0",IF($G35&lt;=2,"21",IF($G35&lt;=3,"19",IF($G35&lt;=4,"15",IF($G35&lt;=5,"9",0))))))+0</f>
        <v>21</v>
      </c>
      <c r="Y35" s="124">
        <f>(IF($G35&lt;=0,"0",IF($G35&lt;=1,"3",0)))+0</f>
        <v>3</v>
      </c>
      <c r="Z35" s="124">
        <f>(IF($H35&lt;=0,"0",IF($H35&lt;=6,"22",IF($H35&lt;=7,"18",IF($H35&lt;=8,"12",0)))))+0</f>
        <v>22</v>
      </c>
      <c r="AA35" s="124">
        <f>(IF($H35&lt;=0,"0",IF($H35&lt;=2,"21",IF($H35&lt;=3,"19",IF($H35&lt;=4,"15",IF($H35&lt;=5,"9",0))))))+0</f>
        <v>21</v>
      </c>
      <c r="AB35" s="125">
        <f>(IF($H35&lt;=0,"0",IF($H35&lt;=1,"3",0)))+0</f>
        <v>3</v>
      </c>
      <c r="AC35" s="80" t="s">
        <v>531</v>
      </c>
      <c r="AD35" s="81" t="s">
        <v>550</v>
      </c>
      <c r="AE35" s="126">
        <f>(IF($F35&lt;=0,"0",IF($F35&lt;=6,"4",IF($F35&lt;=7,"3",IF($F35&lt;=8,"2","0")))))+0</f>
        <v>4</v>
      </c>
      <c r="AF35" s="126">
        <f>(IF($G35&lt;=0,"0",IF($G35&lt;=6,"4",IF($G35&lt;=7,"3",IF($G35&lt;=8,"2","0")))))+0</f>
        <v>4</v>
      </c>
      <c r="AG35" s="126">
        <f>(IF($H35&lt;=0,"0",IF($H35&lt;=6,"4",IF($H35&lt;=7,"3",IF($H35&lt;=8,"2","0")))))+0</f>
        <v>4</v>
      </c>
      <c r="AH35" s="75">
        <f>SUM(AE35:AG35)</f>
        <v>12</v>
      </c>
      <c r="AI35" s="81" t="s">
        <v>572</v>
      </c>
      <c r="AJ35" s="74">
        <f>(IF($E35&lt;=0,"0",IF($E35&lt;=20,"168",IF($E35&lt;=30,"165",IF($E35&lt;=50,"155",IF($E35&lt;=60,"135",IF($E35&lt;=70,"105",IF($E35&lt;=80,"60","0"))))))))+0</f>
        <v>155</v>
      </c>
      <c r="AK35" s="79" t="s">
        <v>573</v>
      </c>
      <c r="AL35" s="81">
        <f>(IF($E35&lt;=0,"0",IF($E35&lt;=80,"6","0")))+0</f>
        <v>6</v>
      </c>
      <c r="AM35" s="81">
        <f>(IF($E35&lt;=0,"0",IF($E35&lt;=60,"9",IF($E35&lt;=70,"6","0"))))+0</f>
        <v>9</v>
      </c>
      <c r="AN35" s="81">
        <f>(IF($E35&lt;=0,"0",IF($E35&lt;=40,"9",IF($E35&lt;=50,"6","0"))))+0</f>
        <v>9</v>
      </c>
      <c r="AO35" s="82">
        <f>(IF($E35&lt;=0,"0",IF($E35&lt;=20,"1","0")))+0</f>
        <v>0</v>
      </c>
      <c r="AP35" s="79" t="s">
        <v>89</v>
      </c>
      <c r="AQ35" s="81">
        <f>(IF($E35&lt;=0,"0",IF($E35&lt;=70,"36",IF($E35&lt;=80,"24","0"))))+0</f>
        <v>36</v>
      </c>
      <c r="AR35" s="81">
        <f>(IF($E35&lt;=0,"0",IF($E35&lt;=50,"30",IF($E35&lt;=60,"18","0"))))+0</f>
        <v>30</v>
      </c>
      <c r="AS35" s="81">
        <f>(IF($E35&lt;=0,"0",IF($E35&lt;=20,"18",IF($E35&lt;=40,"15","0"))))+0</f>
        <v>15</v>
      </c>
      <c r="AT35" s="83">
        <f>Summary2831[[#This Row],[3*2]]+Summary2831[[#This Row],[3*22]]+Summary2831[[#This Row],[3*23]]</f>
        <v>57</v>
      </c>
      <c r="AU35" s="85">
        <f>Summary2831[[#This Row],[2*2]]+Summary2831[[#This Row],[2*23]]+Summary2831[[#This Row],[2*24]]</f>
        <v>66</v>
      </c>
      <c r="AV35" s="85">
        <f>Summary2831[[#This Row],[1*2]]+Summary2831[[#This Row],[1*24]]+Summary2831[[#This Row],[1*25]]</f>
        <v>18</v>
      </c>
      <c r="AW35" s="70">
        <f>IF($F35&lt;=0,"0",IF($F35&lt;=6,"19",IF($F35&lt;=7,"18",IF($F35&lt;=8,"9",0))))+0</f>
        <v>19</v>
      </c>
      <c r="AX35" s="70">
        <f>IF($F35&lt;=0,"0",IF($F35&lt;=2,"22",IF($F35&lt;=3,"19",IF($F35&lt;=4,"15",IF($F35&lt;=5,"9",0)))))+0</f>
        <v>22</v>
      </c>
      <c r="AY35" s="70">
        <f>IF($F35&lt;=0,"0",IF($F35&lt;=1,"6",0))+0</f>
        <v>6</v>
      </c>
      <c r="AZ35" s="70">
        <f>IF($G35&lt;=0,"0",IF($G35&lt;=6,"19",IF($G35&lt;=7,"18",IF($G35&lt;=8,"9",0))))+0</f>
        <v>19</v>
      </c>
      <c r="BA35" s="70">
        <f>IF($G35&lt;=0,"0",IF($G35&lt;=2,"22",IF($G35&lt;=3,"19",IF($G35&lt;=4,"15",IF($G35&lt;=5,"9",0)))))+0</f>
        <v>22</v>
      </c>
      <c r="BB35" s="70">
        <f>IF($G35&lt;=0,"0",IF($G35&lt;=1,"6",0))+0</f>
        <v>6</v>
      </c>
      <c r="BC35" s="70">
        <f>IF($H35&lt;=0,"0",IF($H35&lt;=6,"19",IF($H35&lt;=7,"18",IF($H35&lt;=8,"9",0))))+0</f>
        <v>19</v>
      </c>
      <c r="BD35" s="70">
        <f>IF($H35&lt;=0,"0",IF($H35&lt;=2,"22",IF($H35&lt;=3,"19",IF($H35&lt;=4,"15",IF($H35&lt;=5,"9",0)))))+0</f>
        <v>22</v>
      </c>
      <c r="BE35" s="70">
        <f>IF($H35&lt;=0,"0",IF($H35&lt;=1,"6",0))+0</f>
        <v>6</v>
      </c>
      <c r="BF35" s="79">
        <f>SUM(Summary2831[[#This Row],[3*
(Tal)]],Summary2831[[#This Row],[3*
(Asc)]])</f>
        <v>93</v>
      </c>
      <c r="BG35" s="81">
        <f>SUM(Summary2831[[#This Row],[2*
(Tal)]],Summary2831[[#This Row],[2*
(Asc)]])</f>
        <v>96</v>
      </c>
      <c r="BH35" s="82">
        <f>SUM(Summary2831[[#This Row],[1*
(Tal)]],Summary2831[[#This Row],[1*
(Asc)]])</f>
        <v>33</v>
      </c>
      <c r="BI35" s="86">
        <f>(IF($E35&lt;=0,"0",IF($E35&lt;=1,"2092530",IF($E35&lt;=10,"2087525",IF($E35&lt;=20,"2068495",IF($E35&lt;=30,"2005910",IF($E35&lt;=40,"1932830",IF($E35&lt;=50,"1777010",IF($E35&lt;=60,"1546185",IF($E35&lt;=70,"1227000",IF($E35&lt;=80,"804625",IF($E35&lt;=81,"647990",IF($E35&lt;=90,"0",0)))))))))))))+0</f>
        <v>1932830</v>
      </c>
      <c r="BJ35" s="87">
        <f>(IF($F35&lt;=0,"0",IF($F35&lt;=1,"952500",IF($F35&lt;=2,"940000",IF($F35&lt;=3,"922500",IF($F35&lt;=4,"897500",IF($F35&lt;=5,"867500",IF($F35&lt;=6,"830000",IF($F35&lt;=7,"710000",IF($F35&lt;=8,"450000",0))))))))))+0</f>
        <v>952500</v>
      </c>
      <c r="BK35" s="87">
        <f>(IF($G35&lt;=0,"0",IF($G35&lt;=1,"952500",IF($G35&lt;=2,"940000",IF($G35&lt;=3,"922500",IF($G35&lt;=4,"897500",IF($G35&lt;=5,"867500",IF($G35&lt;=6,"830000",IF($G35&lt;=7,"710000",IF($G35&lt;=8,"450000",0))))))))))+0</f>
        <v>952500</v>
      </c>
      <c r="BL35" s="87">
        <f>(IF($H35&lt;=0,"0",IF($H35&lt;=1,"952500",IF($H35&lt;=2,"940000",IF($H35&lt;=3,"922500",IF($H35&lt;=4,"897500",IF($H35&lt;=5,"867500",IF($H35&lt;=6,"830000",IF($H35&lt;=7,"710000",IF($H35&lt;=8,"450000",0))))))))))+0</f>
        <v>952500</v>
      </c>
      <c r="BM35" s="88">
        <f>SUM(BI35,BJ35,BK35,BL35)</f>
        <v>4790330</v>
      </c>
    </row>
    <row r="36" spans="1:65" s="81" customFormat="1">
      <c r="A36" s="46">
        <f ca="1">SUBTOTAL(3,$B$3:Summary2831[[#This Row],[Name]])</f>
        <v>34</v>
      </c>
      <c r="B36" s="140" t="s">
        <v>164</v>
      </c>
      <c r="C36" s="14" t="s">
        <v>621</v>
      </c>
      <c r="D36" s="155">
        <v>1</v>
      </c>
      <c r="E36" s="14">
        <v>40</v>
      </c>
      <c r="F36" s="9">
        <v>1</v>
      </c>
      <c r="G36" s="2">
        <v>1</v>
      </c>
      <c r="H36" s="2">
        <v>1</v>
      </c>
      <c r="I36" s="72">
        <v>81</v>
      </c>
      <c r="J36" s="73">
        <v>1</v>
      </c>
      <c r="K36" s="74">
        <v>9</v>
      </c>
      <c r="L36" s="74">
        <v>9</v>
      </c>
      <c r="M36" s="44" t="s">
        <v>96</v>
      </c>
      <c r="N36" s="10">
        <f>(IF($E36&lt;=0,"0",IF($E36&lt;=40,"46",IF($E36&lt;=50,"44",IF($E36&lt;=60,"40",IF($E36&lt;=70,"32",IF($E36&lt;=80,"20","0")))))))+0</f>
        <v>46</v>
      </c>
      <c r="O3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36" s="49" t="s">
        <v>519</v>
      </c>
      <c r="Q36" s="50">
        <f>T36+W36+Z36</f>
        <v>66</v>
      </c>
      <c r="R36" s="50">
        <f>U36+X36+AA36</f>
        <v>63</v>
      </c>
      <c r="S36" s="51">
        <f>V36+Y36+AB36</f>
        <v>9</v>
      </c>
      <c r="T36" s="123">
        <f>(IF($F36&lt;=0,"0",IF($F36&lt;=6,"22",IF($F36&lt;=7,"18",IF($F36&lt;=8,"12",0)))))+0</f>
        <v>22</v>
      </c>
      <c r="U36" s="124">
        <f>(IF($F36&lt;=0,"0",IF($F36&lt;=2,"21",IF($F36&lt;=3,"19",IF($F36&lt;=4,"15",IF($F36&lt;=5,"9",0))))))+0</f>
        <v>21</v>
      </c>
      <c r="V36" s="124">
        <f>(IF($F36&lt;=0,"0",IF($F36&lt;=1,"3",0)))+0</f>
        <v>3</v>
      </c>
      <c r="W36" s="124">
        <f>(IF($G36&lt;=0,"0",IF($G36&lt;=6,"22",IF($G36&lt;=7,"18",IF($G36&lt;=8,"12",0)))))+0</f>
        <v>22</v>
      </c>
      <c r="X36" s="124">
        <f>(IF($G36&lt;=0,"0",IF($G36&lt;=2,"21",IF($G36&lt;=3,"19",IF($G36&lt;=4,"15",IF($G36&lt;=5,"9",0))))))+0</f>
        <v>21</v>
      </c>
      <c r="Y36" s="124">
        <f>(IF($G36&lt;=0,"0",IF($G36&lt;=1,"3",0)))+0</f>
        <v>3</v>
      </c>
      <c r="Z36" s="124">
        <f>(IF($H36&lt;=0,"0",IF($H36&lt;=6,"22",IF($H36&lt;=7,"18",IF($H36&lt;=8,"12",0)))))+0</f>
        <v>22</v>
      </c>
      <c r="AA36" s="124">
        <f>(IF($H36&lt;=0,"0",IF($H36&lt;=2,"21",IF($H36&lt;=3,"19",IF($H36&lt;=4,"15",IF($H36&lt;=5,"9",0))))))+0</f>
        <v>21</v>
      </c>
      <c r="AB36" s="125">
        <f>(IF($H36&lt;=0,"0",IF($H36&lt;=1,"3",0)))+0</f>
        <v>3</v>
      </c>
      <c r="AC36" s="8" t="s">
        <v>543</v>
      </c>
      <c r="AD36" s="1" t="s">
        <v>574</v>
      </c>
      <c r="AE36" s="126">
        <f>(IF($F36&lt;=0,"0",IF($F36&lt;=6,"4",IF($F36&lt;=7,"3",IF($F36&lt;=8,"2","0")))))+0</f>
        <v>4</v>
      </c>
      <c r="AF36" s="126">
        <f>(IF($G36&lt;=0,"0",IF($G36&lt;=6,"4",IF($G36&lt;=7,"3",IF($G36&lt;=8,"2","0")))))+0</f>
        <v>4</v>
      </c>
      <c r="AG36" s="126">
        <f>(IF($H36&lt;=0,"0",IF($H36&lt;=6,"4",IF($H36&lt;=7,"3",IF($H36&lt;=8,"2","0")))))+0</f>
        <v>4</v>
      </c>
      <c r="AH36" s="10">
        <f>SUM(AE36:AG36)</f>
        <v>12</v>
      </c>
      <c r="AI36" s="1" t="s">
        <v>568</v>
      </c>
      <c r="AJ36" s="2">
        <f>(IF($E36&lt;=0,"0",IF($E36&lt;=20,"168",IF($E36&lt;=30,"165",IF($E36&lt;=50,"155",IF($E36&lt;=60,"135",IF($E36&lt;=70,"105",IF($E36&lt;=80,"60","0"))))))))+0</f>
        <v>155</v>
      </c>
      <c r="AK36" s="44" t="s">
        <v>530</v>
      </c>
      <c r="AL36" s="1">
        <f>(IF($E36&lt;=0,"0",IF($E36&lt;=80,"6","0")))+0</f>
        <v>6</v>
      </c>
      <c r="AM36" s="1">
        <f>(IF($E36&lt;=0,"0",IF($E36&lt;=60,"9",IF($E36&lt;=70,"6","0"))))+0</f>
        <v>9</v>
      </c>
      <c r="AN36" s="1">
        <f>(IF($E36&lt;=0,"0",IF($E36&lt;=40,"9",IF($E36&lt;=50,"6","0"))))+0</f>
        <v>9</v>
      </c>
      <c r="AO36" s="34">
        <f>(IF($E36&lt;=0,"0",IF($E36&lt;=20,"1","0")))+0</f>
        <v>0</v>
      </c>
      <c r="AP36" s="44" t="s">
        <v>207</v>
      </c>
      <c r="AQ36" s="1">
        <f>(IF($E36&lt;=0,"0",IF($E36&lt;=70,"36",IF($E36&lt;=80,"24","0"))))+0</f>
        <v>36</v>
      </c>
      <c r="AR36" s="1">
        <f>(IF($E36&lt;=0,"0",IF($E36&lt;=50,"30",IF($E36&lt;=60,"18","0"))))+0</f>
        <v>30</v>
      </c>
      <c r="AS36" s="1">
        <f>(IF($E36&lt;=0,"0",IF($E36&lt;=20,"18",IF($E36&lt;=40,"15","0"))))+0</f>
        <v>15</v>
      </c>
      <c r="AT36" s="53">
        <f>Summary2831[[#This Row],[3*2]]+Summary2831[[#This Row],[3*22]]+Summary2831[[#This Row],[3*23]]</f>
        <v>57</v>
      </c>
      <c r="AU36" s="52">
        <f>Summary2831[[#This Row],[2*2]]+Summary2831[[#This Row],[2*23]]+Summary2831[[#This Row],[2*24]]</f>
        <v>66</v>
      </c>
      <c r="AV36" s="52">
        <f>Summary2831[[#This Row],[1*2]]+Summary2831[[#This Row],[1*24]]+Summary2831[[#This Row],[1*25]]</f>
        <v>18</v>
      </c>
      <c r="AW36" s="52">
        <f>IF($F36&lt;=0,"0",IF($F36&lt;=6,"19",IF($F36&lt;=7,"18",IF($F36&lt;=8,"9",0))))+0</f>
        <v>19</v>
      </c>
      <c r="AX36" s="52">
        <f>IF($F36&lt;=0,"0",IF($F36&lt;=2,"22",IF($F36&lt;=3,"19",IF($F36&lt;=4,"15",IF($F36&lt;=5,"9",0)))))+0</f>
        <v>22</v>
      </c>
      <c r="AY36" s="52">
        <f>IF($F36&lt;=0,"0",IF($F36&lt;=1,"6",0))+0</f>
        <v>6</v>
      </c>
      <c r="AZ36" s="52">
        <f>IF($G36&lt;=0,"0",IF($G36&lt;=6,"19",IF($G36&lt;=7,"18",IF($G36&lt;=8,"9",0))))+0</f>
        <v>19</v>
      </c>
      <c r="BA36" s="52">
        <f>IF($G36&lt;=0,"0",IF($G36&lt;=2,"22",IF($G36&lt;=3,"19",IF($G36&lt;=4,"15",IF($G36&lt;=5,"9",0)))))+0</f>
        <v>22</v>
      </c>
      <c r="BB36" s="52">
        <f>IF($G36&lt;=0,"0",IF($G36&lt;=1,"6",0))+0</f>
        <v>6</v>
      </c>
      <c r="BC36" s="52">
        <f>IF($H36&lt;=0,"0",IF($H36&lt;=6,"19",IF($H36&lt;=7,"18",IF($H36&lt;=8,"9",0))))+0</f>
        <v>19</v>
      </c>
      <c r="BD36" s="52">
        <f>IF($H36&lt;=0,"0",IF($H36&lt;=2,"22",IF($H36&lt;=3,"19",IF($H36&lt;=4,"15",IF($H36&lt;=5,"9",0)))))+0</f>
        <v>22</v>
      </c>
      <c r="BE36" s="52">
        <f>IF($H36&lt;=0,"0",IF($H36&lt;=1,"6",0))+0</f>
        <v>6</v>
      </c>
      <c r="BF36" s="44">
        <f>SUM(Summary2831[[#This Row],[3*
(Tal)]],Summary2831[[#This Row],[3*
(Asc)]])</f>
        <v>93</v>
      </c>
      <c r="BG36" s="1">
        <f>SUM(Summary2831[[#This Row],[2*
(Tal)]],Summary2831[[#This Row],[2*
(Asc)]])</f>
        <v>96</v>
      </c>
      <c r="BH36" s="34">
        <f>SUM(Summary2831[[#This Row],[1*
(Tal)]],Summary2831[[#This Row],[1*
(Asc)]])</f>
        <v>33</v>
      </c>
      <c r="BI36" s="86">
        <f>(IF($E36&lt;=0,"0",IF($E36&lt;=1,"2092530",IF($E36&lt;=10,"2087525",IF($E36&lt;=20,"2068495",IF($E36&lt;=30,"2005910",IF($E36&lt;=40,"1932830",IF($E36&lt;=50,"1777010",IF($E36&lt;=60,"1546185",IF($E36&lt;=70,"1227000",IF($E36&lt;=80,"804625",IF($E36&lt;=81,"647990",IF($E36&lt;=90,"0",0)))))))))))))+0</f>
        <v>1932830</v>
      </c>
      <c r="BJ36" s="56">
        <f>(IF($F36&lt;=0,"0",IF($F36&lt;=1,"952500",IF($F36&lt;=2,"940000",IF($F36&lt;=3,"922500",IF($F36&lt;=4,"897500",IF($F36&lt;=5,"867500",IF($F36&lt;=6,"830000",IF($F36&lt;=7,"710000",IF($F36&lt;=8,"450000",0))))))))))+0</f>
        <v>952500</v>
      </c>
      <c r="BK36" s="56">
        <f>(IF($G36&lt;=0,"0",IF($G36&lt;=1,"952500",IF($G36&lt;=2,"940000",IF($G36&lt;=3,"922500",IF($G36&lt;=4,"897500",IF($G36&lt;=5,"867500",IF($G36&lt;=6,"830000",IF($G36&lt;=7,"710000",IF($G36&lt;=8,"450000",0))))))))))+0</f>
        <v>952500</v>
      </c>
      <c r="BL36" s="56">
        <f>(IF($H36&lt;=0,"0",IF($H36&lt;=1,"952500",IF($H36&lt;=2,"940000",IF($H36&lt;=3,"922500",IF($H36&lt;=4,"897500",IF($H36&lt;=5,"867500",IF($H36&lt;=6,"830000",IF($H36&lt;=7,"710000",IF($H36&lt;=8,"450000",0))))))))))+0</f>
        <v>952500</v>
      </c>
      <c r="BM36" s="57">
        <f>SUM(BI36,BJ36,BK36,BL36)</f>
        <v>4790330</v>
      </c>
    </row>
    <row r="37" spans="1:65">
      <c r="A37" s="71">
        <f ca="1">SUBTOTAL(3,$B$3:Summary2831[[#This Row],[Name]])</f>
        <v>35</v>
      </c>
      <c r="B37" s="72" t="s">
        <v>173</v>
      </c>
      <c r="C37" s="72" t="s">
        <v>621</v>
      </c>
      <c r="D37" s="154">
        <v>2</v>
      </c>
      <c r="E37" s="72">
        <v>90</v>
      </c>
      <c r="F37" s="73">
        <v>10</v>
      </c>
      <c r="G37" s="74">
        <v>10</v>
      </c>
      <c r="H37" s="74">
        <v>10</v>
      </c>
      <c r="I37" s="72">
        <v>81</v>
      </c>
      <c r="J37" s="73">
        <v>1</v>
      </c>
      <c r="K37" s="74">
        <v>9</v>
      </c>
      <c r="L37" s="74">
        <v>9</v>
      </c>
      <c r="M37" s="79" t="s">
        <v>174</v>
      </c>
      <c r="N37" s="75">
        <f>(IF($E37&lt;=0,"0",IF($E37&lt;=40,"46",IF($E37&lt;=50,"44",IF($E37&lt;=60,"40",IF($E37&lt;=70,"32",IF($E37&lt;=80,"20","0")))))))+0</f>
        <v>0</v>
      </c>
      <c r="O3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7" s="76" t="s">
        <v>535</v>
      </c>
      <c r="Q37" s="77">
        <f>T37+W37+Z37</f>
        <v>0</v>
      </c>
      <c r="R37" s="77">
        <f>U37+X37+AA37</f>
        <v>0</v>
      </c>
      <c r="S37" s="78">
        <f>V37+Y37+AB37</f>
        <v>0</v>
      </c>
      <c r="T37" s="123">
        <f>(IF($F37&lt;=0,"0",IF($F37&lt;=6,"22",IF($F37&lt;=7,"18",IF($F37&lt;=8,"12",0)))))+0</f>
        <v>0</v>
      </c>
      <c r="U37" s="124">
        <f>(IF($F37&lt;=0,"0",IF($F37&lt;=2,"21",IF($F37&lt;=3,"19",IF($F37&lt;=4,"15",IF($F37&lt;=5,"9",0))))))+0</f>
        <v>0</v>
      </c>
      <c r="V37" s="124">
        <f>(IF($F37&lt;=0,"0",IF($F37&lt;=1,"3",0)))+0</f>
        <v>0</v>
      </c>
      <c r="W37" s="124">
        <f>(IF($G37&lt;=0,"0",IF($G37&lt;=6,"22",IF($G37&lt;=7,"18",IF($G37&lt;=8,"12",0)))))+0</f>
        <v>0</v>
      </c>
      <c r="X37" s="124">
        <f>(IF($G37&lt;=0,"0",IF($G37&lt;=2,"21",IF($G37&lt;=3,"19",IF($G37&lt;=4,"15",IF($G37&lt;=5,"9",0))))))+0</f>
        <v>0</v>
      </c>
      <c r="Y37" s="124">
        <f>(IF($G37&lt;=0,"0",IF($G37&lt;=1,"3",0)))+0</f>
        <v>0</v>
      </c>
      <c r="Z37" s="124">
        <f>(IF($H37&lt;=0,"0",IF($H37&lt;=6,"22",IF($H37&lt;=7,"18",IF($H37&lt;=8,"12",0)))))+0</f>
        <v>0</v>
      </c>
      <c r="AA37" s="124">
        <f>(IF($H37&lt;=0,"0",IF($H37&lt;=2,"21",IF($H37&lt;=3,"19",IF($H37&lt;=4,"15",IF($H37&lt;=5,"9",0))))))+0</f>
        <v>0</v>
      </c>
      <c r="AB37" s="125">
        <f>(IF($H37&lt;=0,"0",IF($H37&lt;=1,"3",0)))+0</f>
        <v>0</v>
      </c>
      <c r="AC37" s="80" t="s">
        <v>176</v>
      </c>
      <c r="AD37" s="81" t="s">
        <v>569</v>
      </c>
      <c r="AE37" s="126">
        <f>(IF($F37&lt;=0,"0",IF($F37&lt;=6,"4",IF($F37&lt;=7,"3",IF($F37&lt;=8,"2","0")))))+0</f>
        <v>0</v>
      </c>
      <c r="AF37" s="126">
        <f>(IF($G37&lt;=0,"0",IF($G37&lt;=6,"4",IF($G37&lt;=7,"3",IF($G37&lt;=8,"2","0")))))+0</f>
        <v>0</v>
      </c>
      <c r="AG37" s="126">
        <f>(IF($H37&lt;=0,"0",IF($H37&lt;=6,"4",IF($H37&lt;=7,"3",IF($H37&lt;=8,"2","0")))))+0</f>
        <v>0</v>
      </c>
      <c r="AH37" s="75">
        <f>SUM(AE37:AG37)</f>
        <v>0</v>
      </c>
      <c r="AI37" s="81" t="s">
        <v>585</v>
      </c>
      <c r="AJ37" s="74">
        <f>(IF($E37&lt;=0,"0",IF($E37&lt;=20,"168",IF($E37&lt;=30,"165",IF($E37&lt;=50,"155",IF($E37&lt;=60,"135",IF($E37&lt;=70,"105",IF($E37&lt;=80,"60","0"))))))))+0</f>
        <v>0</v>
      </c>
      <c r="AK37" s="79" t="s">
        <v>530</v>
      </c>
      <c r="AL37" s="81">
        <f>(IF($E37&lt;=0,"0",IF($E37&lt;=80,"6","0")))+0</f>
        <v>0</v>
      </c>
      <c r="AM37" s="81">
        <f>(IF($E37&lt;=0,"0",IF($E37&lt;=60,"9",IF($E37&lt;=70,"6","0"))))+0</f>
        <v>0</v>
      </c>
      <c r="AN37" s="81">
        <f>(IF($E37&lt;=0,"0",IF($E37&lt;=40,"9",IF($E37&lt;=50,"6","0"))))+0</f>
        <v>0</v>
      </c>
      <c r="AO37" s="82">
        <f>(IF($E37&lt;=0,"0",IF($E37&lt;=20,"1","0")))+0</f>
        <v>0</v>
      </c>
      <c r="AP37" s="79" t="s">
        <v>288</v>
      </c>
      <c r="AQ37" s="81">
        <f>(IF($E37&lt;=0,"0",IF($E37&lt;=70,"36",IF($E37&lt;=80,"24","0"))))+0</f>
        <v>0</v>
      </c>
      <c r="AR37" s="81">
        <f>(IF($E37&lt;=0,"0",IF($E37&lt;=50,"30",IF($E37&lt;=60,"18","0"))))+0</f>
        <v>0</v>
      </c>
      <c r="AS37" s="81">
        <f>(IF($E37&lt;=0,"0",IF($E37&lt;=20,"18",IF($E37&lt;=40,"15","0"))))+0</f>
        <v>0</v>
      </c>
      <c r="AT37" s="83">
        <f>Summary2831[[#This Row],[3*2]]+Summary2831[[#This Row],[3*22]]+Summary2831[[#This Row],[3*23]]</f>
        <v>0</v>
      </c>
      <c r="AU37" s="85">
        <f>Summary2831[[#This Row],[2*2]]+Summary2831[[#This Row],[2*23]]+Summary2831[[#This Row],[2*24]]</f>
        <v>0</v>
      </c>
      <c r="AV37" s="85">
        <f>Summary2831[[#This Row],[1*2]]+Summary2831[[#This Row],[1*24]]+Summary2831[[#This Row],[1*25]]</f>
        <v>0</v>
      </c>
      <c r="AW37" s="70">
        <f>IF($F37&lt;=0,"0",IF($F37&lt;=6,"19",IF($F37&lt;=7,"18",IF($F37&lt;=8,"9",0))))+0</f>
        <v>0</v>
      </c>
      <c r="AX37" s="70">
        <f>IF($F37&lt;=0,"0",IF($F37&lt;=2,"22",IF($F37&lt;=3,"19",IF($F37&lt;=4,"15",IF($F37&lt;=5,"9",0)))))+0</f>
        <v>0</v>
      </c>
      <c r="AY37" s="70">
        <f>IF($F37&lt;=0,"0",IF($F37&lt;=1,"6",0))+0</f>
        <v>0</v>
      </c>
      <c r="AZ37" s="70">
        <f>IF($G37&lt;=0,"0",IF($G37&lt;=6,"19",IF($G37&lt;=7,"18",IF($G37&lt;=8,"9",0))))+0</f>
        <v>0</v>
      </c>
      <c r="BA37" s="70">
        <f>IF($G37&lt;=0,"0",IF($G37&lt;=2,"22",IF($G37&lt;=3,"19",IF($G37&lt;=4,"15",IF($G37&lt;=5,"9",0)))))+0</f>
        <v>0</v>
      </c>
      <c r="BB37" s="70">
        <f>IF($G37&lt;=0,"0",IF($G37&lt;=1,"6",0))+0</f>
        <v>0</v>
      </c>
      <c r="BC37" s="70">
        <f>IF($H37&lt;=0,"0",IF($H37&lt;=6,"19",IF($H37&lt;=7,"18",IF($H37&lt;=8,"9",0))))+0</f>
        <v>0</v>
      </c>
      <c r="BD37" s="70">
        <f>IF($H37&lt;=0,"0",IF($H37&lt;=2,"22",IF($H37&lt;=3,"19",IF($H37&lt;=4,"15",IF($H37&lt;=5,"9",0)))))+0</f>
        <v>0</v>
      </c>
      <c r="BE37" s="70">
        <f>IF($H37&lt;=0,"0",IF($H37&lt;=1,"6",0))+0</f>
        <v>0</v>
      </c>
      <c r="BF37" s="79">
        <f>SUM(Summary2831[[#This Row],[3*
(Tal)]],Summary2831[[#This Row],[3*
(Asc)]])</f>
        <v>0</v>
      </c>
      <c r="BG37" s="81">
        <f>SUM(Summary2831[[#This Row],[2*
(Tal)]],Summary2831[[#This Row],[2*
(Asc)]])</f>
        <v>0</v>
      </c>
      <c r="BH37" s="82">
        <f>SUM(Summary2831[[#This Row],[1*
(Tal)]],Summary2831[[#This Row],[1*
(Asc)]])</f>
        <v>0</v>
      </c>
      <c r="BI37" s="86">
        <f>(IF($E37&lt;=0,"0",IF($E37&lt;=1,"2092530",IF($E37&lt;=10,"2087525",IF($E37&lt;=20,"2068495",IF($E37&lt;=30,"2005910",IF($E37&lt;=40,"1932830",IF($E37&lt;=50,"1777010",IF($E37&lt;=60,"1546185",IF($E37&lt;=70,"1227000",IF($E37&lt;=80,"804625",IF($E37&lt;=81,"647990",IF($E37&lt;=90,"0",0)))))))))))))+0</f>
        <v>0</v>
      </c>
      <c r="BJ37" s="87">
        <f>(IF($F37&lt;=0,"0",IF($F37&lt;=1,"952500",IF($F37&lt;=2,"940000",IF($F37&lt;=3,"922500",IF($F37&lt;=4,"897500",IF($F37&lt;=5,"867500",IF($F37&lt;=6,"830000",IF($F37&lt;=7,"710000",IF($F37&lt;=8,"450000",0))))))))))+0</f>
        <v>0</v>
      </c>
      <c r="BK37" s="87">
        <f>(IF($G37&lt;=0,"0",IF($G37&lt;=1,"952500",IF($G37&lt;=2,"940000",IF($G37&lt;=3,"922500",IF($G37&lt;=4,"897500",IF($G37&lt;=5,"867500",IF($G37&lt;=6,"830000",IF($G37&lt;=7,"710000",IF($G37&lt;=8,"450000",0))))))))))+0</f>
        <v>0</v>
      </c>
      <c r="BL37" s="87">
        <f>(IF($H37&lt;=0,"0",IF($H37&lt;=1,"952500",IF($H37&lt;=2,"940000",IF($H37&lt;=3,"922500",IF($H37&lt;=4,"897500",IF($H37&lt;=5,"867500",IF($H37&lt;=6,"830000",IF($H37&lt;=7,"710000",IF($H37&lt;=8,"450000",0))))))))))+0</f>
        <v>0</v>
      </c>
      <c r="BM37" s="88">
        <f>SUM(BI37,BJ37,BK37,BL37)</f>
        <v>0</v>
      </c>
    </row>
    <row r="38" spans="1:65">
      <c r="A38" s="71">
        <f ca="1">SUBTOTAL(3,$B$3:Summary2831[[#This Row],[Name]])</f>
        <v>36</v>
      </c>
      <c r="B38" s="72" t="s">
        <v>184</v>
      </c>
      <c r="C38" s="72" t="s">
        <v>623</v>
      </c>
      <c r="D38" s="154">
        <v>2.6</v>
      </c>
      <c r="E38" s="72">
        <v>0</v>
      </c>
      <c r="F38" s="73">
        <v>0</v>
      </c>
      <c r="G38" s="74">
        <v>0</v>
      </c>
      <c r="H38" s="74">
        <v>0</v>
      </c>
      <c r="I38" s="72">
        <v>81</v>
      </c>
      <c r="J38" s="73">
        <v>1</v>
      </c>
      <c r="K38" s="74">
        <v>9</v>
      </c>
      <c r="L38" s="74">
        <v>9</v>
      </c>
      <c r="M38" s="79" t="s">
        <v>194</v>
      </c>
      <c r="N38" s="75">
        <f>(IF($E38&lt;=0,"0",IF($E38&lt;=40,"46",IF($E38&lt;=50,"44",IF($E38&lt;=60,"40",IF($E38&lt;=70,"32",IF($E38&lt;=80,"20","0")))))))+0</f>
        <v>0</v>
      </c>
      <c r="O3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38" s="76" t="s">
        <v>535</v>
      </c>
      <c r="Q38" s="77">
        <f>T38+W38+Z38</f>
        <v>0</v>
      </c>
      <c r="R38" s="77">
        <f>U38+X38+AA38</f>
        <v>0</v>
      </c>
      <c r="S38" s="78">
        <f>V38+Y38+AB38</f>
        <v>0</v>
      </c>
      <c r="T38" s="123">
        <f>(IF($F38&lt;=0,"0",IF($F38&lt;=6,"22",IF($F38&lt;=7,"18",IF($F38&lt;=8,"12",0)))))+0</f>
        <v>0</v>
      </c>
      <c r="U38" s="124">
        <f>(IF($F38&lt;=0,"0",IF($F38&lt;=2,"21",IF($F38&lt;=3,"19",IF($F38&lt;=4,"15",IF($F38&lt;=5,"9",0))))))+0</f>
        <v>0</v>
      </c>
      <c r="V38" s="124">
        <f>(IF($F38&lt;=0,"0",IF($F38&lt;=1,"3",0)))+0</f>
        <v>0</v>
      </c>
      <c r="W38" s="124">
        <f>(IF($G38&lt;=0,"0",IF($G38&lt;=6,"22",IF($G38&lt;=7,"18",IF($G38&lt;=8,"12",0)))))+0</f>
        <v>0</v>
      </c>
      <c r="X38" s="124">
        <f>(IF($G38&lt;=0,"0",IF($G38&lt;=2,"21",IF($G38&lt;=3,"19",IF($G38&lt;=4,"15",IF($G38&lt;=5,"9",0))))))+0</f>
        <v>0</v>
      </c>
      <c r="Y38" s="124">
        <f>(IF($G38&lt;=0,"0",IF($G38&lt;=1,"3",0)))+0</f>
        <v>0</v>
      </c>
      <c r="Z38" s="124">
        <f>(IF($H38&lt;=0,"0",IF($H38&lt;=6,"22",IF($H38&lt;=7,"18",IF($H38&lt;=8,"12",0)))))+0</f>
        <v>0</v>
      </c>
      <c r="AA38" s="124">
        <f>(IF($H38&lt;=0,"0",IF($H38&lt;=2,"21",IF($H38&lt;=3,"19",IF($H38&lt;=4,"15",IF($H38&lt;=5,"9",0))))))+0</f>
        <v>0</v>
      </c>
      <c r="AB38" s="125">
        <f>(IF($H38&lt;=0,"0",IF($H38&lt;=1,"3",0)))+0</f>
        <v>0</v>
      </c>
      <c r="AC38" s="80" t="s">
        <v>553</v>
      </c>
      <c r="AD38" s="81" t="s">
        <v>565</v>
      </c>
      <c r="AE38" s="126">
        <f>(IF($F38&lt;=0,"0",IF($F38&lt;=6,"4",IF($F38&lt;=7,"3",IF($F38&lt;=8,"2","0")))))+0</f>
        <v>0</v>
      </c>
      <c r="AF38" s="126">
        <f>(IF($G38&lt;=0,"0",IF($G38&lt;=6,"4",IF($G38&lt;=7,"3",IF($G38&lt;=8,"2","0")))))+0</f>
        <v>0</v>
      </c>
      <c r="AG38" s="126">
        <f>(IF($H38&lt;=0,"0",IF($H38&lt;=6,"4",IF($H38&lt;=7,"3",IF($H38&lt;=8,"2","0")))))+0</f>
        <v>0</v>
      </c>
      <c r="AH38" s="75">
        <f>SUM(AE38:AG38)</f>
        <v>0</v>
      </c>
      <c r="AI38" s="81" t="s">
        <v>585</v>
      </c>
      <c r="AJ38" s="74">
        <f>(IF($E38&lt;=0,"0",IF($E38&lt;=20,"168",IF($E38&lt;=30,"165",IF($E38&lt;=50,"155",IF($E38&lt;=60,"135",IF($E38&lt;=70,"105",IF($E38&lt;=80,"60","0"))))))))+0</f>
        <v>0</v>
      </c>
      <c r="AK38" s="79" t="s">
        <v>546</v>
      </c>
      <c r="AL38" s="81">
        <f>(IF($E38&lt;=0,"0",IF($E38&lt;=80,"6","0")))+0</f>
        <v>0</v>
      </c>
      <c r="AM38" s="81">
        <f>(IF($E38&lt;=0,"0",IF($E38&lt;=60,"9",IF($E38&lt;=70,"6","0"))))+0</f>
        <v>0</v>
      </c>
      <c r="AN38" s="81">
        <f>(IF($E38&lt;=0,"0",IF($E38&lt;=40,"9",IF($E38&lt;=50,"6","0"))))+0</f>
        <v>0</v>
      </c>
      <c r="AO38" s="82">
        <f>(IF($E38&lt;=0,"0",IF($E38&lt;=20,"1","0")))+0</f>
        <v>0</v>
      </c>
      <c r="AP38" s="79" t="s">
        <v>288</v>
      </c>
      <c r="AQ38" s="81">
        <f>(IF($E38&lt;=0,"0",IF($E38&lt;=70,"36",IF($E38&lt;=80,"24","0"))))+0</f>
        <v>0</v>
      </c>
      <c r="AR38" s="81">
        <f>(IF($E38&lt;=0,"0",IF($E38&lt;=50,"30",IF($E38&lt;=60,"18","0"))))+0</f>
        <v>0</v>
      </c>
      <c r="AS38" s="81">
        <f>(IF($E38&lt;=0,"0",IF($E38&lt;=20,"18",IF($E38&lt;=40,"15","0"))))+0</f>
        <v>0</v>
      </c>
      <c r="AT38" s="83">
        <f>Summary2831[[#This Row],[3*2]]+Summary2831[[#This Row],[3*22]]+Summary2831[[#This Row],[3*23]]</f>
        <v>0</v>
      </c>
      <c r="AU38" s="85">
        <f>Summary2831[[#This Row],[2*2]]+Summary2831[[#This Row],[2*23]]+Summary2831[[#This Row],[2*24]]</f>
        <v>0</v>
      </c>
      <c r="AV38" s="85">
        <f>Summary2831[[#This Row],[1*2]]+Summary2831[[#This Row],[1*24]]+Summary2831[[#This Row],[1*25]]</f>
        <v>0</v>
      </c>
      <c r="AW38" s="70">
        <f>IF($F38&lt;=0,"0",IF($F38&lt;=6,"19",IF($F38&lt;=7,"18",IF($F38&lt;=8,"9",0))))+0</f>
        <v>0</v>
      </c>
      <c r="AX38" s="70">
        <f>IF($F38&lt;=0,"0",IF($F38&lt;=2,"22",IF($F38&lt;=3,"19",IF($F38&lt;=4,"15",IF($F38&lt;=5,"9",0)))))+0</f>
        <v>0</v>
      </c>
      <c r="AY38" s="70">
        <f>IF($F38&lt;=0,"0",IF($F38&lt;=1,"6",0))+0</f>
        <v>0</v>
      </c>
      <c r="AZ38" s="70">
        <f>IF($G38&lt;=0,"0",IF($G38&lt;=6,"19",IF($G38&lt;=7,"18",IF($G38&lt;=8,"9",0))))+0</f>
        <v>0</v>
      </c>
      <c r="BA38" s="70">
        <f>IF($G38&lt;=0,"0",IF($G38&lt;=2,"22",IF($G38&lt;=3,"19",IF($G38&lt;=4,"15",IF($G38&lt;=5,"9",0)))))+0</f>
        <v>0</v>
      </c>
      <c r="BB38" s="70">
        <f>IF($G38&lt;=0,"0",IF($G38&lt;=1,"6",0))+0</f>
        <v>0</v>
      </c>
      <c r="BC38" s="70">
        <f>IF($H38&lt;=0,"0",IF($H38&lt;=6,"19",IF($H38&lt;=7,"18",IF($H38&lt;=8,"9",0))))+0</f>
        <v>0</v>
      </c>
      <c r="BD38" s="70">
        <f>IF($H38&lt;=0,"0",IF($H38&lt;=2,"22",IF($H38&lt;=3,"19",IF($H38&lt;=4,"15",IF($H38&lt;=5,"9",0)))))+0</f>
        <v>0</v>
      </c>
      <c r="BE38" s="70">
        <f>IF($H38&lt;=0,"0",IF($H38&lt;=1,"6",0))+0</f>
        <v>0</v>
      </c>
      <c r="BF38" s="79">
        <f>SUM(Summary2831[[#This Row],[3*
(Tal)]],Summary2831[[#This Row],[3*
(Asc)]])</f>
        <v>0</v>
      </c>
      <c r="BG38" s="81">
        <f>SUM(Summary2831[[#This Row],[2*
(Tal)]],Summary2831[[#This Row],[2*
(Asc)]])</f>
        <v>0</v>
      </c>
      <c r="BH38" s="82">
        <f>SUM(Summary2831[[#This Row],[1*
(Tal)]],Summary2831[[#This Row],[1*
(Asc)]])</f>
        <v>0</v>
      </c>
      <c r="BI38" s="86">
        <f>(IF($E38&lt;=0,"0",IF($E38&lt;=1,"2092530",IF($E38&lt;=10,"2087525",IF($E38&lt;=20,"2068495",IF($E38&lt;=30,"2005910",IF($E38&lt;=40,"1932830",IF($E38&lt;=50,"1777010",IF($E38&lt;=60,"1546185",IF($E38&lt;=70,"1227000",IF($E38&lt;=80,"804625",IF($E38&lt;=81,"647990",IF($E38&lt;=90,"0",0)))))))))))))+0</f>
        <v>0</v>
      </c>
      <c r="BJ38" s="87">
        <f>(IF($F38&lt;=0,"0",IF($F38&lt;=1,"952500",IF($F38&lt;=2,"940000",IF($F38&lt;=3,"922500",IF($F38&lt;=4,"897500",IF($F38&lt;=5,"867500",IF($F38&lt;=6,"830000",IF($F38&lt;=7,"710000",IF($F38&lt;=8,"450000",0))))))))))+0</f>
        <v>0</v>
      </c>
      <c r="BK38" s="87">
        <f>(IF($G38&lt;=0,"0",IF($G38&lt;=1,"952500",IF($G38&lt;=2,"940000",IF($G38&lt;=3,"922500",IF($G38&lt;=4,"897500",IF($G38&lt;=5,"867500",IF($G38&lt;=6,"830000",IF($G38&lt;=7,"710000",IF($G38&lt;=8,"450000",0))))))))))+0</f>
        <v>0</v>
      </c>
      <c r="BL38" s="87">
        <f>(IF($H38&lt;=0,"0",IF($H38&lt;=1,"952500",IF($H38&lt;=2,"940000",IF($H38&lt;=3,"922500",IF($H38&lt;=4,"897500",IF($H38&lt;=5,"867500",IF($H38&lt;=6,"830000",IF($H38&lt;=7,"710000",IF($H38&lt;=8,"450000",0))))))))))+0</f>
        <v>0</v>
      </c>
      <c r="BM38" s="88">
        <f>SUM(BI38,BJ38,BK38,BL38)</f>
        <v>0</v>
      </c>
    </row>
    <row r="39" spans="1:65" s="81" customFormat="1">
      <c r="A39" s="46">
        <f ca="1">SUBTOTAL(3,$B$3:Summary2831[[#This Row],[Name]])</f>
        <v>37</v>
      </c>
      <c r="B39" s="140" t="s">
        <v>418</v>
      </c>
      <c r="C39" s="14" t="s">
        <v>620</v>
      </c>
      <c r="D39" s="155">
        <v>3.6</v>
      </c>
      <c r="E39" s="14">
        <v>22</v>
      </c>
      <c r="F39" s="9">
        <v>1</v>
      </c>
      <c r="G39" s="2">
        <v>1</v>
      </c>
      <c r="H39" s="2">
        <v>1</v>
      </c>
      <c r="I39" s="72">
        <v>81</v>
      </c>
      <c r="J39" s="73">
        <v>1</v>
      </c>
      <c r="K39" s="74">
        <v>9</v>
      </c>
      <c r="L39" s="74">
        <v>9</v>
      </c>
      <c r="M39" s="44" t="s">
        <v>277</v>
      </c>
      <c r="N39" s="10">
        <f>(IF($E39&lt;=0,"0",IF($E39&lt;=40,"46",IF($E39&lt;=50,"44",IF($E39&lt;=60,"40",IF($E39&lt;=70,"32",IF($E39&lt;=80,"20","0")))))))+0</f>
        <v>46</v>
      </c>
      <c r="O3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39" s="49" t="s">
        <v>522</v>
      </c>
      <c r="Q39" s="50">
        <f>T39+W39+Z39</f>
        <v>66</v>
      </c>
      <c r="R39" s="50">
        <f>U39+X39+AA39</f>
        <v>63</v>
      </c>
      <c r="S39" s="51">
        <f>V39+Y39+AB39</f>
        <v>9</v>
      </c>
      <c r="T39" s="123">
        <f>(IF($F39&lt;=0,"0",IF($F39&lt;=6,"22",IF($F39&lt;=7,"18",IF($F39&lt;=8,"12",0)))))+0</f>
        <v>22</v>
      </c>
      <c r="U39" s="124">
        <f>(IF($F39&lt;=0,"0",IF($F39&lt;=2,"21",IF($F39&lt;=3,"19",IF($F39&lt;=4,"15",IF($F39&lt;=5,"9",0))))))+0</f>
        <v>21</v>
      </c>
      <c r="V39" s="124">
        <f>(IF($F39&lt;=0,"0",IF($F39&lt;=1,"3",0)))+0</f>
        <v>3</v>
      </c>
      <c r="W39" s="124">
        <f>(IF($G39&lt;=0,"0",IF($G39&lt;=6,"22",IF($G39&lt;=7,"18",IF($G39&lt;=8,"12",0)))))+0</f>
        <v>22</v>
      </c>
      <c r="X39" s="124">
        <f>(IF($G39&lt;=0,"0",IF($G39&lt;=2,"21",IF($G39&lt;=3,"19",IF($G39&lt;=4,"15",IF($G39&lt;=5,"9",0))))))+0</f>
        <v>21</v>
      </c>
      <c r="Y39" s="124">
        <f>(IF($G39&lt;=0,"0",IF($G39&lt;=1,"3",0)))+0</f>
        <v>3</v>
      </c>
      <c r="Z39" s="124">
        <f>(IF($H39&lt;=0,"0",IF($H39&lt;=6,"22",IF($H39&lt;=7,"18",IF($H39&lt;=8,"12",0)))))+0</f>
        <v>22</v>
      </c>
      <c r="AA39" s="124">
        <f>(IF($H39&lt;=0,"0",IF($H39&lt;=2,"21",IF($H39&lt;=3,"19",IF($H39&lt;=4,"15",IF($H39&lt;=5,"9",0))))))+0</f>
        <v>21</v>
      </c>
      <c r="AB39" s="125">
        <f>(IF($H39&lt;=0,"0",IF($H39&lt;=1,"3",0)))+0</f>
        <v>3</v>
      </c>
      <c r="AC39" s="8" t="s">
        <v>541</v>
      </c>
      <c r="AD39" s="1" t="s">
        <v>587</v>
      </c>
      <c r="AE39" s="126">
        <f>(IF($F39&lt;=0,"0",IF($F39&lt;=6,"4",IF($F39&lt;=7,"3",IF($F39&lt;=8,"2","0")))))+0</f>
        <v>4</v>
      </c>
      <c r="AF39" s="126">
        <f>(IF($G39&lt;=0,"0",IF($G39&lt;=6,"4",IF($G39&lt;=7,"3",IF($G39&lt;=8,"2","0")))))+0</f>
        <v>4</v>
      </c>
      <c r="AG39" s="126">
        <f>(IF($H39&lt;=0,"0",IF($H39&lt;=6,"4",IF($H39&lt;=7,"3",IF($H39&lt;=8,"2","0")))))+0</f>
        <v>4</v>
      </c>
      <c r="AH39" s="10">
        <f>SUM(AE39:AG39)</f>
        <v>12</v>
      </c>
      <c r="AI39" s="1" t="s">
        <v>588</v>
      </c>
      <c r="AJ39" s="2">
        <f>(IF($E39&lt;=0,"0",IF($E39&lt;=20,"168",IF($E39&lt;=30,"165",IF($E39&lt;=50,"155",IF($E39&lt;=60,"135",IF($E39&lt;=70,"105",IF($E39&lt;=80,"60","0"))))))))+0</f>
        <v>165</v>
      </c>
      <c r="AK39" s="44" t="s">
        <v>526</v>
      </c>
      <c r="AL39" s="1">
        <f>(IF($E39&lt;=0,"0",IF($E39&lt;=80,"6","0")))+0</f>
        <v>6</v>
      </c>
      <c r="AM39" s="1">
        <f>(IF($E39&lt;=0,"0",IF($E39&lt;=60,"9",IF($E39&lt;=70,"6","0"))))+0</f>
        <v>9</v>
      </c>
      <c r="AN39" s="1">
        <f>(IF($E39&lt;=0,"0",IF($E39&lt;=40,"9",IF($E39&lt;=50,"6","0"))))+0</f>
        <v>9</v>
      </c>
      <c r="AO39" s="34">
        <f>(IF($E39&lt;=0,"0",IF($E39&lt;=20,"1","0")))+0</f>
        <v>0</v>
      </c>
      <c r="AP39" s="79" t="s">
        <v>336</v>
      </c>
      <c r="AQ39" s="1">
        <f>(IF($E39&lt;=0,"0",IF($E39&lt;=70,"36",IF($E39&lt;=80,"24","0"))))+0</f>
        <v>36</v>
      </c>
      <c r="AR39" s="1">
        <f>(IF($E39&lt;=0,"0",IF($E39&lt;=50,"30",IF($E39&lt;=60,"18","0"))))+0</f>
        <v>30</v>
      </c>
      <c r="AS39" s="1">
        <f>(IF($E39&lt;=0,"0",IF($E39&lt;=20,"18",IF($E39&lt;=40,"15","0"))))+0</f>
        <v>15</v>
      </c>
      <c r="AT39" s="53">
        <f>Summary2831[[#This Row],[3*2]]+Summary2831[[#This Row],[3*22]]+Summary2831[[#This Row],[3*23]]</f>
        <v>57</v>
      </c>
      <c r="AU39" s="52">
        <f>Summary2831[[#This Row],[2*2]]+Summary2831[[#This Row],[2*23]]+Summary2831[[#This Row],[2*24]]</f>
        <v>66</v>
      </c>
      <c r="AV39" s="52">
        <f>Summary2831[[#This Row],[1*2]]+Summary2831[[#This Row],[1*24]]+Summary2831[[#This Row],[1*25]]</f>
        <v>18</v>
      </c>
      <c r="AW39" s="52">
        <f>IF($F39&lt;=0,"0",IF($F39&lt;=6,"19",IF($F39&lt;=7,"18",IF($F39&lt;=8,"9",0))))+0</f>
        <v>19</v>
      </c>
      <c r="AX39" s="52">
        <f>IF($F39&lt;=0,"0",IF($F39&lt;=2,"22",IF($F39&lt;=3,"19",IF($F39&lt;=4,"15",IF($F39&lt;=5,"9",0)))))+0</f>
        <v>22</v>
      </c>
      <c r="AY39" s="52">
        <f>IF($F39&lt;=0,"0",IF($F39&lt;=1,"6",0))+0</f>
        <v>6</v>
      </c>
      <c r="AZ39" s="52">
        <f>IF($G39&lt;=0,"0",IF($G39&lt;=6,"19",IF($G39&lt;=7,"18",IF($G39&lt;=8,"9",0))))+0</f>
        <v>19</v>
      </c>
      <c r="BA39" s="52">
        <f>IF($G39&lt;=0,"0",IF($G39&lt;=2,"22",IF($G39&lt;=3,"19",IF($G39&lt;=4,"15",IF($G39&lt;=5,"9",0)))))+0</f>
        <v>22</v>
      </c>
      <c r="BB39" s="52">
        <f>IF($G39&lt;=0,"0",IF($G39&lt;=1,"6",0))+0</f>
        <v>6</v>
      </c>
      <c r="BC39" s="52">
        <f>IF($H39&lt;=0,"0",IF($H39&lt;=6,"19",IF($H39&lt;=7,"18",IF($H39&lt;=8,"9",0))))+0</f>
        <v>19</v>
      </c>
      <c r="BD39" s="52">
        <f>IF($H39&lt;=0,"0",IF($H39&lt;=2,"22",IF($H39&lt;=3,"19",IF($H39&lt;=4,"15",IF($H39&lt;=5,"9",0)))))+0</f>
        <v>22</v>
      </c>
      <c r="BE39" s="52">
        <f>IF($H39&lt;=0,"0",IF($H39&lt;=1,"6",0))+0</f>
        <v>6</v>
      </c>
      <c r="BF39" s="44">
        <f>SUM(Summary2831[[#This Row],[3*
(Tal)]],Summary2831[[#This Row],[3*
(Asc)]])</f>
        <v>93</v>
      </c>
      <c r="BG39" s="1">
        <f>SUM(Summary2831[[#This Row],[2*
(Tal)]],Summary2831[[#This Row],[2*
(Asc)]])</f>
        <v>96</v>
      </c>
      <c r="BH39" s="34">
        <f>SUM(Summary2831[[#This Row],[1*
(Tal)]],Summary2831[[#This Row],[1*
(Asc)]])</f>
        <v>33</v>
      </c>
      <c r="BI39" s="86">
        <f>(IF($E39&lt;=0,"0",IF($E39&lt;=1,"2092530",IF($E39&lt;=10,"2087525",IF($E39&lt;=20,"2068495",IF($E39&lt;=30,"2005910",IF($E39&lt;=40,"1932830",IF($E39&lt;=50,"1777010",IF($E39&lt;=60,"1546185",IF($E39&lt;=70,"1227000",IF($E39&lt;=80,"804625",IF($E39&lt;=81,"647990",IF($E39&lt;=90,"0",0)))))))))))))+0</f>
        <v>2005910</v>
      </c>
      <c r="BJ39" s="56">
        <f>(IF($F39&lt;=0,"0",IF($F39&lt;=1,"952500",IF($F39&lt;=2,"940000",IF($F39&lt;=3,"922500",IF($F39&lt;=4,"897500",IF($F39&lt;=5,"867500",IF($F39&lt;=6,"830000",IF($F39&lt;=7,"710000",IF($F39&lt;=8,"450000",0))))))))))+0</f>
        <v>952500</v>
      </c>
      <c r="BK39" s="56">
        <f>(IF($G39&lt;=0,"0",IF($G39&lt;=1,"952500",IF($G39&lt;=2,"940000",IF($G39&lt;=3,"922500",IF($G39&lt;=4,"897500",IF($G39&lt;=5,"867500",IF($G39&lt;=6,"830000",IF($G39&lt;=7,"710000",IF($G39&lt;=8,"450000",0))))))))))+0</f>
        <v>952500</v>
      </c>
      <c r="BL39" s="56">
        <f>(IF($H39&lt;=0,"0",IF($H39&lt;=1,"952500",IF($H39&lt;=2,"940000",IF($H39&lt;=3,"922500",IF($H39&lt;=4,"897500",IF($H39&lt;=5,"867500",IF($H39&lt;=6,"830000",IF($H39&lt;=7,"710000",IF($H39&lt;=8,"450000",0))))))))))+0</f>
        <v>952500</v>
      </c>
      <c r="BM39" s="57">
        <f>SUM(BI39,BJ39,BK39,BL39)</f>
        <v>4863410</v>
      </c>
    </row>
    <row r="40" spans="1:65" s="81" customFormat="1">
      <c r="A40" s="71">
        <f ca="1">SUBTOTAL(3,$B$3:Summary2831[[#This Row],[Name]])</f>
        <v>38</v>
      </c>
      <c r="B40" s="72" t="s">
        <v>586</v>
      </c>
      <c r="C40" s="72" t="s">
        <v>624</v>
      </c>
      <c r="D40" s="154">
        <v>1.6</v>
      </c>
      <c r="E40" s="72">
        <v>90</v>
      </c>
      <c r="F40" s="73">
        <v>1</v>
      </c>
      <c r="G40" s="74">
        <v>9</v>
      </c>
      <c r="H40" s="74">
        <v>9</v>
      </c>
      <c r="I40" s="72">
        <v>81</v>
      </c>
      <c r="J40" s="73">
        <v>1</v>
      </c>
      <c r="K40" s="74">
        <v>9</v>
      </c>
      <c r="L40" s="74">
        <v>9</v>
      </c>
      <c r="M40" s="79" t="s">
        <v>165</v>
      </c>
      <c r="N40" s="75">
        <f>(IF($E40&lt;=0,"0",IF($E40&lt;=40,"46",IF($E40&lt;=50,"44",IF($E40&lt;=60,"40",IF($E40&lt;=70,"32",IF($E40&lt;=80,"20","0")))))))+0</f>
        <v>0</v>
      </c>
      <c r="O4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0" s="76" t="s">
        <v>562</v>
      </c>
      <c r="Q40" s="77">
        <f>T40+W40+Z40</f>
        <v>22</v>
      </c>
      <c r="R40" s="77">
        <f>U40+X40+AA40</f>
        <v>21</v>
      </c>
      <c r="S40" s="78">
        <f>V40+Y40+AB40</f>
        <v>3</v>
      </c>
      <c r="T40" s="123">
        <f>(IF($F40&lt;=0,"0",IF($F40&lt;=6,"22",IF($F40&lt;=7,"18",IF($F40&lt;=8,"12",0)))))+0</f>
        <v>22</v>
      </c>
      <c r="U40" s="124">
        <f>(IF($F40&lt;=0,"0",IF($F40&lt;=2,"21",IF($F40&lt;=3,"19",IF($F40&lt;=4,"15",IF($F40&lt;=5,"9",0))))))+0</f>
        <v>21</v>
      </c>
      <c r="V40" s="124">
        <f>(IF($F40&lt;=0,"0",IF($F40&lt;=1,"3",0)))+0</f>
        <v>3</v>
      </c>
      <c r="W40" s="124">
        <f>(IF($G40&lt;=0,"0",IF($G40&lt;=6,"22",IF($G40&lt;=7,"18",IF($G40&lt;=8,"12",0)))))+0</f>
        <v>0</v>
      </c>
      <c r="X40" s="124">
        <f>(IF($G40&lt;=0,"0",IF($G40&lt;=2,"21",IF($G40&lt;=3,"19",IF($G40&lt;=4,"15",IF($G40&lt;=5,"9",0))))))+0</f>
        <v>0</v>
      </c>
      <c r="Y40" s="124">
        <f>(IF($G40&lt;=0,"0",IF($G40&lt;=1,"3",0)))+0</f>
        <v>0</v>
      </c>
      <c r="Z40" s="124">
        <f>(IF($H40&lt;=0,"0",IF($H40&lt;=6,"22",IF($H40&lt;=7,"18",IF($H40&lt;=8,"12",0)))))+0</f>
        <v>0</v>
      </c>
      <c r="AA40" s="124">
        <f>(IF($H40&lt;=0,"0",IF($H40&lt;=2,"21",IF($H40&lt;=3,"19",IF($H40&lt;=4,"15",IF($H40&lt;=5,"9",0))))))+0</f>
        <v>0</v>
      </c>
      <c r="AB40" s="125">
        <f>(IF($H40&lt;=0,"0",IF($H40&lt;=1,"3",0)))+0</f>
        <v>0</v>
      </c>
      <c r="AC40" s="80" t="s">
        <v>176</v>
      </c>
      <c r="AD40" s="81" t="s">
        <v>589</v>
      </c>
      <c r="AE40" s="126">
        <f>(IF($F40&lt;=0,"0",IF($F40&lt;=6,"4",IF($F40&lt;=7,"3",IF($F40&lt;=8,"2","0")))))+0</f>
        <v>4</v>
      </c>
      <c r="AF40" s="126">
        <f>(IF($G40&lt;=0,"0",IF($G40&lt;=6,"4",IF($G40&lt;=7,"3",IF($G40&lt;=8,"2","0")))))+0</f>
        <v>0</v>
      </c>
      <c r="AG40" s="126">
        <f>(IF($H40&lt;=0,"0",IF($H40&lt;=6,"4",IF($H40&lt;=7,"3",IF($H40&lt;=8,"2","0")))))+0</f>
        <v>0</v>
      </c>
      <c r="AH40" s="75">
        <f>SUM(AE40:AG40)</f>
        <v>4</v>
      </c>
      <c r="AI40" s="81" t="s">
        <v>590</v>
      </c>
      <c r="AJ40" s="74">
        <f>(IF($E40&lt;=0,"0",IF($E40&lt;=20,"168",IF($E40&lt;=30,"165",IF($E40&lt;=50,"155",IF($E40&lt;=60,"135",IF($E40&lt;=70,"105",IF($E40&lt;=80,"60","0"))))))))+0</f>
        <v>0</v>
      </c>
      <c r="AK40" s="79" t="s">
        <v>573</v>
      </c>
      <c r="AL40" s="81">
        <f>(IF($E40&lt;=0,"0",IF($E40&lt;=80,"6","0")))+0</f>
        <v>0</v>
      </c>
      <c r="AM40" s="81">
        <f>(IF($E40&lt;=0,"0",IF($E40&lt;=60,"9",IF($E40&lt;=70,"6","0"))))+0</f>
        <v>0</v>
      </c>
      <c r="AN40" s="81">
        <f>(IF($E40&lt;=0,"0",IF($E40&lt;=40,"9",IF($E40&lt;=50,"6","0"))))+0</f>
        <v>0</v>
      </c>
      <c r="AO40" s="82">
        <f>(IF($E40&lt;=0,"0",IF($E40&lt;=20,"1","0")))+0</f>
        <v>0</v>
      </c>
      <c r="AP40" s="79" t="s">
        <v>207</v>
      </c>
      <c r="AQ40" s="81">
        <f>(IF($E40&lt;=0,"0",IF($E40&lt;=70,"36",IF($E40&lt;=80,"24","0"))))+0</f>
        <v>0</v>
      </c>
      <c r="AR40" s="81">
        <f>(IF($E40&lt;=0,"0",IF($E40&lt;=50,"30",IF($E40&lt;=60,"18","0"))))+0</f>
        <v>0</v>
      </c>
      <c r="AS40" s="81">
        <f>(IF($E40&lt;=0,"0",IF($E40&lt;=20,"18",IF($E40&lt;=40,"15","0"))))+0</f>
        <v>0</v>
      </c>
      <c r="AT40" s="83">
        <f>Summary2831[[#This Row],[3*2]]+Summary2831[[#This Row],[3*22]]+Summary2831[[#This Row],[3*23]]</f>
        <v>19</v>
      </c>
      <c r="AU40" s="85">
        <f>Summary2831[[#This Row],[2*2]]+Summary2831[[#This Row],[2*23]]+Summary2831[[#This Row],[2*24]]</f>
        <v>22</v>
      </c>
      <c r="AV40" s="85">
        <f>Summary2831[[#This Row],[1*2]]+Summary2831[[#This Row],[1*24]]+Summary2831[[#This Row],[1*25]]</f>
        <v>6</v>
      </c>
      <c r="AW40" s="70">
        <f>IF($F40&lt;=0,"0",IF($F40&lt;=6,"19",IF($F40&lt;=7,"18",IF($F40&lt;=8,"9",0))))+0</f>
        <v>19</v>
      </c>
      <c r="AX40" s="70">
        <f>IF($F40&lt;=0,"0",IF($F40&lt;=2,"22",IF($F40&lt;=3,"19",IF($F40&lt;=4,"15",IF($F40&lt;=5,"9",0)))))+0</f>
        <v>22</v>
      </c>
      <c r="AY40" s="70">
        <f>IF($F40&lt;=0,"0",IF($F40&lt;=1,"6",0))+0</f>
        <v>6</v>
      </c>
      <c r="AZ40" s="70">
        <f>IF($G40&lt;=0,"0",IF($G40&lt;=6,"19",IF($G40&lt;=7,"18",IF($G40&lt;=8,"9",0))))+0</f>
        <v>0</v>
      </c>
      <c r="BA40" s="70">
        <f>IF($G40&lt;=0,"0",IF($G40&lt;=2,"22",IF($G40&lt;=3,"19",IF($G40&lt;=4,"15",IF($G40&lt;=5,"9",0)))))+0</f>
        <v>0</v>
      </c>
      <c r="BB40" s="70">
        <f>IF($G40&lt;=0,"0",IF($G40&lt;=1,"6",0))+0</f>
        <v>0</v>
      </c>
      <c r="BC40" s="70">
        <f>IF($H40&lt;=0,"0",IF($H40&lt;=6,"19",IF($H40&lt;=7,"18",IF($H40&lt;=8,"9",0))))+0</f>
        <v>0</v>
      </c>
      <c r="BD40" s="70">
        <f>IF($H40&lt;=0,"0",IF($H40&lt;=2,"22",IF($H40&lt;=3,"19",IF($H40&lt;=4,"15",IF($H40&lt;=5,"9",0)))))+0</f>
        <v>0</v>
      </c>
      <c r="BE40" s="70">
        <f>IF($H40&lt;=0,"0",IF($H40&lt;=1,"6",0))+0</f>
        <v>0</v>
      </c>
      <c r="BF40" s="79">
        <f>SUM(Summary2831[[#This Row],[3*
(Tal)]],Summary2831[[#This Row],[3*
(Asc)]])</f>
        <v>19</v>
      </c>
      <c r="BG40" s="81">
        <f>SUM(Summary2831[[#This Row],[2*
(Tal)]],Summary2831[[#This Row],[2*
(Asc)]])</f>
        <v>22</v>
      </c>
      <c r="BH40" s="82">
        <f>SUM(Summary2831[[#This Row],[1*
(Tal)]],Summary2831[[#This Row],[1*
(Asc)]])</f>
        <v>6</v>
      </c>
      <c r="BI40" s="86">
        <f>(IF($E40&lt;=0,"0",IF($E40&lt;=1,"2092530",IF($E40&lt;=10,"2087525",IF($E40&lt;=20,"2068495",IF($E40&lt;=30,"2005910",IF($E40&lt;=40,"1932830",IF($E40&lt;=50,"1777010",IF($E40&lt;=60,"1546185",IF($E40&lt;=70,"1227000",IF($E40&lt;=80,"804625",IF($E40&lt;=81,"647990",IF($E40&lt;=90,"0",0)))))))))))))+0</f>
        <v>0</v>
      </c>
      <c r="BJ40" s="87">
        <f>(IF($F40&lt;=0,"0",IF($F40&lt;=1,"952500",IF($F40&lt;=2,"940000",IF($F40&lt;=3,"922500",IF($F40&lt;=4,"897500",IF($F40&lt;=5,"867500",IF($F40&lt;=6,"830000",IF($F40&lt;=7,"710000",IF($F40&lt;=8,"450000",0))))))))))+0</f>
        <v>952500</v>
      </c>
      <c r="BK40" s="87">
        <f>(IF($G40&lt;=0,"0",IF($G40&lt;=1,"952500",IF($G40&lt;=2,"940000",IF($G40&lt;=3,"922500",IF($G40&lt;=4,"897500",IF($G40&lt;=5,"867500",IF($G40&lt;=6,"830000",IF($G40&lt;=7,"710000",IF($G40&lt;=8,"450000",0))))))))))+0</f>
        <v>0</v>
      </c>
      <c r="BL40" s="87">
        <f>(IF($H40&lt;=0,"0",IF($H40&lt;=1,"952500",IF($H40&lt;=2,"940000",IF($H40&lt;=3,"922500",IF($H40&lt;=4,"897500",IF($H40&lt;=5,"867500",IF($H40&lt;=6,"830000",IF($H40&lt;=7,"710000",IF($H40&lt;=8,"450000",0))))))))))+0</f>
        <v>0</v>
      </c>
      <c r="BM40" s="88">
        <f>SUM(BI40,BJ40,BK40,BL40)</f>
        <v>952500</v>
      </c>
    </row>
    <row r="41" spans="1:65">
      <c r="A41" s="71">
        <f ca="1">SUBTOTAL(3,$B$3:Summary2831[[#This Row],[Name]])</f>
        <v>39</v>
      </c>
      <c r="B41" s="72" t="s">
        <v>193</v>
      </c>
      <c r="C41" s="72" t="s">
        <v>31</v>
      </c>
      <c r="D41" s="155">
        <v>1</v>
      </c>
      <c r="E41" s="72">
        <v>70</v>
      </c>
      <c r="F41" s="73">
        <v>5</v>
      </c>
      <c r="G41" s="74">
        <v>5</v>
      </c>
      <c r="H41" s="74">
        <v>6</v>
      </c>
      <c r="I41" s="72">
        <v>81</v>
      </c>
      <c r="J41" s="73">
        <v>1</v>
      </c>
      <c r="K41" s="74">
        <v>9</v>
      </c>
      <c r="L41" s="74">
        <v>9</v>
      </c>
      <c r="M41" s="79" t="s">
        <v>106</v>
      </c>
      <c r="N41" s="75">
        <f>(IF($E41&lt;=0,"0",IF($E41&lt;=40,"46",IF($E41&lt;=50,"44",IF($E41&lt;=60,"40",IF($E41&lt;=70,"32",IF($E41&lt;=80,"20","0")))))))+0</f>
        <v>32</v>
      </c>
      <c r="O4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90</v>
      </c>
      <c r="P41" s="76" t="s">
        <v>578</v>
      </c>
      <c r="Q41" s="77">
        <f>T41+W41+Z41</f>
        <v>66</v>
      </c>
      <c r="R41" s="77">
        <f>U41+X41+AA41</f>
        <v>18</v>
      </c>
      <c r="S41" s="78">
        <f>V41+Y41+AB41</f>
        <v>0</v>
      </c>
      <c r="T41" s="123">
        <f>(IF($F41&lt;=0,"0",IF($F41&lt;=6,"22",IF($F41&lt;=7,"18",IF($F41&lt;=8,"12",0)))))+0</f>
        <v>22</v>
      </c>
      <c r="U41" s="124">
        <f>(IF($F41&lt;=0,"0",IF($F41&lt;=2,"21",IF($F41&lt;=3,"19",IF($F41&lt;=4,"15",IF($F41&lt;=5,"9",0))))))+0</f>
        <v>9</v>
      </c>
      <c r="V41" s="124">
        <f>(IF($F41&lt;=0,"0",IF($F41&lt;=1,"3",0)))+0</f>
        <v>0</v>
      </c>
      <c r="W41" s="124">
        <f>(IF($G41&lt;=0,"0",IF($G41&lt;=6,"22",IF($G41&lt;=7,"18",IF($G41&lt;=8,"12",0)))))+0</f>
        <v>22</v>
      </c>
      <c r="X41" s="124">
        <f>(IF($G41&lt;=0,"0",IF($G41&lt;=2,"21",IF($G41&lt;=3,"19",IF($G41&lt;=4,"15",IF($G41&lt;=5,"9",0))))))+0</f>
        <v>9</v>
      </c>
      <c r="Y41" s="124">
        <f>(IF($G41&lt;=0,"0",IF($G41&lt;=1,"3",0)))+0</f>
        <v>0</v>
      </c>
      <c r="Z41" s="124">
        <f>(IF($H41&lt;=0,"0",IF($H41&lt;=6,"22",IF($H41&lt;=7,"18",IF($H41&lt;=8,"12",0)))))+0</f>
        <v>22</v>
      </c>
      <c r="AA41" s="124">
        <f>(IF($H41&lt;=0,"0",IF($H41&lt;=2,"21",IF($H41&lt;=3,"19",IF($H41&lt;=4,"15",IF($H41&lt;=5,"9",0))))))+0</f>
        <v>0</v>
      </c>
      <c r="AB41" s="125">
        <f>(IF($H41&lt;=0,"0",IF($H41&lt;=1,"3",0)))+0</f>
        <v>0</v>
      </c>
      <c r="AC41" s="80" t="s">
        <v>543</v>
      </c>
      <c r="AD41" s="81" t="s">
        <v>544</v>
      </c>
      <c r="AE41" s="126">
        <f>(IF($F41&lt;=0,"0",IF($F41&lt;=6,"4",IF($F41&lt;=7,"3",IF($F41&lt;=8,"2","0")))))+0</f>
        <v>4</v>
      </c>
      <c r="AF41" s="126">
        <f>(IF($G41&lt;=0,"0",IF($G41&lt;=6,"4",IF($G41&lt;=7,"3",IF($G41&lt;=8,"2","0")))))+0</f>
        <v>4</v>
      </c>
      <c r="AG41" s="126">
        <f>(IF($H41&lt;=0,"0",IF($H41&lt;=6,"4",IF($H41&lt;=7,"3",IF($H41&lt;=8,"2","0")))))+0</f>
        <v>4</v>
      </c>
      <c r="AH41" s="75">
        <f>SUM(AE41:AG41)</f>
        <v>12</v>
      </c>
      <c r="AI41" s="81" t="s">
        <v>563</v>
      </c>
      <c r="AJ41" s="74">
        <f>(IF($E41&lt;=0,"0",IF($E41&lt;=20,"168",IF($E41&lt;=30,"165",IF($E41&lt;=50,"155",IF($E41&lt;=60,"135",IF($E41&lt;=70,"105",IF($E41&lt;=80,"60","0"))))))))+0</f>
        <v>105</v>
      </c>
      <c r="AK41" s="79" t="s">
        <v>548</v>
      </c>
      <c r="AL41" s="81">
        <f>(IF($E41&lt;=0,"0",IF($E41&lt;=80,"6","0")))+0</f>
        <v>6</v>
      </c>
      <c r="AM41" s="81">
        <f>(IF($E41&lt;=0,"0",IF($E41&lt;=60,"9",IF($E41&lt;=70,"6","0"))))+0</f>
        <v>6</v>
      </c>
      <c r="AN41" s="81">
        <f>(IF($E41&lt;=0,"0",IF($E41&lt;=40,"9",IF($E41&lt;=50,"6","0"))))+0</f>
        <v>0</v>
      </c>
      <c r="AO41" s="82">
        <f>(IF($E41&lt;=0,"0",IF($E41&lt;=20,"1","0")))+0</f>
        <v>0</v>
      </c>
      <c r="AP41" s="79" t="s">
        <v>264</v>
      </c>
      <c r="AQ41" s="81">
        <f>(IF($E41&lt;=0,"0",IF($E41&lt;=70,"36",IF($E41&lt;=80,"24","0"))))+0</f>
        <v>36</v>
      </c>
      <c r="AR41" s="81">
        <f>(IF($E41&lt;=0,"0",IF($E41&lt;=50,"30",IF($E41&lt;=60,"18","0"))))+0</f>
        <v>0</v>
      </c>
      <c r="AS41" s="81">
        <f>(IF($E41&lt;=0,"0",IF($E41&lt;=20,"18",IF($E41&lt;=40,"15","0"))))+0</f>
        <v>0</v>
      </c>
      <c r="AT41" s="83">
        <f>Summary2831[[#This Row],[3*2]]+Summary2831[[#This Row],[3*22]]+Summary2831[[#This Row],[3*23]]</f>
        <v>57</v>
      </c>
      <c r="AU41" s="85">
        <f>Summary2831[[#This Row],[2*2]]+Summary2831[[#This Row],[2*23]]+Summary2831[[#This Row],[2*24]]</f>
        <v>18</v>
      </c>
      <c r="AV41" s="85">
        <f>Summary2831[[#This Row],[1*2]]+Summary2831[[#This Row],[1*24]]+Summary2831[[#This Row],[1*25]]</f>
        <v>0</v>
      </c>
      <c r="AW41" s="70">
        <f>IF($F41&lt;=0,"0",IF($F41&lt;=6,"19",IF($F41&lt;=7,"18",IF($F41&lt;=8,"9",0))))+0</f>
        <v>19</v>
      </c>
      <c r="AX41" s="70">
        <f>IF($F41&lt;=0,"0",IF($F41&lt;=2,"22",IF($F41&lt;=3,"19",IF($F41&lt;=4,"15",IF($F41&lt;=5,"9",0)))))+0</f>
        <v>9</v>
      </c>
      <c r="AY41" s="70">
        <f>IF($F41&lt;=0,"0",IF($F41&lt;=1,"6",0))+0</f>
        <v>0</v>
      </c>
      <c r="AZ41" s="70">
        <f>IF($G41&lt;=0,"0",IF($G41&lt;=6,"19",IF($G41&lt;=7,"18",IF($G41&lt;=8,"9",0))))+0</f>
        <v>19</v>
      </c>
      <c r="BA41" s="70">
        <f>IF($G41&lt;=0,"0",IF($G41&lt;=2,"22",IF($G41&lt;=3,"19",IF($G41&lt;=4,"15",IF($G41&lt;=5,"9",0)))))+0</f>
        <v>9</v>
      </c>
      <c r="BB41" s="70">
        <f>IF($G41&lt;=0,"0",IF($G41&lt;=1,"6",0))+0</f>
        <v>0</v>
      </c>
      <c r="BC41" s="70">
        <f>IF($H41&lt;=0,"0",IF($H41&lt;=6,"19",IF($H41&lt;=7,"18",IF($H41&lt;=8,"9",0))))+0</f>
        <v>19</v>
      </c>
      <c r="BD41" s="70">
        <f>IF($H41&lt;=0,"0",IF($H41&lt;=2,"22",IF($H41&lt;=3,"19",IF($H41&lt;=4,"15",IF($H41&lt;=5,"9",0)))))+0</f>
        <v>0</v>
      </c>
      <c r="BE41" s="70">
        <f>IF($H41&lt;=0,"0",IF($H41&lt;=1,"6",0))+0</f>
        <v>0</v>
      </c>
      <c r="BF41" s="79">
        <f>SUM(Summary2831[[#This Row],[3*
(Tal)]],Summary2831[[#This Row],[3*
(Asc)]])</f>
        <v>93</v>
      </c>
      <c r="BG41" s="81">
        <f>SUM(Summary2831[[#This Row],[2*
(Tal)]],Summary2831[[#This Row],[2*
(Asc)]])</f>
        <v>18</v>
      </c>
      <c r="BH41" s="82">
        <f>SUM(Summary2831[[#This Row],[1*
(Tal)]],Summary2831[[#This Row],[1*
(Asc)]])</f>
        <v>0</v>
      </c>
      <c r="BI41" s="86">
        <f>(IF($E41&lt;=0,"0",IF($E41&lt;=1,"2092530",IF($E41&lt;=10,"2087525",IF($E41&lt;=20,"2068495",IF($E41&lt;=30,"2005910",IF($E41&lt;=40,"1932830",IF($E41&lt;=50,"1777010",IF($E41&lt;=60,"1546185",IF($E41&lt;=70,"1227000",IF($E41&lt;=80,"804625",IF($E41&lt;=81,"647990",IF($E41&lt;=90,"0",0)))))))))))))+0</f>
        <v>1227000</v>
      </c>
      <c r="BJ41" s="87">
        <f>(IF($F41&lt;=0,"0",IF($F41&lt;=1,"952500",IF($F41&lt;=2,"940000",IF($F41&lt;=3,"922500",IF($F41&lt;=4,"897500",IF($F41&lt;=5,"867500",IF($F41&lt;=6,"830000",IF($F41&lt;=7,"710000",IF($F41&lt;=8,"450000",0))))))))))+0</f>
        <v>867500</v>
      </c>
      <c r="BK41" s="87">
        <f>(IF($G41&lt;=0,"0",IF($G41&lt;=1,"952500",IF($G41&lt;=2,"940000",IF($G41&lt;=3,"922500",IF($G41&lt;=4,"897500",IF($G41&lt;=5,"867500",IF($G41&lt;=6,"830000",IF($G41&lt;=7,"710000",IF($G41&lt;=8,"450000",0))))))))))+0</f>
        <v>867500</v>
      </c>
      <c r="BL41" s="87">
        <f>(IF($H41&lt;=0,"0",IF($H41&lt;=1,"952500",IF($H41&lt;=2,"940000",IF($H41&lt;=3,"922500",IF($H41&lt;=4,"897500",IF($H41&lt;=5,"867500",IF($H41&lt;=6,"830000",IF($H41&lt;=7,"710000",IF($H41&lt;=8,"450000",0))))))))))+0</f>
        <v>830000</v>
      </c>
      <c r="BM41" s="88">
        <f>SUM(BI41,BJ41,BK41,BL41)</f>
        <v>3792000</v>
      </c>
    </row>
    <row r="42" spans="1:65" s="81" customFormat="1">
      <c r="A42" s="46">
        <f ca="1">SUBTOTAL(3,$B$3:Summary2831[[#This Row],[Name]])</f>
        <v>40</v>
      </c>
      <c r="B42" s="140" t="s">
        <v>202</v>
      </c>
      <c r="C42" s="14" t="s">
        <v>620</v>
      </c>
      <c r="D42" s="155">
        <v>3.7</v>
      </c>
      <c r="E42" s="14">
        <v>21</v>
      </c>
      <c r="F42" s="9">
        <v>1</v>
      </c>
      <c r="G42" s="2">
        <v>1</v>
      </c>
      <c r="H42" s="2">
        <v>1</v>
      </c>
      <c r="I42" s="72">
        <v>81</v>
      </c>
      <c r="J42" s="73">
        <v>1</v>
      </c>
      <c r="K42" s="74">
        <v>9</v>
      </c>
      <c r="L42" s="74">
        <v>9</v>
      </c>
      <c r="M42" s="44" t="s">
        <v>293</v>
      </c>
      <c r="N42" s="10">
        <f>(IF($E42&lt;=0,"0",IF($E42&lt;=40,"46",IF($E42&lt;=50,"44",IF($E42&lt;=60,"40",IF($E42&lt;=70,"32",IF($E42&lt;=80,"20","0")))))))+0</f>
        <v>46</v>
      </c>
      <c r="O4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2" s="49" t="s">
        <v>582</v>
      </c>
      <c r="Q42" s="50">
        <f>T42+W42+Z42</f>
        <v>66</v>
      </c>
      <c r="R42" s="50">
        <f>U42+X42+AA42</f>
        <v>63</v>
      </c>
      <c r="S42" s="51">
        <f>V42+Y42+AB42</f>
        <v>9</v>
      </c>
      <c r="T42" s="123">
        <f>(IF($F42&lt;=0,"0",IF($F42&lt;=6,"22",IF($F42&lt;=7,"18",IF($F42&lt;=8,"12",0)))))+0</f>
        <v>22</v>
      </c>
      <c r="U42" s="124">
        <f>(IF($F42&lt;=0,"0",IF($F42&lt;=2,"21",IF($F42&lt;=3,"19",IF($F42&lt;=4,"15",IF($F42&lt;=5,"9",0))))))+0</f>
        <v>21</v>
      </c>
      <c r="V42" s="124">
        <f>(IF($F42&lt;=0,"0",IF($F42&lt;=1,"3",0)))+0</f>
        <v>3</v>
      </c>
      <c r="W42" s="124">
        <f>(IF($G42&lt;=0,"0",IF($G42&lt;=6,"22",IF($G42&lt;=7,"18",IF($G42&lt;=8,"12",0)))))+0</f>
        <v>22</v>
      </c>
      <c r="X42" s="124">
        <f>(IF($G42&lt;=0,"0",IF($G42&lt;=2,"21",IF($G42&lt;=3,"19",IF($G42&lt;=4,"15",IF($G42&lt;=5,"9",0))))))+0</f>
        <v>21</v>
      </c>
      <c r="Y42" s="124">
        <f>(IF($G42&lt;=0,"0",IF($G42&lt;=1,"3",0)))+0</f>
        <v>3</v>
      </c>
      <c r="Z42" s="124">
        <f>(IF($H42&lt;=0,"0",IF($H42&lt;=6,"22",IF($H42&lt;=7,"18",IF($H42&lt;=8,"12",0)))))+0</f>
        <v>22</v>
      </c>
      <c r="AA42" s="124">
        <f>(IF($H42&lt;=0,"0",IF($H42&lt;=2,"21",IF($H42&lt;=3,"19",IF($H42&lt;=4,"15",IF($H42&lt;=5,"9",0))))))+0</f>
        <v>21</v>
      </c>
      <c r="AB42" s="125">
        <f>(IF($H42&lt;=0,"0",IF($H42&lt;=1,"3",0)))+0</f>
        <v>3</v>
      </c>
      <c r="AC42" s="8" t="s">
        <v>541</v>
      </c>
      <c r="AD42" s="1" t="s">
        <v>295</v>
      </c>
      <c r="AE42" s="126">
        <f>(IF($F42&lt;=0,"0",IF($F42&lt;=6,"4",IF($F42&lt;=7,"3",IF($F42&lt;=8,"2","0")))))+0</f>
        <v>4</v>
      </c>
      <c r="AF42" s="126">
        <f>(IF($G42&lt;=0,"0",IF($G42&lt;=6,"4",IF($G42&lt;=7,"3",IF($G42&lt;=8,"2","0")))))+0</f>
        <v>4</v>
      </c>
      <c r="AG42" s="126">
        <f>(IF($H42&lt;=0,"0",IF($H42&lt;=6,"4",IF($H42&lt;=7,"3",IF($H42&lt;=8,"2","0")))))+0</f>
        <v>4</v>
      </c>
      <c r="AH42" s="10">
        <f>SUM(AE42:AG42)</f>
        <v>12</v>
      </c>
      <c r="AI42" s="1" t="s">
        <v>591</v>
      </c>
      <c r="AJ42" s="2">
        <f>(IF($E42&lt;=0,"0",IF($E42&lt;=20,"168",IF($E42&lt;=30,"165",IF($E42&lt;=50,"155",IF($E42&lt;=60,"135",IF($E42&lt;=70,"105",IF($E42&lt;=80,"60","0"))))))))+0</f>
        <v>165</v>
      </c>
      <c r="AK42" s="44" t="s">
        <v>526</v>
      </c>
      <c r="AL42" s="1">
        <f>(IF($E42&lt;=0,"0",IF($E42&lt;=80,"6","0")))+0</f>
        <v>6</v>
      </c>
      <c r="AM42" s="1">
        <f>(IF($E42&lt;=0,"0",IF($E42&lt;=60,"9",IF($E42&lt;=70,"6","0"))))+0</f>
        <v>9</v>
      </c>
      <c r="AN42" s="1">
        <f>(IF($E42&lt;=0,"0",IF($E42&lt;=40,"9",IF($E42&lt;=50,"6","0"))))+0</f>
        <v>9</v>
      </c>
      <c r="AO42" s="34">
        <f>(IF($E42&lt;=0,"0",IF($E42&lt;=20,"1","0")))+0</f>
        <v>0</v>
      </c>
      <c r="AP42" s="44" t="s">
        <v>311</v>
      </c>
      <c r="AQ42" s="1">
        <f>(IF($E42&lt;=0,"0",IF($E42&lt;=70,"36",IF($E42&lt;=80,"24","0"))))+0</f>
        <v>36</v>
      </c>
      <c r="AR42" s="1">
        <f>(IF($E42&lt;=0,"0",IF($E42&lt;=50,"30",IF($E42&lt;=60,"18","0"))))+0</f>
        <v>30</v>
      </c>
      <c r="AS42" s="1">
        <f>(IF($E42&lt;=0,"0",IF($E42&lt;=20,"18",IF($E42&lt;=40,"15","0"))))+0</f>
        <v>15</v>
      </c>
      <c r="AT42" s="53">
        <f>Summary2831[[#This Row],[3*2]]+Summary2831[[#This Row],[3*22]]+Summary2831[[#This Row],[3*23]]</f>
        <v>57</v>
      </c>
      <c r="AU42" s="52">
        <f>Summary2831[[#This Row],[2*2]]+Summary2831[[#This Row],[2*23]]+Summary2831[[#This Row],[2*24]]</f>
        <v>66</v>
      </c>
      <c r="AV42" s="52">
        <f>Summary2831[[#This Row],[1*2]]+Summary2831[[#This Row],[1*24]]+Summary2831[[#This Row],[1*25]]</f>
        <v>18</v>
      </c>
      <c r="AW42" s="52">
        <f>IF($F42&lt;=0,"0",IF($F42&lt;=6,"19",IF($F42&lt;=7,"18",IF($F42&lt;=8,"9",0))))+0</f>
        <v>19</v>
      </c>
      <c r="AX42" s="52">
        <f>IF($F42&lt;=0,"0",IF($F42&lt;=2,"22",IF($F42&lt;=3,"19",IF($F42&lt;=4,"15",IF($F42&lt;=5,"9",0)))))+0</f>
        <v>22</v>
      </c>
      <c r="AY42" s="52">
        <f>IF($F42&lt;=0,"0",IF($F42&lt;=1,"6",0))+0</f>
        <v>6</v>
      </c>
      <c r="AZ42" s="52">
        <f>IF($G42&lt;=0,"0",IF($G42&lt;=6,"19",IF($G42&lt;=7,"18",IF($G42&lt;=8,"9",0))))+0</f>
        <v>19</v>
      </c>
      <c r="BA42" s="52">
        <f>IF($G42&lt;=0,"0",IF($G42&lt;=2,"22",IF($G42&lt;=3,"19",IF($G42&lt;=4,"15",IF($G42&lt;=5,"9",0)))))+0</f>
        <v>22</v>
      </c>
      <c r="BB42" s="52">
        <f>IF($G42&lt;=0,"0",IF($G42&lt;=1,"6",0))+0</f>
        <v>6</v>
      </c>
      <c r="BC42" s="52">
        <f>IF($H42&lt;=0,"0",IF($H42&lt;=6,"19",IF($H42&lt;=7,"18",IF($H42&lt;=8,"9",0))))+0</f>
        <v>19</v>
      </c>
      <c r="BD42" s="52">
        <f>IF($H42&lt;=0,"0",IF($H42&lt;=2,"22",IF($H42&lt;=3,"19",IF($H42&lt;=4,"15",IF($H42&lt;=5,"9",0)))))+0</f>
        <v>22</v>
      </c>
      <c r="BE42" s="52">
        <f>IF($H42&lt;=0,"0",IF($H42&lt;=1,"6",0))+0</f>
        <v>6</v>
      </c>
      <c r="BF42" s="44">
        <f>SUM(Summary2831[[#This Row],[3*
(Tal)]],Summary2831[[#This Row],[3*
(Asc)]])</f>
        <v>93</v>
      </c>
      <c r="BG42" s="1">
        <f>SUM(Summary2831[[#This Row],[2*
(Tal)]],Summary2831[[#This Row],[2*
(Asc)]])</f>
        <v>96</v>
      </c>
      <c r="BH42" s="34">
        <f>SUM(Summary2831[[#This Row],[1*
(Tal)]],Summary2831[[#This Row],[1*
(Asc)]])</f>
        <v>33</v>
      </c>
      <c r="BI42" s="86">
        <f>(IF($E42&lt;=0,"0",IF($E42&lt;=1,"2092530",IF($E42&lt;=10,"2087525",IF($E42&lt;=20,"2068495",IF($E42&lt;=30,"2005910",IF($E42&lt;=40,"1932830",IF($E42&lt;=50,"1777010",IF($E42&lt;=60,"1546185",IF($E42&lt;=70,"1227000",IF($E42&lt;=80,"804625",IF($E42&lt;=81,"647990",IF($E42&lt;=90,"0",0)))))))))))))+0</f>
        <v>2005910</v>
      </c>
      <c r="BJ42" s="56">
        <f>(IF($F42&lt;=0,"0",IF($F42&lt;=1,"952500",IF($F42&lt;=2,"940000",IF($F42&lt;=3,"922500",IF($F42&lt;=4,"897500",IF($F42&lt;=5,"867500",IF($F42&lt;=6,"830000",IF($F42&lt;=7,"710000",IF($F42&lt;=8,"450000",0))))))))))+0</f>
        <v>952500</v>
      </c>
      <c r="BK42" s="56">
        <f>(IF($G42&lt;=0,"0",IF($G42&lt;=1,"952500",IF($G42&lt;=2,"940000",IF($G42&lt;=3,"922500",IF($G42&lt;=4,"897500",IF($G42&lt;=5,"867500",IF($G42&lt;=6,"830000",IF($G42&lt;=7,"710000",IF($G42&lt;=8,"450000",0))))))))))+0</f>
        <v>952500</v>
      </c>
      <c r="BL42" s="56">
        <f>(IF($H42&lt;=0,"0",IF($H42&lt;=1,"952500",IF($H42&lt;=2,"940000",IF($H42&lt;=3,"922500",IF($H42&lt;=4,"897500",IF($H42&lt;=5,"867500",IF($H42&lt;=6,"830000",IF($H42&lt;=7,"710000",IF($H42&lt;=8,"450000",0))))))))))+0</f>
        <v>952500</v>
      </c>
      <c r="BM42" s="57">
        <f>SUM(BI42,BJ42,BK42,BL42)</f>
        <v>4863410</v>
      </c>
    </row>
    <row r="43" spans="1:65" s="81" customFormat="1">
      <c r="A43" s="71">
        <f ca="1">SUBTOTAL(3,$B$3:Summary2831[[#This Row],[Name]])</f>
        <v>41</v>
      </c>
      <c r="B43" s="72" t="s">
        <v>428</v>
      </c>
      <c r="C43" s="72" t="s">
        <v>622</v>
      </c>
      <c r="D43" s="155">
        <v>1</v>
      </c>
      <c r="E43" s="72">
        <v>0</v>
      </c>
      <c r="F43" s="73">
        <v>0</v>
      </c>
      <c r="G43" s="74">
        <v>0</v>
      </c>
      <c r="H43" s="74">
        <v>0</v>
      </c>
      <c r="I43" s="72">
        <v>81</v>
      </c>
      <c r="J43" s="73">
        <v>1</v>
      </c>
      <c r="K43" s="74">
        <v>9</v>
      </c>
      <c r="L43" s="74">
        <v>9</v>
      </c>
      <c r="M43" s="79" t="s">
        <v>136</v>
      </c>
      <c r="N43" s="75">
        <f>(IF($E43&lt;=0,"0",IF($E43&lt;=40,"46",IF($E43&lt;=50,"44",IF($E43&lt;=60,"40",IF($E43&lt;=70,"32",IF($E43&lt;=80,"20","0")))))))+0</f>
        <v>0</v>
      </c>
      <c r="O4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3" s="76" t="s">
        <v>527</v>
      </c>
      <c r="Q43" s="77">
        <f>T43+W43+Z43</f>
        <v>0</v>
      </c>
      <c r="R43" s="77">
        <f>U43+X43+AA43</f>
        <v>0</v>
      </c>
      <c r="S43" s="78">
        <f>V43+Y43+AB43</f>
        <v>0</v>
      </c>
      <c r="T43" s="123">
        <f>(IF($F43&lt;=0,"0",IF($F43&lt;=6,"22",IF($F43&lt;=7,"18",IF($F43&lt;=8,"12",0)))))+0</f>
        <v>0</v>
      </c>
      <c r="U43" s="124">
        <f>(IF($F43&lt;=0,"0",IF($F43&lt;=2,"21",IF($F43&lt;=3,"19",IF($F43&lt;=4,"15",IF($F43&lt;=5,"9",0))))))+0</f>
        <v>0</v>
      </c>
      <c r="V43" s="124">
        <f>(IF($F43&lt;=0,"0",IF($F43&lt;=1,"3",0)))+0</f>
        <v>0</v>
      </c>
      <c r="W43" s="124">
        <f>(IF($G43&lt;=0,"0",IF($G43&lt;=6,"22",IF($G43&lt;=7,"18",IF($G43&lt;=8,"12",0)))))+0</f>
        <v>0</v>
      </c>
      <c r="X43" s="124">
        <f>(IF($G43&lt;=0,"0",IF($G43&lt;=2,"21",IF($G43&lt;=3,"19",IF($G43&lt;=4,"15",IF($G43&lt;=5,"9",0))))))+0</f>
        <v>0</v>
      </c>
      <c r="Y43" s="124">
        <f>(IF($G43&lt;=0,"0",IF($G43&lt;=1,"3",0)))+0</f>
        <v>0</v>
      </c>
      <c r="Z43" s="124">
        <f>(IF($H43&lt;=0,"0",IF($H43&lt;=6,"22",IF($H43&lt;=7,"18",IF($H43&lt;=8,"12",0)))))+0</f>
        <v>0</v>
      </c>
      <c r="AA43" s="124">
        <f>(IF($H43&lt;=0,"0",IF($H43&lt;=2,"21",IF($H43&lt;=3,"19",IF($H43&lt;=4,"15",IF($H43&lt;=5,"9",0))))))+0</f>
        <v>0</v>
      </c>
      <c r="AB43" s="125">
        <f>(IF($H43&lt;=0,"0",IF($H43&lt;=1,"3",0)))+0</f>
        <v>0</v>
      </c>
      <c r="AC43" s="80" t="s">
        <v>543</v>
      </c>
      <c r="AD43" s="81" t="s">
        <v>544</v>
      </c>
      <c r="AE43" s="126">
        <f>(IF($F43&lt;=0,"0",IF($F43&lt;=6,"4",IF($F43&lt;=7,"3",IF($F43&lt;=8,"2","0")))))+0</f>
        <v>0</v>
      </c>
      <c r="AF43" s="126">
        <f>(IF($G43&lt;=0,"0",IF($G43&lt;=6,"4",IF($G43&lt;=7,"3",IF($G43&lt;=8,"2","0")))))+0</f>
        <v>0</v>
      </c>
      <c r="AG43" s="126">
        <f>(IF($H43&lt;=0,"0",IF($H43&lt;=6,"4",IF($H43&lt;=7,"3",IF($H43&lt;=8,"2","0")))))+0</f>
        <v>0</v>
      </c>
      <c r="AH43" s="75">
        <f>SUM(AE43:AG43)</f>
        <v>0</v>
      </c>
      <c r="AI43" s="81" t="s">
        <v>545</v>
      </c>
      <c r="AJ43" s="74">
        <f>(IF($E43&lt;=0,"0",IF($E43&lt;=20,"168",IF($E43&lt;=30,"165",IF($E43&lt;=50,"155",IF($E43&lt;=60,"135",IF($E43&lt;=70,"105",IF($E43&lt;=80,"60","0"))))))))+0</f>
        <v>0</v>
      </c>
      <c r="AK43" s="79" t="s">
        <v>534</v>
      </c>
      <c r="AL43" s="81">
        <f>(IF($E43&lt;=0,"0",IF($E43&lt;=80,"6","0")))+0</f>
        <v>0</v>
      </c>
      <c r="AM43" s="81">
        <f>(IF($E43&lt;=0,"0",IF($E43&lt;=60,"9",IF($E43&lt;=70,"6","0"))))+0</f>
        <v>0</v>
      </c>
      <c r="AN43" s="81">
        <f>(IF($E43&lt;=0,"0",IF($E43&lt;=40,"9",IF($E43&lt;=50,"6","0"))))+0</f>
        <v>0</v>
      </c>
      <c r="AO43" s="82">
        <f>(IF($E43&lt;=0,"0",IF($E43&lt;=20,"1","0")))+0</f>
        <v>0</v>
      </c>
      <c r="AP43" s="79" t="s">
        <v>149</v>
      </c>
      <c r="AQ43" s="81">
        <f>(IF($E43&lt;=0,"0",IF($E43&lt;=70,"36",IF($E43&lt;=80,"24","0"))))+0</f>
        <v>0</v>
      </c>
      <c r="AR43" s="81">
        <f>(IF($E43&lt;=0,"0",IF($E43&lt;=50,"30",IF($E43&lt;=60,"18","0"))))+0</f>
        <v>0</v>
      </c>
      <c r="AS43" s="81">
        <f>(IF($E43&lt;=0,"0",IF($E43&lt;=20,"18",IF($E43&lt;=40,"15","0"))))+0</f>
        <v>0</v>
      </c>
      <c r="AT43" s="83">
        <f>Summary2831[[#This Row],[3*2]]+Summary2831[[#This Row],[3*22]]+Summary2831[[#This Row],[3*23]]</f>
        <v>0</v>
      </c>
      <c r="AU43" s="85">
        <f>Summary2831[[#This Row],[2*2]]+Summary2831[[#This Row],[2*23]]+Summary2831[[#This Row],[2*24]]</f>
        <v>0</v>
      </c>
      <c r="AV43" s="85">
        <f>Summary2831[[#This Row],[1*2]]+Summary2831[[#This Row],[1*24]]+Summary2831[[#This Row],[1*25]]</f>
        <v>0</v>
      </c>
      <c r="AW43" s="70">
        <f>IF($F43&lt;=0,"0",IF($F43&lt;=6,"19",IF($F43&lt;=7,"18",IF($F43&lt;=8,"9",0))))+0</f>
        <v>0</v>
      </c>
      <c r="AX43" s="70">
        <f>IF($F43&lt;=0,"0",IF($F43&lt;=2,"22",IF($F43&lt;=3,"19",IF($F43&lt;=4,"15",IF($F43&lt;=5,"9",0)))))+0</f>
        <v>0</v>
      </c>
      <c r="AY43" s="70">
        <f>IF($F43&lt;=0,"0",IF($F43&lt;=1,"6",0))+0</f>
        <v>0</v>
      </c>
      <c r="AZ43" s="70">
        <f>IF($G43&lt;=0,"0",IF($G43&lt;=6,"19",IF($G43&lt;=7,"18",IF($G43&lt;=8,"9",0))))+0</f>
        <v>0</v>
      </c>
      <c r="BA43" s="70">
        <f>IF($G43&lt;=0,"0",IF($G43&lt;=2,"22",IF($G43&lt;=3,"19",IF($G43&lt;=4,"15",IF($G43&lt;=5,"9",0)))))+0</f>
        <v>0</v>
      </c>
      <c r="BB43" s="70">
        <f>IF($G43&lt;=0,"0",IF($G43&lt;=1,"6",0))+0</f>
        <v>0</v>
      </c>
      <c r="BC43" s="70">
        <f>IF($H43&lt;=0,"0",IF($H43&lt;=6,"19",IF($H43&lt;=7,"18",IF($H43&lt;=8,"9",0))))+0</f>
        <v>0</v>
      </c>
      <c r="BD43" s="70">
        <f>IF($H43&lt;=0,"0",IF($H43&lt;=2,"22",IF($H43&lt;=3,"19",IF($H43&lt;=4,"15",IF($H43&lt;=5,"9",0)))))+0</f>
        <v>0</v>
      </c>
      <c r="BE43" s="70">
        <f>IF($H43&lt;=0,"0",IF($H43&lt;=1,"6",0))+0</f>
        <v>0</v>
      </c>
      <c r="BF43" s="79">
        <f>SUM(Summary2831[[#This Row],[3*
(Tal)]],Summary2831[[#This Row],[3*
(Asc)]])</f>
        <v>0</v>
      </c>
      <c r="BG43" s="81">
        <f>SUM(Summary2831[[#This Row],[2*
(Tal)]],Summary2831[[#This Row],[2*
(Asc)]])</f>
        <v>0</v>
      </c>
      <c r="BH43" s="82">
        <f>SUM(Summary2831[[#This Row],[1*
(Tal)]],Summary2831[[#This Row],[1*
(Asc)]])</f>
        <v>0</v>
      </c>
      <c r="BI43" s="86">
        <f>(IF($E43&lt;=0,"0",IF($E43&lt;=1,"2092530",IF($E43&lt;=10,"2087525",IF($E43&lt;=20,"2068495",IF($E43&lt;=30,"2005910",IF($E43&lt;=40,"1932830",IF($E43&lt;=50,"1777010",IF($E43&lt;=60,"1546185",IF($E43&lt;=70,"1227000",IF($E43&lt;=80,"804625",IF($E43&lt;=81,"647990",IF($E43&lt;=90,"0",0)))))))))))))+0</f>
        <v>0</v>
      </c>
      <c r="BJ43" s="87">
        <f>(IF($F43&lt;=0,"0",IF($F43&lt;=1,"952500",IF($F43&lt;=2,"940000",IF($F43&lt;=3,"922500",IF($F43&lt;=4,"897500",IF($F43&lt;=5,"867500",IF($F43&lt;=6,"830000",IF($F43&lt;=7,"710000",IF($F43&lt;=8,"450000",0))))))))))+0</f>
        <v>0</v>
      </c>
      <c r="BK43" s="87">
        <f>(IF($G43&lt;=0,"0",IF($G43&lt;=1,"952500",IF($G43&lt;=2,"940000",IF($G43&lt;=3,"922500",IF($G43&lt;=4,"897500",IF($G43&lt;=5,"867500",IF($G43&lt;=6,"830000",IF($G43&lt;=7,"710000",IF($G43&lt;=8,"450000",0))))))))))+0</f>
        <v>0</v>
      </c>
      <c r="BL43" s="87">
        <f>(IF($H43&lt;=0,"0",IF($H43&lt;=1,"952500",IF($H43&lt;=2,"940000",IF($H43&lt;=3,"922500",IF($H43&lt;=4,"897500",IF($H43&lt;=5,"867500",IF($H43&lt;=6,"830000",IF($H43&lt;=7,"710000",IF($H43&lt;=8,"450000",0))))))))))+0</f>
        <v>0</v>
      </c>
      <c r="BM43" s="88">
        <f>SUM(BI43,BJ43,BK43,BL43)</f>
        <v>0</v>
      </c>
    </row>
    <row r="44" spans="1:65">
      <c r="A44" s="71">
        <f ca="1">SUBTOTAL(3,$B$3:Summary2831[[#This Row],[Name]])</f>
        <v>42</v>
      </c>
      <c r="B44" s="72" t="s">
        <v>626</v>
      </c>
      <c r="C44" s="72" t="s">
        <v>623</v>
      </c>
      <c r="D44" s="154">
        <v>2.1</v>
      </c>
      <c r="E44" s="72">
        <v>90</v>
      </c>
      <c r="F44" s="73">
        <v>1</v>
      </c>
      <c r="G44" s="74">
        <v>9</v>
      </c>
      <c r="H44" s="74">
        <v>9</v>
      </c>
      <c r="I44" s="72">
        <v>81</v>
      </c>
      <c r="J44" s="73">
        <v>1</v>
      </c>
      <c r="K44" s="74">
        <v>9</v>
      </c>
      <c r="L44" s="74">
        <v>9</v>
      </c>
      <c r="M44" s="79" t="s">
        <v>194</v>
      </c>
      <c r="N44" s="75">
        <f>(IF($E44&lt;=0,"0",IF($E44&lt;=40,"46",IF($E44&lt;=50,"44",IF($E44&lt;=60,"40",IF($E44&lt;=70,"32",IF($E44&lt;=80,"20","0")))))))+0</f>
        <v>0</v>
      </c>
      <c r="O4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4" s="76" t="s">
        <v>582</v>
      </c>
      <c r="Q44" s="77">
        <f>T44+W44+Z44</f>
        <v>22</v>
      </c>
      <c r="R44" s="77">
        <f>U44+X44+AA44</f>
        <v>21</v>
      </c>
      <c r="S44" s="78">
        <f>V44+Y44+AB44</f>
        <v>3</v>
      </c>
      <c r="T44" s="123">
        <f>(IF($F44&lt;=0,"0",IF($F44&lt;=6,"22",IF($F44&lt;=7,"18",IF($F44&lt;=8,"12",0)))))+0</f>
        <v>22</v>
      </c>
      <c r="U44" s="124">
        <f>(IF($F44&lt;=0,"0",IF($F44&lt;=2,"21",IF($F44&lt;=3,"19",IF($F44&lt;=4,"15",IF($F44&lt;=5,"9",0))))))+0</f>
        <v>21</v>
      </c>
      <c r="V44" s="124">
        <f>(IF($F44&lt;=0,"0",IF($F44&lt;=1,"3",0)))+0</f>
        <v>3</v>
      </c>
      <c r="W44" s="124">
        <f>(IF($G44&lt;=0,"0",IF($G44&lt;=6,"22",IF($G44&lt;=7,"18",IF($G44&lt;=8,"12",0)))))+0</f>
        <v>0</v>
      </c>
      <c r="X44" s="124">
        <f>(IF($G44&lt;=0,"0",IF($G44&lt;=2,"21",IF($G44&lt;=3,"19",IF($G44&lt;=4,"15",IF($G44&lt;=5,"9",0))))))+0</f>
        <v>0</v>
      </c>
      <c r="Y44" s="124">
        <f>(IF($G44&lt;=0,"0",IF($G44&lt;=1,"3",0)))+0</f>
        <v>0</v>
      </c>
      <c r="Z44" s="124">
        <f>(IF($H44&lt;=0,"0",IF($H44&lt;=6,"22",IF($H44&lt;=7,"18",IF($H44&lt;=8,"12",0)))))+0</f>
        <v>0</v>
      </c>
      <c r="AA44" s="124">
        <f>(IF($H44&lt;=0,"0",IF($H44&lt;=2,"21",IF($H44&lt;=3,"19",IF($H44&lt;=4,"15",IF($H44&lt;=5,"9",0))))))+0</f>
        <v>0</v>
      </c>
      <c r="AB44" s="125">
        <f>(IF($H44&lt;=0,"0",IF($H44&lt;=1,"3",0)))+0</f>
        <v>0</v>
      </c>
      <c r="AC44" s="80" t="s">
        <v>205</v>
      </c>
      <c r="AD44" s="81" t="s">
        <v>593</v>
      </c>
      <c r="AE44" s="126">
        <f>(IF($F44&lt;=0,"0",IF($F44&lt;=6,"4",IF($F44&lt;=7,"3",IF($F44&lt;=8,"2","0")))))+0</f>
        <v>4</v>
      </c>
      <c r="AF44" s="126">
        <f>(IF($G44&lt;=0,"0",IF($G44&lt;=6,"4",IF($G44&lt;=7,"3",IF($G44&lt;=8,"2","0")))))+0</f>
        <v>0</v>
      </c>
      <c r="AG44" s="126">
        <f>(IF($H44&lt;=0,"0",IF($H44&lt;=6,"4",IF($H44&lt;=7,"3",IF($H44&lt;=8,"2","0")))))+0</f>
        <v>0</v>
      </c>
      <c r="AH44" s="75">
        <f>SUM(AE44:AG44)</f>
        <v>4</v>
      </c>
      <c r="AI44" s="81" t="s">
        <v>580</v>
      </c>
      <c r="AJ44" s="74">
        <f>(IF($E44&lt;=0,"0",IF($E44&lt;=20,"168",IF($E44&lt;=30,"165",IF($E44&lt;=50,"155",IF($E44&lt;=60,"135",IF($E44&lt;=70,"105",IF($E44&lt;=80,"60","0"))))))))+0</f>
        <v>0</v>
      </c>
      <c r="AK44" s="79" t="s">
        <v>546</v>
      </c>
      <c r="AL44" s="81">
        <f>(IF($E44&lt;=0,"0",IF($E44&lt;=80,"6","0")))+0</f>
        <v>0</v>
      </c>
      <c r="AM44" s="81">
        <f>(IF($E44&lt;=0,"0",IF($E44&lt;=60,"9",IF($E44&lt;=70,"6","0"))))+0</f>
        <v>0</v>
      </c>
      <c r="AN44" s="81">
        <f>(IF($E44&lt;=0,"0",IF($E44&lt;=40,"9",IF($E44&lt;=50,"6","0"))))+0</f>
        <v>0</v>
      </c>
      <c r="AO44" s="82">
        <f>(IF($E44&lt;=0,"0",IF($E44&lt;=20,"1","0")))+0</f>
        <v>0</v>
      </c>
      <c r="AP44" s="44" t="s">
        <v>311</v>
      </c>
      <c r="AQ44" s="81">
        <f>(IF($E44&lt;=0,"0",IF($E44&lt;=70,"36",IF($E44&lt;=80,"24","0"))))+0</f>
        <v>0</v>
      </c>
      <c r="AR44" s="81">
        <f>(IF($E44&lt;=0,"0",IF($E44&lt;=50,"30",IF($E44&lt;=60,"18","0"))))+0</f>
        <v>0</v>
      </c>
      <c r="AS44" s="81">
        <f>(IF($E44&lt;=0,"0",IF($E44&lt;=20,"18",IF($E44&lt;=40,"15","0"))))+0</f>
        <v>0</v>
      </c>
      <c r="AT44" s="83">
        <f>Summary2831[[#This Row],[3*2]]+Summary2831[[#This Row],[3*22]]+Summary2831[[#This Row],[3*23]]</f>
        <v>19</v>
      </c>
      <c r="AU44" s="85">
        <f>Summary2831[[#This Row],[2*2]]+Summary2831[[#This Row],[2*23]]+Summary2831[[#This Row],[2*24]]</f>
        <v>22</v>
      </c>
      <c r="AV44" s="85">
        <f>Summary2831[[#This Row],[1*2]]+Summary2831[[#This Row],[1*24]]+Summary2831[[#This Row],[1*25]]</f>
        <v>6</v>
      </c>
      <c r="AW44" s="70">
        <f>IF($F44&lt;=0,"0",IF($F44&lt;=6,"19",IF($F44&lt;=7,"18",IF($F44&lt;=8,"9",0))))+0</f>
        <v>19</v>
      </c>
      <c r="AX44" s="70">
        <f>IF($F44&lt;=0,"0",IF($F44&lt;=2,"22",IF($F44&lt;=3,"19",IF($F44&lt;=4,"15",IF($F44&lt;=5,"9",0)))))+0</f>
        <v>22</v>
      </c>
      <c r="AY44" s="70">
        <f>IF($F44&lt;=0,"0",IF($F44&lt;=1,"6",0))+0</f>
        <v>6</v>
      </c>
      <c r="AZ44" s="70">
        <f>IF($G44&lt;=0,"0",IF($G44&lt;=6,"19",IF($G44&lt;=7,"18",IF($G44&lt;=8,"9",0))))+0</f>
        <v>0</v>
      </c>
      <c r="BA44" s="70">
        <f>IF($G44&lt;=0,"0",IF($G44&lt;=2,"22",IF($G44&lt;=3,"19",IF($G44&lt;=4,"15",IF($G44&lt;=5,"9",0)))))+0</f>
        <v>0</v>
      </c>
      <c r="BB44" s="70">
        <f>IF($G44&lt;=0,"0",IF($G44&lt;=1,"6",0))+0</f>
        <v>0</v>
      </c>
      <c r="BC44" s="70">
        <f>IF($H44&lt;=0,"0",IF($H44&lt;=6,"19",IF($H44&lt;=7,"18",IF($H44&lt;=8,"9",0))))+0</f>
        <v>0</v>
      </c>
      <c r="BD44" s="70">
        <f>IF($H44&lt;=0,"0",IF($H44&lt;=2,"22",IF($H44&lt;=3,"19",IF($H44&lt;=4,"15",IF($H44&lt;=5,"9",0)))))+0</f>
        <v>0</v>
      </c>
      <c r="BE44" s="70">
        <f>IF($H44&lt;=0,"0",IF($H44&lt;=1,"6",0))+0</f>
        <v>0</v>
      </c>
      <c r="BF44" s="79">
        <f>SUM(Summary2831[[#This Row],[3*
(Tal)]],Summary2831[[#This Row],[3*
(Asc)]])</f>
        <v>19</v>
      </c>
      <c r="BG44" s="81">
        <f>SUM(Summary2831[[#This Row],[2*
(Tal)]],Summary2831[[#This Row],[2*
(Asc)]])</f>
        <v>22</v>
      </c>
      <c r="BH44" s="82">
        <f>SUM(Summary2831[[#This Row],[1*
(Tal)]],Summary2831[[#This Row],[1*
(Asc)]])</f>
        <v>6</v>
      </c>
      <c r="BI44" s="86">
        <f>(IF($E44&lt;=0,"0",IF($E44&lt;=1,"2092530",IF($E44&lt;=10,"2087525",IF($E44&lt;=20,"2068495",IF($E44&lt;=30,"2005910",IF($E44&lt;=40,"1932830",IF($E44&lt;=50,"1777010",IF($E44&lt;=60,"1546185",IF($E44&lt;=70,"1227000",IF($E44&lt;=80,"804625",IF($E44&lt;=81,"647990",IF($E44&lt;=90,"0",0)))))))))))))+0</f>
        <v>0</v>
      </c>
      <c r="BJ44" s="87">
        <f>(IF($F44&lt;=0,"0",IF($F44&lt;=1,"952500",IF($F44&lt;=2,"940000",IF($F44&lt;=3,"922500",IF($F44&lt;=4,"897500",IF($F44&lt;=5,"867500",IF($F44&lt;=6,"830000",IF($F44&lt;=7,"710000",IF($F44&lt;=8,"450000",0))))))))))+0</f>
        <v>952500</v>
      </c>
      <c r="BK44" s="87">
        <f>(IF($G44&lt;=0,"0",IF($G44&lt;=1,"952500",IF($G44&lt;=2,"940000",IF($G44&lt;=3,"922500",IF($G44&lt;=4,"897500",IF($G44&lt;=5,"867500",IF($G44&lt;=6,"830000",IF($G44&lt;=7,"710000",IF($G44&lt;=8,"450000",0))))))))))+0</f>
        <v>0</v>
      </c>
      <c r="BL44" s="87">
        <f>(IF($H44&lt;=0,"0",IF($H44&lt;=1,"952500",IF($H44&lt;=2,"940000",IF($H44&lt;=3,"922500",IF($H44&lt;=4,"897500",IF($H44&lt;=5,"867500",IF($H44&lt;=6,"830000",IF($H44&lt;=7,"710000",IF($H44&lt;=8,"450000",0))))))))))+0</f>
        <v>0</v>
      </c>
      <c r="BM44" s="88">
        <f>SUM(BI44,BJ44,BK44,BL44)</f>
        <v>952500</v>
      </c>
    </row>
    <row r="45" spans="1:65" s="81" customFormat="1">
      <c r="A45" s="46">
        <f ca="1">SUBTOTAL(3,$B$3:Summary2831[[#This Row],[Name]])</f>
        <v>43</v>
      </c>
      <c r="B45" s="140" t="s">
        <v>592</v>
      </c>
      <c r="C45" s="14" t="s">
        <v>31</v>
      </c>
      <c r="D45" s="154">
        <v>2.1</v>
      </c>
      <c r="E45" s="14">
        <v>21</v>
      </c>
      <c r="F45" s="9">
        <v>1</v>
      </c>
      <c r="G45" s="2">
        <v>1</v>
      </c>
      <c r="H45" s="2">
        <v>1</v>
      </c>
      <c r="I45" s="72">
        <v>81</v>
      </c>
      <c r="J45" s="73">
        <v>1</v>
      </c>
      <c r="K45" s="74">
        <v>9</v>
      </c>
      <c r="L45" s="74">
        <v>9</v>
      </c>
      <c r="M45" s="44" t="s">
        <v>203</v>
      </c>
      <c r="N45" s="10">
        <f>(IF($E45&lt;=0,"0",IF($E45&lt;=40,"46",IF($E45&lt;=50,"44",IF($E45&lt;=60,"40",IF($E45&lt;=70,"32",IF($E45&lt;=80,"20","0")))))))+0</f>
        <v>46</v>
      </c>
      <c r="O4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5" s="49" t="s">
        <v>535</v>
      </c>
      <c r="Q45" s="50">
        <f>T45+W45+Z45</f>
        <v>66</v>
      </c>
      <c r="R45" s="50">
        <f>U45+X45+AA45</f>
        <v>63</v>
      </c>
      <c r="S45" s="51">
        <f>V45+Y45+AB45</f>
        <v>9</v>
      </c>
      <c r="T45" s="123">
        <f>(IF($F45&lt;=0,"0",IF($F45&lt;=6,"22",IF($F45&lt;=7,"18",IF($F45&lt;=8,"12",0)))))+0</f>
        <v>22</v>
      </c>
      <c r="U45" s="124">
        <f>(IF($F45&lt;=0,"0",IF($F45&lt;=2,"21",IF($F45&lt;=3,"19",IF($F45&lt;=4,"15",IF($F45&lt;=5,"9",0))))))+0</f>
        <v>21</v>
      </c>
      <c r="V45" s="124">
        <f>(IF($F45&lt;=0,"0",IF($F45&lt;=1,"3",0)))+0</f>
        <v>3</v>
      </c>
      <c r="W45" s="124">
        <f>(IF($G45&lt;=0,"0",IF($G45&lt;=6,"22",IF($G45&lt;=7,"18",IF($G45&lt;=8,"12",0)))))+0</f>
        <v>22</v>
      </c>
      <c r="X45" s="124">
        <f>(IF($G45&lt;=0,"0",IF($G45&lt;=2,"21",IF($G45&lt;=3,"19",IF($G45&lt;=4,"15",IF($G45&lt;=5,"9",0))))))+0</f>
        <v>21</v>
      </c>
      <c r="Y45" s="124">
        <f>(IF($G45&lt;=0,"0",IF($G45&lt;=1,"3",0)))+0</f>
        <v>3</v>
      </c>
      <c r="Z45" s="124">
        <f>(IF($H45&lt;=0,"0",IF($H45&lt;=6,"22",IF($H45&lt;=7,"18",IF($H45&lt;=8,"12",0)))))+0</f>
        <v>22</v>
      </c>
      <c r="AA45" s="124">
        <f>(IF($H45&lt;=0,"0",IF($H45&lt;=2,"21",IF($H45&lt;=3,"19",IF($H45&lt;=4,"15",IF($H45&lt;=5,"9",0))))))+0</f>
        <v>21</v>
      </c>
      <c r="AB45" s="125">
        <f>(IF($H45&lt;=0,"0",IF($H45&lt;=1,"3",0)))+0</f>
        <v>3</v>
      </c>
      <c r="AC45" s="8" t="s">
        <v>205</v>
      </c>
      <c r="AD45" s="1" t="s">
        <v>536</v>
      </c>
      <c r="AE45" s="126">
        <f>(IF($F45&lt;=0,"0",IF($F45&lt;=6,"4",IF($F45&lt;=7,"3",IF($F45&lt;=8,"2","0")))))+0</f>
        <v>4</v>
      </c>
      <c r="AF45" s="126">
        <f>(IF($G45&lt;=0,"0",IF($G45&lt;=6,"4",IF($G45&lt;=7,"3",IF($G45&lt;=8,"2","0")))))+0</f>
        <v>4</v>
      </c>
      <c r="AG45" s="126">
        <f>(IF($H45&lt;=0,"0",IF($H45&lt;=6,"4",IF($H45&lt;=7,"3",IF($H45&lt;=8,"2","0")))))+0</f>
        <v>4</v>
      </c>
      <c r="AH45" s="10">
        <f>SUM(AE45:AG45)</f>
        <v>12</v>
      </c>
      <c r="AI45" s="1" t="s">
        <v>170</v>
      </c>
      <c r="AJ45" s="2">
        <f>(IF($E45&lt;=0,"0",IF($E45&lt;=20,"168",IF($E45&lt;=30,"165",IF($E45&lt;=50,"155",IF($E45&lt;=60,"135",IF($E45&lt;=70,"105",IF($E45&lt;=80,"60","0"))))))))+0</f>
        <v>165</v>
      </c>
      <c r="AK45" s="44" t="s">
        <v>548</v>
      </c>
      <c r="AL45" s="1">
        <f>(IF($E45&lt;=0,"0",IF($E45&lt;=80,"6","0")))+0</f>
        <v>6</v>
      </c>
      <c r="AM45" s="1">
        <f>(IF($E45&lt;=0,"0",IF($E45&lt;=60,"9",IF($E45&lt;=70,"6","0"))))+0</f>
        <v>9</v>
      </c>
      <c r="AN45" s="1">
        <f>(IF($E45&lt;=0,"0",IF($E45&lt;=40,"9",IF($E45&lt;=50,"6","0"))))+0</f>
        <v>9</v>
      </c>
      <c r="AO45" s="34">
        <f>(IF($E45&lt;=0,"0",IF($E45&lt;=20,"1","0")))+0</f>
        <v>0</v>
      </c>
      <c r="AP45" s="44" t="s">
        <v>89</v>
      </c>
      <c r="AQ45" s="1">
        <f>(IF($E45&lt;=0,"0",IF($E45&lt;=70,"36",IF($E45&lt;=80,"24","0"))))+0</f>
        <v>36</v>
      </c>
      <c r="AR45" s="1">
        <f>(IF($E45&lt;=0,"0",IF($E45&lt;=50,"30",IF($E45&lt;=60,"18","0"))))+0</f>
        <v>30</v>
      </c>
      <c r="AS45" s="1">
        <f>(IF($E45&lt;=0,"0",IF($E45&lt;=20,"18",IF($E45&lt;=40,"15","0"))))+0</f>
        <v>15</v>
      </c>
      <c r="AT45" s="53">
        <f>Summary2831[[#This Row],[3*2]]+Summary2831[[#This Row],[3*22]]+Summary2831[[#This Row],[3*23]]</f>
        <v>57</v>
      </c>
      <c r="AU45" s="52">
        <f>Summary2831[[#This Row],[2*2]]+Summary2831[[#This Row],[2*23]]+Summary2831[[#This Row],[2*24]]</f>
        <v>66</v>
      </c>
      <c r="AV45" s="52">
        <f>Summary2831[[#This Row],[1*2]]+Summary2831[[#This Row],[1*24]]+Summary2831[[#This Row],[1*25]]</f>
        <v>18</v>
      </c>
      <c r="AW45" s="52">
        <f>IF($F45&lt;=0,"0",IF($F45&lt;=6,"19",IF($F45&lt;=7,"18",IF($F45&lt;=8,"9",0))))+0</f>
        <v>19</v>
      </c>
      <c r="AX45" s="52">
        <f>IF($F45&lt;=0,"0",IF($F45&lt;=2,"22",IF($F45&lt;=3,"19",IF($F45&lt;=4,"15",IF($F45&lt;=5,"9",0)))))+0</f>
        <v>22</v>
      </c>
      <c r="AY45" s="52">
        <f>IF($F45&lt;=0,"0",IF($F45&lt;=1,"6",0))+0</f>
        <v>6</v>
      </c>
      <c r="AZ45" s="52">
        <f>IF($G45&lt;=0,"0",IF($G45&lt;=6,"19",IF($G45&lt;=7,"18",IF($G45&lt;=8,"9",0))))+0</f>
        <v>19</v>
      </c>
      <c r="BA45" s="52">
        <f>IF($G45&lt;=0,"0",IF($G45&lt;=2,"22",IF($G45&lt;=3,"19",IF($G45&lt;=4,"15",IF($G45&lt;=5,"9",0)))))+0</f>
        <v>22</v>
      </c>
      <c r="BB45" s="52">
        <f>IF($G45&lt;=0,"0",IF($G45&lt;=1,"6",0))+0</f>
        <v>6</v>
      </c>
      <c r="BC45" s="52">
        <f>IF($H45&lt;=0,"0",IF($H45&lt;=6,"19",IF($H45&lt;=7,"18",IF($H45&lt;=8,"9",0))))+0</f>
        <v>19</v>
      </c>
      <c r="BD45" s="52">
        <f>IF($H45&lt;=0,"0",IF($H45&lt;=2,"22",IF($H45&lt;=3,"19",IF($H45&lt;=4,"15",IF($H45&lt;=5,"9",0)))))+0</f>
        <v>22</v>
      </c>
      <c r="BE45" s="52">
        <f>IF($H45&lt;=0,"0",IF($H45&lt;=1,"6",0))+0</f>
        <v>6</v>
      </c>
      <c r="BF45" s="44">
        <f>SUM(Summary2831[[#This Row],[3*
(Tal)]],Summary2831[[#This Row],[3*
(Asc)]])</f>
        <v>93</v>
      </c>
      <c r="BG45" s="1">
        <f>SUM(Summary2831[[#This Row],[2*
(Tal)]],Summary2831[[#This Row],[2*
(Asc)]])</f>
        <v>96</v>
      </c>
      <c r="BH45" s="34">
        <f>SUM(Summary2831[[#This Row],[1*
(Tal)]],Summary2831[[#This Row],[1*
(Asc)]])</f>
        <v>33</v>
      </c>
      <c r="BI45" s="86">
        <f>(IF($E45&lt;=0,"0",IF($E45&lt;=1,"2092530",IF($E45&lt;=10,"2087525",IF($E45&lt;=20,"2068495",IF($E45&lt;=30,"2005910",IF($E45&lt;=40,"1932830",IF($E45&lt;=50,"1777010",IF($E45&lt;=60,"1546185",IF($E45&lt;=70,"1227000",IF($E45&lt;=80,"804625",IF($E45&lt;=81,"647990",IF($E45&lt;=90,"0",0)))))))))))))+0</f>
        <v>2005910</v>
      </c>
      <c r="BJ45" s="56">
        <f>(IF($F45&lt;=0,"0",IF($F45&lt;=1,"952500",IF($F45&lt;=2,"940000",IF($F45&lt;=3,"922500",IF($F45&lt;=4,"897500",IF($F45&lt;=5,"867500",IF($F45&lt;=6,"830000",IF($F45&lt;=7,"710000",IF($F45&lt;=8,"450000",0))))))))))+0</f>
        <v>952500</v>
      </c>
      <c r="BK45" s="56">
        <f>(IF($G45&lt;=0,"0",IF($G45&lt;=1,"952500",IF($G45&lt;=2,"940000",IF($G45&lt;=3,"922500",IF($G45&lt;=4,"897500",IF($G45&lt;=5,"867500",IF($G45&lt;=6,"830000",IF($G45&lt;=7,"710000",IF($G45&lt;=8,"450000",0))))))))))+0</f>
        <v>952500</v>
      </c>
      <c r="BL45" s="56">
        <f>(IF($H45&lt;=0,"0",IF($H45&lt;=1,"952500",IF($H45&lt;=2,"940000",IF($H45&lt;=3,"922500",IF($H45&lt;=4,"897500",IF($H45&lt;=5,"867500",IF($H45&lt;=6,"830000",IF($H45&lt;=7,"710000",IF($H45&lt;=8,"450000",0))))))))))+0</f>
        <v>952500</v>
      </c>
      <c r="BM45" s="57">
        <f>SUM(BI45,BJ45,BK45,BL45)</f>
        <v>4863410</v>
      </c>
    </row>
    <row r="46" spans="1:65" s="81" customFormat="1">
      <c r="A46" s="46">
        <f ca="1">SUBTOTAL(3,$B$3:Summary2831[[#This Row],[Name]])</f>
        <v>44</v>
      </c>
      <c r="B46" s="140" t="s">
        <v>213</v>
      </c>
      <c r="C46" s="14" t="s">
        <v>31</v>
      </c>
      <c r="D46" s="155">
        <v>2.7</v>
      </c>
      <c r="E46" s="14">
        <v>90</v>
      </c>
      <c r="F46" s="9">
        <v>1</v>
      </c>
      <c r="G46" s="2">
        <v>9</v>
      </c>
      <c r="H46" s="2">
        <v>6</v>
      </c>
      <c r="I46" s="72">
        <v>81</v>
      </c>
      <c r="J46" s="73">
        <v>1</v>
      </c>
      <c r="K46" s="74">
        <v>9</v>
      </c>
      <c r="L46" s="74">
        <v>9</v>
      </c>
      <c r="M46" s="44" t="s">
        <v>232</v>
      </c>
      <c r="N46" s="10">
        <f>(IF($E46&lt;=0,"0",IF($E46&lt;=40,"46",IF($E46&lt;=50,"44",IF($E46&lt;=60,"40",IF($E46&lt;=70,"32",IF($E46&lt;=80,"20","0")))))))+0</f>
        <v>0</v>
      </c>
      <c r="O4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6" s="49" t="s">
        <v>535</v>
      </c>
      <c r="Q46" s="50">
        <f>T46+W46+Z46</f>
        <v>44</v>
      </c>
      <c r="R46" s="50">
        <f>U46+X46+AA46</f>
        <v>21</v>
      </c>
      <c r="S46" s="51">
        <f>V46+Y46+AB46</f>
        <v>3</v>
      </c>
      <c r="T46" s="123">
        <f>(IF($F46&lt;=0,"0",IF($F46&lt;=6,"22",IF($F46&lt;=7,"18",IF($F46&lt;=8,"12",0)))))+0</f>
        <v>22</v>
      </c>
      <c r="U46" s="124">
        <f>(IF($F46&lt;=0,"0",IF($F46&lt;=2,"21",IF($F46&lt;=3,"19",IF($F46&lt;=4,"15",IF($F46&lt;=5,"9",0))))))+0</f>
        <v>21</v>
      </c>
      <c r="V46" s="124">
        <f>(IF($F46&lt;=0,"0",IF($F46&lt;=1,"3",0)))+0</f>
        <v>3</v>
      </c>
      <c r="W46" s="124">
        <f>(IF($G46&lt;=0,"0",IF($G46&lt;=6,"22",IF($G46&lt;=7,"18",IF($G46&lt;=8,"12",0)))))+0</f>
        <v>0</v>
      </c>
      <c r="X46" s="124">
        <f>(IF($G46&lt;=0,"0",IF($G46&lt;=2,"21",IF($G46&lt;=3,"19",IF($G46&lt;=4,"15",IF($G46&lt;=5,"9",0))))))+0</f>
        <v>0</v>
      </c>
      <c r="Y46" s="124">
        <f>(IF($G46&lt;=0,"0",IF($G46&lt;=1,"3",0)))+0</f>
        <v>0</v>
      </c>
      <c r="Z46" s="124">
        <f>(IF($H46&lt;=0,"0",IF($H46&lt;=6,"22",IF($H46&lt;=7,"18",IF($H46&lt;=8,"12",0)))))+0</f>
        <v>22</v>
      </c>
      <c r="AA46" s="124">
        <f>(IF($H46&lt;=0,"0",IF($H46&lt;=2,"21",IF($H46&lt;=3,"19",IF($H46&lt;=4,"15",IF($H46&lt;=5,"9",0))))))+0</f>
        <v>0</v>
      </c>
      <c r="AB46" s="125">
        <f>(IF($H46&lt;=0,"0",IF($H46&lt;=1,"3",0)))+0</f>
        <v>0</v>
      </c>
      <c r="AC46" s="8" t="s">
        <v>553</v>
      </c>
      <c r="AD46" s="1" t="s">
        <v>554</v>
      </c>
      <c r="AE46" s="126">
        <f>(IF($F46&lt;=0,"0",IF($F46&lt;=6,"4",IF($F46&lt;=7,"3",IF($F46&lt;=8,"2","0")))))+0</f>
        <v>4</v>
      </c>
      <c r="AF46" s="126">
        <f>(IF($G46&lt;=0,"0",IF($G46&lt;=6,"4",IF($G46&lt;=7,"3",IF($G46&lt;=8,"2","0")))))+0</f>
        <v>0</v>
      </c>
      <c r="AG46" s="126">
        <f>(IF($H46&lt;=0,"0",IF($H46&lt;=6,"4",IF($H46&lt;=7,"3",IF($H46&lt;=8,"2","0")))))+0</f>
        <v>4</v>
      </c>
      <c r="AH46" s="10">
        <f>SUM(AE46:AG46)</f>
        <v>8</v>
      </c>
      <c r="AI46" s="1" t="s">
        <v>594</v>
      </c>
      <c r="AJ46" s="2">
        <f>(IF($E46&lt;=0,"0",IF($E46&lt;=20,"168",IF($E46&lt;=30,"165",IF($E46&lt;=50,"155",IF($E46&lt;=60,"135",IF($E46&lt;=70,"105",IF($E46&lt;=80,"60","0"))))))))+0</f>
        <v>0</v>
      </c>
      <c r="AK46" s="44" t="s">
        <v>548</v>
      </c>
      <c r="AL46" s="1">
        <f>(IF($E46&lt;=0,"0",IF($E46&lt;=80,"6","0")))+0</f>
        <v>0</v>
      </c>
      <c r="AM46" s="1">
        <f>(IF($E46&lt;=0,"0",IF($E46&lt;=60,"9",IF($E46&lt;=70,"6","0"))))+0</f>
        <v>0</v>
      </c>
      <c r="AN46" s="1">
        <f>(IF($E46&lt;=0,"0",IF($E46&lt;=40,"9",IF($E46&lt;=50,"6","0"))))+0</f>
        <v>0</v>
      </c>
      <c r="AO46" s="34">
        <f>(IF($E46&lt;=0,"0",IF($E46&lt;=20,"1","0")))+0</f>
        <v>0</v>
      </c>
      <c r="AP46" s="44" t="s">
        <v>311</v>
      </c>
      <c r="AQ46" s="1">
        <f>(IF($E46&lt;=0,"0",IF($E46&lt;=70,"36",IF($E46&lt;=80,"24","0"))))+0</f>
        <v>0</v>
      </c>
      <c r="AR46" s="1">
        <f>(IF($E46&lt;=0,"0",IF($E46&lt;=50,"30",IF($E46&lt;=60,"18","0"))))+0</f>
        <v>0</v>
      </c>
      <c r="AS46" s="1">
        <f>(IF($E46&lt;=0,"0",IF($E46&lt;=20,"18",IF($E46&lt;=40,"15","0"))))+0</f>
        <v>0</v>
      </c>
      <c r="AT46" s="53">
        <f>Summary2831[[#This Row],[3*2]]+Summary2831[[#This Row],[3*22]]+Summary2831[[#This Row],[3*23]]</f>
        <v>38</v>
      </c>
      <c r="AU46" s="52">
        <f>Summary2831[[#This Row],[2*2]]+Summary2831[[#This Row],[2*23]]+Summary2831[[#This Row],[2*24]]</f>
        <v>22</v>
      </c>
      <c r="AV46" s="52">
        <f>Summary2831[[#This Row],[1*2]]+Summary2831[[#This Row],[1*24]]+Summary2831[[#This Row],[1*25]]</f>
        <v>6</v>
      </c>
      <c r="AW46" s="52">
        <f>IF($F46&lt;=0,"0",IF($F46&lt;=6,"19",IF($F46&lt;=7,"18",IF($F46&lt;=8,"9",0))))+0</f>
        <v>19</v>
      </c>
      <c r="AX46" s="52">
        <f>IF($F46&lt;=0,"0",IF($F46&lt;=2,"22",IF($F46&lt;=3,"19",IF($F46&lt;=4,"15",IF($F46&lt;=5,"9",0)))))+0</f>
        <v>22</v>
      </c>
      <c r="AY46" s="52">
        <f>IF($F46&lt;=0,"0",IF($F46&lt;=1,"6",0))+0</f>
        <v>6</v>
      </c>
      <c r="AZ46" s="52">
        <f>IF($G46&lt;=0,"0",IF($G46&lt;=6,"19",IF($G46&lt;=7,"18",IF($G46&lt;=8,"9",0))))+0</f>
        <v>0</v>
      </c>
      <c r="BA46" s="52">
        <f>IF($G46&lt;=0,"0",IF($G46&lt;=2,"22",IF($G46&lt;=3,"19",IF($G46&lt;=4,"15",IF($G46&lt;=5,"9",0)))))+0</f>
        <v>0</v>
      </c>
      <c r="BB46" s="52">
        <f>IF($G46&lt;=0,"0",IF($G46&lt;=1,"6",0))+0</f>
        <v>0</v>
      </c>
      <c r="BC46" s="52">
        <f>IF($H46&lt;=0,"0",IF($H46&lt;=6,"19",IF($H46&lt;=7,"18",IF($H46&lt;=8,"9",0))))+0</f>
        <v>19</v>
      </c>
      <c r="BD46" s="52">
        <f>IF($H46&lt;=0,"0",IF($H46&lt;=2,"22",IF($H46&lt;=3,"19",IF($H46&lt;=4,"15",IF($H46&lt;=5,"9",0)))))+0</f>
        <v>0</v>
      </c>
      <c r="BE46" s="52">
        <f>IF($H46&lt;=0,"0",IF($H46&lt;=1,"6",0))+0</f>
        <v>0</v>
      </c>
      <c r="BF46" s="44">
        <f>SUM(Summary2831[[#This Row],[3*
(Tal)]],Summary2831[[#This Row],[3*
(Asc)]])</f>
        <v>38</v>
      </c>
      <c r="BG46" s="1">
        <f>SUM(Summary2831[[#This Row],[2*
(Tal)]],Summary2831[[#This Row],[2*
(Asc)]])</f>
        <v>22</v>
      </c>
      <c r="BH46" s="34">
        <f>SUM(Summary2831[[#This Row],[1*
(Tal)]],Summary2831[[#This Row],[1*
(Asc)]])</f>
        <v>6</v>
      </c>
      <c r="BI46" s="86">
        <f>(IF($E46&lt;=0,"0",IF($E46&lt;=1,"2092530",IF($E46&lt;=10,"2087525",IF($E46&lt;=20,"2068495",IF($E46&lt;=30,"2005910",IF($E46&lt;=40,"1932830",IF($E46&lt;=50,"1777010",IF($E46&lt;=60,"1546185",IF($E46&lt;=70,"1227000",IF($E46&lt;=80,"804625",IF($E46&lt;=81,"647990",IF($E46&lt;=90,"0",0)))))))))))))+0</f>
        <v>0</v>
      </c>
      <c r="BJ46" s="56">
        <f>(IF($F46&lt;=0,"0",IF($F46&lt;=1,"952500",IF($F46&lt;=2,"940000",IF($F46&lt;=3,"922500",IF($F46&lt;=4,"897500",IF($F46&lt;=5,"867500",IF($F46&lt;=6,"830000",IF($F46&lt;=7,"710000",IF($F46&lt;=8,"450000",0))))))))))+0</f>
        <v>952500</v>
      </c>
      <c r="BK46" s="56">
        <f>(IF($G46&lt;=0,"0",IF($G46&lt;=1,"952500",IF($G46&lt;=2,"940000",IF($G46&lt;=3,"922500",IF($G46&lt;=4,"897500",IF($G46&lt;=5,"867500",IF($G46&lt;=6,"830000",IF($G46&lt;=7,"710000",IF($G46&lt;=8,"450000",0))))))))))+0</f>
        <v>0</v>
      </c>
      <c r="BL46" s="56">
        <f>(IF($H46&lt;=0,"0",IF($H46&lt;=1,"952500",IF($H46&lt;=2,"940000",IF($H46&lt;=3,"922500",IF($H46&lt;=4,"897500",IF($H46&lt;=5,"867500",IF($H46&lt;=6,"830000",IF($H46&lt;=7,"710000",IF($H46&lt;=8,"450000",0))))))))))+0</f>
        <v>830000</v>
      </c>
      <c r="BM46" s="57">
        <f>SUM(BI46,BJ46,BK46,BL46)</f>
        <v>1782500</v>
      </c>
    </row>
    <row r="47" spans="1:65">
      <c r="A47" s="46">
        <f ca="1">SUBTOTAL(3,$B$3:Summary2831[[#This Row],[Name]])</f>
        <v>45</v>
      </c>
      <c r="B47" s="140" t="s">
        <v>222</v>
      </c>
      <c r="C47" s="14" t="s">
        <v>621</v>
      </c>
      <c r="D47" s="155">
        <v>3.2</v>
      </c>
      <c r="E47" s="14">
        <v>90</v>
      </c>
      <c r="F47" s="9">
        <v>1</v>
      </c>
      <c r="G47" s="2">
        <v>9</v>
      </c>
      <c r="H47" s="2">
        <v>7</v>
      </c>
      <c r="I47" s="72">
        <v>81</v>
      </c>
      <c r="J47" s="73">
        <v>1</v>
      </c>
      <c r="K47" s="74">
        <v>9</v>
      </c>
      <c r="L47" s="74">
        <v>9</v>
      </c>
      <c r="M47" s="44" t="s">
        <v>261</v>
      </c>
      <c r="N47" s="10">
        <f>(IF($E47&lt;=0,"0",IF($E47&lt;=40,"46",IF($E47&lt;=50,"44",IF($E47&lt;=60,"40",IF($E47&lt;=70,"32",IF($E47&lt;=80,"20","0")))))))+0</f>
        <v>0</v>
      </c>
      <c r="O4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47" s="49" t="s">
        <v>522</v>
      </c>
      <c r="Q47" s="50">
        <f>T47+W47+Z47</f>
        <v>40</v>
      </c>
      <c r="R47" s="50">
        <f>U47+X47+AA47</f>
        <v>21</v>
      </c>
      <c r="S47" s="51">
        <f>V47+Y47+AB47</f>
        <v>3</v>
      </c>
      <c r="T47" s="123">
        <f>(IF($F47&lt;=0,"0",IF($F47&lt;=6,"22",IF($F47&lt;=7,"18",IF($F47&lt;=8,"12",0)))))+0</f>
        <v>22</v>
      </c>
      <c r="U47" s="124">
        <f>(IF($F47&lt;=0,"0",IF($F47&lt;=2,"21",IF($F47&lt;=3,"19",IF($F47&lt;=4,"15",IF($F47&lt;=5,"9",0))))))+0</f>
        <v>21</v>
      </c>
      <c r="V47" s="124">
        <f>(IF($F47&lt;=0,"0",IF($F47&lt;=1,"3",0)))+0</f>
        <v>3</v>
      </c>
      <c r="W47" s="124">
        <f>(IF($G47&lt;=0,"0",IF($G47&lt;=6,"22",IF($G47&lt;=7,"18",IF($G47&lt;=8,"12",0)))))+0</f>
        <v>0</v>
      </c>
      <c r="X47" s="124">
        <f>(IF($G47&lt;=0,"0",IF($G47&lt;=2,"21",IF($G47&lt;=3,"19",IF($G47&lt;=4,"15",IF($G47&lt;=5,"9",0))))))+0</f>
        <v>0</v>
      </c>
      <c r="Y47" s="124">
        <f>(IF($G47&lt;=0,"0",IF($G47&lt;=1,"3",0)))+0</f>
        <v>0</v>
      </c>
      <c r="Z47" s="124">
        <f>(IF($H47&lt;=0,"0",IF($H47&lt;=6,"22",IF($H47&lt;=7,"18",IF($H47&lt;=8,"12",0)))))+0</f>
        <v>18</v>
      </c>
      <c r="AA47" s="124">
        <f>(IF($H47&lt;=0,"0",IF($H47&lt;=2,"21",IF($H47&lt;=3,"19",IF($H47&lt;=4,"15",IF($H47&lt;=5,"9",0))))))+0</f>
        <v>0</v>
      </c>
      <c r="AB47" s="125">
        <f>(IF($H47&lt;=0,"0",IF($H47&lt;=1,"3",0)))+0</f>
        <v>0</v>
      </c>
      <c r="AC47" s="8" t="s">
        <v>523</v>
      </c>
      <c r="AD47" s="1" t="s">
        <v>524</v>
      </c>
      <c r="AE47" s="126">
        <f>(IF($F47&lt;=0,"0",IF($F47&lt;=6,"4",IF($F47&lt;=7,"3",IF($F47&lt;=8,"2","0")))))+0</f>
        <v>4</v>
      </c>
      <c r="AF47" s="126">
        <f>(IF($G47&lt;=0,"0",IF($G47&lt;=6,"4",IF($G47&lt;=7,"3",IF($G47&lt;=8,"2","0")))))+0</f>
        <v>0</v>
      </c>
      <c r="AG47" s="126">
        <f>(IF($H47&lt;=0,"0",IF($H47&lt;=6,"4",IF($H47&lt;=7,"3",IF($H47&lt;=8,"2","0")))))+0</f>
        <v>3</v>
      </c>
      <c r="AH47" s="10">
        <f>SUM(AE47:AG47)</f>
        <v>7</v>
      </c>
      <c r="AI47" s="1" t="s">
        <v>595</v>
      </c>
      <c r="AJ47" s="2">
        <f>(IF($E47&lt;=0,"0",IF($E47&lt;=20,"168",IF($E47&lt;=30,"165",IF($E47&lt;=50,"155",IF($E47&lt;=60,"135",IF($E47&lt;=70,"105",IF($E47&lt;=80,"60","0"))))))))+0</f>
        <v>0</v>
      </c>
      <c r="AK47" s="44" t="s">
        <v>530</v>
      </c>
      <c r="AL47" s="1">
        <f>(IF($E47&lt;=0,"0",IF($E47&lt;=80,"6","0")))+0</f>
        <v>0</v>
      </c>
      <c r="AM47" s="1">
        <f>(IF($E47&lt;=0,"0",IF($E47&lt;=60,"9",IF($E47&lt;=70,"6","0"))))+0</f>
        <v>0</v>
      </c>
      <c r="AN47" s="1">
        <f>(IF($E47&lt;=0,"0",IF($E47&lt;=40,"9",IF($E47&lt;=50,"6","0"))))+0</f>
        <v>0</v>
      </c>
      <c r="AO47" s="34">
        <f>(IF($E47&lt;=0,"0",IF($E47&lt;=20,"1","0")))+0</f>
        <v>0</v>
      </c>
      <c r="AP47" s="44" t="s">
        <v>149</v>
      </c>
      <c r="AQ47" s="1">
        <f>(IF($E47&lt;=0,"0",IF($E47&lt;=70,"36",IF($E47&lt;=80,"24","0"))))+0</f>
        <v>0</v>
      </c>
      <c r="AR47" s="1">
        <f>(IF($E47&lt;=0,"0",IF($E47&lt;=50,"30",IF($E47&lt;=60,"18","0"))))+0</f>
        <v>0</v>
      </c>
      <c r="AS47" s="1">
        <f>(IF($E47&lt;=0,"0",IF($E47&lt;=20,"18",IF($E47&lt;=40,"15","0"))))+0</f>
        <v>0</v>
      </c>
      <c r="AT47" s="53">
        <f>Summary2831[[#This Row],[3*2]]+Summary2831[[#This Row],[3*22]]+Summary2831[[#This Row],[3*23]]</f>
        <v>37</v>
      </c>
      <c r="AU47" s="52">
        <f>Summary2831[[#This Row],[2*2]]+Summary2831[[#This Row],[2*23]]+Summary2831[[#This Row],[2*24]]</f>
        <v>22</v>
      </c>
      <c r="AV47" s="52">
        <f>Summary2831[[#This Row],[1*2]]+Summary2831[[#This Row],[1*24]]+Summary2831[[#This Row],[1*25]]</f>
        <v>6</v>
      </c>
      <c r="AW47" s="52">
        <f>IF($F47&lt;=0,"0",IF($F47&lt;=6,"19",IF($F47&lt;=7,"18",IF($F47&lt;=8,"9",0))))+0</f>
        <v>19</v>
      </c>
      <c r="AX47" s="52">
        <f>IF($F47&lt;=0,"0",IF($F47&lt;=2,"22",IF($F47&lt;=3,"19",IF($F47&lt;=4,"15",IF($F47&lt;=5,"9",0)))))+0</f>
        <v>22</v>
      </c>
      <c r="AY47" s="52">
        <f>IF($F47&lt;=0,"0",IF($F47&lt;=1,"6",0))+0</f>
        <v>6</v>
      </c>
      <c r="AZ47" s="52">
        <f>IF($G47&lt;=0,"0",IF($G47&lt;=6,"19",IF($G47&lt;=7,"18",IF($G47&lt;=8,"9",0))))+0</f>
        <v>0</v>
      </c>
      <c r="BA47" s="52">
        <f>IF($G47&lt;=0,"0",IF($G47&lt;=2,"22",IF($G47&lt;=3,"19",IF($G47&lt;=4,"15",IF($G47&lt;=5,"9",0)))))+0</f>
        <v>0</v>
      </c>
      <c r="BB47" s="52">
        <f>IF($G47&lt;=0,"0",IF($G47&lt;=1,"6",0))+0</f>
        <v>0</v>
      </c>
      <c r="BC47" s="52">
        <f>IF($H47&lt;=0,"0",IF($H47&lt;=6,"19",IF($H47&lt;=7,"18",IF($H47&lt;=8,"9",0))))+0</f>
        <v>18</v>
      </c>
      <c r="BD47" s="52">
        <f>IF($H47&lt;=0,"0",IF($H47&lt;=2,"22",IF($H47&lt;=3,"19",IF($H47&lt;=4,"15",IF($H47&lt;=5,"9",0)))))+0</f>
        <v>0</v>
      </c>
      <c r="BE47" s="52">
        <f>IF($H47&lt;=0,"0",IF($H47&lt;=1,"6",0))+0</f>
        <v>0</v>
      </c>
      <c r="BF47" s="44">
        <f>SUM(Summary2831[[#This Row],[3*
(Tal)]],Summary2831[[#This Row],[3*
(Asc)]])</f>
        <v>37</v>
      </c>
      <c r="BG47" s="1">
        <f>SUM(Summary2831[[#This Row],[2*
(Tal)]],Summary2831[[#This Row],[2*
(Asc)]])</f>
        <v>22</v>
      </c>
      <c r="BH47" s="34">
        <f>SUM(Summary2831[[#This Row],[1*
(Tal)]],Summary2831[[#This Row],[1*
(Asc)]])</f>
        <v>6</v>
      </c>
      <c r="BI47" s="86">
        <f>(IF($E47&lt;=0,"0",IF($E47&lt;=1,"2092530",IF($E47&lt;=10,"2087525",IF($E47&lt;=20,"2068495",IF($E47&lt;=30,"2005910",IF($E47&lt;=40,"1932830",IF($E47&lt;=50,"1777010",IF($E47&lt;=60,"1546185",IF($E47&lt;=70,"1227000",IF($E47&lt;=80,"804625",IF($E47&lt;=81,"647990",IF($E47&lt;=90,"0",0)))))))))))))+0</f>
        <v>0</v>
      </c>
      <c r="BJ47" s="56">
        <f>(IF($F47&lt;=0,"0",IF($F47&lt;=1,"952500",IF($F47&lt;=2,"940000",IF($F47&lt;=3,"922500",IF($F47&lt;=4,"897500",IF($F47&lt;=5,"867500",IF($F47&lt;=6,"830000",IF($F47&lt;=7,"710000",IF($F47&lt;=8,"450000",0))))))))))+0</f>
        <v>952500</v>
      </c>
      <c r="BK47" s="56">
        <f>(IF($G47&lt;=0,"0",IF($G47&lt;=1,"952500",IF($G47&lt;=2,"940000",IF($G47&lt;=3,"922500",IF($G47&lt;=4,"897500",IF($G47&lt;=5,"867500",IF($G47&lt;=6,"830000",IF($G47&lt;=7,"710000",IF($G47&lt;=8,"450000",0))))))))))+0</f>
        <v>0</v>
      </c>
      <c r="BL47" s="56">
        <f>(IF($H47&lt;=0,"0",IF($H47&lt;=1,"952500",IF($H47&lt;=2,"940000",IF($H47&lt;=3,"922500",IF($H47&lt;=4,"897500",IF($H47&lt;=5,"867500",IF($H47&lt;=6,"830000",IF($H47&lt;=7,"710000",IF($H47&lt;=8,"450000",0))))))))))+0</f>
        <v>710000</v>
      </c>
      <c r="BM47" s="57">
        <f>SUM(BI47,BJ47,BK47,BL47)</f>
        <v>1662500</v>
      </c>
    </row>
    <row r="48" spans="1:65" s="81" customFormat="1">
      <c r="A48" s="46">
        <f ca="1">SUBTOTAL(3,$B$3:Summary2831[[#This Row],[Name]])</f>
        <v>46</v>
      </c>
      <c r="B48" s="140" t="s">
        <v>429</v>
      </c>
      <c r="C48" s="14" t="s">
        <v>31</v>
      </c>
      <c r="D48" s="155">
        <v>1</v>
      </c>
      <c r="E48" s="14">
        <v>61</v>
      </c>
      <c r="F48" s="9">
        <v>1</v>
      </c>
      <c r="G48" s="2">
        <v>1</v>
      </c>
      <c r="H48" s="2">
        <v>1</v>
      </c>
      <c r="I48" s="72">
        <v>81</v>
      </c>
      <c r="J48" s="73">
        <v>1</v>
      </c>
      <c r="K48" s="74">
        <v>9</v>
      </c>
      <c r="L48" s="74">
        <v>9</v>
      </c>
      <c r="M48" s="44" t="s">
        <v>106</v>
      </c>
      <c r="N48" s="10">
        <f>(IF($E48&lt;=0,"0",IF($E48&lt;=40,"46",IF($E48&lt;=50,"44",IF($E48&lt;=60,"40",IF($E48&lt;=70,"32",IF($E48&lt;=80,"20","0")))))))+0</f>
        <v>32</v>
      </c>
      <c r="O4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145</v>
      </c>
      <c r="P48" s="49" t="s">
        <v>519</v>
      </c>
      <c r="Q48" s="50">
        <f>T48+W48+Z48</f>
        <v>66</v>
      </c>
      <c r="R48" s="50">
        <f>U48+X48+AA48</f>
        <v>63</v>
      </c>
      <c r="S48" s="51">
        <f>V48+Y48+AB48</f>
        <v>9</v>
      </c>
      <c r="T48" s="123">
        <f>(IF($F48&lt;=0,"0",IF($F48&lt;=6,"22",IF($F48&lt;=7,"18",IF($F48&lt;=8,"12",0)))))+0</f>
        <v>22</v>
      </c>
      <c r="U48" s="124">
        <f>(IF($F48&lt;=0,"0",IF($F48&lt;=2,"21",IF($F48&lt;=3,"19",IF($F48&lt;=4,"15",IF($F48&lt;=5,"9",0))))))+0</f>
        <v>21</v>
      </c>
      <c r="V48" s="124">
        <f>(IF($F48&lt;=0,"0",IF($F48&lt;=1,"3",0)))+0</f>
        <v>3</v>
      </c>
      <c r="W48" s="124">
        <f>(IF($G48&lt;=0,"0",IF($G48&lt;=6,"22",IF($G48&lt;=7,"18",IF($G48&lt;=8,"12",0)))))+0</f>
        <v>22</v>
      </c>
      <c r="X48" s="124">
        <f>(IF($G48&lt;=0,"0",IF($G48&lt;=2,"21",IF($G48&lt;=3,"19",IF($G48&lt;=4,"15",IF($G48&lt;=5,"9",0))))))+0</f>
        <v>21</v>
      </c>
      <c r="Y48" s="124">
        <f>(IF($G48&lt;=0,"0",IF($G48&lt;=1,"3",0)))+0</f>
        <v>3</v>
      </c>
      <c r="Z48" s="124">
        <f>(IF($H48&lt;=0,"0",IF($H48&lt;=6,"22",IF($H48&lt;=7,"18",IF($H48&lt;=8,"12",0)))))+0</f>
        <v>22</v>
      </c>
      <c r="AA48" s="124">
        <f>(IF($H48&lt;=0,"0",IF($H48&lt;=2,"21",IF($H48&lt;=3,"19",IF($H48&lt;=4,"15",IF($H48&lt;=5,"9",0))))))+0</f>
        <v>21</v>
      </c>
      <c r="AB48" s="125">
        <f>(IF($H48&lt;=0,"0",IF($H48&lt;=1,"3",0)))+0</f>
        <v>3</v>
      </c>
      <c r="AC48" s="8" t="s">
        <v>531</v>
      </c>
      <c r="AD48" s="1" t="s">
        <v>596</v>
      </c>
      <c r="AE48" s="126">
        <f>(IF($F48&lt;=0,"0",IF($F48&lt;=6,"4",IF($F48&lt;=7,"3",IF($F48&lt;=8,"2","0")))))+0</f>
        <v>4</v>
      </c>
      <c r="AF48" s="126">
        <f>(IF($G48&lt;=0,"0",IF($G48&lt;=6,"4",IF($G48&lt;=7,"3",IF($G48&lt;=8,"2","0")))))+0</f>
        <v>4</v>
      </c>
      <c r="AG48" s="126">
        <f>(IF($H48&lt;=0,"0",IF($H48&lt;=6,"4",IF($H48&lt;=7,"3",IF($H48&lt;=8,"2","0")))))+0</f>
        <v>4</v>
      </c>
      <c r="AH48" s="10">
        <f>SUM(AE48:AG48)</f>
        <v>12</v>
      </c>
      <c r="AI48" s="1" t="s">
        <v>398</v>
      </c>
      <c r="AJ48" s="2">
        <f>(IF($E48&lt;=0,"0",IF($E48&lt;=20,"168",IF($E48&lt;=30,"165",IF($E48&lt;=50,"155",IF($E48&lt;=60,"135",IF($E48&lt;=70,"105",IF($E48&lt;=80,"60","0"))))))))+0</f>
        <v>105</v>
      </c>
      <c r="AK48" s="44" t="s">
        <v>548</v>
      </c>
      <c r="AL48" s="1">
        <f>(IF($E48&lt;=0,"0",IF($E48&lt;=80,"6","0")))+0</f>
        <v>6</v>
      </c>
      <c r="AM48" s="1">
        <f>(IF($E48&lt;=0,"0",IF($E48&lt;=60,"9",IF($E48&lt;=70,"6","0"))))+0</f>
        <v>6</v>
      </c>
      <c r="AN48" s="1">
        <f>(IF($E48&lt;=0,"0",IF($E48&lt;=40,"9",IF($E48&lt;=50,"6","0"))))+0</f>
        <v>0</v>
      </c>
      <c r="AO48" s="34">
        <f>(IF($E48&lt;=0,"0",IF($E48&lt;=20,"1","0")))+0</f>
        <v>0</v>
      </c>
      <c r="AP48" s="44" t="s">
        <v>178</v>
      </c>
      <c r="AQ48" s="1">
        <f>(IF($E48&lt;=0,"0",IF($E48&lt;=70,"36",IF($E48&lt;=80,"24","0"))))+0</f>
        <v>36</v>
      </c>
      <c r="AR48" s="1">
        <f>(IF($E48&lt;=0,"0",IF($E48&lt;=50,"30",IF($E48&lt;=60,"18","0"))))+0</f>
        <v>0</v>
      </c>
      <c r="AS48" s="1">
        <f>(IF($E48&lt;=0,"0",IF($E48&lt;=20,"18",IF($E48&lt;=40,"15","0"))))+0</f>
        <v>0</v>
      </c>
      <c r="AT48" s="53">
        <f>Summary2831[[#This Row],[3*2]]+Summary2831[[#This Row],[3*22]]+Summary2831[[#This Row],[3*23]]</f>
        <v>57</v>
      </c>
      <c r="AU48" s="52">
        <f>Summary2831[[#This Row],[2*2]]+Summary2831[[#This Row],[2*23]]+Summary2831[[#This Row],[2*24]]</f>
        <v>66</v>
      </c>
      <c r="AV48" s="52">
        <f>Summary2831[[#This Row],[1*2]]+Summary2831[[#This Row],[1*24]]+Summary2831[[#This Row],[1*25]]</f>
        <v>18</v>
      </c>
      <c r="AW48" s="52">
        <f>IF($F48&lt;=0,"0",IF($F48&lt;=6,"19",IF($F48&lt;=7,"18",IF($F48&lt;=8,"9",0))))+0</f>
        <v>19</v>
      </c>
      <c r="AX48" s="52">
        <f>IF($F48&lt;=0,"0",IF($F48&lt;=2,"22",IF($F48&lt;=3,"19",IF($F48&lt;=4,"15",IF($F48&lt;=5,"9",0)))))+0</f>
        <v>22</v>
      </c>
      <c r="AY48" s="52">
        <f>IF($F48&lt;=0,"0",IF($F48&lt;=1,"6",0))+0</f>
        <v>6</v>
      </c>
      <c r="AZ48" s="52">
        <f>IF($G48&lt;=0,"0",IF($G48&lt;=6,"19",IF($G48&lt;=7,"18",IF($G48&lt;=8,"9",0))))+0</f>
        <v>19</v>
      </c>
      <c r="BA48" s="52">
        <f>IF($G48&lt;=0,"0",IF($G48&lt;=2,"22",IF($G48&lt;=3,"19",IF($G48&lt;=4,"15",IF($G48&lt;=5,"9",0)))))+0</f>
        <v>22</v>
      </c>
      <c r="BB48" s="52">
        <f>IF($G48&lt;=0,"0",IF($G48&lt;=1,"6",0))+0</f>
        <v>6</v>
      </c>
      <c r="BC48" s="52">
        <f>IF($H48&lt;=0,"0",IF($H48&lt;=6,"19",IF($H48&lt;=7,"18",IF($H48&lt;=8,"9",0))))+0</f>
        <v>19</v>
      </c>
      <c r="BD48" s="52">
        <f>IF($H48&lt;=0,"0",IF($H48&lt;=2,"22",IF($H48&lt;=3,"19",IF($H48&lt;=4,"15",IF($H48&lt;=5,"9",0)))))+0</f>
        <v>22</v>
      </c>
      <c r="BE48" s="52">
        <f>IF($H48&lt;=0,"0",IF($H48&lt;=1,"6",0))+0</f>
        <v>6</v>
      </c>
      <c r="BF48" s="44">
        <f>SUM(Summary2831[[#This Row],[3*
(Tal)]],Summary2831[[#This Row],[3*
(Asc)]])</f>
        <v>93</v>
      </c>
      <c r="BG48" s="1">
        <f>SUM(Summary2831[[#This Row],[2*
(Tal)]],Summary2831[[#This Row],[2*
(Asc)]])</f>
        <v>66</v>
      </c>
      <c r="BH48" s="34">
        <f>SUM(Summary2831[[#This Row],[1*
(Tal)]],Summary2831[[#This Row],[1*
(Asc)]])</f>
        <v>18</v>
      </c>
      <c r="BI48" s="86">
        <f>(IF($E48&lt;=0,"0",IF($E48&lt;=1,"2092530",IF($E48&lt;=10,"2087525",IF($E48&lt;=20,"2068495",IF($E48&lt;=30,"2005910",IF($E48&lt;=40,"1932830",IF($E48&lt;=50,"1777010",IF($E48&lt;=60,"1546185",IF($E48&lt;=70,"1227000",IF($E48&lt;=80,"804625",IF($E48&lt;=81,"647990",IF($E48&lt;=90,"0",0)))))))))))))+0</f>
        <v>1227000</v>
      </c>
      <c r="BJ48" s="56">
        <f>(IF($F48&lt;=0,"0",IF($F48&lt;=1,"952500",IF($F48&lt;=2,"940000",IF($F48&lt;=3,"922500",IF($F48&lt;=4,"897500",IF($F48&lt;=5,"867500",IF($F48&lt;=6,"830000",IF($F48&lt;=7,"710000",IF($F48&lt;=8,"450000",0))))))))))+0</f>
        <v>952500</v>
      </c>
      <c r="BK48" s="56">
        <f>(IF($G48&lt;=0,"0",IF($G48&lt;=1,"952500",IF($G48&lt;=2,"940000",IF($G48&lt;=3,"922500",IF($G48&lt;=4,"897500",IF($G48&lt;=5,"867500",IF($G48&lt;=6,"830000",IF($G48&lt;=7,"710000",IF($G48&lt;=8,"450000",0))))))))))+0</f>
        <v>952500</v>
      </c>
      <c r="BL48" s="56">
        <f>(IF($H48&lt;=0,"0",IF($H48&lt;=1,"952500",IF($H48&lt;=2,"940000",IF($H48&lt;=3,"922500",IF($H48&lt;=4,"897500",IF($H48&lt;=5,"867500",IF($H48&lt;=6,"830000",IF($H48&lt;=7,"710000",IF($H48&lt;=8,"450000",0))))))))))+0</f>
        <v>952500</v>
      </c>
      <c r="BM48" s="57">
        <f>SUM(BI48,BJ48,BK48,BL48)</f>
        <v>4084500</v>
      </c>
    </row>
    <row r="49" spans="1:65" s="81" customFormat="1">
      <c r="A49" s="46">
        <f ca="1">SUBTOTAL(3,$B$3:Summary2831[[#This Row],[Name]])</f>
        <v>47</v>
      </c>
      <c r="B49" s="140" t="s">
        <v>231</v>
      </c>
      <c r="C49" s="14" t="s">
        <v>624</v>
      </c>
      <c r="D49" s="155">
        <v>4</v>
      </c>
      <c r="E49" s="14">
        <v>21</v>
      </c>
      <c r="F49" s="9">
        <v>1</v>
      </c>
      <c r="G49" s="2">
        <v>1</v>
      </c>
      <c r="H49" s="2">
        <v>1</v>
      </c>
      <c r="I49" s="72">
        <v>81</v>
      </c>
      <c r="J49" s="73">
        <v>1</v>
      </c>
      <c r="K49" s="74">
        <v>9</v>
      </c>
      <c r="L49" s="74">
        <v>9</v>
      </c>
      <c r="M49" s="44" t="s">
        <v>300</v>
      </c>
      <c r="N49" s="10">
        <f>(IF($E49&lt;=0,"0",IF($E49&lt;=40,"46",IF($E49&lt;=50,"44",IF($E49&lt;=60,"40",IF($E49&lt;=70,"32",IF($E49&lt;=80,"20","0")))))))+0</f>
        <v>46</v>
      </c>
      <c r="O4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49" s="49" t="s">
        <v>537</v>
      </c>
      <c r="Q49" s="50">
        <f>T49+W49+Z49</f>
        <v>66</v>
      </c>
      <c r="R49" s="50">
        <f>U49+X49+AA49</f>
        <v>63</v>
      </c>
      <c r="S49" s="51">
        <f>V49+Y49+AB49</f>
        <v>9</v>
      </c>
      <c r="T49" s="123">
        <f>(IF($F49&lt;=0,"0",IF($F49&lt;=6,"22",IF($F49&lt;=7,"18",IF($F49&lt;=8,"12",0)))))+0</f>
        <v>22</v>
      </c>
      <c r="U49" s="124">
        <f>(IF($F49&lt;=0,"0",IF($F49&lt;=2,"21",IF($F49&lt;=3,"19",IF($F49&lt;=4,"15",IF($F49&lt;=5,"9",0))))))+0</f>
        <v>21</v>
      </c>
      <c r="V49" s="124">
        <f>(IF($F49&lt;=0,"0",IF($F49&lt;=1,"3",0)))+0</f>
        <v>3</v>
      </c>
      <c r="W49" s="124">
        <f>(IF($G49&lt;=0,"0",IF($G49&lt;=6,"22",IF($G49&lt;=7,"18",IF($G49&lt;=8,"12",0)))))+0</f>
        <v>22</v>
      </c>
      <c r="X49" s="124">
        <f>(IF($G49&lt;=0,"0",IF($G49&lt;=2,"21",IF($G49&lt;=3,"19",IF($G49&lt;=4,"15",IF($G49&lt;=5,"9",0))))))+0</f>
        <v>21</v>
      </c>
      <c r="Y49" s="124">
        <f>(IF($G49&lt;=0,"0",IF($G49&lt;=1,"3",0)))+0</f>
        <v>3</v>
      </c>
      <c r="Z49" s="124">
        <f>(IF($H49&lt;=0,"0",IF($H49&lt;=6,"22",IF($H49&lt;=7,"18",IF($H49&lt;=8,"12",0)))))+0</f>
        <v>22</v>
      </c>
      <c r="AA49" s="124">
        <f>(IF($H49&lt;=0,"0",IF($H49&lt;=2,"21",IF($H49&lt;=3,"19",IF($H49&lt;=4,"15",IF($H49&lt;=5,"9",0))))))+0</f>
        <v>21</v>
      </c>
      <c r="AB49" s="125">
        <f>(IF($H49&lt;=0,"0",IF($H49&lt;=1,"3",0)))+0</f>
        <v>3</v>
      </c>
      <c r="AC49" s="8" t="s">
        <v>541</v>
      </c>
      <c r="AD49" s="1" t="s">
        <v>295</v>
      </c>
      <c r="AE49" s="126">
        <f>(IF($F49&lt;=0,"0",IF($F49&lt;=6,"4",IF($F49&lt;=7,"3",IF($F49&lt;=8,"2","0")))))+0</f>
        <v>4</v>
      </c>
      <c r="AF49" s="126">
        <f>(IF($G49&lt;=0,"0",IF($G49&lt;=6,"4",IF($G49&lt;=7,"3",IF($G49&lt;=8,"2","0")))))+0</f>
        <v>4</v>
      </c>
      <c r="AG49" s="126">
        <f>(IF($H49&lt;=0,"0",IF($H49&lt;=6,"4",IF($H49&lt;=7,"3",IF($H49&lt;=8,"2","0")))))+0</f>
        <v>4</v>
      </c>
      <c r="AH49" s="10">
        <f>SUM(AE49:AG49)</f>
        <v>12</v>
      </c>
      <c r="AI49" s="1" t="s">
        <v>560</v>
      </c>
      <c r="AJ49" s="2">
        <f>(IF($E49&lt;=0,"0",IF($E49&lt;=20,"168",IF($E49&lt;=30,"165",IF($E49&lt;=50,"155",IF($E49&lt;=60,"135",IF($E49&lt;=70,"105",IF($E49&lt;=80,"60","0"))))))))+0</f>
        <v>165</v>
      </c>
      <c r="AK49" s="44" t="s">
        <v>573</v>
      </c>
      <c r="AL49" s="1">
        <f>(IF($E49&lt;=0,"0",IF($E49&lt;=80,"6","0")))+0</f>
        <v>6</v>
      </c>
      <c r="AM49" s="1">
        <f>(IF($E49&lt;=0,"0",IF($E49&lt;=60,"9",IF($E49&lt;=70,"6","0"))))+0</f>
        <v>9</v>
      </c>
      <c r="AN49" s="1">
        <f>(IF($E49&lt;=0,"0",IF($E49&lt;=40,"9",IF($E49&lt;=50,"6","0"))))+0</f>
        <v>9</v>
      </c>
      <c r="AO49" s="34">
        <f>(IF($E49&lt;=0,"0",IF($E49&lt;=20,"1","0")))+0</f>
        <v>0</v>
      </c>
      <c r="AP49" s="44" t="s">
        <v>385</v>
      </c>
      <c r="AQ49" s="1">
        <f>(IF($E49&lt;=0,"0",IF($E49&lt;=70,"36",IF($E49&lt;=80,"24","0"))))+0</f>
        <v>36</v>
      </c>
      <c r="AR49" s="1">
        <f>(IF($E49&lt;=0,"0",IF($E49&lt;=50,"30",IF($E49&lt;=60,"18","0"))))+0</f>
        <v>30</v>
      </c>
      <c r="AS49" s="1">
        <f>(IF($E49&lt;=0,"0",IF($E49&lt;=20,"18",IF($E49&lt;=40,"15","0"))))+0</f>
        <v>15</v>
      </c>
      <c r="AT49" s="53">
        <f>Summary2831[[#This Row],[3*2]]+Summary2831[[#This Row],[3*22]]+Summary2831[[#This Row],[3*23]]</f>
        <v>57</v>
      </c>
      <c r="AU49" s="52">
        <f>Summary2831[[#This Row],[2*2]]+Summary2831[[#This Row],[2*23]]+Summary2831[[#This Row],[2*24]]</f>
        <v>66</v>
      </c>
      <c r="AV49" s="52">
        <f>Summary2831[[#This Row],[1*2]]+Summary2831[[#This Row],[1*24]]+Summary2831[[#This Row],[1*25]]</f>
        <v>18</v>
      </c>
      <c r="AW49" s="52">
        <f>IF($F49&lt;=0,"0",IF($F49&lt;=6,"19",IF($F49&lt;=7,"18",IF($F49&lt;=8,"9",0))))+0</f>
        <v>19</v>
      </c>
      <c r="AX49" s="52">
        <f>IF($F49&lt;=0,"0",IF($F49&lt;=2,"22",IF($F49&lt;=3,"19",IF($F49&lt;=4,"15",IF($F49&lt;=5,"9",0)))))+0</f>
        <v>22</v>
      </c>
      <c r="AY49" s="52">
        <f>IF($F49&lt;=0,"0",IF($F49&lt;=1,"6",0))+0</f>
        <v>6</v>
      </c>
      <c r="AZ49" s="52">
        <f>IF($G49&lt;=0,"0",IF($G49&lt;=6,"19",IF($G49&lt;=7,"18",IF($G49&lt;=8,"9",0))))+0</f>
        <v>19</v>
      </c>
      <c r="BA49" s="52">
        <f>IF($G49&lt;=0,"0",IF($G49&lt;=2,"22",IF($G49&lt;=3,"19",IF($G49&lt;=4,"15",IF($G49&lt;=5,"9",0)))))+0</f>
        <v>22</v>
      </c>
      <c r="BB49" s="52">
        <f>IF($G49&lt;=0,"0",IF($G49&lt;=1,"6",0))+0</f>
        <v>6</v>
      </c>
      <c r="BC49" s="52">
        <f>IF($H49&lt;=0,"0",IF($H49&lt;=6,"19",IF($H49&lt;=7,"18",IF($H49&lt;=8,"9",0))))+0</f>
        <v>19</v>
      </c>
      <c r="BD49" s="52">
        <f>IF($H49&lt;=0,"0",IF($H49&lt;=2,"22",IF($H49&lt;=3,"19",IF($H49&lt;=4,"15",IF($H49&lt;=5,"9",0)))))+0</f>
        <v>22</v>
      </c>
      <c r="BE49" s="52">
        <f>IF($H49&lt;=0,"0",IF($H49&lt;=1,"6",0))+0</f>
        <v>6</v>
      </c>
      <c r="BF49" s="44">
        <f>SUM(Summary2831[[#This Row],[3*
(Tal)]],Summary2831[[#This Row],[3*
(Asc)]])</f>
        <v>93</v>
      </c>
      <c r="BG49" s="1">
        <f>SUM(Summary2831[[#This Row],[2*
(Tal)]],Summary2831[[#This Row],[2*
(Asc)]])</f>
        <v>96</v>
      </c>
      <c r="BH49" s="34">
        <f>SUM(Summary2831[[#This Row],[1*
(Tal)]],Summary2831[[#This Row],[1*
(Asc)]])</f>
        <v>33</v>
      </c>
      <c r="BI49" s="86">
        <f>(IF($E49&lt;=0,"0",IF($E49&lt;=1,"2092530",IF($E49&lt;=10,"2087525",IF($E49&lt;=20,"2068495",IF($E49&lt;=30,"2005910",IF($E49&lt;=40,"1932830",IF($E49&lt;=50,"1777010",IF($E49&lt;=60,"1546185",IF($E49&lt;=70,"1227000",IF($E49&lt;=80,"804625",IF($E49&lt;=81,"647990",IF($E49&lt;=90,"0",0)))))))))))))+0</f>
        <v>2005910</v>
      </c>
      <c r="BJ49" s="56">
        <f>(IF($F49&lt;=0,"0",IF($F49&lt;=1,"952500",IF($F49&lt;=2,"940000",IF($F49&lt;=3,"922500",IF($F49&lt;=4,"897500",IF($F49&lt;=5,"867500",IF($F49&lt;=6,"830000",IF($F49&lt;=7,"710000",IF($F49&lt;=8,"450000",0))))))))))+0</f>
        <v>952500</v>
      </c>
      <c r="BK49" s="56">
        <f>(IF($G49&lt;=0,"0",IF($G49&lt;=1,"952500",IF($G49&lt;=2,"940000",IF($G49&lt;=3,"922500",IF($G49&lt;=4,"897500",IF($G49&lt;=5,"867500",IF($G49&lt;=6,"830000",IF($G49&lt;=7,"710000",IF($G49&lt;=8,"450000",0))))))))))+0</f>
        <v>952500</v>
      </c>
      <c r="BL49" s="56">
        <f>(IF($H49&lt;=0,"0",IF($H49&lt;=1,"952500",IF($H49&lt;=2,"940000",IF($H49&lt;=3,"922500",IF($H49&lt;=4,"897500",IF($H49&lt;=5,"867500",IF($H49&lt;=6,"830000",IF($H49&lt;=7,"710000",IF($H49&lt;=8,"450000",0))))))))))+0</f>
        <v>952500</v>
      </c>
      <c r="BM49" s="57">
        <f>SUM(BI49,BJ49,BK49,BL49)</f>
        <v>4863410</v>
      </c>
    </row>
    <row r="50" spans="1:65">
      <c r="A50" s="71">
        <f ca="1">SUBTOTAL(3,$B$3:Summary2831[[#This Row],[Name]])</f>
        <v>48</v>
      </c>
      <c r="B50" s="72" t="s">
        <v>381</v>
      </c>
      <c r="C50" s="72" t="s">
        <v>622</v>
      </c>
      <c r="D50" s="155">
        <v>4</v>
      </c>
      <c r="E50" s="72">
        <v>0</v>
      </c>
      <c r="F50" s="73">
        <v>0</v>
      </c>
      <c r="G50" s="74">
        <v>0</v>
      </c>
      <c r="H50" s="74">
        <v>0</v>
      </c>
      <c r="I50" s="72">
        <v>81</v>
      </c>
      <c r="J50" s="73">
        <v>1</v>
      </c>
      <c r="K50" s="74">
        <v>9</v>
      </c>
      <c r="L50" s="74">
        <v>9</v>
      </c>
      <c r="M50" s="79" t="s">
        <v>317</v>
      </c>
      <c r="N50" s="75">
        <f>(IF($E50&lt;=0,"0",IF($E50&lt;=40,"46",IF($E50&lt;=50,"44",IF($E50&lt;=60,"40",IF($E50&lt;=70,"32",IF($E50&lt;=80,"20","0")))))))+0</f>
        <v>0</v>
      </c>
      <c r="O5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0" s="76" t="s">
        <v>10</v>
      </c>
      <c r="Q50" s="77">
        <f>T50+W50+Z50</f>
        <v>0</v>
      </c>
      <c r="R50" s="77">
        <f>U50+X50+AA50</f>
        <v>0</v>
      </c>
      <c r="S50" s="78">
        <f>V50+Y50+AB50</f>
        <v>0</v>
      </c>
      <c r="T50" s="123">
        <f>(IF($F50&lt;=0,"0",IF($F50&lt;=6,"22",IF($F50&lt;=7,"18",IF($F50&lt;=8,"12",0)))))+0</f>
        <v>0</v>
      </c>
      <c r="U50" s="124">
        <f>(IF($F50&lt;=0,"0",IF($F50&lt;=2,"21",IF($F50&lt;=3,"19",IF($F50&lt;=4,"15",IF($F50&lt;=5,"9",0))))))+0</f>
        <v>0</v>
      </c>
      <c r="V50" s="124">
        <f>(IF($F50&lt;=0,"0",IF($F50&lt;=1,"3",0)))+0</f>
        <v>0</v>
      </c>
      <c r="W50" s="124">
        <f>(IF($G50&lt;=0,"0",IF($G50&lt;=6,"22",IF($G50&lt;=7,"18",IF($G50&lt;=8,"12",0)))))+0</f>
        <v>0</v>
      </c>
      <c r="X50" s="124">
        <f>(IF($G50&lt;=0,"0",IF($G50&lt;=2,"21",IF($G50&lt;=3,"19",IF($G50&lt;=4,"15",IF($G50&lt;=5,"9",0))))))+0</f>
        <v>0</v>
      </c>
      <c r="Y50" s="124">
        <f>(IF($G50&lt;=0,"0",IF($G50&lt;=1,"3",0)))+0</f>
        <v>0</v>
      </c>
      <c r="Z50" s="124">
        <f>(IF($H50&lt;=0,"0",IF($H50&lt;=6,"22",IF($H50&lt;=7,"18",IF($H50&lt;=8,"12",0)))))+0</f>
        <v>0</v>
      </c>
      <c r="AA50" s="124">
        <f>(IF($H50&lt;=0,"0",IF($H50&lt;=2,"21",IF($H50&lt;=3,"19",IF($H50&lt;=4,"15",IF($H50&lt;=5,"9",0))))))+0</f>
        <v>0</v>
      </c>
      <c r="AB50" s="125">
        <f>(IF($H50&lt;=0,"0",IF($H50&lt;=1,"3",0)))+0</f>
        <v>0</v>
      </c>
      <c r="AC50" s="80" t="s">
        <v>541</v>
      </c>
      <c r="AD50" s="81" t="s">
        <v>587</v>
      </c>
      <c r="AE50" s="126">
        <f>(IF($F50&lt;=0,"0",IF($F50&lt;=6,"4",IF($F50&lt;=7,"3",IF($F50&lt;=8,"2","0")))))+0</f>
        <v>0</v>
      </c>
      <c r="AF50" s="126">
        <f>(IF($G50&lt;=0,"0",IF($G50&lt;=6,"4",IF($G50&lt;=7,"3",IF($G50&lt;=8,"2","0")))))+0</f>
        <v>0</v>
      </c>
      <c r="AG50" s="126">
        <f>(IF($H50&lt;=0,"0",IF($H50&lt;=6,"4",IF($H50&lt;=7,"3",IF($H50&lt;=8,"2","0")))))+0</f>
        <v>0</v>
      </c>
      <c r="AH50" s="75">
        <f>SUM(AE50:AG50)</f>
        <v>0</v>
      </c>
      <c r="AI50" s="81" t="s">
        <v>539</v>
      </c>
      <c r="AJ50" s="74">
        <f>(IF($E50&lt;=0,"0",IF($E50&lt;=20,"168",IF($E50&lt;=30,"165",IF($E50&lt;=50,"155",IF($E50&lt;=60,"135",IF($E50&lt;=70,"105",IF($E50&lt;=80,"60","0"))))))))+0</f>
        <v>0</v>
      </c>
      <c r="AK50" s="79" t="s">
        <v>534</v>
      </c>
      <c r="AL50" s="81">
        <f>(IF($E50&lt;=0,"0",IF($E50&lt;=80,"6","0")))+0</f>
        <v>0</v>
      </c>
      <c r="AM50" s="81">
        <f>(IF($E50&lt;=0,"0",IF($E50&lt;=60,"9",IF($E50&lt;=70,"6","0"))))+0</f>
        <v>0</v>
      </c>
      <c r="AN50" s="81">
        <f>(IF($E50&lt;=0,"0",IF($E50&lt;=40,"9",IF($E50&lt;=50,"6","0"))))+0</f>
        <v>0</v>
      </c>
      <c r="AO50" s="82">
        <f>(IF($E50&lt;=0,"0",IF($E50&lt;=20,"1","0")))+0</f>
        <v>0</v>
      </c>
      <c r="AP50" s="79" t="s">
        <v>236</v>
      </c>
      <c r="AQ50" s="81">
        <f>(IF($E50&lt;=0,"0",IF($E50&lt;=70,"36",IF($E50&lt;=80,"24","0"))))+0</f>
        <v>0</v>
      </c>
      <c r="AR50" s="81">
        <f>(IF($E50&lt;=0,"0",IF($E50&lt;=50,"30",IF($E50&lt;=60,"18","0"))))+0</f>
        <v>0</v>
      </c>
      <c r="AS50" s="81">
        <f>(IF($E50&lt;=0,"0",IF($E50&lt;=20,"18",IF($E50&lt;=40,"15","0"))))+0</f>
        <v>0</v>
      </c>
      <c r="AT50" s="83">
        <f>Summary2831[[#This Row],[3*2]]+Summary2831[[#This Row],[3*22]]+Summary2831[[#This Row],[3*23]]</f>
        <v>0</v>
      </c>
      <c r="AU50" s="85">
        <f>Summary2831[[#This Row],[2*2]]+Summary2831[[#This Row],[2*23]]+Summary2831[[#This Row],[2*24]]</f>
        <v>0</v>
      </c>
      <c r="AV50" s="85">
        <f>Summary2831[[#This Row],[1*2]]+Summary2831[[#This Row],[1*24]]+Summary2831[[#This Row],[1*25]]</f>
        <v>0</v>
      </c>
      <c r="AW50" s="70">
        <f>IF($F50&lt;=0,"0",IF($F50&lt;=6,"19",IF($F50&lt;=7,"18",IF($F50&lt;=8,"9",0))))+0</f>
        <v>0</v>
      </c>
      <c r="AX50" s="70">
        <f>IF($F50&lt;=0,"0",IF($F50&lt;=2,"22",IF($F50&lt;=3,"19",IF($F50&lt;=4,"15",IF($F50&lt;=5,"9",0)))))+0</f>
        <v>0</v>
      </c>
      <c r="AY50" s="70">
        <f>IF($F50&lt;=0,"0",IF($F50&lt;=1,"6",0))+0</f>
        <v>0</v>
      </c>
      <c r="AZ50" s="70">
        <f>IF($G50&lt;=0,"0",IF($G50&lt;=6,"19",IF($G50&lt;=7,"18",IF($G50&lt;=8,"9",0))))+0</f>
        <v>0</v>
      </c>
      <c r="BA50" s="70">
        <f>IF($G50&lt;=0,"0",IF($G50&lt;=2,"22",IF($G50&lt;=3,"19",IF($G50&lt;=4,"15",IF($G50&lt;=5,"9",0)))))+0</f>
        <v>0</v>
      </c>
      <c r="BB50" s="70">
        <f>IF($G50&lt;=0,"0",IF($G50&lt;=1,"6",0))+0</f>
        <v>0</v>
      </c>
      <c r="BC50" s="70">
        <f>IF($H50&lt;=0,"0",IF($H50&lt;=6,"19",IF($H50&lt;=7,"18",IF($H50&lt;=8,"9",0))))+0</f>
        <v>0</v>
      </c>
      <c r="BD50" s="70">
        <f>IF($H50&lt;=0,"0",IF($H50&lt;=2,"22",IF($H50&lt;=3,"19",IF($H50&lt;=4,"15",IF($H50&lt;=5,"9",0)))))+0</f>
        <v>0</v>
      </c>
      <c r="BE50" s="70">
        <f>IF($H50&lt;=0,"0",IF($H50&lt;=1,"6",0))+0</f>
        <v>0</v>
      </c>
      <c r="BF50" s="79">
        <f>SUM(Summary2831[[#This Row],[3*
(Tal)]],Summary2831[[#This Row],[3*
(Asc)]])</f>
        <v>0</v>
      </c>
      <c r="BG50" s="81">
        <f>SUM(Summary2831[[#This Row],[2*
(Tal)]],Summary2831[[#This Row],[2*
(Asc)]])</f>
        <v>0</v>
      </c>
      <c r="BH50" s="82">
        <f>SUM(Summary2831[[#This Row],[1*
(Tal)]],Summary2831[[#This Row],[1*
(Asc)]])</f>
        <v>0</v>
      </c>
      <c r="BI50" s="86">
        <f>(IF($E50&lt;=0,"0",IF($E50&lt;=1,"2092530",IF($E50&lt;=10,"2087525",IF($E50&lt;=20,"2068495",IF($E50&lt;=30,"2005910",IF($E50&lt;=40,"1932830",IF($E50&lt;=50,"1777010",IF($E50&lt;=60,"1546185",IF($E50&lt;=70,"1227000",IF($E50&lt;=80,"804625",IF($E50&lt;=81,"647990",IF($E50&lt;=90,"0",0)))))))))))))+0</f>
        <v>0</v>
      </c>
      <c r="BJ50" s="87">
        <f>(IF($F50&lt;=0,"0",IF($F50&lt;=1,"952500",IF($F50&lt;=2,"940000",IF($F50&lt;=3,"922500",IF($F50&lt;=4,"897500",IF($F50&lt;=5,"867500",IF($F50&lt;=6,"830000",IF($F50&lt;=7,"710000",IF($F50&lt;=8,"450000",0))))))))))+0</f>
        <v>0</v>
      </c>
      <c r="BK50" s="87">
        <f>(IF($G50&lt;=0,"0",IF($G50&lt;=1,"952500",IF($G50&lt;=2,"940000",IF($G50&lt;=3,"922500",IF($G50&lt;=4,"897500",IF($G50&lt;=5,"867500",IF($G50&lt;=6,"830000",IF($G50&lt;=7,"710000",IF($G50&lt;=8,"450000",0))))))))))+0</f>
        <v>0</v>
      </c>
      <c r="BL50" s="87">
        <f>(IF($H50&lt;=0,"0",IF($H50&lt;=1,"952500",IF($H50&lt;=2,"940000",IF($H50&lt;=3,"922500",IF($H50&lt;=4,"897500",IF($H50&lt;=5,"867500",IF($H50&lt;=6,"830000",IF($H50&lt;=7,"710000",IF($H50&lt;=8,"450000",0))))))))))+0</f>
        <v>0</v>
      </c>
      <c r="BM50" s="88">
        <f>SUM(BI50,BJ50,BK50,BL50)</f>
        <v>0</v>
      </c>
    </row>
    <row r="51" spans="1:65">
      <c r="A51" s="46">
        <f ca="1">SUBTOTAL(3,$B$3:Summary2831[[#This Row],[Name]])</f>
        <v>49</v>
      </c>
      <c r="B51" s="140" t="s">
        <v>446</v>
      </c>
      <c r="C51" s="14" t="s">
        <v>621</v>
      </c>
      <c r="D51" s="155">
        <v>3.5</v>
      </c>
      <c r="E51" s="14">
        <v>60</v>
      </c>
      <c r="F51" s="9">
        <v>1</v>
      </c>
      <c r="G51" s="2">
        <v>1</v>
      </c>
      <c r="H51" s="2">
        <v>1</v>
      </c>
      <c r="I51" s="72">
        <v>81</v>
      </c>
      <c r="J51" s="73">
        <v>1</v>
      </c>
      <c r="K51" s="74">
        <v>9</v>
      </c>
      <c r="L51" s="74">
        <v>9</v>
      </c>
      <c r="M51" s="44" t="s">
        <v>284</v>
      </c>
      <c r="N51" s="10">
        <f>(IF($E51&lt;=0,"0",IF($E51&lt;=40,"46",IF($E51&lt;=50,"44",IF($E51&lt;=60,"40",IF($E51&lt;=70,"32",IF($E51&lt;=80,"20","0")))))))+0</f>
        <v>40</v>
      </c>
      <c r="O5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150</v>
      </c>
      <c r="P51" s="49" t="s">
        <v>519</v>
      </c>
      <c r="Q51" s="50">
        <f>T51+W51+Z51</f>
        <v>66</v>
      </c>
      <c r="R51" s="50">
        <f>U51+X51+AA51</f>
        <v>63</v>
      </c>
      <c r="S51" s="51">
        <f>V51+Y51+AB51</f>
        <v>9</v>
      </c>
      <c r="T51" s="123">
        <f>(IF($F51&lt;=0,"0",IF($F51&lt;=6,"22",IF($F51&lt;=7,"18",IF($F51&lt;=8,"12",0)))))+0</f>
        <v>22</v>
      </c>
      <c r="U51" s="124">
        <f>(IF($F51&lt;=0,"0",IF($F51&lt;=2,"21",IF($F51&lt;=3,"19",IF($F51&lt;=4,"15",IF($F51&lt;=5,"9",0))))))+0</f>
        <v>21</v>
      </c>
      <c r="V51" s="124">
        <f>(IF($F51&lt;=0,"0",IF($F51&lt;=1,"3",0)))+0</f>
        <v>3</v>
      </c>
      <c r="W51" s="124">
        <f>(IF($G51&lt;=0,"0",IF($G51&lt;=6,"22",IF($G51&lt;=7,"18",IF($G51&lt;=8,"12",0)))))+0</f>
        <v>22</v>
      </c>
      <c r="X51" s="124">
        <f>(IF($G51&lt;=0,"0",IF($G51&lt;=2,"21",IF($G51&lt;=3,"19",IF($G51&lt;=4,"15",IF($G51&lt;=5,"9",0))))))+0</f>
        <v>21</v>
      </c>
      <c r="Y51" s="124">
        <f>(IF($G51&lt;=0,"0",IF($G51&lt;=1,"3",0)))+0</f>
        <v>3</v>
      </c>
      <c r="Z51" s="124">
        <f>(IF($H51&lt;=0,"0",IF($H51&lt;=6,"22",IF($H51&lt;=7,"18",IF($H51&lt;=8,"12",0)))))+0</f>
        <v>22</v>
      </c>
      <c r="AA51" s="124">
        <f>(IF($H51&lt;=0,"0",IF($H51&lt;=2,"21",IF($H51&lt;=3,"19",IF($H51&lt;=4,"15",IF($H51&lt;=5,"9",0))))))+0</f>
        <v>21</v>
      </c>
      <c r="AB51" s="125">
        <f>(IF($H51&lt;=0,"0",IF($H51&lt;=1,"3",0)))+0</f>
        <v>3</v>
      </c>
      <c r="AC51" s="8" t="s">
        <v>523</v>
      </c>
      <c r="AD51" s="1" t="s">
        <v>524</v>
      </c>
      <c r="AE51" s="126">
        <f>(IF($F51&lt;=0,"0",IF($F51&lt;=6,"4",IF($F51&lt;=7,"3",IF($F51&lt;=8,"2","0")))))+0</f>
        <v>4</v>
      </c>
      <c r="AF51" s="126">
        <f>(IF($G51&lt;=0,"0",IF($G51&lt;=6,"4",IF($G51&lt;=7,"3",IF($G51&lt;=8,"2","0")))))+0</f>
        <v>4</v>
      </c>
      <c r="AG51" s="126">
        <f>(IF($H51&lt;=0,"0",IF($H51&lt;=6,"4",IF($H51&lt;=7,"3",IF($H51&lt;=8,"2","0")))))+0</f>
        <v>4</v>
      </c>
      <c r="AH51" s="10">
        <f>SUM(AE51:AG51)</f>
        <v>12</v>
      </c>
      <c r="AI51" s="1" t="s">
        <v>407</v>
      </c>
      <c r="AJ51" s="2">
        <f>(IF($E51&lt;=0,"0",IF($E51&lt;=20,"168",IF($E51&lt;=30,"165",IF($E51&lt;=50,"155",IF($E51&lt;=60,"135",IF($E51&lt;=70,"105",IF($E51&lt;=80,"60","0"))))))))+0</f>
        <v>135</v>
      </c>
      <c r="AK51" s="44" t="s">
        <v>530</v>
      </c>
      <c r="AL51" s="1">
        <f>(IF($E51&lt;=0,"0",IF($E51&lt;=80,"6","0")))+0</f>
        <v>6</v>
      </c>
      <c r="AM51" s="1">
        <f>(IF($E51&lt;=0,"0",IF($E51&lt;=60,"9",IF($E51&lt;=70,"6","0"))))+0</f>
        <v>9</v>
      </c>
      <c r="AN51" s="1">
        <f>(IF($E51&lt;=0,"0",IF($E51&lt;=40,"9",IF($E51&lt;=50,"6","0"))))+0</f>
        <v>0</v>
      </c>
      <c r="AO51" s="34">
        <f>(IF($E51&lt;=0,"0",IF($E51&lt;=20,"1","0")))+0</f>
        <v>0</v>
      </c>
      <c r="AP51" s="44" t="s">
        <v>236</v>
      </c>
      <c r="AQ51" s="1">
        <f>(IF($E51&lt;=0,"0",IF($E51&lt;=70,"36",IF($E51&lt;=80,"24","0"))))+0</f>
        <v>36</v>
      </c>
      <c r="AR51" s="1">
        <f>(IF($E51&lt;=0,"0",IF($E51&lt;=50,"30",IF($E51&lt;=60,"18","0"))))+0</f>
        <v>18</v>
      </c>
      <c r="AS51" s="1">
        <f>(IF($E51&lt;=0,"0",IF($E51&lt;=20,"18",IF($E51&lt;=40,"15","0"))))+0</f>
        <v>0</v>
      </c>
      <c r="AT51" s="53">
        <f>Summary2831[[#This Row],[3*2]]+Summary2831[[#This Row],[3*22]]+Summary2831[[#This Row],[3*23]]</f>
        <v>57</v>
      </c>
      <c r="AU51" s="52">
        <f>Summary2831[[#This Row],[2*2]]+Summary2831[[#This Row],[2*23]]+Summary2831[[#This Row],[2*24]]</f>
        <v>66</v>
      </c>
      <c r="AV51" s="52">
        <f>Summary2831[[#This Row],[1*2]]+Summary2831[[#This Row],[1*24]]+Summary2831[[#This Row],[1*25]]</f>
        <v>18</v>
      </c>
      <c r="AW51" s="52">
        <f>IF($F51&lt;=0,"0",IF($F51&lt;=6,"19",IF($F51&lt;=7,"18",IF($F51&lt;=8,"9",0))))+0</f>
        <v>19</v>
      </c>
      <c r="AX51" s="52">
        <f>IF($F51&lt;=0,"0",IF($F51&lt;=2,"22",IF($F51&lt;=3,"19",IF($F51&lt;=4,"15",IF($F51&lt;=5,"9",0)))))+0</f>
        <v>22</v>
      </c>
      <c r="AY51" s="52">
        <f>IF($F51&lt;=0,"0",IF($F51&lt;=1,"6",0))+0</f>
        <v>6</v>
      </c>
      <c r="AZ51" s="52">
        <f>IF($G51&lt;=0,"0",IF($G51&lt;=6,"19",IF($G51&lt;=7,"18",IF($G51&lt;=8,"9",0))))+0</f>
        <v>19</v>
      </c>
      <c r="BA51" s="52">
        <f>IF($G51&lt;=0,"0",IF($G51&lt;=2,"22",IF($G51&lt;=3,"19",IF($G51&lt;=4,"15",IF($G51&lt;=5,"9",0)))))+0</f>
        <v>22</v>
      </c>
      <c r="BB51" s="52">
        <f>IF($G51&lt;=0,"0",IF($G51&lt;=1,"6",0))+0</f>
        <v>6</v>
      </c>
      <c r="BC51" s="52">
        <f>IF($H51&lt;=0,"0",IF($H51&lt;=6,"19",IF($H51&lt;=7,"18",IF($H51&lt;=8,"9",0))))+0</f>
        <v>19</v>
      </c>
      <c r="BD51" s="52">
        <f>IF($H51&lt;=0,"0",IF($H51&lt;=2,"22",IF($H51&lt;=3,"19",IF($H51&lt;=4,"15",IF($H51&lt;=5,"9",0)))))+0</f>
        <v>22</v>
      </c>
      <c r="BE51" s="52">
        <f>IF($H51&lt;=0,"0",IF($H51&lt;=1,"6",0))+0</f>
        <v>6</v>
      </c>
      <c r="BF51" s="44">
        <f>SUM(Summary2831[[#This Row],[3*
(Tal)]],Summary2831[[#This Row],[3*
(Asc)]])</f>
        <v>93</v>
      </c>
      <c r="BG51" s="1">
        <f>SUM(Summary2831[[#This Row],[2*
(Tal)]],Summary2831[[#This Row],[2*
(Asc)]])</f>
        <v>84</v>
      </c>
      <c r="BH51" s="34">
        <f>SUM(Summary2831[[#This Row],[1*
(Tal)]],Summary2831[[#This Row],[1*
(Asc)]])</f>
        <v>18</v>
      </c>
      <c r="BI51" s="86">
        <f>(IF($E51&lt;=0,"0",IF($E51&lt;=1,"2092530",IF($E51&lt;=10,"2087525",IF($E51&lt;=20,"2068495",IF($E51&lt;=30,"2005910",IF($E51&lt;=40,"1932830",IF($E51&lt;=50,"1777010",IF($E51&lt;=60,"1546185",IF($E51&lt;=70,"1227000",IF($E51&lt;=80,"804625",IF($E51&lt;=81,"647990",IF($E51&lt;=90,"0",0)))))))))))))+0</f>
        <v>1546185</v>
      </c>
      <c r="BJ51" s="56">
        <f>(IF($F51&lt;=0,"0",IF($F51&lt;=1,"952500",IF($F51&lt;=2,"940000",IF($F51&lt;=3,"922500",IF($F51&lt;=4,"897500",IF($F51&lt;=5,"867500",IF($F51&lt;=6,"830000",IF($F51&lt;=7,"710000",IF($F51&lt;=8,"450000",0))))))))))+0</f>
        <v>952500</v>
      </c>
      <c r="BK51" s="56">
        <f>(IF($G51&lt;=0,"0",IF($G51&lt;=1,"952500",IF($G51&lt;=2,"940000",IF($G51&lt;=3,"922500",IF($G51&lt;=4,"897500",IF($G51&lt;=5,"867500",IF($G51&lt;=6,"830000",IF($G51&lt;=7,"710000",IF($G51&lt;=8,"450000",0))))))))))+0</f>
        <v>952500</v>
      </c>
      <c r="BL51" s="56">
        <f>(IF($H51&lt;=0,"0",IF($H51&lt;=1,"952500",IF($H51&lt;=2,"940000",IF($H51&lt;=3,"922500",IF($H51&lt;=4,"897500",IF($H51&lt;=5,"867500",IF($H51&lt;=6,"830000",IF($H51&lt;=7,"710000",IF($H51&lt;=8,"450000",0))))))))))+0</f>
        <v>952500</v>
      </c>
      <c r="BM51" s="57">
        <f>SUM(BI51,BJ51,BK51,BL51)</f>
        <v>4403685</v>
      </c>
    </row>
    <row r="52" spans="1:65">
      <c r="A52" s="71">
        <f ca="1">SUBTOTAL(3,$B$3:Summary2831[[#This Row],[Name]])</f>
        <v>50</v>
      </c>
      <c r="B52" s="72" t="s">
        <v>430</v>
      </c>
      <c r="C52" s="72" t="s">
        <v>623</v>
      </c>
      <c r="D52" s="155">
        <v>1</v>
      </c>
      <c r="E52" s="72">
        <v>81</v>
      </c>
      <c r="F52" s="73">
        <v>1</v>
      </c>
      <c r="G52" s="74">
        <v>1</v>
      </c>
      <c r="H52" s="74">
        <v>10</v>
      </c>
      <c r="I52" s="72">
        <v>81</v>
      </c>
      <c r="J52" s="73">
        <v>1</v>
      </c>
      <c r="K52" s="74">
        <v>9</v>
      </c>
      <c r="L52" s="74">
        <v>9</v>
      </c>
      <c r="M52" s="79" t="s">
        <v>127</v>
      </c>
      <c r="N52" s="75">
        <f>(IF($E52&lt;=0,"0",IF($E52&lt;=40,"46",IF($E52&lt;=50,"44",IF($E52&lt;=60,"40",IF($E52&lt;=70,"32",IF($E52&lt;=80,"20","0")))))))+0</f>
        <v>0</v>
      </c>
      <c r="O5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2" s="76" t="s">
        <v>549</v>
      </c>
      <c r="Q52" s="77">
        <f>T52+W52+Z52</f>
        <v>44</v>
      </c>
      <c r="R52" s="77">
        <f>U52+X52+AA52</f>
        <v>42</v>
      </c>
      <c r="S52" s="78">
        <f>V52+Y52+AB52</f>
        <v>6</v>
      </c>
      <c r="T52" s="123">
        <f>(IF($F52&lt;=0,"0",IF($F52&lt;=6,"22",IF($F52&lt;=7,"18",IF($F52&lt;=8,"12",0)))))+0</f>
        <v>22</v>
      </c>
      <c r="U52" s="124">
        <f>(IF($F52&lt;=0,"0",IF($F52&lt;=2,"21",IF($F52&lt;=3,"19",IF($F52&lt;=4,"15",IF($F52&lt;=5,"9",0))))))+0</f>
        <v>21</v>
      </c>
      <c r="V52" s="124">
        <f>(IF($F52&lt;=0,"0",IF($F52&lt;=1,"3",0)))+0</f>
        <v>3</v>
      </c>
      <c r="W52" s="124">
        <f>(IF($G52&lt;=0,"0",IF($G52&lt;=6,"22",IF($G52&lt;=7,"18",IF($G52&lt;=8,"12",0)))))+0</f>
        <v>22</v>
      </c>
      <c r="X52" s="124">
        <f>(IF($G52&lt;=0,"0",IF($G52&lt;=2,"21",IF($G52&lt;=3,"19",IF($G52&lt;=4,"15",IF($G52&lt;=5,"9",0))))))+0</f>
        <v>21</v>
      </c>
      <c r="Y52" s="124">
        <f>(IF($G52&lt;=0,"0",IF($G52&lt;=1,"3",0)))+0</f>
        <v>3</v>
      </c>
      <c r="Z52" s="124">
        <f>(IF($H52&lt;=0,"0",IF($H52&lt;=6,"22",IF($H52&lt;=7,"18",IF($H52&lt;=8,"12",0)))))+0</f>
        <v>0</v>
      </c>
      <c r="AA52" s="124">
        <f>(IF($H52&lt;=0,"0",IF($H52&lt;=2,"21",IF($H52&lt;=3,"19",IF($H52&lt;=4,"15",IF($H52&lt;=5,"9",0))))))+0</f>
        <v>0</v>
      </c>
      <c r="AB52" s="125">
        <f>(IF($H52&lt;=0,"0",IF($H52&lt;=1,"3",0)))+0</f>
        <v>0</v>
      </c>
      <c r="AC52" s="80" t="s">
        <v>543</v>
      </c>
      <c r="AD52" s="81" t="s">
        <v>544</v>
      </c>
      <c r="AE52" s="126">
        <f>(IF($F52&lt;=0,"0",IF($F52&lt;=6,"4",IF($F52&lt;=7,"3",IF($F52&lt;=8,"2","0")))))+0</f>
        <v>4</v>
      </c>
      <c r="AF52" s="126">
        <f>(IF($G52&lt;=0,"0",IF($G52&lt;=6,"4",IF($G52&lt;=7,"3",IF($G52&lt;=8,"2","0")))))+0</f>
        <v>4</v>
      </c>
      <c r="AG52" s="126">
        <f>(IF($H52&lt;=0,"0",IF($H52&lt;=6,"4",IF($H52&lt;=7,"3",IF($H52&lt;=8,"2","0")))))+0</f>
        <v>0</v>
      </c>
      <c r="AH52" s="75">
        <f>SUM(AE52:AG52)</f>
        <v>8</v>
      </c>
      <c r="AI52" s="81" t="s">
        <v>545</v>
      </c>
      <c r="AJ52" s="74">
        <f>(IF($E52&lt;=0,"0",IF($E52&lt;=20,"168",IF($E52&lt;=30,"165",IF($E52&lt;=50,"155",IF($E52&lt;=60,"135",IF($E52&lt;=70,"105",IF($E52&lt;=80,"60","0"))))))))+0</f>
        <v>0</v>
      </c>
      <c r="AK52" s="79" t="s">
        <v>546</v>
      </c>
      <c r="AL52" s="81">
        <f>(IF($E52&lt;=0,"0",IF($E52&lt;=80,"6","0")))+0</f>
        <v>0</v>
      </c>
      <c r="AM52" s="81">
        <f>(IF($E52&lt;=0,"0",IF($E52&lt;=60,"9",IF($E52&lt;=70,"6","0"))))+0</f>
        <v>0</v>
      </c>
      <c r="AN52" s="81">
        <f>(IF($E52&lt;=0,"0",IF($E52&lt;=40,"9",IF($E52&lt;=50,"6","0"))))+0</f>
        <v>0</v>
      </c>
      <c r="AO52" s="82">
        <f>(IF($E52&lt;=0,"0",IF($E52&lt;=20,"1","0")))+0</f>
        <v>0</v>
      </c>
      <c r="AP52" s="79" t="s">
        <v>264</v>
      </c>
      <c r="AQ52" s="81">
        <f>(IF($E52&lt;=0,"0",IF($E52&lt;=70,"36",IF($E52&lt;=80,"24","0"))))+0</f>
        <v>0</v>
      </c>
      <c r="AR52" s="81">
        <f>(IF($E52&lt;=0,"0",IF($E52&lt;=50,"30",IF($E52&lt;=60,"18","0"))))+0</f>
        <v>0</v>
      </c>
      <c r="AS52" s="81">
        <f>(IF($E52&lt;=0,"0",IF($E52&lt;=20,"18",IF($E52&lt;=40,"15","0"))))+0</f>
        <v>0</v>
      </c>
      <c r="AT52" s="83">
        <f>Summary2831[[#This Row],[3*2]]+Summary2831[[#This Row],[3*22]]+Summary2831[[#This Row],[3*23]]</f>
        <v>38</v>
      </c>
      <c r="AU52" s="85">
        <f>Summary2831[[#This Row],[2*2]]+Summary2831[[#This Row],[2*23]]+Summary2831[[#This Row],[2*24]]</f>
        <v>44</v>
      </c>
      <c r="AV52" s="85">
        <f>Summary2831[[#This Row],[1*2]]+Summary2831[[#This Row],[1*24]]+Summary2831[[#This Row],[1*25]]</f>
        <v>12</v>
      </c>
      <c r="AW52" s="70">
        <f>IF($F52&lt;=0,"0",IF($F52&lt;=6,"19",IF($F52&lt;=7,"18",IF($F52&lt;=8,"9",0))))+0</f>
        <v>19</v>
      </c>
      <c r="AX52" s="70">
        <f>IF($F52&lt;=0,"0",IF($F52&lt;=2,"22",IF($F52&lt;=3,"19",IF($F52&lt;=4,"15",IF($F52&lt;=5,"9",0)))))+0</f>
        <v>22</v>
      </c>
      <c r="AY52" s="70">
        <f>IF($F52&lt;=0,"0",IF($F52&lt;=1,"6",0))+0</f>
        <v>6</v>
      </c>
      <c r="AZ52" s="70">
        <f>IF($G52&lt;=0,"0",IF($G52&lt;=6,"19",IF($G52&lt;=7,"18",IF($G52&lt;=8,"9",0))))+0</f>
        <v>19</v>
      </c>
      <c r="BA52" s="70">
        <f>IF($G52&lt;=0,"0",IF($G52&lt;=2,"22",IF($G52&lt;=3,"19",IF($G52&lt;=4,"15",IF($G52&lt;=5,"9",0)))))+0</f>
        <v>22</v>
      </c>
      <c r="BB52" s="70">
        <f>IF($G52&lt;=0,"0",IF($G52&lt;=1,"6",0))+0</f>
        <v>6</v>
      </c>
      <c r="BC52" s="70">
        <f>IF($H52&lt;=0,"0",IF($H52&lt;=6,"19",IF($H52&lt;=7,"18",IF($H52&lt;=8,"9",0))))+0</f>
        <v>0</v>
      </c>
      <c r="BD52" s="70">
        <f>IF($H52&lt;=0,"0",IF($H52&lt;=2,"22",IF($H52&lt;=3,"19",IF($H52&lt;=4,"15",IF($H52&lt;=5,"9",0)))))+0</f>
        <v>0</v>
      </c>
      <c r="BE52" s="70">
        <f>IF($H52&lt;=0,"0",IF($H52&lt;=1,"6",0))+0</f>
        <v>0</v>
      </c>
      <c r="BF52" s="79">
        <f>SUM(Summary2831[[#This Row],[3*
(Tal)]],Summary2831[[#This Row],[3*
(Asc)]])</f>
        <v>38</v>
      </c>
      <c r="BG52" s="81">
        <f>SUM(Summary2831[[#This Row],[2*
(Tal)]],Summary2831[[#This Row],[2*
(Asc)]])</f>
        <v>44</v>
      </c>
      <c r="BH52" s="82">
        <f>SUM(Summary2831[[#This Row],[1*
(Tal)]],Summary2831[[#This Row],[1*
(Asc)]])</f>
        <v>12</v>
      </c>
      <c r="BI52" s="86">
        <f>(IF($E52&lt;=0,"0",IF($E52&lt;=1,"2092530",IF($E52&lt;=10,"2087525",IF($E52&lt;=20,"2068495",IF($E52&lt;=30,"2005910",IF($E52&lt;=40,"1932830",IF($E52&lt;=50,"1777010",IF($E52&lt;=60,"1546185",IF($E52&lt;=70,"1227000",IF($E52&lt;=80,"804625",IF($E52&lt;=81,"647990",IF($E52&lt;=90,"0",0)))))))))))))+0</f>
        <v>647990</v>
      </c>
      <c r="BJ52" s="87">
        <f>(IF($F52&lt;=0,"0",IF($F52&lt;=1,"952500",IF($F52&lt;=2,"940000",IF($F52&lt;=3,"922500",IF($F52&lt;=4,"897500",IF($F52&lt;=5,"867500",IF($F52&lt;=6,"830000",IF($F52&lt;=7,"710000",IF($F52&lt;=8,"450000",0))))))))))+0</f>
        <v>952500</v>
      </c>
      <c r="BK52" s="87">
        <f>(IF($G52&lt;=0,"0",IF($G52&lt;=1,"952500",IF($G52&lt;=2,"940000",IF($G52&lt;=3,"922500",IF($G52&lt;=4,"897500",IF($G52&lt;=5,"867500",IF($G52&lt;=6,"830000",IF($G52&lt;=7,"710000",IF($G52&lt;=8,"450000",0))))))))))+0</f>
        <v>952500</v>
      </c>
      <c r="BL52" s="87">
        <f>(IF($H52&lt;=0,"0",IF($H52&lt;=1,"952500",IF($H52&lt;=2,"940000",IF($H52&lt;=3,"922500",IF($H52&lt;=4,"897500",IF($H52&lt;=5,"867500",IF($H52&lt;=6,"830000",IF($H52&lt;=7,"710000",IF($H52&lt;=8,"450000",0))))))))))+0</f>
        <v>0</v>
      </c>
      <c r="BM52" s="88">
        <f>SUM(BI52,BJ52,BK52,BL52)</f>
        <v>2552990</v>
      </c>
    </row>
    <row r="53" spans="1:65">
      <c r="A53" s="71">
        <f ca="1">SUBTOTAL(3,$B$3:Summary2831[[#This Row],[Name]])</f>
        <v>51</v>
      </c>
      <c r="B53" s="72" t="s">
        <v>431</v>
      </c>
      <c r="C53" s="72" t="s">
        <v>620</v>
      </c>
      <c r="D53" s="155">
        <v>3.2</v>
      </c>
      <c r="E53" s="72">
        <v>90</v>
      </c>
      <c r="F53" s="73">
        <v>6</v>
      </c>
      <c r="G53" s="74">
        <v>10</v>
      </c>
      <c r="H53" s="74">
        <v>10</v>
      </c>
      <c r="I53" s="72">
        <v>81</v>
      </c>
      <c r="J53" s="73">
        <v>1</v>
      </c>
      <c r="K53" s="74">
        <v>9</v>
      </c>
      <c r="L53" s="74">
        <v>9</v>
      </c>
      <c r="M53" s="79" t="s">
        <v>277</v>
      </c>
      <c r="N53" s="75">
        <f>(IF($E53&lt;=0,"0",IF($E53&lt;=40,"46",IF($E53&lt;=50,"44",IF($E53&lt;=60,"40",IF($E53&lt;=70,"32",IF($E53&lt;=80,"20","0")))))))+0</f>
        <v>0</v>
      </c>
      <c r="O5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3" s="76" t="s">
        <v>522</v>
      </c>
      <c r="Q53" s="77">
        <f>T53+W53+Z53</f>
        <v>22</v>
      </c>
      <c r="R53" s="77">
        <f>U53+X53+AA53</f>
        <v>0</v>
      </c>
      <c r="S53" s="78">
        <f>V53+Y53+AB53</f>
        <v>0</v>
      </c>
      <c r="T53" s="123">
        <f>(IF($F53&lt;=0,"0",IF($F53&lt;=6,"22",IF($F53&lt;=7,"18",IF($F53&lt;=8,"12",0)))))+0</f>
        <v>22</v>
      </c>
      <c r="U53" s="124">
        <f>(IF($F53&lt;=0,"0",IF($F53&lt;=2,"21",IF($F53&lt;=3,"19",IF($F53&lt;=4,"15",IF($F53&lt;=5,"9",0))))))+0</f>
        <v>0</v>
      </c>
      <c r="V53" s="124">
        <f>(IF($F53&lt;=0,"0",IF($F53&lt;=1,"3",0)))+0</f>
        <v>0</v>
      </c>
      <c r="W53" s="124">
        <f>(IF($G53&lt;=0,"0",IF($G53&lt;=6,"22",IF($G53&lt;=7,"18",IF($G53&lt;=8,"12",0)))))+0</f>
        <v>0</v>
      </c>
      <c r="X53" s="124">
        <f>(IF($G53&lt;=0,"0",IF($G53&lt;=2,"21",IF($G53&lt;=3,"19",IF($G53&lt;=4,"15",IF($G53&lt;=5,"9",0))))))+0</f>
        <v>0</v>
      </c>
      <c r="Y53" s="124">
        <f>(IF($G53&lt;=0,"0",IF($G53&lt;=1,"3",0)))+0</f>
        <v>0</v>
      </c>
      <c r="Z53" s="124">
        <f>(IF($H53&lt;=0,"0",IF($H53&lt;=6,"22",IF($H53&lt;=7,"18",IF($H53&lt;=8,"12",0)))))+0</f>
        <v>0</v>
      </c>
      <c r="AA53" s="124">
        <f>(IF($H53&lt;=0,"0",IF($H53&lt;=2,"21",IF($H53&lt;=3,"19",IF($H53&lt;=4,"15",IF($H53&lt;=5,"9",0))))))+0</f>
        <v>0</v>
      </c>
      <c r="AB53" s="125">
        <f>(IF($H53&lt;=0,"0",IF($H53&lt;=1,"3",0)))+0</f>
        <v>0</v>
      </c>
      <c r="AC53" s="80" t="s">
        <v>523</v>
      </c>
      <c r="AD53" s="81" t="s">
        <v>566</v>
      </c>
      <c r="AE53" s="126">
        <f>(IF($F53&lt;=0,"0",IF($F53&lt;=6,"4",IF($F53&lt;=7,"3",IF($F53&lt;=8,"2","0")))))+0</f>
        <v>4</v>
      </c>
      <c r="AF53" s="126">
        <f>(IF($G53&lt;=0,"0",IF($G53&lt;=6,"4",IF($G53&lt;=7,"3",IF($G53&lt;=8,"2","0")))))+0</f>
        <v>0</v>
      </c>
      <c r="AG53" s="126">
        <f>(IF($H53&lt;=0,"0",IF($H53&lt;=6,"4",IF($H53&lt;=7,"3",IF($H53&lt;=8,"2","0")))))+0</f>
        <v>0</v>
      </c>
      <c r="AH53" s="75">
        <f>SUM(AE53:AG53)</f>
        <v>4</v>
      </c>
      <c r="AI53" s="81" t="s">
        <v>570</v>
      </c>
      <c r="AJ53" s="74">
        <f>(IF($E53&lt;=0,"0",IF($E53&lt;=20,"168",IF($E53&lt;=30,"165",IF($E53&lt;=50,"155",IF($E53&lt;=60,"135",IF($E53&lt;=70,"105",IF($E53&lt;=80,"60","0"))))))))+0</f>
        <v>0</v>
      </c>
      <c r="AK53" s="79" t="s">
        <v>526</v>
      </c>
      <c r="AL53" s="81">
        <f>(IF($E53&lt;=0,"0",IF($E53&lt;=80,"6","0")))+0</f>
        <v>0</v>
      </c>
      <c r="AM53" s="81">
        <f>(IF($E53&lt;=0,"0",IF($E53&lt;=60,"9",IF($E53&lt;=70,"6","0"))))+0</f>
        <v>0</v>
      </c>
      <c r="AN53" s="81">
        <f>(IF($E53&lt;=0,"0",IF($E53&lt;=40,"9",IF($E53&lt;=50,"6","0"))))+0</f>
        <v>0</v>
      </c>
      <c r="AO53" s="82">
        <f>(IF($E53&lt;=0,"0",IF($E53&lt;=20,"1","0")))+0</f>
        <v>0</v>
      </c>
      <c r="AP53" s="79" t="s">
        <v>336</v>
      </c>
      <c r="AQ53" s="81">
        <f>(IF($E53&lt;=0,"0",IF($E53&lt;=70,"36",IF($E53&lt;=80,"24","0"))))+0</f>
        <v>0</v>
      </c>
      <c r="AR53" s="81">
        <f>(IF($E53&lt;=0,"0",IF($E53&lt;=50,"30",IF($E53&lt;=60,"18","0"))))+0</f>
        <v>0</v>
      </c>
      <c r="AS53" s="81">
        <f>(IF($E53&lt;=0,"0",IF($E53&lt;=20,"18",IF($E53&lt;=40,"15","0"))))+0</f>
        <v>0</v>
      </c>
      <c r="AT53" s="83">
        <f>Summary2831[[#This Row],[3*2]]+Summary2831[[#This Row],[3*22]]+Summary2831[[#This Row],[3*23]]</f>
        <v>19</v>
      </c>
      <c r="AU53" s="85">
        <f>Summary2831[[#This Row],[2*2]]+Summary2831[[#This Row],[2*23]]+Summary2831[[#This Row],[2*24]]</f>
        <v>0</v>
      </c>
      <c r="AV53" s="85">
        <f>Summary2831[[#This Row],[1*2]]+Summary2831[[#This Row],[1*24]]+Summary2831[[#This Row],[1*25]]</f>
        <v>0</v>
      </c>
      <c r="AW53" s="70">
        <f>IF($F53&lt;=0,"0",IF($F53&lt;=6,"19",IF($F53&lt;=7,"18",IF($F53&lt;=8,"9",0))))+0</f>
        <v>19</v>
      </c>
      <c r="AX53" s="70">
        <f>IF($F53&lt;=0,"0",IF($F53&lt;=2,"22",IF($F53&lt;=3,"19",IF($F53&lt;=4,"15",IF($F53&lt;=5,"9",0)))))+0</f>
        <v>0</v>
      </c>
      <c r="AY53" s="70">
        <f>IF($F53&lt;=0,"0",IF($F53&lt;=1,"6",0))+0</f>
        <v>0</v>
      </c>
      <c r="AZ53" s="70">
        <f>IF($G53&lt;=0,"0",IF($G53&lt;=6,"19",IF($G53&lt;=7,"18",IF($G53&lt;=8,"9",0))))+0</f>
        <v>0</v>
      </c>
      <c r="BA53" s="70">
        <f>IF($G53&lt;=0,"0",IF($G53&lt;=2,"22",IF($G53&lt;=3,"19",IF($G53&lt;=4,"15",IF($G53&lt;=5,"9",0)))))+0</f>
        <v>0</v>
      </c>
      <c r="BB53" s="70">
        <f>IF($G53&lt;=0,"0",IF($G53&lt;=1,"6",0))+0</f>
        <v>0</v>
      </c>
      <c r="BC53" s="70">
        <f>IF($H53&lt;=0,"0",IF($H53&lt;=6,"19",IF($H53&lt;=7,"18",IF($H53&lt;=8,"9",0))))+0</f>
        <v>0</v>
      </c>
      <c r="BD53" s="70">
        <f>IF($H53&lt;=0,"0",IF($H53&lt;=2,"22",IF($H53&lt;=3,"19",IF($H53&lt;=4,"15",IF($H53&lt;=5,"9",0)))))+0</f>
        <v>0</v>
      </c>
      <c r="BE53" s="70">
        <f>IF($H53&lt;=0,"0",IF($H53&lt;=1,"6",0))+0</f>
        <v>0</v>
      </c>
      <c r="BF53" s="79">
        <f>SUM(Summary2831[[#This Row],[3*
(Tal)]],Summary2831[[#This Row],[3*
(Asc)]])</f>
        <v>19</v>
      </c>
      <c r="BG53" s="81">
        <f>SUM(Summary2831[[#This Row],[2*
(Tal)]],Summary2831[[#This Row],[2*
(Asc)]])</f>
        <v>0</v>
      </c>
      <c r="BH53" s="82">
        <f>SUM(Summary2831[[#This Row],[1*
(Tal)]],Summary2831[[#This Row],[1*
(Asc)]])</f>
        <v>0</v>
      </c>
      <c r="BI53" s="86">
        <f>(IF($E53&lt;=0,"0",IF($E53&lt;=1,"2092530",IF($E53&lt;=10,"2087525",IF($E53&lt;=20,"2068495",IF($E53&lt;=30,"2005910",IF($E53&lt;=40,"1932830",IF($E53&lt;=50,"1777010",IF($E53&lt;=60,"1546185",IF($E53&lt;=70,"1227000",IF($E53&lt;=80,"804625",IF($E53&lt;=81,"647990",IF($E53&lt;=90,"0",0)))))))))))))+0</f>
        <v>0</v>
      </c>
      <c r="BJ53" s="87">
        <f>(IF($F53&lt;=0,"0",IF($F53&lt;=1,"952500",IF($F53&lt;=2,"940000",IF($F53&lt;=3,"922500",IF($F53&lt;=4,"897500",IF($F53&lt;=5,"867500",IF($F53&lt;=6,"830000",IF($F53&lt;=7,"710000",IF($F53&lt;=8,"450000",0))))))))))+0</f>
        <v>830000</v>
      </c>
      <c r="BK53" s="87">
        <f>(IF($G53&lt;=0,"0",IF($G53&lt;=1,"952500",IF($G53&lt;=2,"940000",IF($G53&lt;=3,"922500",IF($G53&lt;=4,"897500",IF($G53&lt;=5,"867500",IF($G53&lt;=6,"830000",IF($G53&lt;=7,"710000",IF($G53&lt;=8,"450000",0))))))))))+0</f>
        <v>0</v>
      </c>
      <c r="BL53" s="87">
        <f>(IF($H53&lt;=0,"0",IF($H53&lt;=1,"952500",IF($H53&lt;=2,"940000",IF($H53&lt;=3,"922500",IF($H53&lt;=4,"897500",IF($H53&lt;=5,"867500",IF($H53&lt;=6,"830000",IF($H53&lt;=7,"710000",IF($H53&lt;=8,"450000",0))))))))))+0</f>
        <v>0</v>
      </c>
      <c r="BM53" s="88">
        <f>SUM(BI53,BJ53,BK53,BL53)</f>
        <v>830000</v>
      </c>
    </row>
    <row r="54" spans="1:65">
      <c r="A54" s="71">
        <f ca="1">SUBTOTAL(3,$B$3:Summary2831[[#This Row],[Name]])</f>
        <v>52</v>
      </c>
      <c r="B54" s="72" t="s">
        <v>419</v>
      </c>
      <c r="C54" s="72" t="s">
        <v>619</v>
      </c>
      <c r="D54" s="154">
        <v>4.3</v>
      </c>
      <c r="E54" s="72">
        <v>0</v>
      </c>
      <c r="F54" s="73">
        <v>0</v>
      </c>
      <c r="G54" s="74">
        <v>0</v>
      </c>
      <c r="H54" s="74">
        <v>0</v>
      </c>
      <c r="I54" s="72">
        <v>81</v>
      </c>
      <c r="J54" s="73">
        <v>1</v>
      </c>
      <c r="K54" s="74">
        <v>9</v>
      </c>
      <c r="L54" s="74">
        <v>9</v>
      </c>
      <c r="M54" s="79" t="s">
        <v>307</v>
      </c>
      <c r="N54" s="75">
        <f>(IF($E54&lt;=0,"0",IF($E54&lt;=40,"46",IF($E54&lt;=50,"44",IF($E54&lt;=60,"40",IF($E54&lt;=70,"32",IF($E54&lt;=80,"20","0")))))))+0</f>
        <v>0</v>
      </c>
      <c r="O5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4" s="76" t="s">
        <v>597</v>
      </c>
      <c r="Q54" s="77">
        <f>T54+W54+Z54</f>
        <v>0</v>
      </c>
      <c r="R54" s="77">
        <f>U54+X54+AA54</f>
        <v>0</v>
      </c>
      <c r="S54" s="78">
        <f>V54+Y54+AB54</f>
        <v>0</v>
      </c>
      <c r="T54" s="123">
        <f>(IF($F54&lt;=0,"0",IF($F54&lt;=6,"22",IF($F54&lt;=7,"18",IF($F54&lt;=8,"12",0)))))+0</f>
        <v>0</v>
      </c>
      <c r="U54" s="124">
        <f>(IF($F54&lt;=0,"0",IF($F54&lt;=2,"21",IF($F54&lt;=3,"19",IF($F54&lt;=4,"15",IF($F54&lt;=5,"9",0))))))+0</f>
        <v>0</v>
      </c>
      <c r="V54" s="124">
        <f>(IF($F54&lt;=0,"0",IF($F54&lt;=1,"3",0)))+0</f>
        <v>0</v>
      </c>
      <c r="W54" s="124">
        <f>(IF($G54&lt;=0,"0",IF($G54&lt;=6,"22",IF($G54&lt;=7,"18",IF($G54&lt;=8,"12",0)))))+0</f>
        <v>0</v>
      </c>
      <c r="X54" s="124">
        <f>(IF($G54&lt;=0,"0",IF($G54&lt;=2,"21",IF($G54&lt;=3,"19",IF($G54&lt;=4,"15",IF($G54&lt;=5,"9",0))))))+0</f>
        <v>0</v>
      </c>
      <c r="Y54" s="124">
        <f>(IF($G54&lt;=0,"0",IF($G54&lt;=1,"3",0)))+0</f>
        <v>0</v>
      </c>
      <c r="Z54" s="124">
        <f>(IF($H54&lt;=0,"0",IF($H54&lt;=6,"22",IF($H54&lt;=7,"18",IF($H54&lt;=8,"12",0)))))+0</f>
        <v>0</v>
      </c>
      <c r="AA54" s="124">
        <f>(IF($H54&lt;=0,"0",IF($H54&lt;=2,"21",IF($H54&lt;=3,"19",IF($H54&lt;=4,"15",IF($H54&lt;=5,"9",0))))))+0</f>
        <v>0</v>
      </c>
      <c r="AB54" s="125">
        <f>(IF($H54&lt;=0,"0",IF($H54&lt;=1,"3",0)))+0</f>
        <v>0</v>
      </c>
      <c r="AC54" s="80" t="s">
        <v>557</v>
      </c>
      <c r="AD54" s="81" t="s">
        <v>558</v>
      </c>
      <c r="AE54" s="126">
        <f>(IF($F54&lt;=0,"0",IF($F54&lt;=6,"4",IF($F54&lt;=7,"3",IF($F54&lt;=8,"2","0")))))+0</f>
        <v>0</v>
      </c>
      <c r="AF54" s="126">
        <f>(IF($G54&lt;=0,"0",IF($G54&lt;=6,"4",IF($G54&lt;=7,"3",IF($G54&lt;=8,"2","0")))))+0</f>
        <v>0</v>
      </c>
      <c r="AG54" s="126">
        <f>(IF($H54&lt;=0,"0",IF($H54&lt;=6,"4",IF($H54&lt;=7,"3",IF($H54&lt;=8,"2","0")))))+0</f>
        <v>0</v>
      </c>
      <c r="AH54" s="75">
        <f>SUM(AE54:AG54)</f>
        <v>0</v>
      </c>
      <c r="AI54" s="81" t="s">
        <v>598</v>
      </c>
      <c r="AJ54" s="74">
        <f>(IF($E54&lt;=0,"0",IF($E54&lt;=20,"168",IF($E54&lt;=30,"165",IF($E54&lt;=50,"155",IF($E54&lt;=60,"135",IF($E54&lt;=70,"105",IF($E54&lt;=80,"60","0"))))))))+0</f>
        <v>0</v>
      </c>
      <c r="AK54" s="79" t="s">
        <v>521</v>
      </c>
      <c r="AL54" s="81">
        <f>(IF($E54&lt;=0,"0",IF($E54&lt;=80,"6","0")))+0</f>
        <v>0</v>
      </c>
      <c r="AM54" s="81">
        <f>(IF($E54&lt;=0,"0",IF($E54&lt;=60,"9",IF($E54&lt;=70,"6","0"))))+0</f>
        <v>0</v>
      </c>
      <c r="AN54" s="81">
        <f>(IF($E54&lt;=0,"0",IF($E54&lt;=40,"9",IF($E54&lt;=50,"6","0"))))+0</f>
        <v>0</v>
      </c>
      <c r="AO54" s="82">
        <f>(IF($E54&lt;=0,"0",IF($E54&lt;=20,"1","0")))+0</f>
        <v>0</v>
      </c>
      <c r="AP54" s="79" t="s">
        <v>373</v>
      </c>
      <c r="AQ54" s="81">
        <f>(IF($E54&lt;=0,"0",IF($E54&lt;=70,"36",IF($E54&lt;=80,"24","0"))))+0</f>
        <v>0</v>
      </c>
      <c r="AR54" s="81">
        <f>(IF($E54&lt;=0,"0",IF($E54&lt;=50,"30",IF($E54&lt;=60,"18","0"))))+0</f>
        <v>0</v>
      </c>
      <c r="AS54" s="81">
        <f>(IF($E54&lt;=0,"0",IF($E54&lt;=20,"18",IF($E54&lt;=40,"15","0"))))+0</f>
        <v>0</v>
      </c>
      <c r="AT54" s="83">
        <f>Summary2831[[#This Row],[3*2]]+Summary2831[[#This Row],[3*22]]+Summary2831[[#This Row],[3*23]]</f>
        <v>0</v>
      </c>
      <c r="AU54" s="85">
        <f>Summary2831[[#This Row],[2*2]]+Summary2831[[#This Row],[2*23]]+Summary2831[[#This Row],[2*24]]</f>
        <v>0</v>
      </c>
      <c r="AV54" s="85">
        <f>Summary2831[[#This Row],[1*2]]+Summary2831[[#This Row],[1*24]]+Summary2831[[#This Row],[1*25]]</f>
        <v>0</v>
      </c>
      <c r="AW54" s="70">
        <f>IF($F54&lt;=0,"0",IF($F54&lt;=6,"19",IF($F54&lt;=7,"18",IF($F54&lt;=8,"9",0))))+0</f>
        <v>0</v>
      </c>
      <c r="AX54" s="70">
        <f>IF($F54&lt;=0,"0",IF($F54&lt;=2,"22",IF($F54&lt;=3,"19",IF($F54&lt;=4,"15",IF($F54&lt;=5,"9",0)))))+0</f>
        <v>0</v>
      </c>
      <c r="AY54" s="70">
        <f>IF($F54&lt;=0,"0",IF($F54&lt;=1,"6",0))+0</f>
        <v>0</v>
      </c>
      <c r="AZ54" s="70">
        <f>IF($G54&lt;=0,"0",IF($G54&lt;=6,"19",IF($G54&lt;=7,"18",IF($G54&lt;=8,"9",0))))+0</f>
        <v>0</v>
      </c>
      <c r="BA54" s="70">
        <f>IF($G54&lt;=0,"0",IF($G54&lt;=2,"22",IF($G54&lt;=3,"19",IF($G54&lt;=4,"15",IF($G54&lt;=5,"9",0)))))+0</f>
        <v>0</v>
      </c>
      <c r="BB54" s="70">
        <f>IF($G54&lt;=0,"0",IF($G54&lt;=1,"6",0))+0</f>
        <v>0</v>
      </c>
      <c r="BC54" s="70">
        <f>IF($H54&lt;=0,"0",IF($H54&lt;=6,"19",IF($H54&lt;=7,"18",IF($H54&lt;=8,"9",0))))+0</f>
        <v>0</v>
      </c>
      <c r="BD54" s="70">
        <f>IF($H54&lt;=0,"0",IF($H54&lt;=2,"22",IF($H54&lt;=3,"19",IF($H54&lt;=4,"15",IF($H54&lt;=5,"9",0)))))+0</f>
        <v>0</v>
      </c>
      <c r="BE54" s="70">
        <f>IF($H54&lt;=0,"0",IF($H54&lt;=1,"6",0))+0</f>
        <v>0</v>
      </c>
      <c r="BF54" s="79">
        <f>SUM(Summary2831[[#This Row],[3*
(Tal)]],Summary2831[[#This Row],[3*
(Asc)]])</f>
        <v>0</v>
      </c>
      <c r="BG54" s="81">
        <f>SUM(Summary2831[[#This Row],[2*
(Tal)]],Summary2831[[#This Row],[2*
(Asc)]])</f>
        <v>0</v>
      </c>
      <c r="BH54" s="82">
        <f>SUM(Summary2831[[#This Row],[1*
(Tal)]],Summary2831[[#This Row],[1*
(Asc)]])</f>
        <v>0</v>
      </c>
      <c r="BI54" s="86">
        <f>(IF($E54&lt;=0,"0",IF($E54&lt;=1,"2092530",IF($E54&lt;=10,"2087525",IF($E54&lt;=20,"2068495",IF($E54&lt;=30,"2005910",IF($E54&lt;=40,"1932830",IF($E54&lt;=50,"1777010",IF($E54&lt;=60,"1546185",IF($E54&lt;=70,"1227000",IF($E54&lt;=80,"804625",IF($E54&lt;=81,"647990",IF($E54&lt;=90,"0",0)))))))))))))+0</f>
        <v>0</v>
      </c>
      <c r="BJ54" s="87">
        <f>(IF($F54&lt;=0,"0",IF($F54&lt;=1,"952500",IF($F54&lt;=2,"940000",IF($F54&lt;=3,"922500",IF($F54&lt;=4,"897500",IF($F54&lt;=5,"867500",IF($F54&lt;=6,"830000",IF($F54&lt;=7,"710000",IF($F54&lt;=8,"450000",0))))))))))+0</f>
        <v>0</v>
      </c>
      <c r="BK54" s="87">
        <f>(IF($G54&lt;=0,"0",IF($G54&lt;=1,"952500",IF($G54&lt;=2,"940000",IF($G54&lt;=3,"922500",IF($G54&lt;=4,"897500",IF($G54&lt;=5,"867500",IF($G54&lt;=6,"830000",IF($G54&lt;=7,"710000",IF($G54&lt;=8,"450000",0))))))))))+0</f>
        <v>0</v>
      </c>
      <c r="BL54" s="87">
        <f>(IF($H54&lt;=0,"0",IF($H54&lt;=1,"952500",IF($H54&lt;=2,"940000",IF($H54&lt;=3,"922500",IF($H54&lt;=4,"897500",IF($H54&lt;=5,"867500",IF($H54&lt;=6,"830000",IF($H54&lt;=7,"710000",IF($H54&lt;=8,"450000",0))))))))))+0</f>
        <v>0</v>
      </c>
      <c r="BM54" s="88">
        <f>SUM(BI54,BJ54,BK54,BL54)</f>
        <v>0</v>
      </c>
    </row>
    <row r="55" spans="1:65" s="81" customFormat="1">
      <c r="A55" s="71">
        <f ca="1">SUBTOTAL(3,$B$3:Summary2831[[#This Row],[Name]])</f>
        <v>53</v>
      </c>
      <c r="B55" s="72" t="s">
        <v>432</v>
      </c>
      <c r="C55" s="72" t="s">
        <v>623</v>
      </c>
      <c r="D55" s="154">
        <v>4.0999999999999996</v>
      </c>
      <c r="E55" s="72">
        <v>90</v>
      </c>
      <c r="F55" s="73">
        <v>10</v>
      </c>
      <c r="G55" s="74">
        <v>10</v>
      </c>
      <c r="H55" s="74">
        <v>10</v>
      </c>
      <c r="I55" s="72">
        <v>81</v>
      </c>
      <c r="J55" s="73">
        <v>1</v>
      </c>
      <c r="K55" s="74">
        <v>9</v>
      </c>
      <c r="L55" s="74">
        <v>9</v>
      </c>
      <c r="M55" s="79" t="s">
        <v>333</v>
      </c>
      <c r="N55" s="75">
        <f>(IF($E55&lt;=0,"0",IF($E55&lt;=40,"46",IF($E55&lt;=50,"44",IF($E55&lt;=60,"40",IF($E55&lt;=70,"32",IF($E55&lt;=80,"20","0")))))))+0</f>
        <v>0</v>
      </c>
      <c r="O5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5" s="76" t="s">
        <v>597</v>
      </c>
      <c r="Q55" s="77">
        <f>T55+W55+Z55</f>
        <v>0</v>
      </c>
      <c r="R55" s="77">
        <f>U55+X55+AA55</f>
        <v>0</v>
      </c>
      <c r="S55" s="78">
        <f>V55+Y55+AB55</f>
        <v>0</v>
      </c>
      <c r="T55" s="123">
        <f>(IF($F55&lt;=0,"0",IF($F55&lt;=6,"22",IF($F55&lt;=7,"18",IF($F55&lt;=8,"12",0)))))+0</f>
        <v>0</v>
      </c>
      <c r="U55" s="124">
        <f>(IF($F55&lt;=0,"0",IF($F55&lt;=2,"21",IF($F55&lt;=3,"19",IF($F55&lt;=4,"15",IF($F55&lt;=5,"9",0))))))+0</f>
        <v>0</v>
      </c>
      <c r="V55" s="124">
        <f>(IF($F55&lt;=0,"0",IF($F55&lt;=1,"3",0)))+0</f>
        <v>0</v>
      </c>
      <c r="W55" s="124">
        <f>(IF($G55&lt;=0,"0",IF($G55&lt;=6,"22",IF($G55&lt;=7,"18",IF($G55&lt;=8,"12",0)))))+0</f>
        <v>0</v>
      </c>
      <c r="X55" s="124">
        <f>(IF($G55&lt;=0,"0",IF($G55&lt;=2,"21",IF($G55&lt;=3,"19",IF($G55&lt;=4,"15",IF($G55&lt;=5,"9",0))))))+0</f>
        <v>0</v>
      </c>
      <c r="Y55" s="124">
        <f>(IF($G55&lt;=0,"0",IF($G55&lt;=1,"3",0)))+0</f>
        <v>0</v>
      </c>
      <c r="Z55" s="124">
        <f>(IF($H55&lt;=0,"0",IF($H55&lt;=6,"22",IF($H55&lt;=7,"18",IF($H55&lt;=8,"12",0)))))+0</f>
        <v>0</v>
      </c>
      <c r="AA55" s="124">
        <f>(IF($H55&lt;=0,"0",IF($H55&lt;=2,"21",IF($H55&lt;=3,"19",IF($H55&lt;=4,"15",IF($H55&lt;=5,"9",0))))))+0</f>
        <v>0</v>
      </c>
      <c r="AB55" s="125">
        <f>(IF($H55&lt;=0,"0",IF($H55&lt;=1,"3",0)))+0</f>
        <v>0</v>
      </c>
      <c r="AC55" s="80" t="s">
        <v>541</v>
      </c>
      <c r="AD55" s="81" t="s">
        <v>295</v>
      </c>
      <c r="AE55" s="126">
        <f>(IF($F55&lt;=0,"0",IF($F55&lt;=6,"4",IF($F55&lt;=7,"3",IF($F55&lt;=8,"2","0")))))+0</f>
        <v>0</v>
      </c>
      <c r="AF55" s="126">
        <f>(IF($G55&lt;=0,"0",IF($G55&lt;=6,"4",IF($G55&lt;=7,"3",IF($G55&lt;=8,"2","0")))))+0</f>
        <v>0</v>
      </c>
      <c r="AG55" s="126">
        <f>(IF($H55&lt;=0,"0",IF($H55&lt;=6,"4",IF($H55&lt;=7,"3",IF($H55&lt;=8,"2","0")))))+0</f>
        <v>0</v>
      </c>
      <c r="AH55" s="75">
        <f>SUM(AE55:AG55)</f>
        <v>0</v>
      </c>
      <c r="AI55" s="81" t="s">
        <v>248</v>
      </c>
      <c r="AJ55" s="74">
        <f>(IF($E55&lt;=0,"0",IF($E55&lt;=20,"168",IF($E55&lt;=30,"165",IF($E55&lt;=50,"155",IF($E55&lt;=60,"135",IF($E55&lt;=70,"105",IF($E55&lt;=80,"60","0"))))))))+0</f>
        <v>0</v>
      </c>
      <c r="AK55" s="79" t="s">
        <v>546</v>
      </c>
      <c r="AL55" s="81">
        <f>(IF($E55&lt;=0,"0",IF($E55&lt;=80,"6","0")))+0</f>
        <v>0</v>
      </c>
      <c r="AM55" s="81">
        <f>(IF($E55&lt;=0,"0",IF($E55&lt;=60,"9",IF($E55&lt;=70,"6","0"))))+0</f>
        <v>0</v>
      </c>
      <c r="AN55" s="81">
        <f>(IF($E55&lt;=0,"0",IF($E55&lt;=40,"9",IF($E55&lt;=50,"6","0"))))+0</f>
        <v>0</v>
      </c>
      <c r="AO55" s="82">
        <f>(IF($E55&lt;=0,"0",IF($E55&lt;=20,"1","0")))+0</f>
        <v>0</v>
      </c>
      <c r="AP55" s="79" t="s">
        <v>373</v>
      </c>
      <c r="AQ55" s="81">
        <f>(IF($E55&lt;=0,"0",IF($E55&lt;=70,"36",IF($E55&lt;=80,"24","0"))))+0</f>
        <v>0</v>
      </c>
      <c r="AR55" s="81">
        <f>(IF($E55&lt;=0,"0",IF($E55&lt;=50,"30",IF($E55&lt;=60,"18","0"))))+0</f>
        <v>0</v>
      </c>
      <c r="AS55" s="81">
        <f>(IF($E55&lt;=0,"0",IF($E55&lt;=20,"18",IF($E55&lt;=40,"15","0"))))+0</f>
        <v>0</v>
      </c>
      <c r="AT55" s="83">
        <f>Summary2831[[#This Row],[3*2]]+Summary2831[[#This Row],[3*22]]+Summary2831[[#This Row],[3*23]]</f>
        <v>0</v>
      </c>
      <c r="AU55" s="85">
        <f>Summary2831[[#This Row],[2*2]]+Summary2831[[#This Row],[2*23]]+Summary2831[[#This Row],[2*24]]</f>
        <v>0</v>
      </c>
      <c r="AV55" s="85">
        <f>Summary2831[[#This Row],[1*2]]+Summary2831[[#This Row],[1*24]]+Summary2831[[#This Row],[1*25]]</f>
        <v>0</v>
      </c>
      <c r="AW55" s="70">
        <f>IF($F55&lt;=0,"0",IF($F55&lt;=6,"19",IF($F55&lt;=7,"18",IF($F55&lt;=8,"9",0))))+0</f>
        <v>0</v>
      </c>
      <c r="AX55" s="70">
        <f>IF($F55&lt;=0,"0",IF($F55&lt;=2,"22",IF($F55&lt;=3,"19",IF($F55&lt;=4,"15",IF($F55&lt;=5,"9",0)))))+0</f>
        <v>0</v>
      </c>
      <c r="AY55" s="70">
        <f>IF($F55&lt;=0,"0",IF($F55&lt;=1,"6",0))+0</f>
        <v>0</v>
      </c>
      <c r="AZ55" s="70">
        <f>IF($G55&lt;=0,"0",IF($G55&lt;=6,"19",IF($G55&lt;=7,"18",IF($G55&lt;=8,"9",0))))+0</f>
        <v>0</v>
      </c>
      <c r="BA55" s="70">
        <f>IF($G55&lt;=0,"0",IF($G55&lt;=2,"22",IF($G55&lt;=3,"19",IF($G55&lt;=4,"15",IF($G55&lt;=5,"9",0)))))+0</f>
        <v>0</v>
      </c>
      <c r="BB55" s="70">
        <f>IF($G55&lt;=0,"0",IF($G55&lt;=1,"6",0))+0</f>
        <v>0</v>
      </c>
      <c r="BC55" s="70">
        <f>IF($H55&lt;=0,"0",IF($H55&lt;=6,"19",IF($H55&lt;=7,"18",IF($H55&lt;=8,"9",0))))+0</f>
        <v>0</v>
      </c>
      <c r="BD55" s="70">
        <f>IF($H55&lt;=0,"0",IF($H55&lt;=2,"22",IF($H55&lt;=3,"19",IF($H55&lt;=4,"15",IF($H55&lt;=5,"9",0)))))+0</f>
        <v>0</v>
      </c>
      <c r="BE55" s="70">
        <f>IF($H55&lt;=0,"0",IF($H55&lt;=1,"6",0))+0</f>
        <v>0</v>
      </c>
      <c r="BF55" s="79">
        <f>SUM(Summary2831[[#This Row],[3*
(Tal)]],Summary2831[[#This Row],[3*
(Asc)]])</f>
        <v>0</v>
      </c>
      <c r="BG55" s="81">
        <f>SUM(Summary2831[[#This Row],[2*
(Tal)]],Summary2831[[#This Row],[2*
(Asc)]])</f>
        <v>0</v>
      </c>
      <c r="BH55" s="82">
        <f>SUM(Summary2831[[#This Row],[1*
(Tal)]],Summary2831[[#This Row],[1*
(Asc)]])</f>
        <v>0</v>
      </c>
      <c r="BI55" s="86">
        <f>(IF($E55&lt;=0,"0",IF($E55&lt;=1,"2092530",IF($E55&lt;=10,"2087525",IF($E55&lt;=20,"2068495",IF($E55&lt;=30,"2005910",IF($E55&lt;=40,"1932830",IF($E55&lt;=50,"1777010",IF($E55&lt;=60,"1546185",IF($E55&lt;=70,"1227000",IF($E55&lt;=80,"804625",IF($E55&lt;=81,"647990",IF($E55&lt;=90,"0",0)))))))))))))+0</f>
        <v>0</v>
      </c>
      <c r="BJ55" s="87">
        <f>(IF($F55&lt;=0,"0",IF($F55&lt;=1,"952500",IF($F55&lt;=2,"940000",IF($F55&lt;=3,"922500",IF($F55&lt;=4,"897500",IF($F55&lt;=5,"867500",IF($F55&lt;=6,"830000",IF($F55&lt;=7,"710000",IF($F55&lt;=8,"450000",0))))))))))+0</f>
        <v>0</v>
      </c>
      <c r="BK55" s="87">
        <f>(IF($G55&lt;=0,"0",IF($G55&lt;=1,"952500",IF($G55&lt;=2,"940000",IF($G55&lt;=3,"922500",IF($G55&lt;=4,"897500",IF($G55&lt;=5,"867500",IF($G55&lt;=6,"830000",IF($G55&lt;=7,"710000",IF($G55&lt;=8,"450000",0))))))))))+0</f>
        <v>0</v>
      </c>
      <c r="BL55" s="87">
        <f>(IF($H55&lt;=0,"0",IF($H55&lt;=1,"952500",IF($H55&lt;=2,"940000",IF($H55&lt;=3,"922500",IF($H55&lt;=4,"897500",IF($H55&lt;=5,"867500",IF($H55&lt;=6,"830000",IF($H55&lt;=7,"710000",IF($H55&lt;=8,"450000",0))))))))))+0</f>
        <v>0</v>
      </c>
      <c r="BM55" s="88">
        <f>SUM(BI55,BJ55,BK55,BL55)</f>
        <v>0</v>
      </c>
    </row>
    <row r="56" spans="1:65">
      <c r="A56" s="71">
        <f ca="1">SUBTOTAL(3,$B$3:Summary2831[[#This Row],[Name]])</f>
        <v>54</v>
      </c>
      <c r="B56" s="72" t="s">
        <v>242</v>
      </c>
      <c r="C56" s="72" t="s">
        <v>623</v>
      </c>
      <c r="D56" s="154">
        <v>3.1</v>
      </c>
      <c r="E56" s="72">
        <v>0</v>
      </c>
      <c r="F56" s="73">
        <v>0</v>
      </c>
      <c r="G56" s="74">
        <v>0</v>
      </c>
      <c r="H56" s="74">
        <v>0</v>
      </c>
      <c r="I56" s="72">
        <v>81</v>
      </c>
      <c r="J56" s="73">
        <v>1</v>
      </c>
      <c r="K56" s="74">
        <v>9</v>
      </c>
      <c r="L56" s="74">
        <v>9</v>
      </c>
      <c r="M56" s="79" t="s">
        <v>261</v>
      </c>
      <c r="N56" s="75">
        <f>(IF($E56&lt;=0,"0",IF($E56&lt;=40,"46",IF($E56&lt;=50,"44",IF($E56&lt;=60,"40",IF($E56&lt;=70,"32",IF($E56&lt;=80,"20","0")))))))+0</f>
        <v>0</v>
      </c>
      <c r="O5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6" s="76" t="s">
        <v>39</v>
      </c>
      <c r="Q56" s="77">
        <f>T56+W56+Z56</f>
        <v>0</v>
      </c>
      <c r="R56" s="77">
        <f>U56+X56+AA56</f>
        <v>0</v>
      </c>
      <c r="S56" s="78">
        <f>V56+Y56+AB56</f>
        <v>0</v>
      </c>
      <c r="T56" s="123">
        <f>(IF($F56&lt;=0,"0",IF($F56&lt;=6,"22",IF($F56&lt;=7,"18",IF($F56&lt;=8,"12",0)))))+0</f>
        <v>0</v>
      </c>
      <c r="U56" s="124">
        <f>(IF($F56&lt;=0,"0",IF($F56&lt;=2,"21",IF($F56&lt;=3,"19",IF($F56&lt;=4,"15",IF($F56&lt;=5,"9",0))))))+0</f>
        <v>0</v>
      </c>
      <c r="V56" s="124">
        <f>(IF($F56&lt;=0,"0",IF($F56&lt;=1,"3",0)))+0</f>
        <v>0</v>
      </c>
      <c r="W56" s="124">
        <f>(IF($G56&lt;=0,"0",IF($G56&lt;=6,"22",IF($G56&lt;=7,"18",IF($G56&lt;=8,"12",0)))))+0</f>
        <v>0</v>
      </c>
      <c r="X56" s="124">
        <f>(IF($G56&lt;=0,"0",IF($G56&lt;=2,"21",IF($G56&lt;=3,"19",IF($G56&lt;=4,"15",IF($G56&lt;=5,"9",0))))))+0</f>
        <v>0</v>
      </c>
      <c r="Y56" s="124">
        <f>(IF($G56&lt;=0,"0",IF($G56&lt;=1,"3",0)))+0</f>
        <v>0</v>
      </c>
      <c r="Z56" s="124">
        <f>(IF($H56&lt;=0,"0",IF($H56&lt;=6,"22",IF($H56&lt;=7,"18",IF($H56&lt;=8,"12",0)))))+0</f>
        <v>0</v>
      </c>
      <c r="AA56" s="124">
        <f>(IF($H56&lt;=0,"0",IF($H56&lt;=2,"21",IF($H56&lt;=3,"19",IF($H56&lt;=4,"15",IF($H56&lt;=5,"9",0))))))+0</f>
        <v>0</v>
      </c>
      <c r="AB56" s="125">
        <f>(IF($H56&lt;=0,"0",IF($H56&lt;=1,"3",0)))+0</f>
        <v>0</v>
      </c>
      <c r="AC56" s="80" t="s">
        <v>553</v>
      </c>
      <c r="AD56" s="81" t="s">
        <v>554</v>
      </c>
      <c r="AE56" s="126">
        <f>(IF($F56&lt;=0,"0",IF($F56&lt;=6,"4",IF($F56&lt;=7,"3",IF($F56&lt;=8,"2","0")))))+0</f>
        <v>0</v>
      </c>
      <c r="AF56" s="126">
        <f>(IF($G56&lt;=0,"0",IF($G56&lt;=6,"4",IF($G56&lt;=7,"3",IF($G56&lt;=8,"2","0")))))+0</f>
        <v>0</v>
      </c>
      <c r="AG56" s="126">
        <f>(IF($H56&lt;=0,"0",IF($H56&lt;=6,"4",IF($H56&lt;=7,"3",IF($H56&lt;=8,"2","0")))))+0</f>
        <v>0</v>
      </c>
      <c r="AH56" s="75">
        <f>SUM(AE56:AG56)</f>
        <v>0</v>
      </c>
      <c r="AI56" s="81" t="s">
        <v>298</v>
      </c>
      <c r="AJ56" s="74">
        <f>(IF($E56&lt;=0,"0",IF($E56&lt;=20,"168",IF($E56&lt;=30,"165",IF($E56&lt;=50,"155",IF($E56&lt;=60,"135",IF($E56&lt;=70,"105",IF($E56&lt;=80,"60","0"))))))))+0</f>
        <v>0</v>
      </c>
      <c r="AK56" s="79" t="s">
        <v>546</v>
      </c>
      <c r="AL56" s="81">
        <f>(IF($E56&lt;=0,"0",IF($E56&lt;=80,"6","0")))+0</f>
        <v>0</v>
      </c>
      <c r="AM56" s="81">
        <f>(IF($E56&lt;=0,"0",IF($E56&lt;=60,"9",IF($E56&lt;=70,"6","0"))))+0</f>
        <v>0</v>
      </c>
      <c r="AN56" s="81">
        <f>(IF($E56&lt;=0,"0",IF($E56&lt;=40,"9",IF($E56&lt;=50,"6","0"))))+0</f>
        <v>0</v>
      </c>
      <c r="AO56" s="82">
        <f>(IF($E56&lt;=0,"0",IF($E56&lt;=20,"1","0")))+0</f>
        <v>0</v>
      </c>
      <c r="AP56" s="79" t="s">
        <v>336</v>
      </c>
      <c r="AQ56" s="81">
        <f>(IF($E56&lt;=0,"0",IF($E56&lt;=70,"36",IF($E56&lt;=80,"24","0"))))+0</f>
        <v>0</v>
      </c>
      <c r="AR56" s="81">
        <f>(IF($E56&lt;=0,"0",IF($E56&lt;=50,"30",IF($E56&lt;=60,"18","0"))))+0</f>
        <v>0</v>
      </c>
      <c r="AS56" s="81">
        <f>(IF($E56&lt;=0,"0",IF($E56&lt;=20,"18",IF($E56&lt;=40,"15","0"))))+0</f>
        <v>0</v>
      </c>
      <c r="AT56" s="83">
        <f>Summary2831[[#This Row],[3*2]]+Summary2831[[#This Row],[3*22]]+Summary2831[[#This Row],[3*23]]</f>
        <v>0</v>
      </c>
      <c r="AU56" s="85">
        <f>Summary2831[[#This Row],[2*2]]+Summary2831[[#This Row],[2*23]]+Summary2831[[#This Row],[2*24]]</f>
        <v>0</v>
      </c>
      <c r="AV56" s="85">
        <f>Summary2831[[#This Row],[1*2]]+Summary2831[[#This Row],[1*24]]+Summary2831[[#This Row],[1*25]]</f>
        <v>0</v>
      </c>
      <c r="AW56" s="70">
        <f>IF($F56&lt;=0,"0",IF($F56&lt;=6,"19",IF($F56&lt;=7,"18",IF($F56&lt;=8,"9",0))))+0</f>
        <v>0</v>
      </c>
      <c r="AX56" s="70">
        <f>IF($F56&lt;=0,"0",IF($F56&lt;=2,"22",IF($F56&lt;=3,"19",IF($F56&lt;=4,"15",IF($F56&lt;=5,"9",0)))))+0</f>
        <v>0</v>
      </c>
      <c r="AY56" s="70">
        <f>IF($F56&lt;=0,"0",IF($F56&lt;=1,"6",0))+0</f>
        <v>0</v>
      </c>
      <c r="AZ56" s="70">
        <f>IF($G56&lt;=0,"0",IF($G56&lt;=6,"19",IF($G56&lt;=7,"18",IF($G56&lt;=8,"9",0))))+0</f>
        <v>0</v>
      </c>
      <c r="BA56" s="70">
        <f>IF($G56&lt;=0,"0",IF($G56&lt;=2,"22",IF($G56&lt;=3,"19",IF($G56&lt;=4,"15",IF($G56&lt;=5,"9",0)))))+0</f>
        <v>0</v>
      </c>
      <c r="BB56" s="70">
        <f>IF($G56&lt;=0,"0",IF($G56&lt;=1,"6",0))+0</f>
        <v>0</v>
      </c>
      <c r="BC56" s="70">
        <f>IF($H56&lt;=0,"0",IF($H56&lt;=6,"19",IF($H56&lt;=7,"18",IF($H56&lt;=8,"9",0))))+0</f>
        <v>0</v>
      </c>
      <c r="BD56" s="70">
        <f>IF($H56&lt;=0,"0",IF($H56&lt;=2,"22",IF($H56&lt;=3,"19",IF($H56&lt;=4,"15",IF($H56&lt;=5,"9",0)))))+0</f>
        <v>0</v>
      </c>
      <c r="BE56" s="70">
        <f>IF($H56&lt;=0,"0",IF($H56&lt;=1,"6",0))+0</f>
        <v>0</v>
      </c>
      <c r="BF56" s="79">
        <f>SUM(Summary2831[[#This Row],[3*
(Tal)]],Summary2831[[#This Row],[3*
(Asc)]])</f>
        <v>0</v>
      </c>
      <c r="BG56" s="81">
        <f>SUM(Summary2831[[#This Row],[2*
(Tal)]],Summary2831[[#This Row],[2*
(Asc)]])</f>
        <v>0</v>
      </c>
      <c r="BH56" s="82">
        <f>SUM(Summary2831[[#This Row],[1*
(Tal)]],Summary2831[[#This Row],[1*
(Asc)]])</f>
        <v>0</v>
      </c>
      <c r="BI56" s="86">
        <f>(IF($E56&lt;=0,"0",IF($E56&lt;=1,"2092530",IF($E56&lt;=10,"2087525",IF($E56&lt;=20,"2068495",IF($E56&lt;=30,"2005910",IF($E56&lt;=40,"1932830",IF($E56&lt;=50,"1777010",IF($E56&lt;=60,"1546185",IF($E56&lt;=70,"1227000",IF($E56&lt;=80,"804625",IF($E56&lt;=81,"647990",IF($E56&lt;=90,"0",0)))))))))))))+0</f>
        <v>0</v>
      </c>
      <c r="BJ56" s="87">
        <f>(IF($F56&lt;=0,"0",IF($F56&lt;=1,"952500",IF($F56&lt;=2,"940000",IF($F56&lt;=3,"922500",IF($F56&lt;=4,"897500",IF($F56&lt;=5,"867500",IF($F56&lt;=6,"830000",IF($F56&lt;=7,"710000",IF($F56&lt;=8,"450000",0))))))))))+0</f>
        <v>0</v>
      </c>
      <c r="BK56" s="87">
        <f>(IF($G56&lt;=0,"0",IF($G56&lt;=1,"952500",IF($G56&lt;=2,"940000",IF($G56&lt;=3,"922500",IF($G56&lt;=4,"897500",IF($G56&lt;=5,"867500",IF($G56&lt;=6,"830000",IF($G56&lt;=7,"710000",IF($G56&lt;=8,"450000",0))))))))))+0</f>
        <v>0</v>
      </c>
      <c r="BL56" s="87">
        <f>(IF($H56&lt;=0,"0",IF($H56&lt;=1,"952500",IF($H56&lt;=2,"940000",IF($H56&lt;=3,"922500",IF($H56&lt;=4,"897500",IF($H56&lt;=5,"867500",IF($H56&lt;=6,"830000",IF($H56&lt;=7,"710000",IF($H56&lt;=8,"450000",0))))))))))+0</f>
        <v>0</v>
      </c>
      <c r="BM56" s="88">
        <f>SUM(BI56,BJ56,BK56,BL56)</f>
        <v>0</v>
      </c>
    </row>
    <row r="57" spans="1:65" s="81" customFormat="1">
      <c r="A57" s="46">
        <f ca="1">SUBTOTAL(3,$B$3:Summary2831[[#This Row],[Name]])</f>
        <v>55</v>
      </c>
      <c r="B57" s="140" t="s">
        <v>433</v>
      </c>
      <c r="C57" s="14" t="s">
        <v>619</v>
      </c>
      <c r="D57" s="155">
        <v>1</v>
      </c>
      <c r="E57" s="14">
        <v>81</v>
      </c>
      <c r="F57" s="9">
        <v>8</v>
      </c>
      <c r="G57" s="2">
        <v>8</v>
      </c>
      <c r="H57" s="2">
        <v>8</v>
      </c>
      <c r="I57" s="72">
        <v>81</v>
      </c>
      <c r="J57" s="73">
        <v>1</v>
      </c>
      <c r="K57" s="74">
        <v>9</v>
      </c>
      <c r="L57" s="74">
        <v>9</v>
      </c>
      <c r="M57" s="44" t="s">
        <v>116</v>
      </c>
      <c r="N57" s="10">
        <f>(IF($E57&lt;=0,"0",IF($E57&lt;=40,"46",IF($E57&lt;=50,"44",IF($E57&lt;=60,"40",IF($E57&lt;=70,"32",IF($E57&lt;=80,"20","0")))))))+0</f>
        <v>0</v>
      </c>
      <c r="O5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7" s="49" t="s">
        <v>578</v>
      </c>
      <c r="Q57" s="50">
        <f>T57+W57+Z57</f>
        <v>36</v>
      </c>
      <c r="R57" s="50">
        <f>U57+X57+AA57</f>
        <v>0</v>
      </c>
      <c r="S57" s="51">
        <f>V57+Y57+AB57</f>
        <v>0</v>
      </c>
      <c r="T57" s="123">
        <f>(IF($F57&lt;=0,"0",IF($F57&lt;=6,"22",IF($F57&lt;=7,"18",IF($F57&lt;=8,"12",0)))))+0</f>
        <v>12</v>
      </c>
      <c r="U57" s="124">
        <f>(IF($F57&lt;=0,"0",IF($F57&lt;=2,"21",IF($F57&lt;=3,"19",IF($F57&lt;=4,"15",IF($F57&lt;=5,"9",0))))))+0</f>
        <v>0</v>
      </c>
      <c r="V57" s="124">
        <f>(IF($F57&lt;=0,"0",IF($F57&lt;=1,"3",0)))+0</f>
        <v>0</v>
      </c>
      <c r="W57" s="124">
        <f>(IF($G57&lt;=0,"0",IF($G57&lt;=6,"22",IF($G57&lt;=7,"18",IF($G57&lt;=8,"12",0)))))+0</f>
        <v>12</v>
      </c>
      <c r="X57" s="124">
        <f>(IF($G57&lt;=0,"0",IF($G57&lt;=2,"21",IF($G57&lt;=3,"19",IF($G57&lt;=4,"15",IF($G57&lt;=5,"9",0))))))+0</f>
        <v>0</v>
      </c>
      <c r="Y57" s="124">
        <f>(IF($G57&lt;=0,"0",IF($G57&lt;=1,"3",0)))+0</f>
        <v>0</v>
      </c>
      <c r="Z57" s="124">
        <f>(IF($H57&lt;=0,"0",IF($H57&lt;=6,"22",IF($H57&lt;=7,"18",IF($H57&lt;=8,"12",0)))))+0</f>
        <v>12</v>
      </c>
      <c r="AA57" s="124">
        <f>(IF($H57&lt;=0,"0",IF($H57&lt;=2,"21",IF($H57&lt;=3,"19",IF($H57&lt;=4,"15",IF($H57&lt;=5,"9",0))))))+0</f>
        <v>0</v>
      </c>
      <c r="AB57" s="125">
        <f>(IF($H57&lt;=0,"0",IF($H57&lt;=1,"3",0)))+0</f>
        <v>0</v>
      </c>
      <c r="AC57" s="8" t="s">
        <v>543</v>
      </c>
      <c r="AD57" s="1" t="s">
        <v>574</v>
      </c>
      <c r="AE57" s="126">
        <f>(IF($F57&lt;=0,"0",IF($F57&lt;=6,"4",IF($F57&lt;=7,"3",IF($F57&lt;=8,"2","0")))))+0</f>
        <v>2</v>
      </c>
      <c r="AF57" s="126">
        <f>(IF($G57&lt;=0,"0",IF($G57&lt;=6,"4",IF($G57&lt;=7,"3",IF($G57&lt;=8,"2","0")))))+0</f>
        <v>2</v>
      </c>
      <c r="AG57" s="126">
        <f>(IF($H57&lt;=0,"0",IF($H57&lt;=6,"4",IF($H57&lt;=7,"3",IF($H57&lt;=8,"2","0")))))+0</f>
        <v>2</v>
      </c>
      <c r="AH57" s="10">
        <f>SUM(AE57:AG57)</f>
        <v>6</v>
      </c>
      <c r="AI57" s="1" t="s">
        <v>599</v>
      </c>
      <c r="AJ57" s="2">
        <f>(IF($E57&lt;=0,"0",IF($E57&lt;=20,"168",IF($E57&lt;=30,"165",IF($E57&lt;=50,"155",IF($E57&lt;=60,"135",IF($E57&lt;=70,"105",IF($E57&lt;=80,"60","0"))))))))+0</f>
        <v>0</v>
      </c>
      <c r="AK57" s="44" t="s">
        <v>521</v>
      </c>
      <c r="AL57" s="1">
        <f>(IF($E57&lt;=0,"0",IF($E57&lt;=80,"6","0")))+0</f>
        <v>0</v>
      </c>
      <c r="AM57" s="1">
        <f>(IF($E57&lt;=0,"0",IF($E57&lt;=60,"9",IF($E57&lt;=70,"6","0"))))+0</f>
        <v>0</v>
      </c>
      <c r="AN57" s="1">
        <f>(IF($E57&lt;=0,"0",IF($E57&lt;=40,"9",IF($E57&lt;=50,"6","0"))))+0</f>
        <v>0</v>
      </c>
      <c r="AO57" s="34">
        <f>(IF($E57&lt;=0,"0",IF($E57&lt;=20,"1","0")))+0</f>
        <v>0</v>
      </c>
      <c r="AP57" s="44" t="s">
        <v>236</v>
      </c>
      <c r="AQ57" s="1">
        <f>(IF($E57&lt;=0,"0",IF($E57&lt;=70,"36",IF($E57&lt;=80,"24","0"))))+0</f>
        <v>0</v>
      </c>
      <c r="AR57" s="1">
        <f>(IF($E57&lt;=0,"0",IF($E57&lt;=50,"30",IF($E57&lt;=60,"18","0"))))+0</f>
        <v>0</v>
      </c>
      <c r="AS57" s="1">
        <f>(IF($E57&lt;=0,"0",IF($E57&lt;=20,"18",IF($E57&lt;=40,"15","0"))))+0</f>
        <v>0</v>
      </c>
      <c r="AT57" s="53">
        <f>Summary2831[[#This Row],[3*2]]+Summary2831[[#This Row],[3*22]]+Summary2831[[#This Row],[3*23]]</f>
        <v>27</v>
      </c>
      <c r="AU57" s="52">
        <f>Summary2831[[#This Row],[2*2]]+Summary2831[[#This Row],[2*23]]+Summary2831[[#This Row],[2*24]]</f>
        <v>0</v>
      </c>
      <c r="AV57" s="52">
        <f>Summary2831[[#This Row],[1*2]]+Summary2831[[#This Row],[1*24]]+Summary2831[[#This Row],[1*25]]</f>
        <v>0</v>
      </c>
      <c r="AW57" s="52">
        <f>IF($F57&lt;=0,"0",IF($F57&lt;=6,"19",IF($F57&lt;=7,"18",IF($F57&lt;=8,"9",0))))+0</f>
        <v>9</v>
      </c>
      <c r="AX57" s="52">
        <f>IF($F57&lt;=0,"0",IF($F57&lt;=2,"22",IF($F57&lt;=3,"19",IF($F57&lt;=4,"15",IF($F57&lt;=5,"9",0)))))+0</f>
        <v>0</v>
      </c>
      <c r="AY57" s="52">
        <f>IF($F57&lt;=0,"0",IF($F57&lt;=1,"6",0))+0</f>
        <v>0</v>
      </c>
      <c r="AZ57" s="52">
        <f>IF($G57&lt;=0,"0",IF($G57&lt;=6,"19",IF($G57&lt;=7,"18",IF($G57&lt;=8,"9",0))))+0</f>
        <v>9</v>
      </c>
      <c r="BA57" s="52">
        <f>IF($G57&lt;=0,"0",IF($G57&lt;=2,"22",IF($G57&lt;=3,"19",IF($G57&lt;=4,"15",IF($G57&lt;=5,"9",0)))))+0</f>
        <v>0</v>
      </c>
      <c r="BB57" s="52">
        <f>IF($G57&lt;=0,"0",IF($G57&lt;=1,"6",0))+0</f>
        <v>0</v>
      </c>
      <c r="BC57" s="52">
        <f>IF($H57&lt;=0,"0",IF($H57&lt;=6,"19",IF($H57&lt;=7,"18",IF($H57&lt;=8,"9",0))))+0</f>
        <v>9</v>
      </c>
      <c r="BD57" s="52">
        <f>IF($H57&lt;=0,"0",IF($H57&lt;=2,"22",IF($H57&lt;=3,"19",IF($H57&lt;=4,"15",IF($H57&lt;=5,"9",0)))))+0</f>
        <v>0</v>
      </c>
      <c r="BE57" s="52">
        <f>IF($H57&lt;=0,"0",IF($H57&lt;=1,"6",0))+0</f>
        <v>0</v>
      </c>
      <c r="BF57" s="44">
        <f>SUM(Summary2831[[#This Row],[3*
(Tal)]],Summary2831[[#This Row],[3*
(Asc)]])</f>
        <v>27</v>
      </c>
      <c r="BG57" s="1">
        <f>SUM(Summary2831[[#This Row],[2*
(Tal)]],Summary2831[[#This Row],[2*
(Asc)]])</f>
        <v>0</v>
      </c>
      <c r="BH57" s="34">
        <f>SUM(Summary2831[[#This Row],[1*
(Tal)]],Summary2831[[#This Row],[1*
(Asc)]])</f>
        <v>0</v>
      </c>
      <c r="BI57" s="86">
        <f>(IF($E57&lt;=0,"0",IF($E57&lt;=1,"2092530",IF($E57&lt;=10,"2087525",IF($E57&lt;=20,"2068495",IF($E57&lt;=30,"2005910",IF($E57&lt;=40,"1932830",IF($E57&lt;=50,"1777010",IF($E57&lt;=60,"1546185",IF($E57&lt;=70,"1227000",IF($E57&lt;=80,"804625",IF($E57&lt;=81,"647990",IF($E57&lt;=90,"0",0)))))))))))))+0</f>
        <v>647990</v>
      </c>
      <c r="BJ57" s="56">
        <f>(IF($F57&lt;=0,"0",IF($F57&lt;=1,"952500",IF($F57&lt;=2,"940000",IF($F57&lt;=3,"922500",IF($F57&lt;=4,"897500",IF($F57&lt;=5,"867500",IF($F57&lt;=6,"830000",IF($F57&lt;=7,"710000",IF($F57&lt;=8,"450000",0))))))))))+0</f>
        <v>450000</v>
      </c>
      <c r="BK57" s="56">
        <f>(IF($G57&lt;=0,"0",IF($G57&lt;=1,"952500",IF($G57&lt;=2,"940000",IF($G57&lt;=3,"922500",IF($G57&lt;=4,"897500",IF($G57&lt;=5,"867500",IF($G57&lt;=6,"830000",IF($G57&lt;=7,"710000",IF($G57&lt;=8,"450000",0))))))))))+0</f>
        <v>450000</v>
      </c>
      <c r="BL57" s="56">
        <f>(IF($H57&lt;=0,"0",IF($H57&lt;=1,"952500",IF($H57&lt;=2,"940000",IF($H57&lt;=3,"922500",IF($H57&lt;=4,"897500",IF($H57&lt;=5,"867500",IF($H57&lt;=6,"830000",IF($H57&lt;=7,"710000",IF($H57&lt;=8,"450000",0))))))))))+0</f>
        <v>450000</v>
      </c>
      <c r="BM57" s="57">
        <f>SUM(BI57,BJ57,BK57,BL57)</f>
        <v>1997990</v>
      </c>
    </row>
    <row r="58" spans="1:65" s="81" customFormat="1">
      <c r="A58" s="46">
        <f ca="1">SUBTOTAL(3,$B$3:Summary2831[[#This Row],[Name]])</f>
        <v>56</v>
      </c>
      <c r="B58" s="140" t="s">
        <v>420</v>
      </c>
      <c r="C58" s="14" t="s">
        <v>619</v>
      </c>
      <c r="D58" s="155">
        <v>1</v>
      </c>
      <c r="E58" s="14">
        <v>81</v>
      </c>
      <c r="F58" s="9">
        <v>1</v>
      </c>
      <c r="G58" s="2">
        <v>5</v>
      </c>
      <c r="H58" s="2">
        <v>1</v>
      </c>
      <c r="I58" s="72">
        <v>81</v>
      </c>
      <c r="J58" s="73">
        <v>1</v>
      </c>
      <c r="K58" s="74">
        <v>9</v>
      </c>
      <c r="L58" s="74">
        <v>9</v>
      </c>
      <c r="M58" s="44" t="s">
        <v>116</v>
      </c>
      <c r="N58" s="10">
        <f>(IF($E58&lt;=0,"0",IF($E58&lt;=40,"46",IF($E58&lt;=50,"44",IF($E58&lt;=60,"40",IF($E58&lt;=70,"32",IF($E58&lt;=80,"20","0")))))))+0</f>
        <v>0</v>
      </c>
      <c r="O5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58" s="49" t="s">
        <v>549</v>
      </c>
      <c r="Q58" s="50">
        <f>T58+W58+Z58</f>
        <v>66</v>
      </c>
      <c r="R58" s="50">
        <f>U58+X58+AA58</f>
        <v>51</v>
      </c>
      <c r="S58" s="51">
        <f>V58+Y58+AB58</f>
        <v>6</v>
      </c>
      <c r="T58" s="123">
        <f>(IF($F58&lt;=0,"0",IF($F58&lt;=6,"22",IF($F58&lt;=7,"18",IF($F58&lt;=8,"12",0)))))+0</f>
        <v>22</v>
      </c>
      <c r="U58" s="124">
        <f>(IF($F58&lt;=0,"0",IF($F58&lt;=2,"21",IF($F58&lt;=3,"19",IF($F58&lt;=4,"15",IF($F58&lt;=5,"9",0))))))+0</f>
        <v>21</v>
      </c>
      <c r="V58" s="124">
        <f>(IF($F58&lt;=0,"0",IF($F58&lt;=1,"3",0)))+0</f>
        <v>3</v>
      </c>
      <c r="W58" s="124">
        <f>(IF($G58&lt;=0,"0",IF($G58&lt;=6,"22",IF($G58&lt;=7,"18",IF($G58&lt;=8,"12",0)))))+0</f>
        <v>22</v>
      </c>
      <c r="X58" s="124">
        <f>(IF($G58&lt;=0,"0",IF($G58&lt;=2,"21",IF($G58&lt;=3,"19",IF($G58&lt;=4,"15",IF($G58&lt;=5,"9",0))))))+0</f>
        <v>9</v>
      </c>
      <c r="Y58" s="124">
        <f>(IF($G58&lt;=0,"0",IF($G58&lt;=1,"3",0)))+0</f>
        <v>0</v>
      </c>
      <c r="Z58" s="124">
        <f>(IF($H58&lt;=0,"0",IF($H58&lt;=6,"22",IF($H58&lt;=7,"18",IF($H58&lt;=8,"12",0)))))+0</f>
        <v>22</v>
      </c>
      <c r="AA58" s="124">
        <f>(IF($H58&lt;=0,"0",IF($H58&lt;=2,"21",IF($H58&lt;=3,"19",IF($H58&lt;=4,"15",IF($H58&lt;=5,"9",0))))))+0</f>
        <v>21</v>
      </c>
      <c r="AB58" s="125">
        <f>(IF($H58&lt;=0,"0",IF($H58&lt;=1,"3",0)))+0</f>
        <v>3</v>
      </c>
      <c r="AC58" s="8" t="s">
        <v>531</v>
      </c>
      <c r="AD58" s="1" t="s">
        <v>596</v>
      </c>
      <c r="AE58" s="126">
        <f>(IF($F58&lt;=0,"0",IF($F58&lt;=6,"4",IF($F58&lt;=7,"3",IF($F58&lt;=8,"2","0")))))+0</f>
        <v>4</v>
      </c>
      <c r="AF58" s="126">
        <f>(IF($G58&lt;=0,"0",IF($G58&lt;=6,"4",IF($G58&lt;=7,"3",IF($G58&lt;=8,"2","0")))))+0</f>
        <v>4</v>
      </c>
      <c r="AG58" s="126">
        <f>(IF($H58&lt;=0,"0",IF($H58&lt;=6,"4",IF($H58&lt;=7,"3",IF($H58&lt;=8,"2","0")))))+0</f>
        <v>4</v>
      </c>
      <c r="AH58" s="10">
        <f>SUM(AE58:AG58)</f>
        <v>12</v>
      </c>
      <c r="AI58" s="1" t="s">
        <v>398</v>
      </c>
      <c r="AJ58" s="2">
        <f>(IF($E58&lt;=0,"0",IF($E58&lt;=20,"168",IF($E58&lt;=30,"165",IF($E58&lt;=50,"155",IF($E58&lt;=60,"135",IF($E58&lt;=70,"105",IF($E58&lt;=80,"60","0"))))))))+0</f>
        <v>0</v>
      </c>
      <c r="AK58" s="44" t="s">
        <v>521</v>
      </c>
      <c r="AL58" s="1">
        <f>(IF($E58&lt;=0,"0",IF($E58&lt;=80,"6","0")))+0</f>
        <v>0</v>
      </c>
      <c r="AM58" s="1">
        <f>(IF($E58&lt;=0,"0",IF($E58&lt;=60,"9",IF($E58&lt;=70,"6","0"))))+0</f>
        <v>0</v>
      </c>
      <c r="AN58" s="1">
        <f>(IF($E58&lt;=0,"0",IF($E58&lt;=40,"9",IF($E58&lt;=50,"6","0"))))+0</f>
        <v>0</v>
      </c>
      <c r="AO58" s="34">
        <f>(IF($E58&lt;=0,"0",IF($E58&lt;=20,"1","0")))+0</f>
        <v>0</v>
      </c>
      <c r="AP58" s="44" t="s">
        <v>89</v>
      </c>
      <c r="AQ58" s="1">
        <f>(IF($E58&lt;=0,"0",IF($E58&lt;=70,"36",IF($E58&lt;=80,"24","0"))))+0</f>
        <v>0</v>
      </c>
      <c r="AR58" s="1">
        <f>(IF($E58&lt;=0,"0",IF($E58&lt;=50,"30",IF($E58&lt;=60,"18","0"))))+0</f>
        <v>0</v>
      </c>
      <c r="AS58" s="1">
        <f>(IF($E58&lt;=0,"0",IF($E58&lt;=20,"18",IF($E58&lt;=40,"15","0"))))+0</f>
        <v>0</v>
      </c>
      <c r="AT58" s="53">
        <f>Summary2831[[#This Row],[3*2]]+Summary2831[[#This Row],[3*22]]+Summary2831[[#This Row],[3*23]]</f>
        <v>57</v>
      </c>
      <c r="AU58" s="52">
        <f>Summary2831[[#This Row],[2*2]]+Summary2831[[#This Row],[2*23]]+Summary2831[[#This Row],[2*24]]</f>
        <v>53</v>
      </c>
      <c r="AV58" s="52">
        <f>Summary2831[[#This Row],[1*2]]+Summary2831[[#This Row],[1*24]]+Summary2831[[#This Row],[1*25]]</f>
        <v>12</v>
      </c>
      <c r="AW58" s="52">
        <f>IF($F58&lt;=0,"0",IF($F58&lt;=6,"19",IF($F58&lt;=7,"18",IF($F58&lt;=8,"9",0))))+0</f>
        <v>19</v>
      </c>
      <c r="AX58" s="52">
        <f>IF($F58&lt;=0,"0",IF($F58&lt;=2,"22",IF($F58&lt;=3,"19",IF($F58&lt;=4,"15",IF($F58&lt;=5,"9",0)))))+0</f>
        <v>22</v>
      </c>
      <c r="AY58" s="52">
        <f>IF($F58&lt;=0,"0",IF($F58&lt;=1,"6",0))+0</f>
        <v>6</v>
      </c>
      <c r="AZ58" s="52">
        <f>IF($G58&lt;=0,"0",IF($G58&lt;=6,"19",IF($G58&lt;=7,"18",IF($G58&lt;=8,"9",0))))+0</f>
        <v>19</v>
      </c>
      <c r="BA58" s="52">
        <f>IF($G58&lt;=0,"0",IF($G58&lt;=2,"22",IF($G58&lt;=3,"19",IF($G58&lt;=4,"15",IF($G58&lt;=5,"9",0)))))+0</f>
        <v>9</v>
      </c>
      <c r="BB58" s="52">
        <f>IF($G58&lt;=0,"0",IF($G58&lt;=1,"6",0))+0</f>
        <v>0</v>
      </c>
      <c r="BC58" s="52">
        <f>IF($H58&lt;=0,"0",IF($H58&lt;=6,"19",IF($H58&lt;=7,"18",IF($H58&lt;=8,"9",0))))+0</f>
        <v>19</v>
      </c>
      <c r="BD58" s="52">
        <f>IF($H58&lt;=0,"0",IF($H58&lt;=2,"22",IF($H58&lt;=3,"19",IF($H58&lt;=4,"15",IF($H58&lt;=5,"9",0)))))+0</f>
        <v>22</v>
      </c>
      <c r="BE58" s="52">
        <f>IF($H58&lt;=0,"0",IF($H58&lt;=1,"6",0))+0</f>
        <v>6</v>
      </c>
      <c r="BF58" s="44">
        <f>SUM(Summary2831[[#This Row],[3*
(Tal)]],Summary2831[[#This Row],[3*
(Asc)]])</f>
        <v>57</v>
      </c>
      <c r="BG58" s="1">
        <f>SUM(Summary2831[[#This Row],[2*
(Tal)]],Summary2831[[#This Row],[2*
(Asc)]])</f>
        <v>53</v>
      </c>
      <c r="BH58" s="34">
        <f>SUM(Summary2831[[#This Row],[1*
(Tal)]],Summary2831[[#This Row],[1*
(Asc)]])</f>
        <v>12</v>
      </c>
      <c r="BI58" s="86">
        <f>(IF($E58&lt;=0,"0",IF($E58&lt;=1,"2092530",IF($E58&lt;=10,"2087525",IF($E58&lt;=20,"2068495",IF($E58&lt;=30,"2005910",IF($E58&lt;=40,"1932830",IF($E58&lt;=50,"1777010",IF($E58&lt;=60,"1546185",IF($E58&lt;=70,"1227000",IF($E58&lt;=80,"804625",IF($E58&lt;=81,"647990",IF($E58&lt;=90,"0",0)))))))))))))+0</f>
        <v>647990</v>
      </c>
      <c r="BJ58" s="56">
        <f>(IF($F58&lt;=0,"0",IF($F58&lt;=1,"952500",IF($F58&lt;=2,"940000",IF($F58&lt;=3,"922500",IF($F58&lt;=4,"897500",IF($F58&lt;=5,"867500",IF($F58&lt;=6,"830000",IF($F58&lt;=7,"710000",IF($F58&lt;=8,"450000",0))))))))))+0</f>
        <v>952500</v>
      </c>
      <c r="BK58" s="56">
        <f>(IF($G58&lt;=0,"0",IF($G58&lt;=1,"952500",IF($G58&lt;=2,"940000",IF($G58&lt;=3,"922500",IF($G58&lt;=4,"897500",IF($G58&lt;=5,"867500",IF($G58&lt;=6,"830000",IF($G58&lt;=7,"710000",IF($G58&lt;=8,"450000",0))))))))))+0</f>
        <v>867500</v>
      </c>
      <c r="BL58" s="56">
        <f>(IF($H58&lt;=0,"0",IF($H58&lt;=1,"952500",IF($H58&lt;=2,"940000",IF($H58&lt;=3,"922500",IF($H58&lt;=4,"897500",IF($H58&lt;=5,"867500",IF($H58&lt;=6,"830000",IF($H58&lt;=7,"710000",IF($H58&lt;=8,"450000",0))))))))))+0</f>
        <v>952500</v>
      </c>
      <c r="BM58" s="57">
        <f>SUM(BI58,BJ58,BK58,BL58)</f>
        <v>3420490</v>
      </c>
    </row>
    <row r="59" spans="1:65" s="81" customFormat="1">
      <c r="A59" s="71">
        <f ca="1">SUBTOTAL(3,$B$3:Summary2831[[#This Row],[Name]])</f>
        <v>57</v>
      </c>
      <c r="B59" s="72" t="s">
        <v>251</v>
      </c>
      <c r="C59" s="72" t="s">
        <v>621</v>
      </c>
      <c r="D59" s="155">
        <v>1</v>
      </c>
      <c r="E59" s="72">
        <v>80</v>
      </c>
      <c r="F59" s="73">
        <v>2</v>
      </c>
      <c r="G59" s="74">
        <v>5</v>
      </c>
      <c r="H59" s="74">
        <v>5</v>
      </c>
      <c r="I59" s="72">
        <v>81</v>
      </c>
      <c r="J59" s="73">
        <v>1</v>
      </c>
      <c r="K59" s="74">
        <v>9</v>
      </c>
      <c r="L59" s="74">
        <v>9</v>
      </c>
      <c r="M59" s="79" t="s">
        <v>96</v>
      </c>
      <c r="N59" s="75">
        <f>(IF($E59&lt;=0,"0",IF($E59&lt;=40,"46",IF($E59&lt;=50,"44",IF($E59&lt;=60,"40",IF($E59&lt;=70,"32",IF($E59&lt;=80,"20","0")))))))+0</f>
        <v>20</v>
      </c>
      <c r="O5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59" s="76" t="s">
        <v>578</v>
      </c>
      <c r="Q59" s="77">
        <f>T59+W59+Z59</f>
        <v>66</v>
      </c>
      <c r="R59" s="77">
        <f>U59+X59+AA59</f>
        <v>39</v>
      </c>
      <c r="S59" s="78">
        <f>V59+Y59+AB59</f>
        <v>0</v>
      </c>
      <c r="T59" s="123">
        <f>(IF($F59&lt;=0,"0",IF($F59&lt;=6,"22",IF($F59&lt;=7,"18",IF($F59&lt;=8,"12",0)))))+0</f>
        <v>22</v>
      </c>
      <c r="U59" s="124">
        <f>(IF($F59&lt;=0,"0",IF($F59&lt;=2,"21",IF($F59&lt;=3,"19",IF($F59&lt;=4,"15",IF($F59&lt;=5,"9",0))))))+0</f>
        <v>21</v>
      </c>
      <c r="V59" s="124">
        <f>(IF($F59&lt;=0,"0",IF($F59&lt;=1,"3",0)))+0</f>
        <v>0</v>
      </c>
      <c r="W59" s="124">
        <f>(IF($G59&lt;=0,"0",IF($G59&lt;=6,"22",IF($G59&lt;=7,"18",IF($G59&lt;=8,"12",0)))))+0</f>
        <v>22</v>
      </c>
      <c r="X59" s="124">
        <f>(IF($G59&lt;=0,"0",IF($G59&lt;=2,"21",IF($G59&lt;=3,"19",IF($G59&lt;=4,"15",IF($G59&lt;=5,"9",0))))))+0</f>
        <v>9</v>
      </c>
      <c r="Y59" s="124">
        <f>(IF($G59&lt;=0,"0",IF($G59&lt;=1,"3",0)))+0</f>
        <v>0</v>
      </c>
      <c r="Z59" s="124">
        <f>(IF($H59&lt;=0,"0",IF($H59&lt;=6,"22",IF($H59&lt;=7,"18",IF($H59&lt;=8,"12",0)))))+0</f>
        <v>22</v>
      </c>
      <c r="AA59" s="124">
        <f>(IF($H59&lt;=0,"0",IF($H59&lt;=2,"21",IF($H59&lt;=3,"19",IF($H59&lt;=4,"15",IF($H59&lt;=5,"9",0))))))+0</f>
        <v>9</v>
      </c>
      <c r="AB59" s="125">
        <f>(IF($H59&lt;=0,"0",IF($H59&lt;=1,"3",0)))+0</f>
        <v>0</v>
      </c>
      <c r="AC59" s="80" t="s">
        <v>543</v>
      </c>
      <c r="AD59" s="81" t="s">
        <v>600</v>
      </c>
      <c r="AE59" s="126">
        <f>(IF($F59&lt;=0,"0",IF($F59&lt;=6,"4",IF($F59&lt;=7,"3",IF($F59&lt;=8,"2","0")))))+0</f>
        <v>4</v>
      </c>
      <c r="AF59" s="126">
        <f>(IF($G59&lt;=0,"0",IF($G59&lt;=6,"4",IF($G59&lt;=7,"3",IF($G59&lt;=8,"2","0")))))+0</f>
        <v>4</v>
      </c>
      <c r="AG59" s="126">
        <f>(IF($H59&lt;=0,"0",IF($H59&lt;=6,"4",IF($H59&lt;=7,"3",IF($H59&lt;=8,"2","0")))))+0</f>
        <v>4</v>
      </c>
      <c r="AH59" s="75">
        <f>SUM(AE59:AG59)</f>
        <v>12</v>
      </c>
      <c r="AI59" s="81" t="s">
        <v>401</v>
      </c>
      <c r="AJ59" s="74">
        <f>(IF($E59&lt;=0,"0",IF($E59&lt;=20,"168",IF($E59&lt;=30,"165",IF($E59&lt;=50,"155",IF($E59&lt;=60,"135",IF($E59&lt;=70,"105",IF($E59&lt;=80,"60","0"))))))))+0</f>
        <v>60</v>
      </c>
      <c r="AK59" s="79" t="s">
        <v>530</v>
      </c>
      <c r="AL59" s="81">
        <f>(IF($E59&lt;=0,"0",IF($E59&lt;=80,"6","0")))+0</f>
        <v>6</v>
      </c>
      <c r="AM59" s="81">
        <f>(IF($E59&lt;=0,"0",IF($E59&lt;=60,"9",IF($E59&lt;=70,"6","0"))))+0</f>
        <v>0</v>
      </c>
      <c r="AN59" s="81">
        <f>(IF($E59&lt;=0,"0",IF($E59&lt;=40,"9",IF($E59&lt;=50,"6","0"))))+0</f>
        <v>0</v>
      </c>
      <c r="AO59" s="82">
        <f>(IF($E59&lt;=0,"0",IF($E59&lt;=20,"1","0")))+0</f>
        <v>0</v>
      </c>
      <c r="AP59" s="79" t="s">
        <v>149</v>
      </c>
      <c r="AQ59" s="81">
        <f>(IF($E59&lt;=0,"0",IF($E59&lt;=70,"36",IF($E59&lt;=80,"24","0"))))+0</f>
        <v>24</v>
      </c>
      <c r="AR59" s="81">
        <f>(IF($E59&lt;=0,"0",IF($E59&lt;=50,"30",IF($E59&lt;=60,"18","0"))))+0</f>
        <v>0</v>
      </c>
      <c r="AS59" s="81">
        <f>(IF($E59&lt;=0,"0",IF($E59&lt;=20,"18",IF($E59&lt;=40,"15","0"))))+0</f>
        <v>0</v>
      </c>
      <c r="AT59" s="83">
        <f>Summary2831[[#This Row],[3*2]]+Summary2831[[#This Row],[3*22]]+Summary2831[[#This Row],[3*23]]</f>
        <v>57</v>
      </c>
      <c r="AU59" s="85">
        <f>Summary2831[[#This Row],[2*2]]+Summary2831[[#This Row],[2*23]]+Summary2831[[#This Row],[2*24]]</f>
        <v>40</v>
      </c>
      <c r="AV59" s="85">
        <f>Summary2831[[#This Row],[1*2]]+Summary2831[[#This Row],[1*24]]+Summary2831[[#This Row],[1*25]]</f>
        <v>0</v>
      </c>
      <c r="AW59" s="70">
        <f>IF($F59&lt;=0,"0",IF($F59&lt;=6,"19",IF($F59&lt;=7,"18",IF($F59&lt;=8,"9",0))))+0</f>
        <v>19</v>
      </c>
      <c r="AX59" s="70">
        <f>IF($F59&lt;=0,"0",IF($F59&lt;=2,"22",IF($F59&lt;=3,"19",IF($F59&lt;=4,"15",IF($F59&lt;=5,"9",0)))))+0</f>
        <v>22</v>
      </c>
      <c r="AY59" s="70">
        <f>IF($F59&lt;=0,"0",IF($F59&lt;=1,"6",0))+0</f>
        <v>0</v>
      </c>
      <c r="AZ59" s="70">
        <f>IF($G59&lt;=0,"0",IF($G59&lt;=6,"19",IF($G59&lt;=7,"18",IF($G59&lt;=8,"9",0))))+0</f>
        <v>19</v>
      </c>
      <c r="BA59" s="70">
        <f>IF($G59&lt;=0,"0",IF($G59&lt;=2,"22",IF($G59&lt;=3,"19",IF($G59&lt;=4,"15",IF($G59&lt;=5,"9",0)))))+0</f>
        <v>9</v>
      </c>
      <c r="BB59" s="70">
        <f>IF($G59&lt;=0,"0",IF($G59&lt;=1,"6",0))+0</f>
        <v>0</v>
      </c>
      <c r="BC59" s="70">
        <f>IF($H59&lt;=0,"0",IF($H59&lt;=6,"19",IF($H59&lt;=7,"18",IF($H59&lt;=8,"9",0))))+0</f>
        <v>19</v>
      </c>
      <c r="BD59" s="70">
        <f>IF($H59&lt;=0,"0",IF($H59&lt;=2,"22",IF($H59&lt;=3,"19",IF($H59&lt;=4,"15",IF($H59&lt;=5,"9",0)))))+0</f>
        <v>9</v>
      </c>
      <c r="BE59" s="70">
        <f>IF($H59&lt;=0,"0",IF($H59&lt;=1,"6",0))+0</f>
        <v>0</v>
      </c>
      <c r="BF59" s="79">
        <f>SUM(Summary2831[[#This Row],[3*
(Tal)]],Summary2831[[#This Row],[3*
(Asc)]])</f>
        <v>81</v>
      </c>
      <c r="BG59" s="81">
        <f>SUM(Summary2831[[#This Row],[2*
(Tal)]],Summary2831[[#This Row],[2*
(Asc)]])</f>
        <v>40</v>
      </c>
      <c r="BH59" s="82">
        <f>SUM(Summary2831[[#This Row],[1*
(Tal)]],Summary2831[[#This Row],[1*
(Asc)]])</f>
        <v>0</v>
      </c>
      <c r="BI59" s="86">
        <f>(IF($E59&lt;=0,"0",IF($E59&lt;=1,"2092530",IF($E59&lt;=10,"2087525",IF($E59&lt;=20,"2068495",IF($E59&lt;=30,"2005910",IF($E59&lt;=40,"1932830",IF($E59&lt;=50,"1777010",IF($E59&lt;=60,"1546185",IF($E59&lt;=70,"1227000",IF($E59&lt;=80,"804625",IF($E59&lt;=81,"647990",IF($E59&lt;=90,"0",0)))))))))))))+0</f>
        <v>804625</v>
      </c>
      <c r="BJ59" s="87">
        <f>(IF($F59&lt;=0,"0",IF($F59&lt;=1,"952500",IF($F59&lt;=2,"940000",IF($F59&lt;=3,"922500",IF($F59&lt;=4,"897500",IF($F59&lt;=5,"867500",IF($F59&lt;=6,"830000",IF($F59&lt;=7,"710000",IF($F59&lt;=8,"450000",0))))))))))+0</f>
        <v>940000</v>
      </c>
      <c r="BK59" s="87">
        <f>(IF($G59&lt;=0,"0",IF($G59&lt;=1,"952500",IF($G59&lt;=2,"940000",IF($G59&lt;=3,"922500",IF($G59&lt;=4,"897500",IF($G59&lt;=5,"867500",IF($G59&lt;=6,"830000",IF($G59&lt;=7,"710000",IF($G59&lt;=8,"450000",0))))))))))+0</f>
        <v>867500</v>
      </c>
      <c r="BL59" s="87">
        <f>(IF($H59&lt;=0,"0",IF($H59&lt;=1,"952500",IF($H59&lt;=2,"940000",IF($H59&lt;=3,"922500",IF($H59&lt;=4,"897500",IF($H59&lt;=5,"867500",IF($H59&lt;=6,"830000",IF($H59&lt;=7,"710000",IF($H59&lt;=8,"450000",0))))))))))+0</f>
        <v>867500</v>
      </c>
      <c r="BM59" s="88">
        <f>SUM(BI59,BJ59,BK59,BL59)</f>
        <v>3479625</v>
      </c>
    </row>
    <row r="60" spans="1:65" s="81" customFormat="1">
      <c r="A60" s="71">
        <f ca="1">SUBTOTAL(3,$B$3:Summary2831[[#This Row],[Name]])</f>
        <v>58</v>
      </c>
      <c r="B60" s="72" t="s">
        <v>447</v>
      </c>
      <c r="C60" s="72" t="s">
        <v>31</v>
      </c>
      <c r="D60" s="154">
        <v>2.1</v>
      </c>
      <c r="E60" s="72">
        <v>90</v>
      </c>
      <c r="F60" s="73">
        <v>1</v>
      </c>
      <c r="G60" s="74">
        <v>9</v>
      </c>
      <c r="H60" s="74">
        <v>10</v>
      </c>
      <c r="I60" s="72">
        <v>81</v>
      </c>
      <c r="J60" s="73">
        <v>1</v>
      </c>
      <c r="K60" s="74">
        <v>9</v>
      </c>
      <c r="L60" s="74">
        <v>9</v>
      </c>
      <c r="M60" s="79" t="s">
        <v>203</v>
      </c>
      <c r="N60" s="75">
        <f>(IF($E60&lt;=0,"0",IF($E60&lt;=40,"46",IF($E60&lt;=50,"44",IF($E60&lt;=60,"40",IF($E60&lt;=70,"32",IF($E60&lt;=80,"20","0")))))))+0</f>
        <v>0</v>
      </c>
      <c r="O6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0" s="76" t="s">
        <v>561</v>
      </c>
      <c r="Q60" s="77">
        <f>T60+W60+Z60</f>
        <v>22</v>
      </c>
      <c r="R60" s="77">
        <f>U60+X60+AA60</f>
        <v>21</v>
      </c>
      <c r="S60" s="78">
        <f>V60+Y60+AB60</f>
        <v>3</v>
      </c>
      <c r="T60" s="123">
        <f>(IF($F60&lt;=0,"0",IF($F60&lt;=6,"22",IF($F60&lt;=7,"18",IF($F60&lt;=8,"12",0)))))+0</f>
        <v>22</v>
      </c>
      <c r="U60" s="124">
        <f>(IF($F60&lt;=0,"0",IF($F60&lt;=2,"21",IF($F60&lt;=3,"19",IF($F60&lt;=4,"15",IF($F60&lt;=5,"9",0))))))+0</f>
        <v>21</v>
      </c>
      <c r="V60" s="124">
        <f>(IF($F60&lt;=0,"0",IF($F60&lt;=1,"3",0)))+0</f>
        <v>3</v>
      </c>
      <c r="W60" s="124">
        <f>(IF($G60&lt;=0,"0",IF($G60&lt;=6,"22",IF($G60&lt;=7,"18",IF($G60&lt;=8,"12",0)))))+0</f>
        <v>0</v>
      </c>
      <c r="X60" s="124">
        <f>(IF($G60&lt;=0,"0",IF($G60&lt;=2,"21",IF($G60&lt;=3,"19",IF($G60&lt;=4,"15",IF($G60&lt;=5,"9",0))))))+0</f>
        <v>0</v>
      </c>
      <c r="Y60" s="124">
        <f>(IF($G60&lt;=0,"0",IF($G60&lt;=1,"3",0)))+0</f>
        <v>0</v>
      </c>
      <c r="Z60" s="124">
        <f>(IF($H60&lt;=0,"0",IF($H60&lt;=6,"22",IF($H60&lt;=7,"18",IF($H60&lt;=8,"12",0)))))+0</f>
        <v>0</v>
      </c>
      <c r="AA60" s="124">
        <f>(IF($H60&lt;=0,"0",IF($H60&lt;=2,"21",IF($H60&lt;=3,"19",IF($H60&lt;=4,"15",IF($H60&lt;=5,"9",0))))))+0</f>
        <v>0</v>
      </c>
      <c r="AB60" s="125">
        <f>(IF($H60&lt;=0,"0",IF($H60&lt;=1,"3",0)))+0</f>
        <v>0</v>
      </c>
      <c r="AC60" s="80" t="s">
        <v>205</v>
      </c>
      <c r="AD60" s="81" t="s">
        <v>528</v>
      </c>
      <c r="AE60" s="126">
        <f>(IF($F60&lt;=0,"0",IF($F60&lt;=6,"4",IF($F60&lt;=7,"3",IF($F60&lt;=8,"2","0")))))+0</f>
        <v>4</v>
      </c>
      <c r="AF60" s="126">
        <f>(IF($G60&lt;=0,"0",IF($G60&lt;=6,"4",IF($G60&lt;=7,"3",IF($G60&lt;=8,"2","0")))))+0</f>
        <v>0</v>
      </c>
      <c r="AG60" s="126">
        <f>(IF($H60&lt;=0,"0",IF($H60&lt;=6,"4",IF($H60&lt;=7,"3",IF($H60&lt;=8,"2","0")))))+0</f>
        <v>0</v>
      </c>
      <c r="AH60" s="75">
        <f>SUM(AE60:AG60)</f>
        <v>4</v>
      </c>
      <c r="AI60" s="81" t="s">
        <v>591</v>
      </c>
      <c r="AJ60" s="74">
        <f>(IF($E60&lt;=0,"0",IF($E60&lt;=20,"168",IF($E60&lt;=30,"165",IF($E60&lt;=50,"155",IF($E60&lt;=60,"135",IF($E60&lt;=70,"105",IF($E60&lt;=80,"60","0"))))))))+0</f>
        <v>0</v>
      </c>
      <c r="AK60" s="79" t="s">
        <v>548</v>
      </c>
      <c r="AL60" s="81">
        <f>(IF($E60&lt;=0,"0",IF($E60&lt;=80,"6","0")))+0</f>
        <v>0</v>
      </c>
      <c r="AM60" s="81">
        <f>(IF($E60&lt;=0,"0",IF($E60&lt;=60,"9",IF($E60&lt;=70,"6","0"))))+0</f>
        <v>0</v>
      </c>
      <c r="AN60" s="81">
        <f>(IF($E60&lt;=0,"0",IF($E60&lt;=40,"9",IF($E60&lt;=50,"6","0"))))+0</f>
        <v>0</v>
      </c>
      <c r="AO60" s="82">
        <f>(IF($E60&lt;=0,"0",IF($E60&lt;=20,"1","0")))+0</f>
        <v>0</v>
      </c>
      <c r="AP60" s="79" t="s">
        <v>288</v>
      </c>
      <c r="AQ60" s="81">
        <f>(IF($E60&lt;=0,"0",IF($E60&lt;=70,"36",IF($E60&lt;=80,"24","0"))))+0</f>
        <v>0</v>
      </c>
      <c r="AR60" s="81">
        <f>(IF($E60&lt;=0,"0",IF($E60&lt;=50,"30",IF($E60&lt;=60,"18","0"))))+0</f>
        <v>0</v>
      </c>
      <c r="AS60" s="81">
        <f>(IF($E60&lt;=0,"0",IF($E60&lt;=20,"18",IF($E60&lt;=40,"15","0"))))+0</f>
        <v>0</v>
      </c>
      <c r="AT60" s="83">
        <f>Summary2831[[#This Row],[3*2]]+Summary2831[[#This Row],[3*22]]+Summary2831[[#This Row],[3*23]]</f>
        <v>19</v>
      </c>
      <c r="AU60" s="85">
        <f>Summary2831[[#This Row],[2*2]]+Summary2831[[#This Row],[2*23]]+Summary2831[[#This Row],[2*24]]</f>
        <v>22</v>
      </c>
      <c r="AV60" s="85">
        <f>Summary2831[[#This Row],[1*2]]+Summary2831[[#This Row],[1*24]]+Summary2831[[#This Row],[1*25]]</f>
        <v>6</v>
      </c>
      <c r="AW60" s="70">
        <f>IF($F60&lt;=0,"0",IF($F60&lt;=6,"19",IF($F60&lt;=7,"18",IF($F60&lt;=8,"9",0))))+0</f>
        <v>19</v>
      </c>
      <c r="AX60" s="70">
        <f>IF($F60&lt;=0,"0",IF($F60&lt;=2,"22",IF($F60&lt;=3,"19",IF($F60&lt;=4,"15",IF($F60&lt;=5,"9",0)))))+0</f>
        <v>22</v>
      </c>
      <c r="AY60" s="70">
        <f>IF($F60&lt;=0,"0",IF($F60&lt;=1,"6",0))+0</f>
        <v>6</v>
      </c>
      <c r="AZ60" s="70">
        <f>IF($G60&lt;=0,"0",IF($G60&lt;=6,"19",IF($G60&lt;=7,"18",IF($G60&lt;=8,"9",0))))+0</f>
        <v>0</v>
      </c>
      <c r="BA60" s="70">
        <f>IF($G60&lt;=0,"0",IF($G60&lt;=2,"22",IF($G60&lt;=3,"19",IF($G60&lt;=4,"15",IF($G60&lt;=5,"9",0)))))+0</f>
        <v>0</v>
      </c>
      <c r="BB60" s="70">
        <f>IF($G60&lt;=0,"0",IF($G60&lt;=1,"6",0))+0</f>
        <v>0</v>
      </c>
      <c r="BC60" s="70">
        <f>IF($H60&lt;=0,"0",IF($H60&lt;=6,"19",IF($H60&lt;=7,"18",IF($H60&lt;=8,"9",0))))+0</f>
        <v>0</v>
      </c>
      <c r="BD60" s="70">
        <f>IF($H60&lt;=0,"0",IF($H60&lt;=2,"22",IF($H60&lt;=3,"19",IF($H60&lt;=4,"15",IF($H60&lt;=5,"9",0)))))+0</f>
        <v>0</v>
      </c>
      <c r="BE60" s="70">
        <f>IF($H60&lt;=0,"0",IF($H60&lt;=1,"6",0))+0</f>
        <v>0</v>
      </c>
      <c r="BF60" s="79">
        <f>SUM(Summary2831[[#This Row],[3*
(Tal)]],Summary2831[[#This Row],[3*
(Asc)]])</f>
        <v>19</v>
      </c>
      <c r="BG60" s="81">
        <f>SUM(Summary2831[[#This Row],[2*
(Tal)]],Summary2831[[#This Row],[2*
(Asc)]])</f>
        <v>22</v>
      </c>
      <c r="BH60" s="82">
        <f>SUM(Summary2831[[#This Row],[1*
(Tal)]],Summary2831[[#This Row],[1*
(Asc)]])</f>
        <v>6</v>
      </c>
      <c r="BI60" s="86">
        <f>(IF($E60&lt;=0,"0",IF($E60&lt;=1,"2092530",IF($E60&lt;=10,"2087525",IF($E60&lt;=20,"2068495",IF($E60&lt;=30,"2005910",IF($E60&lt;=40,"1932830",IF($E60&lt;=50,"1777010",IF($E60&lt;=60,"1546185",IF($E60&lt;=70,"1227000",IF($E60&lt;=80,"804625",IF($E60&lt;=81,"647990",IF($E60&lt;=90,"0",0)))))))))))))+0</f>
        <v>0</v>
      </c>
      <c r="BJ60" s="87">
        <f>(IF($F60&lt;=0,"0",IF($F60&lt;=1,"952500",IF($F60&lt;=2,"940000",IF($F60&lt;=3,"922500",IF($F60&lt;=4,"897500",IF($F60&lt;=5,"867500",IF($F60&lt;=6,"830000",IF($F60&lt;=7,"710000",IF($F60&lt;=8,"450000",0))))))))))+0</f>
        <v>952500</v>
      </c>
      <c r="BK60" s="87">
        <f>(IF($G60&lt;=0,"0",IF($G60&lt;=1,"952500",IF($G60&lt;=2,"940000",IF($G60&lt;=3,"922500",IF($G60&lt;=4,"897500",IF($G60&lt;=5,"867500",IF($G60&lt;=6,"830000",IF($G60&lt;=7,"710000",IF($G60&lt;=8,"450000",0))))))))))+0</f>
        <v>0</v>
      </c>
      <c r="BL60" s="87">
        <f>(IF($H60&lt;=0,"0",IF($H60&lt;=1,"952500",IF($H60&lt;=2,"940000",IF($H60&lt;=3,"922500",IF($H60&lt;=4,"897500",IF($H60&lt;=5,"867500",IF($H60&lt;=6,"830000",IF($H60&lt;=7,"710000",IF($H60&lt;=8,"450000",0))))))))))+0</f>
        <v>0</v>
      </c>
      <c r="BM60" s="88">
        <f>SUM(BI60,BJ60,BK60,BL60)</f>
        <v>952500</v>
      </c>
    </row>
    <row r="61" spans="1:65" s="81" customFormat="1">
      <c r="A61" s="46">
        <f ca="1">SUBTOTAL(3,$B$3:Summary2831[[#This Row],[Name]])</f>
        <v>59</v>
      </c>
      <c r="B61" s="140" t="s">
        <v>421</v>
      </c>
      <c r="C61" s="14" t="s">
        <v>31</v>
      </c>
      <c r="D61" s="155">
        <v>1</v>
      </c>
      <c r="E61" s="14">
        <v>80</v>
      </c>
      <c r="F61" s="9">
        <v>8</v>
      </c>
      <c r="G61" s="2">
        <v>6</v>
      </c>
      <c r="H61" s="2">
        <v>8</v>
      </c>
      <c r="I61" s="72">
        <v>81</v>
      </c>
      <c r="J61" s="73">
        <v>1</v>
      </c>
      <c r="K61" s="74">
        <v>9</v>
      </c>
      <c r="L61" s="74">
        <v>9</v>
      </c>
      <c r="M61" s="44" t="s">
        <v>106</v>
      </c>
      <c r="N61" s="10">
        <f>(IF($E61&lt;=0,"0",IF($E61&lt;=40,"46",IF($E61&lt;=50,"44",IF($E61&lt;=60,"40",IF($E61&lt;=70,"32",IF($E61&lt;=80,"20","0")))))))+0</f>
        <v>20</v>
      </c>
      <c r="O6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61" s="49" t="s">
        <v>549</v>
      </c>
      <c r="Q61" s="50">
        <f>T61+W61+Z61</f>
        <v>46</v>
      </c>
      <c r="R61" s="50">
        <f>U61+X61+AA61</f>
        <v>0</v>
      </c>
      <c r="S61" s="51">
        <f>V61+Y61+AB61</f>
        <v>0</v>
      </c>
      <c r="T61" s="123">
        <f>(IF($F61&lt;=0,"0",IF($F61&lt;=6,"22",IF($F61&lt;=7,"18",IF($F61&lt;=8,"12",0)))))+0</f>
        <v>12</v>
      </c>
      <c r="U61" s="124">
        <f>(IF($F61&lt;=0,"0",IF($F61&lt;=2,"21",IF($F61&lt;=3,"19",IF($F61&lt;=4,"15",IF($F61&lt;=5,"9",0))))))+0</f>
        <v>0</v>
      </c>
      <c r="V61" s="124">
        <f>(IF($F61&lt;=0,"0",IF($F61&lt;=1,"3",0)))+0</f>
        <v>0</v>
      </c>
      <c r="W61" s="124">
        <f>(IF($G61&lt;=0,"0",IF($G61&lt;=6,"22",IF($G61&lt;=7,"18",IF($G61&lt;=8,"12",0)))))+0</f>
        <v>22</v>
      </c>
      <c r="X61" s="124">
        <f>(IF($G61&lt;=0,"0",IF($G61&lt;=2,"21",IF($G61&lt;=3,"19",IF($G61&lt;=4,"15",IF($G61&lt;=5,"9",0))))))+0</f>
        <v>0</v>
      </c>
      <c r="Y61" s="124">
        <f>(IF($G61&lt;=0,"0",IF($G61&lt;=1,"3",0)))+0</f>
        <v>0</v>
      </c>
      <c r="Z61" s="124">
        <f>(IF($H61&lt;=0,"0",IF($H61&lt;=6,"22",IF($H61&lt;=7,"18",IF($H61&lt;=8,"12",0)))))+0</f>
        <v>12</v>
      </c>
      <c r="AA61" s="124">
        <f>(IF($H61&lt;=0,"0",IF($H61&lt;=2,"21",IF($H61&lt;=3,"19",IF($H61&lt;=4,"15",IF($H61&lt;=5,"9",0))))))+0</f>
        <v>0</v>
      </c>
      <c r="AB61" s="125">
        <f>(IF($H61&lt;=0,"0",IF($H61&lt;=1,"3",0)))+0</f>
        <v>0</v>
      </c>
      <c r="AC61" s="8" t="s">
        <v>531</v>
      </c>
      <c r="AD61" s="1" t="s">
        <v>596</v>
      </c>
      <c r="AE61" s="126">
        <f>(IF($F61&lt;=0,"0",IF($F61&lt;=6,"4",IF($F61&lt;=7,"3",IF($F61&lt;=8,"2","0")))))+0</f>
        <v>2</v>
      </c>
      <c r="AF61" s="126">
        <f>(IF($G61&lt;=0,"0",IF($G61&lt;=6,"4",IF($G61&lt;=7,"3",IF($G61&lt;=8,"2","0")))))+0</f>
        <v>4</v>
      </c>
      <c r="AG61" s="126">
        <f>(IF($H61&lt;=0,"0",IF($H61&lt;=6,"4",IF($H61&lt;=7,"3",IF($H61&lt;=8,"2","0")))))+0</f>
        <v>2</v>
      </c>
      <c r="AH61" s="10">
        <f>SUM(AE61:AG61)</f>
        <v>8</v>
      </c>
      <c r="AI61" s="1" t="s">
        <v>407</v>
      </c>
      <c r="AJ61" s="2">
        <f>(IF($E61&lt;=0,"0",IF($E61&lt;=20,"168",IF($E61&lt;=30,"165",IF($E61&lt;=50,"155",IF($E61&lt;=60,"135",IF($E61&lt;=70,"105",IF($E61&lt;=80,"60","0"))))))))+0</f>
        <v>60</v>
      </c>
      <c r="AK61" s="44" t="s">
        <v>548</v>
      </c>
      <c r="AL61" s="1">
        <f>(IF($E61&lt;=0,"0",IF($E61&lt;=80,"6","0")))+0</f>
        <v>6</v>
      </c>
      <c r="AM61" s="1">
        <f>(IF($E61&lt;=0,"0",IF($E61&lt;=60,"9",IF($E61&lt;=70,"6","0"))))+0</f>
        <v>0</v>
      </c>
      <c r="AN61" s="1">
        <f>(IF($E61&lt;=0,"0",IF($E61&lt;=40,"9",IF($E61&lt;=50,"6","0"))))+0</f>
        <v>0</v>
      </c>
      <c r="AO61" s="34">
        <f>(IF($E61&lt;=0,"0",IF($E61&lt;=20,"1","0")))+0</f>
        <v>0</v>
      </c>
      <c r="AP61" s="44" t="s">
        <v>89</v>
      </c>
      <c r="AQ61" s="1">
        <f>(IF($E61&lt;=0,"0",IF($E61&lt;=70,"36",IF($E61&lt;=80,"24","0"))))+0</f>
        <v>24</v>
      </c>
      <c r="AR61" s="1">
        <f>(IF($E61&lt;=0,"0",IF($E61&lt;=50,"30",IF($E61&lt;=60,"18","0"))))+0</f>
        <v>0</v>
      </c>
      <c r="AS61" s="1">
        <f>(IF($E61&lt;=0,"0",IF($E61&lt;=20,"18",IF($E61&lt;=40,"15","0"))))+0</f>
        <v>0</v>
      </c>
      <c r="AT61" s="53">
        <f>Summary2831[[#This Row],[3*2]]+Summary2831[[#This Row],[3*22]]+Summary2831[[#This Row],[3*23]]</f>
        <v>37</v>
      </c>
      <c r="AU61" s="52">
        <f>Summary2831[[#This Row],[2*2]]+Summary2831[[#This Row],[2*23]]+Summary2831[[#This Row],[2*24]]</f>
        <v>0</v>
      </c>
      <c r="AV61" s="52">
        <f>Summary2831[[#This Row],[1*2]]+Summary2831[[#This Row],[1*24]]+Summary2831[[#This Row],[1*25]]</f>
        <v>0</v>
      </c>
      <c r="AW61" s="52">
        <f>IF($F61&lt;=0,"0",IF($F61&lt;=6,"19",IF($F61&lt;=7,"18",IF($F61&lt;=8,"9",0))))+0</f>
        <v>9</v>
      </c>
      <c r="AX61" s="52">
        <f>IF($F61&lt;=0,"0",IF($F61&lt;=2,"22",IF($F61&lt;=3,"19",IF($F61&lt;=4,"15",IF($F61&lt;=5,"9",0)))))+0</f>
        <v>0</v>
      </c>
      <c r="AY61" s="52">
        <f>IF($F61&lt;=0,"0",IF($F61&lt;=1,"6",0))+0</f>
        <v>0</v>
      </c>
      <c r="AZ61" s="52">
        <f>IF($G61&lt;=0,"0",IF($G61&lt;=6,"19",IF($G61&lt;=7,"18",IF($G61&lt;=8,"9",0))))+0</f>
        <v>19</v>
      </c>
      <c r="BA61" s="52">
        <f>IF($G61&lt;=0,"0",IF($G61&lt;=2,"22",IF($G61&lt;=3,"19",IF($G61&lt;=4,"15",IF($G61&lt;=5,"9",0)))))+0</f>
        <v>0</v>
      </c>
      <c r="BB61" s="52">
        <f>IF($G61&lt;=0,"0",IF($G61&lt;=1,"6",0))+0</f>
        <v>0</v>
      </c>
      <c r="BC61" s="52">
        <f>IF($H61&lt;=0,"0",IF($H61&lt;=6,"19",IF($H61&lt;=7,"18",IF($H61&lt;=8,"9",0))))+0</f>
        <v>9</v>
      </c>
      <c r="BD61" s="52">
        <f>IF($H61&lt;=0,"0",IF($H61&lt;=2,"22",IF($H61&lt;=3,"19",IF($H61&lt;=4,"15",IF($H61&lt;=5,"9",0)))))+0</f>
        <v>0</v>
      </c>
      <c r="BE61" s="52">
        <f>IF($H61&lt;=0,"0",IF($H61&lt;=1,"6",0))+0</f>
        <v>0</v>
      </c>
      <c r="BF61" s="44">
        <f>SUM(Summary2831[[#This Row],[3*
(Tal)]],Summary2831[[#This Row],[3*
(Asc)]])</f>
        <v>61</v>
      </c>
      <c r="BG61" s="1">
        <f>SUM(Summary2831[[#This Row],[2*
(Tal)]],Summary2831[[#This Row],[2*
(Asc)]])</f>
        <v>0</v>
      </c>
      <c r="BH61" s="34">
        <f>SUM(Summary2831[[#This Row],[1*
(Tal)]],Summary2831[[#This Row],[1*
(Asc)]])</f>
        <v>0</v>
      </c>
      <c r="BI61" s="86">
        <f>(IF($E61&lt;=0,"0",IF($E61&lt;=1,"2092530",IF($E61&lt;=10,"2087525",IF($E61&lt;=20,"2068495",IF($E61&lt;=30,"2005910",IF($E61&lt;=40,"1932830",IF($E61&lt;=50,"1777010",IF($E61&lt;=60,"1546185",IF($E61&lt;=70,"1227000",IF($E61&lt;=80,"804625",IF($E61&lt;=81,"647990",IF($E61&lt;=90,"0",0)))))))))))))+0</f>
        <v>804625</v>
      </c>
      <c r="BJ61" s="56">
        <f>(IF($F61&lt;=0,"0",IF($F61&lt;=1,"952500",IF($F61&lt;=2,"940000",IF($F61&lt;=3,"922500",IF($F61&lt;=4,"897500",IF($F61&lt;=5,"867500",IF($F61&lt;=6,"830000",IF($F61&lt;=7,"710000",IF($F61&lt;=8,"450000",0))))))))))+0</f>
        <v>450000</v>
      </c>
      <c r="BK61" s="56">
        <f>(IF($G61&lt;=0,"0",IF($G61&lt;=1,"952500",IF($G61&lt;=2,"940000",IF($G61&lt;=3,"922500",IF($G61&lt;=4,"897500",IF($G61&lt;=5,"867500",IF($G61&lt;=6,"830000",IF($G61&lt;=7,"710000",IF($G61&lt;=8,"450000",0))))))))))+0</f>
        <v>830000</v>
      </c>
      <c r="BL61" s="56">
        <f>(IF($H61&lt;=0,"0",IF($H61&lt;=1,"952500",IF($H61&lt;=2,"940000",IF($H61&lt;=3,"922500",IF($H61&lt;=4,"897500",IF($H61&lt;=5,"867500",IF($H61&lt;=6,"830000",IF($H61&lt;=7,"710000",IF($H61&lt;=8,"450000",0))))))))))+0</f>
        <v>450000</v>
      </c>
      <c r="BM61" s="57">
        <f>SUM(BI61,BJ61,BK61,BL61)</f>
        <v>2534625</v>
      </c>
    </row>
    <row r="62" spans="1:65">
      <c r="A62" s="46">
        <f ca="1">SUBTOTAL(3,$B$3:Summary2831[[#This Row],[Name]])</f>
        <v>60</v>
      </c>
      <c r="B62" s="140" t="s">
        <v>448</v>
      </c>
      <c r="C62" s="14" t="s">
        <v>621</v>
      </c>
      <c r="D62" s="155">
        <v>1.4</v>
      </c>
      <c r="E62" s="14">
        <v>21</v>
      </c>
      <c r="F62" s="9">
        <v>1</v>
      </c>
      <c r="G62" s="2">
        <v>1</v>
      </c>
      <c r="H62" s="2">
        <v>1</v>
      </c>
      <c r="I62" s="72">
        <v>81</v>
      </c>
      <c r="J62" s="73">
        <v>1</v>
      </c>
      <c r="K62" s="74">
        <v>9</v>
      </c>
      <c r="L62" s="74">
        <v>9</v>
      </c>
      <c r="M62" s="44" t="s">
        <v>96</v>
      </c>
      <c r="N62" s="10">
        <f>(IF($E62&lt;=0,"0",IF($E62&lt;=40,"46",IF($E62&lt;=50,"44",IF($E62&lt;=60,"40",IF($E62&lt;=70,"32",IF($E62&lt;=80,"20","0")))))))+0</f>
        <v>46</v>
      </c>
      <c r="O6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62" s="49" t="s">
        <v>519</v>
      </c>
      <c r="Q62" s="50">
        <f>T62+W62+Z62</f>
        <v>66</v>
      </c>
      <c r="R62" s="50">
        <f>U62+X62+AA62</f>
        <v>63</v>
      </c>
      <c r="S62" s="51">
        <f>V62+Y62+AB62</f>
        <v>9</v>
      </c>
      <c r="T62" s="123">
        <f>(IF($F62&lt;=0,"0",IF($F62&lt;=6,"22",IF($F62&lt;=7,"18",IF($F62&lt;=8,"12",0)))))+0</f>
        <v>22</v>
      </c>
      <c r="U62" s="124">
        <f>(IF($F62&lt;=0,"0",IF($F62&lt;=2,"21",IF($F62&lt;=3,"19",IF($F62&lt;=4,"15",IF($F62&lt;=5,"9",0))))))+0</f>
        <v>21</v>
      </c>
      <c r="V62" s="124">
        <f>(IF($F62&lt;=0,"0",IF($F62&lt;=1,"3",0)))+0</f>
        <v>3</v>
      </c>
      <c r="W62" s="124">
        <f>(IF($G62&lt;=0,"0",IF($G62&lt;=6,"22",IF($G62&lt;=7,"18",IF($G62&lt;=8,"12",0)))))+0</f>
        <v>22</v>
      </c>
      <c r="X62" s="124">
        <f>(IF($G62&lt;=0,"0",IF($G62&lt;=2,"21",IF($G62&lt;=3,"19",IF($G62&lt;=4,"15",IF($G62&lt;=5,"9",0))))))+0</f>
        <v>21</v>
      </c>
      <c r="Y62" s="124">
        <f>(IF($G62&lt;=0,"0",IF($G62&lt;=1,"3",0)))+0</f>
        <v>3</v>
      </c>
      <c r="Z62" s="124">
        <f>(IF($H62&lt;=0,"0",IF($H62&lt;=6,"22",IF($H62&lt;=7,"18",IF($H62&lt;=8,"12",0)))))+0</f>
        <v>22</v>
      </c>
      <c r="AA62" s="124">
        <f>(IF($H62&lt;=0,"0",IF($H62&lt;=2,"21",IF($H62&lt;=3,"19",IF($H62&lt;=4,"15",IF($H62&lt;=5,"9",0))))))+0</f>
        <v>21</v>
      </c>
      <c r="AB62" s="125">
        <f>(IF($H62&lt;=0,"0",IF($H62&lt;=1,"3",0)))+0</f>
        <v>3</v>
      </c>
      <c r="AC62" s="8" t="s">
        <v>389</v>
      </c>
      <c r="AD62" s="1" t="s">
        <v>579</v>
      </c>
      <c r="AE62" s="126">
        <f>(IF($F62&lt;=0,"0",IF($F62&lt;=6,"4",IF($F62&lt;=7,"3",IF($F62&lt;=8,"2","0")))))+0</f>
        <v>4</v>
      </c>
      <c r="AF62" s="126">
        <f>(IF($G62&lt;=0,"0",IF($G62&lt;=6,"4",IF($G62&lt;=7,"3",IF($G62&lt;=8,"2","0")))))+0</f>
        <v>4</v>
      </c>
      <c r="AG62" s="126">
        <f>(IF($H62&lt;=0,"0",IF($H62&lt;=6,"4",IF($H62&lt;=7,"3",IF($H62&lt;=8,"2","0")))))+0</f>
        <v>4</v>
      </c>
      <c r="AH62" s="10">
        <f>SUM(AE62:AG62)</f>
        <v>12</v>
      </c>
      <c r="AI62" s="1" t="s">
        <v>398</v>
      </c>
      <c r="AJ62" s="2">
        <f>(IF($E62&lt;=0,"0",IF($E62&lt;=20,"168",IF($E62&lt;=30,"165",IF($E62&lt;=50,"155",IF($E62&lt;=60,"135",IF($E62&lt;=70,"105",IF($E62&lt;=80,"60","0"))))))))+0</f>
        <v>165</v>
      </c>
      <c r="AK62" s="44" t="s">
        <v>530</v>
      </c>
      <c r="AL62" s="1">
        <f>(IF($E62&lt;=0,"0",IF($E62&lt;=80,"6","0")))+0</f>
        <v>6</v>
      </c>
      <c r="AM62" s="1">
        <f>(IF($E62&lt;=0,"0",IF($E62&lt;=60,"9",IF($E62&lt;=70,"6","0"))))+0</f>
        <v>9</v>
      </c>
      <c r="AN62" s="1">
        <f>(IF($E62&lt;=0,"0",IF($E62&lt;=40,"9",IF($E62&lt;=50,"6","0"))))+0</f>
        <v>9</v>
      </c>
      <c r="AO62" s="34">
        <f>(IF($E62&lt;=0,"0",IF($E62&lt;=20,"1","0")))+0</f>
        <v>0</v>
      </c>
      <c r="AP62" s="44" t="s">
        <v>236</v>
      </c>
      <c r="AQ62" s="1">
        <f>(IF($E62&lt;=0,"0",IF($E62&lt;=70,"36",IF($E62&lt;=80,"24","0"))))+0</f>
        <v>36</v>
      </c>
      <c r="AR62" s="1">
        <f>(IF($E62&lt;=0,"0",IF($E62&lt;=50,"30",IF($E62&lt;=60,"18","0"))))+0</f>
        <v>30</v>
      </c>
      <c r="AS62" s="1">
        <f>(IF($E62&lt;=0,"0",IF($E62&lt;=20,"18",IF($E62&lt;=40,"15","0"))))+0</f>
        <v>15</v>
      </c>
      <c r="AT62" s="53">
        <f>Summary2831[[#This Row],[3*2]]+Summary2831[[#This Row],[3*22]]+Summary2831[[#This Row],[3*23]]</f>
        <v>57</v>
      </c>
      <c r="AU62" s="52">
        <f>Summary2831[[#This Row],[2*2]]+Summary2831[[#This Row],[2*23]]+Summary2831[[#This Row],[2*24]]</f>
        <v>66</v>
      </c>
      <c r="AV62" s="52">
        <f>Summary2831[[#This Row],[1*2]]+Summary2831[[#This Row],[1*24]]+Summary2831[[#This Row],[1*25]]</f>
        <v>18</v>
      </c>
      <c r="AW62" s="52">
        <f>IF($F62&lt;=0,"0",IF($F62&lt;=6,"19",IF($F62&lt;=7,"18",IF($F62&lt;=8,"9",0))))+0</f>
        <v>19</v>
      </c>
      <c r="AX62" s="52">
        <f>IF($F62&lt;=0,"0",IF($F62&lt;=2,"22",IF($F62&lt;=3,"19",IF($F62&lt;=4,"15",IF($F62&lt;=5,"9",0)))))+0</f>
        <v>22</v>
      </c>
      <c r="AY62" s="52">
        <f>IF($F62&lt;=0,"0",IF($F62&lt;=1,"6",0))+0</f>
        <v>6</v>
      </c>
      <c r="AZ62" s="52">
        <f>IF($G62&lt;=0,"0",IF($G62&lt;=6,"19",IF($G62&lt;=7,"18",IF($G62&lt;=8,"9",0))))+0</f>
        <v>19</v>
      </c>
      <c r="BA62" s="52">
        <f>IF($G62&lt;=0,"0",IF($G62&lt;=2,"22",IF($G62&lt;=3,"19",IF($G62&lt;=4,"15",IF($G62&lt;=5,"9",0)))))+0</f>
        <v>22</v>
      </c>
      <c r="BB62" s="52">
        <f>IF($G62&lt;=0,"0",IF($G62&lt;=1,"6",0))+0</f>
        <v>6</v>
      </c>
      <c r="BC62" s="52">
        <f>IF($H62&lt;=0,"0",IF($H62&lt;=6,"19",IF($H62&lt;=7,"18",IF($H62&lt;=8,"9",0))))+0</f>
        <v>19</v>
      </c>
      <c r="BD62" s="52">
        <f>IF($H62&lt;=0,"0",IF($H62&lt;=2,"22",IF($H62&lt;=3,"19",IF($H62&lt;=4,"15",IF($H62&lt;=5,"9",0)))))+0</f>
        <v>22</v>
      </c>
      <c r="BE62" s="52">
        <f>IF($H62&lt;=0,"0",IF($H62&lt;=1,"6",0))+0</f>
        <v>6</v>
      </c>
      <c r="BF62" s="44">
        <f>SUM(Summary2831[[#This Row],[3*
(Tal)]],Summary2831[[#This Row],[3*
(Asc)]])</f>
        <v>93</v>
      </c>
      <c r="BG62" s="1">
        <f>SUM(Summary2831[[#This Row],[2*
(Tal)]],Summary2831[[#This Row],[2*
(Asc)]])</f>
        <v>96</v>
      </c>
      <c r="BH62" s="34">
        <f>SUM(Summary2831[[#This Row],[1*
(Tal)]],Summary2831[[#This Row],[1*
(Asc)]])</f>
        <v>33</v>
      </c>
      <c r="BI62" s="86">
        <f>(IF($E62&lt;=0,"0",IF($E62&lt;=1,"2092530",IF($E62&lt;=10,"2087525",IF($E62&lt;=20,"2068495",IF($E62&lt;=30,"2005910",IF($E62&lt;=40,"1932830",IF($E62&lt;=50,"1777010",IF($E62&lt;=60,"1546185",IF($E62&lt;=70,"1227000",IF($E62&lt;=80,"804625",IF($E62&lt;=81,"647990",IF($E62&lt;=90,"0",0)))))))))))))+0</f>
        <v>2005910</v>
      </c>
      <c r="BJ62" s="56">
        <f>(IF($F62&lt;=0,"0",IF($F62&lt;=1,"952500",IF($F62&lt;=2,"940000",IF($F62&lt;=3,"922500",IF($F62&lt;=4,"897500",IF($F62&lt;=5,"867500",IF($F62&lt;=6,"830000",IF($F62&lt;=7,"710000",IF($F62&lt;=8,"450000",0))))))))))+0</f>
        <v>952500</v>
      </c>
      <c r="BK62" s="56">
        <f>(IF($G62&lt;=0,"0",IF($G62&lt;=1,"952500",IF($G62&lt;=2,"940000",IF($G62&lt;=3,"922500",IF($G62&lt;=4,"897500",IF($G62&lt;=5,"867500",IF($G62&lt;=6,"830000",IF($G62&lt;=7,"710000",IF($G62&lt;=8,"450000",0))))))))))+0</f>
        <v>952500</v>
      </c>
      <c r="BL62" s="56">
        <f>(IF($H62&lt;=0,"0",IF($H62&lt;=1,"952500",IF($H62&lt;=2,"940000",IF($H62&lt;=3,"922500",IF($H62&lt;=4,"897500",IF($H62&lt;=5,"867500",IF($H62&lt;=6,"830000",IF($H62&lt;=7,"710000",IF($H62&lt;=8,"450000",0))))))))))+0</f>
        <v>952500</v>
      </c>
      <c r="BM62" s="57">
        <f>SUM(BI62,BJ62,BK62,BL62)</f>
        <v>4863410</v>
      </c>
    </row>
    <row r="63" spans="1:65">
      <c r="A63" s="46">
        <f ca="1">SUBTOTAL(3,$B$3:Summary2831[[#This Row],[Name]])</f>
        <v>61</v>
      </c>
      <c r="B63" s="140" t="s">
        <v>422</v>
      </c>
      <c r="C63" s="14" t="s">
        <v>624</v>
      </c>
      <c r="D63" s="154">
        <v>2</v>
      </c>
      <c r="E63" s="14">
        <v>22</v>
      </c>
      <c r="F63" s="9">
        <v>1</v>
      </c>
      <c r="G63" s="2">
        <v>1</v>
      </c>
      <c r="H63" s="2">
        <v>1</v>
      </c>
      <c r="I63" s="72">
        <v>81</v>
      </c>
      <c r="J63" s="73">
        <v>1</v>
      </c>
      <c r="K63" s="74">
        <v>9</v>
      </c>
      <c r="L63" s="74">
        <v>9</v>
      </c>
      <c r="M63" s="44" t="s">
        <v>165</v>
      </c>
      <c r="N63" s="10">
        <f>(IF($E63&lt;=0,"0",IF($E63&lt;=40,"46",IF($E63&lt;=50,"44",IF($E63&lt;=60,"40",IF($E63&lt;=70,"32",IF($E63&lt;=80,"20","0")))))))+0</f>
        <v>46</v>
      </c>
      <c r="O6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63" s="49" t="s">
        <v>561</v>
      </c>
      <c r="Q63" s="50">
        <f>T63+W63+Z63</f>
        <v>66</v>
      </c>
      <c r="R63" s="50">
        <f>U63+X63+AA63</f>
        <v>63</v>
      </c>
      <c r="S63" s="51">
        <f>V63+Y63+AB63</f>
        <v>9</v>
      </c>
      <c r="T63" s="123">
        <f>(IF($F63&lt;=0,"0",IF($F63&lt;=6,"22",IF($F63&lt;=7,"18",IF($F63&lt;=8,"12",0)))))+0</f>
        <v>22</v>
      </c>
      <c r="U63" s="124">
        <f>(IF($F63&lt;=0,"0",IF($F63&lt;=2,"21",IF($F63&lt;=3,"19",IF($F63&lt;=4,"15",IF($F63&lt;=5,"9",0))))))+0</f>
        <v>21</v>
      </c>
      <c r="V63" s="124">
        <f>(IF($F63&lt;=0,"0",IF($F63&lt;=1,"3",0)))+0</f>
        <v>3</v>
      </c>
      <c r="W63" s="124">
        <f>(IF($G63&lt;=0,"0",IF($G63&lt;=6,"22",IF($G63&lt;=7,"18",IF($G63&lt;=8,"12",0)))))+0</f>
        <v>22</v>
      </c>
      <c r="X63" s="124">
        <f>(IF($G63&lt;=0,"0",IF($G63&lt;=2,"21",IF($G63&lt;=3,"19",IF($G63&lt;=4,"15",IF($G63&lt;=5,"9",0))))))+0</f>
        <v>21</v>
      </c>
      <c r="Y63" s="124">
        <f>(IF($G63&lt;=0,"0",IF($G63&lt;=1,"3",0)))+0</f>
        <v>3</v>
      </c>
      <c r="Z63" s="124">
        <f>(IF($H63&lt;=0,"0",IF($H63&lt;=6,"22",IF($H63&lt;=7,"18",IF($H63&lt;=8,"12",0)))))+0</f>
        <v>22</v>
      </c>
      <c r="AA63" s="124">
        <f>(IF($H63&lt;=0,"0",IF($H63&lt;=2,"21",IF($H63&lt;=3,"19",IF($H63&lt;=4,"15",IF($H63&lt;=5,"9",0))))))+0</f>
        <v>21</v>
      </c>
      <c r="AB63" s="125">
        <f>(IF($H63&lt;=0,"0",IF($H63&lt;=1,"3",0)))+0</f>
        <v>3</v>
      </c>
      <c r="AC63" s="8" t="s">
        <v>176</v>
      </c>
      <c r="AD63" s="1" t="s">
        <v>589</v>
      </c>
      <c r="AE63" s="126">
        <f>(IF($F63&lt;=0,"0",IF($F63&lt;=6,"4",IF($F63&lt;=7,"3",IF($F63&lt;=8,"2","0")))))+0</f>
        <v>4</v>
      </c>
      <c r="AF63" s="126">
        <f>(IF($G63&lt;=0,"0",IF($G63&lt;=6,"4",IF($G63&lt;=7,"3",IF($G63&lt;=8,"2","0")))))+0</f>
        <v>4</v>
      </c>
      <c r="AG63" s="126">
        <f>(IF($H63&lt;=0,"0",IF($H63&lt;=6,"4",IF($H63&lt;=7,"3",IF($H63&lt;=8,"2","0")))))+0</f>
        <v>4</v>
      </c>
      <c r="AH63" s="10">
        <f>SUM(AE63:AG63)</f>
        <v>12</v>
      </c>
      <c r="AI63" s="1" t="s">
        <v>529</v>
      </c>
      <c r="AJ63" s="2">
        <f>(IF($E63&lt;=0,"0",IF($E63&lt;=20,"168",IF($E63&lt;=30,"165",IF($E63&lt;=50,"155",IF($E63&lt;=60,"135",IF($E63&lt;=70,"105",IF($E63&lt;=80,"60","0"))))))))+0</f>
        <v>165</v>
      </c>
      <c r="AK63" s="44" t="s">
        <v>573</v>
      </c>
      <c r="AL63" s="1">
        <f>(IF($E63&lt;=0,"0",IF($E63&lt;=80,"6","0")))+0</f>
        <v>6</v>
      </c>
      <c r="AM63" s="1">
        <f>(IF($E63&lt;=0,"0",IF($E63&lt;=60,"9",IF($E63&lt;=70,"6","0"))))+0</f>
        <v>9</v>
      </c>
      <c r="AN63" s="1">
        <f>(IF($E63&lt;=0,"0",IF($E63&lt;=40,"9",IF($E63&lt;=50,"6","0"))))+0</f>
        <v>9</v>
      </c>
      <c r="AO63" s="34">
        <f>(IF($E63&lt;=0,"0",IF($E63&lt;=20,"1","0")))+0</f>
        <v>0</v>
      </c>
      <c r="AP63" s="44" t="s">
        <v>264</v>
      </c>
      <c r="AQ63" s="1">
        <f>(IF($E63&lt;=0,"0",IF($E63&lt;=70,"36",IF($E63&lt;=80,"24","0"))))+0</f>
        <v>36</v>
      </c>
      <c r="AR63" s="1">
        <f>(IF($E63&lt;=0,"0",IF($E63&lt;=50,"30",IF($E63&lt;=60,"18","0"))))+0</f>
        <v>30</v>
      </c>
      <c r="AS63" s="1">
        <f>(IF($E63&lt;=0,"0",IF($E63&lt;=20,"18",IF($E63&lt;=40,"15","0"))))+0</f>
        <v>15</v>
      </c>
      <c r="AT63" s="53">
        <f>Summary2831[[#This Row],[3*2]]+Summary2831[[#This Row],[3*22]]+Summary2831[[#This Row],[3*23]]</f>
        <v>57</v>
      </c>
      <c r="AU63" s="52">
        <f>Summary2831[[#This Row],[2*2]]+Summary2831[[#This Row],[2*23]]+Summary2831[[#This Row],[2*24]]</f>
        <v>66</v>
      </c>
      <c r="AV63" s="52">
        <f>Summary2831[[#This Row],[1*2]]+Summary2831[[#This Row],[1*24]]+Summary2831[[#This Row],[1*25]]</f>
        <v>18</v>
      </c>
      <c r="AW63" s="52">
        <f>IF($F63&lt;=0,"0",IF($F63&lt;=6,"19",IF($F63&lt;=7,"18",IF($F63&lt;=8,"9",0))))+0</f>
        <v>19</v>
      </c>
      <c r="AX63" s="52">
        <f>IF($F63&lt;=0,"0",IF($F63&lt;=2,"22",IF($F63&lt;=3,"19",IF($F63&lt;=4,"15",IF($F63&lt;=5,"9",0)))))+0</f>
        <v>22</v>
      </c>
      <c r="AY63" s="52">
        <f>IF($F63&lt;=0,"0",IF($F63&lt;=1,"6",0))+0</f>
        <v>6</v>
      </c>
      <c r="AZ63" s="52">
        <f>IF($G63&lt;=0,"0",IF($G63&lt;=6,"19",IF($G63&lt;=7,"18",IF($G63&lt;=8,"9",0))))+0</f>
        <v>19</v>
      </c>
      <c r="BA63" s="52">
        <f>IF($G63&lt;=0,"0",IF($G63&lt;=2,"22",IF($G63&lt;=3,"19",IF($G63&lt;=4,"15",IF($G63&lt;=5,"9",0)))))+0</f>
        <v>22</v>
      </c>
      <c r="BB63" s="52">
        <f>IF($G63&lt;=0,"0",IF($G63&lt;=1,"6",0))+0</f>
        <v>6</v>
      </c>
      <c r="BC63" s="52">
        <f>IF($H63&lt;=0,"0",IF($H63&lt;=6,"19",IF($H63&lt;=7,"18",IF($H63&lt;=8,"9",0))))+0</f>
        <v>19</v>
      </c>
      <c r="BD63" s="52">
        <f>IF($H63&lt;=0,"0",IF($H63&lt;=2,"22",IF($H63&lt;=3,"19",IF($H63&lt;=4,"15",IF($H63&lt;=5,"9",0)))))+0</f>
        <v>22</v>
      </c>
      <c r="BE63" s="52">
        <f>IF($H63&lt;=0,"0",IF($H63&lt;=1,"6",0))+0</f>
        <v>6</v>
      </c>
      <c r="BF63" s="44">
        <f>SUM(Summary2831[[#This Row],[3*
(Tal)]],Summary2831[[#This Row],[3*
(Asc)]])</f>
        <v>93</v>
      </c>
      <c r="BG63" s="1">
        <f>SUM(Summary2831[[#This Row],[2*
(Tal)]],Summary2831[[#This Row],[2*
(Asc)]])</f>
        <v>96</v>
      </c>
      <c r="BH63" s="34">
        <f>SUM(Summary2831[[#This Row],[1*
(Tal)]],Summary2831[[#This Row],[1*
(Asc)]])</f>
        <v>33</v>
      </c>
      <c r="BI63" s="86">
        <f>(IF($E63&lt;=0,"0",IF($E63&lt;=1,"2092530",IF($E63&lt;=10,"2087525",IF($E63&lt;=20,"2068495",IF($E63&lt;=30,"2005910",IF($E63&lt;=40,"1932830",IF($E63&lt;=50,"1777010",IF($E63&lt;=60,"1546185",IF($E63&lt;=70,"1227000",IF($E63&lt;=80,"804625",IF($E63&lt;=81,"647990",IF($E63&lt;=90,"0",0)))))))))))))+0</f>
        <v>2005910</v>
      </c>
      <c r="BJ63" s="56">
        <f>(IF($F63&lt;=0,"0",IF($F63&lt;=1,"952500",IF($F63&lt;=2,"940000",IF($F63&lt;=3,"922500",IF($F63&lt;=4,"897500",IF($F63&lt;=5,"867500",IF($F63&lt;=6,"830000",IF($F63&lt;=7,"710000",IF($F63&lt;=8,"450000",0))))))))))+0</f>
        <v>952500</v>
      </c>
      <c r="BK63" s="56">
        <f>(IF($G63&lt;=0,"0",IF($G63&lt;=1,"952500",IF($G63&lt;=2,"940000",IF($G63&lt;=3,"922500",IF($G63&lt;=4,"897500",IF($G63&lt;=5,"867500",IF($G63&lt;=6,"830000",IF($G63&lt;=7,"710000",IF($G63&lt;=8,"450000",0))))))))))+0</f>
        <v>952500</v>
      </c>
      <c r="BL63" s="56">
        <f>(IF($H63&lt;=0,"0",IF($H63&lt;=1,"952500",IF($H63&lt;=2,"940000",IF($H63&lt;=3,"922500",IF($H63&lt;=4,"897500",IF($H63&lt;=5,"867500",IF($H63&lt;=6,"830000",IF($H63&lt;=7,"710000",IF($H63&lt;=8,"450000",0))))))))))+0</f>
        <v>952500</v>
      </c>
      <c r="BM63" s="57">
        <f>SUM(BI63,BJ63,BK63,BL63)</f>
        <v>4863410</v>
      </c>
    </row>
    <row r="64" spans="1:65" s="81" customFormat="1">
      <c r="A64" s="46">
        <f ca="1">SUBTOTAL(3,$B$3:Summary2831[[#This Row],[Name]])</f>
        <v>62</v>
      </c>
      <c r="B64" s="140" t="s">
        <v>26</v>
      </c>
      <c r="C64" s="72" t="s">
        <v>31</v>
      </c>
      <c r="D64" s="154">
        <v>4.8</v>
      </c>
      <c r="E64" s="72">
        <v>0</v>
      </c>
      <c r="F64" s="73">
        <v>0</v>
      </c>
      <c r="G64" s="74">
        <v>0</v>
      </c>
      <c r="H64" s="74">
        <v>0</v>
      </c>
      <c r="I64" s="72">
        <v>81</v>
      </c>
      <c r="J64" s="73">
        <v>1</v>
      </c>
      <c r="K64" s="74">
        <v>9</v>
      </c>
      <c r="L64" s="74">
        <v>9</v>
      </c>
      <c r="M64" s="79" t="s">
        <v>37</v>
      </c>
      <c r="N64" s="75">
        <f>(IF($E64&lt;=0,"0",IF($E64&lt;=40,"46",IF($E64&lt;=50,"44",IF($E64&lt;=60,"40",IF($E64&lt;=70,"32",IF($E64&lt;=80,"20","0")))))))+0</f>
        <v>0</v>
      </c>
      <c r="O6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4" s="76" t="s">
        <v>39</v>
      </c>
      <c r="Q64" s="77">
        <f>T64+W64+Z64</f>
        <v>0</v>
      </c>
      <c r="R64" s="77">
        <f>U64+X64+AA64</f>
        <v>0</v>
      </c>
      <c r="S64" s="78">
        <f>V64+Y64+AB64</f>
        <v>0</v>
      </c>
      <c r="T64" s="123">
        <f>(IF($F64&lt;=0,"0",IF($F64&lt;=6,"22",IF($F64&lt;=7,"18",IF($F64&lt;=8,"12",0)))))+0</f>
        <v>0</v>
      </c>
      <c r="U64" s="124">
        <f>(IF($F64&lt;=0,"0",IF($F64&lt;=2,"21",IF($F64&lt;=3,"19",IF($F64&lt;=4,"15",IF($F64&lt;=5,"9",0))))))+0</f>
        <v>0</v>
      </c>
      <c r="V64" s="124">
        <f>(IF($F64&lt;=0,"0",IF($F64&lt;=1,"3",0)))+0</f>
        <v>0</v>
      </c>
      <c r="W64" s="124">
        <f>(IF($G64&lt;=0,"0",IF($G64&lt;=6,"22",IF($G64&lt;=7,"18",IF($G64&lt;=8,"12",0)))))+0</f>
        <v>0</v>
      </c>
      <c r="X64" s="124">
        <f>(IF($G64&lt;=0,"0",IF($G64&lt;=2,"21",IF($G64&lt;=3,"19",IF($G64&lt;=4,"15",IF($G64&lt;=5,"9",0))))))+0</f>
        <v>0</v>
      </c>
      <c r="Y64" s="124">
        <f>(IF($G64&lt;=0,"0",IF($G64&lt;=1,"3",0)))+0</f>
        <v>0</v>
      </c>
      <c r="Z64" s="124">
        <f>(IF($H64&lt;=0,"0",IF($H64&lt;=6,"22",IF($H64&lt;=7,"18",IF($H64&lt;=8,"12",0)))))+0</f>
        <v>0</v>
      </c>
      <c r="AA64" s="124">
        <f>(IF($H64&lt;=0,"0",IF($H64&lt;=2,"21",IF($H64&lt;=3,"19",IF($H64&lt;=4,"15",IF($H64&lt;=5,"9",0))))))+0</f>
        <v>0</v>
      </c>
      <c r="AB64" s="125">
        <f>(IF($H64&lt;=0,"0",IF($H64&lt;=1,"3",0)))+0</f>
        <v>0</v>
      </c>
      <c r="AC64" s="80" t="s">
        <v>40</v>
      </c>
      <c r="AD64" s="81" t="s">
        <v>42</v>
      </c>
      <c r="AE64" s="126">
        <f>(IF($F64&lt;=0,"0",IF($F64&lt;=6,"4",IF($F64&lt;=7,"3",IF($F64&lt;=8,"2","0")))))+0</f>
        <v>0</v>
      </c>
      <c r="AF64" s="126">
        <f>(IF($G64&lt;=0,"0",IF($G64&lt;=6,"4",IF($G64&lt;=7,"3",IF($G64&lt;=8,"2","0")))))+0</f>
        <v>0</v>
      </c>
      <c r="AG64" s="126">
        <f>(IF($H64&lt;=0,"0",IF($H64&lt;=6,"4",IF($H64&lt;=7,"3",IF($H64&lt;=8,"2","0")))))+0</f>
        <v>0</v>
      </c>
      <c r="AH64" s="75">
        <f>SUM(AE64:AG64)</f>
        <v>0</v>
      </c>
      <c r="AI64" s="81" t="s">
        <v>43</v>
      </c>
      <c r="AJ64" s="74">
        <f>(IF($E64&lt;=0,"0",IF($E64&lt;=20,"168",IF($E64&lt;=30,"165",IF($E64&lt;=50,"155",IF($E64&lt;=60,"135",IF($E64&lt;=70,"105",IF($E64&lt;=80,"60","0"))))))))+0</f>
        <v>0</v>
      </c>
      <c r="AK64" s="79" t="s">
        <v>548</v>
      </c>
      <c r="AL64" s="81">
        <f>(IF($E64&lt;=0,"0",IF($E64&lt;=80,"6","0")))+0</f>
        <v>0</v>
      </c>
      <c r="AM64" s="81">
        <f>(IF($E64&lt;=0,"0",IF($E64&lt;=60,"9",IF($E64&lt;=70,"6","0"))))+0</f>
        <v>0</v>
      </c>
      <c r="AN64" s="81">
        <f>(IF($E64&lt;=0,"0",IF($E64&lt;=40,"9",IF($E64&lt;=50,"6","0"))))+0</f>
        <v>0</v>
      </c>
      <c r="AO64" s="82">
        <f>(IF($E64&lt;=0,"0",IF($E64&lt;=20,"1","0")))+0</f>
        <v>0</v>
      </c>
      <c r="AP64" s="79" t="s">
        <v>46</v>
      </c>
      <c r="AQ64" s="81">
        <f>(IF($E64&lt;=0,"0",IF($E64&lt;=70,"36",IF($E64&lt;=80,"24","0"))))+0</f>
        <v>0</v>
      </c>
      <c r="AR64" s="81">
        <f>(IF($E64&lt;=0,"0",IF($E64&lt;=50,"30",IF($E64&lt;=60,"18","0"))))+0</f>
        <v>0</v>
      </c>
      <c r="AS64" s="81">
        <f>(IF($E64&lt;=0,"0",IF($E64&lt;=20,"18",IF($E64&lt;=40,"15","0"))))+0</f>
        <v>0</v>
      </c>
      <c r="AT64" s="121">
        <f>Summary2831[[#This Row],[3*2]]+Summary2831[[#This Row],[3*22]]+Summary2831[[#This Row],[3*23]]</f>
        <v>0</v>
      </c>
      <c r="AU64" s="85">
        <f>Summary2831[[#This Row],[2*2]]+Summary2831[[#This Row],[2*23]]+Summary2831[[#This Row],[2*24]]</f>
        <v>0</v>
      </c>
      <c r="AV64" s="85">
        <f>Summary2831[[#This Row],[1*2]]+Summary2831[[#This Row],[1*24]]+Summary2831[[#This Row],[1*25]]</f>
        <v>0</v>
      </c>
      <c r="AW64" s="70">
        <f>IF($F64&lt;=0,"0",IF($F64&lt;=6,"19",IF($F64&lt;=7,"18",IF($F64&lt;=8,"9",0))))+0</f>
        <v>0</v>
      </c>
      <c r="AX64" s="70">
        <f>IF($F64&lt;=0,"0",IF($F64&lt;=2,"22",IF($F64&lt;=3,"19",IF($F64&lt;=4,"15",IF($F64&lt;=5,"9",0)))))+0</f>
        <v>0</v>
      </c>
      <c r="AY64" s="70">
        <f>IF($F64&lt;=0,"0",IF($F64&lt;=1,"6",0))+0</f>
        <v>0</v>
      </c>
      <c r="AZ64" s="70">
        <f>IF($G64&lt;=0,"0",IF($G64&lt;=6,"19",IF($G64&lt;=7,"18",IF($G64&lt;=8,"9",0))))+0</f>
        <v>0</v>
      </c>
      <c r="BA64" s="70">
        <f>IF($G64&lt;=0,"0",IF($G64&lt;=2,"22",IF($G64&lt;=3,"19",IF($G64&lt;=4,"15",IF($G64&lt;=5,"9",0)))))+0</f>
        <v>0</v>
      </c>
      <c r="BB64" s="70">
        <f>IF($G64&lt;=0,"0",IF($G64&lt;=1,"6",0))+0</f>
        <v>0</v>
      </c>
      <c r="BC64" s="70">
        <f>IF($H64&lt;=0,"0",IF($H64&lt;=6,"19",IF($H64&lt;=7,"18",IF($H64&lt;=8,"9",0))))+0</f>
        <v>0</v>
      </c>
      <c r="BD64" s="70">
        <f>IF($H64&lt;=0,"0",IF($H64&lt;=2,"22",IF($H64&lt;=3,"19",IF($H64&lt;=4,"15",IF($H64&lt;=5,"9",0)))))+0</f>
        <v>0</v>
      </c>
      <c r="BE64" s="70">
        <f>IF($H64&lt;=0,"0",IF($H64&lt;=1,"6",0))+0</f>
        <v>0</v>
      </c>
      <c r="BF64" s="121">
        <f>SUM(Summary2831[[#This Row],[3*
(Tal)]],Summary2831[[#This Row],[3*
(Asc)]])</f>
        <v>0</v>
      </c>
      <c r="BG64" s="85">
        <f>SUM(Summary2831[[#This Row],[2*
(Tal)]],Summary2831[[#This Row],[2*
(Asc)]])</f>
        <v>0</v>
      </c>
      <c r="BH64" s="122">
        <f>SUM(Summary2831[[#This Row],[1*
(Tal)]],Summary2831[[#This Row],[1*
(Asc)]])</f>
        <v>0</v>
      </c>
      <c r="BI64" s="86">
        <f>(IF($E64&lt;=0,"0",IF($E64&lt;=1,"2092530",IF($E64&lt;=10,"2087525",IF($E64&lt;=20,"2068495",IF($E64&lt;=30,"2005910",IF($E64&lt;=40,"1932830",IF($E64&lt;=50,"1777010",IF($E64&lt;=60,"1546185",IF($E64&lt;=70,"1227000",IF($E64&lt;=80,"804625",IF($E64&lt;=81,"647990",IF($E64&lt;=90,"0",0)))))))))))))+0</f>
        <v>0</v>
      </c>
      <c r="BJ64" s="87">
        <f>(IF($F64&lt;=0,"0",IF($F64&lt;=1,"952500",IF($F64&lt;=2,"940000",IF($F64&lt;=3,"922500",IF($F64&lt;=4,"897500",IF($F64&lt;=5,"867500",IF($F64&lt;=6,"830000",IF($F64&lt;=7,"710000",IF($F64&lt;=8,"450000",0))))))))))+0</f>
        <v>0</v>
      </c>
      <c r="BK64" s="87">
        <f>(IF($G64&lt;=0,"0",IF($G64&lt;=1,"952500",IF($G64&lt;=2,"940000",IF($G64&lt;=3,"922500",IF($G64&lt;=4,"897500",IF($G64&lt;=5,"867500",IF($G64&lt;=6,"830000",IF($G64&lt;=7,"710000",IF($G64&lt;=8,"450000",0))))))))))+0</f>
        <v>0</v>
      </c>
      <c r="BL64" s="87">
        <f>(IF($H64&lt;=0,"0",IF($H64&lt;=1,"952500",IF($H64&lt;=2,"940000",IF($H64&lt;=3,"922500",IF($H64&lt;=4,"897500",IF($H64&lt;=5,"867500",IF($H64&lt;=6,"830000",IF($H64&lt;=7,"710000",IF($H64&lt;=8,"450000",0))))))))))+0</f>
        <v>0</v>
      </c>
      <c r="BM64" s="88">
        <f>SUM(BI64,BJ64,BK64,BL64)</f>
        <v>0</v>
      </c>
    </row>
    <row r="65" spans="1:65" s="81" customFormat="1">
      <c r="A65" s="71">
        <f ca="1">SUBTOTAL(3,$B$3:Summary2831[[#This Row],[Name]])</f>
        <v>63</v>
      </c>
      <c r="B65" s="72" t="s">
        <v>449</v>
      </c>
      <c r="C65" s="72" t="s">
        <v>621</v>
      </c>
      <c r="D65" s="154">
        <v>2.4</v>
      </c>
      <c r="E65" s="72">
        <v>90</v>
      </c>
      <c r="F65" s="73">
        <v>1</v>
      </c>
      <c r="G65" s="74">
        <v>10</v>
      </c>
      <c r="H65" s="74">
        <v>9</v>
      </c>
      <c r="I65" s="72">
        <v>81</v>
      </c>
      <c r="J65" s="73">
        <v>1</v>
      </c>
      <c r="K65" s="74">
        <v>9</v>
      </c>
      <c r="L65" s="74">
        <v>9</v>
      </c>
      <c r="M65" s="79" t="s">
        <v>223</v>
      </c>
      <c r="N65" s="75">
        <f>(IF($E65&lt;=0,"0",IF($E65&lt;=40,"46",IF($E65&lt;=50,"44",IF($E65&lt;=60,"40",IF($E65&lt;=70,"32",IF($E65&lt;=80,"20","0")))))))+0</f>
        <v>0</v>
      </c>
      <c r="O6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5" s="76" t="s">
        <v>578</v>
      </c>
      <c r="Q65" s="77">
        <f>T65+W65+Z65</f>
        <v>22</v>
      </c>
      <c r="R65" s="77">
        <f>U65+X65+AA65</f>
        <v>21</v>
      </c>
      <c r="S65" s="78">
        <f>V65+Y65+AB65</f>
        <v>3</v>
      </c>
      <c r="T65" s="123">
        <f>(IF($F65&lt;=0,"0",IF($F65&lt;=6,"22",IF($F65&lt;=7,"18",IF($F65&lt;=8,"12",0)))))+0</f>
        <v>22</v>
      </c>
      <c r="U65" s="124">
        <f>(IF($F65&lt;=0,"0",IF($F65&lt;=2,"21",IF($F65&lt;=3,"19",IF($F65&lt;=4,"15",IF($F65&lt;=5,"9",0))))))+0</f>
        <v>21</v>
      </c>
      <c r="V65" s="124">
        <f>(IF($F65&lt;=0,"0",IF($F65&lt;=1,"3",0)))+0</f>
        <v>3</v>
      </c>
      <c r="W65" s="124">
        <f>(IF($G65&lt;=0,"0",IF($G65&lt;=6,"22",IF($G65&lt;=7,"18",IF($G65&lt;=8,"12",0)))))+0</f>
        <v>0</v>
      </c>
      <c r="X65" s="124">
        <f>(IF($G65&lt;=0,"0",IF($G65&lt;=2,"21",IF($G65&lt;=3,"19",IF($G65&lt;=4,"15",IF($G65&lt;=5,"9",0))))))+0</f>
        <v>0</v>
      </c>
      <c r="Y65" s="124">
        <f>(IF($G65&lt;=0,"0",IF($G65&lt;=1,"3",0)))+0</f>
        <v>0</v>
      </c>
      <c r="Z65" s="124">
        <f>(IF($H65&lt;=0,"0",IF($H65&lt;=6,"22",IF($H65&lt;=7,"18",IF($H65&lt;=8,"12",0)))))+0</f>
        <v>0</v>
      </c>
      <c r="AA65" s="124">
        <f>(IF($H65&lt;=0,"0",IF($H65&lt;=2,"21",IF($H65&lt;=3,"19",IF($H65&lt;=4,"15",IF($H65&lt;=5,"9",0))))))+0</f>
        <v>0</v>
      </c>
      <c r="AB65" s="125">
        <f>(IF($H65&lt;=0,"0",IF($H65&lt;=1,"3",0)))+0</f>
        <v>0</v>
      </c>
      <c r="AC65" s="80" t="s">
        <v>205</v>
      </c>
      <c r="AD65" s="81" t="s">
        <v>593</v>
      </c>
      <c r="AE65" s="126">
        <f>(IF($F65&lt;=0,"0",IF($F65&lt;=6,"4",IF($F65&lt;=7,"3",IF($F65&lt;=8,"2","0")))))+0</f>
        <v>4</v>
      </c>
      <c r="AF65" s="126">
        <f>(IF($G65&lt;=0,"0",IF($G65&lt;=6,"4",IF($G65&lt;=7,"3",IF($G65&lt;=8,"2","0")))))+0</f>
        <v>0</v>
      </c>
      <c r="AG65" s="126">
        <f>(IF($H65&lt;=0,"0",IF($H65&lt;=6,"4",IF($H65&lt;=7,"3",IF($H65&lt;=8,"2","0")))))+0</f>
        <v>0</v>
      </c>
      <c r="AH65" s="75">
        <f>SUM(AE65:AG65)</f>
        <v>4</v>
      </c>
      <c r="AI65" s="81" t="s">
        <v>314</v>
      </c>
      <c r="AJ65" s="74">
        <f>(IF($E65&lt;=0,"0",IF($E65&lt;=20,"168",IF($E65&lt;=30,"165",IF($E65&lt;=50,"155",IF($E65&lt;=60,"135",IF($E65&lt;=70,"105",IF($E65&lt;=80,"60","0"))))))))+0</f>
        <v>0</v>
      </c>
      <c r="AK65" s="79" t="s">
        <v>530</v>
      </c>
      <c r="AL65" s="81">
        <f>(IF($E65&lt;=0,"0",IF($E65&lt;=80,"6","0")))+0</f>
        <v>0</v>
      </c>
      <c r="AM65" s="81">
        <f>(IF($E65&lt;=0,"0",IF($E65&lt;=60,"9",IF($E65&lt;=70,"6","0"))))+0</f>
        <v>0</v>
      </c>
      <c r="AN65" s="81">
        <f>(IF($E65&lt;=0,"0",IF($E65&lt;=40,"9",IF($E65&lt;=50,"6","0"))))+0</f>
        <v>0</v>
      </c>
      <c r="AO65" s="82">
        <f>(IF($E65&lt;=0,"0",IF($E65&lt;=20,"1","0")))+0</f>
        <v>0</v>
      </c>
      <c r="AP65" s="79" t="s">
        <v>264</v>
      </c>
      <c r="AQ65" s="81">
        <f>(IF($E65&lt;=0,"0",IF($E65&lt;=70,"36",IF($E65&lt;=80,"24","0"))))+0</f>
        <v>0</v>
      </c>
      <c r="AR65" s="81">
        <f>(IF($E65&lt;=0,"0",IF($E65&lt;=50,"30",IF($E65&lt;=60,"18","0"))))+0</f>
        <v>0</v>
      </c>
      <c r="AS65" s="81">
        <f>(IF($E65&lt;=0,"0",IF($E65&lt;=20,"18",IF($E65&lt;=40,"15","0"))))+0</f>
        <v>0</v>
      </c>
      <c r="AT65" s="83">
        <f>Summary2831[[#This Row],[3*2]]+Summary2831[[#This Row],[3*22]]+Summary2831[[#This Row],[3*23]]</f>
        <v>19</v>
      </c>
      <c r="AU65" s="85">
        <f>Summary2831[[#This Row],[2*2]]+Summary2831[[#This Row],[2*23]]+Summary2831[[#This Row],[2*24]]</f>
        <v>22</v>
      </c>
      <c r="AV65" s="85">
        <f>Summary2831[[#This Row],[1*2]]+Summary2831[[#This Row],[1*24]]+Summary2831[[#This Row],[1*25]]</f>
        <v>6</v>
      </c>
      <c r="AW65" s="70">
        <f>IF($F65&lt;=0,"0",IF($F65&lt;=6,"19",IF($F65&lt;=7,"18",IF($F65&lt;=8,"9",0))))+0</f>
        <v>19</v>
      </c>
      <c r="AX65" s="70">
        <f>IF($F65&lt;=0,"0",IF($F65&lt;=2,"22",IF($F65&lt;=3,"19",IF($F65&lt;=4,"15",IF($F65&lt;=5,"9",0)))))+0</f>
        <v>22</v>
      </c>
      <c r="AY65" s="70">
        <f>IF($F65&lt;=0,"0",IF($F65&lt;=1,"6",0))+0</f>
        <v>6</v>
      </c>
      <c r="AZ65" s="70">
        <f>IF($G65&lt;=0,"0",IF($G65&lt;=6,"19",IF($G65&lt;=7,"18",IF($G65&lt;=8,"9",0))))+0</f>
        <v>0</v>
      </c>
      <c r="BA65" s="70">
        <f>IF($G65&lt;=0,"0",IF($G65&lt;=2,"22",IF($G65&lt;=3,"19",IF($G65&lt;=4,"15",IF($G65&lt;=5,"9",0)))))+0</f>
        <v>0</v>
      </c>
      <c r="BB65" s="70">
        <f>IF($G65&lt;=0,"0",IF($G65&lt;=1,"6",0))+0</f>
        <v>0</v>
      </c>
      <c r="BC65" s="70">
        <f>IF($H65&lt;=0,"0",IF($H65&lt;=6,"19",IF($H65&lt;=7,"18",IF($H65&lt;=8,"9",0))))+0</f>
        <v>0</v>
      </c>
      <c r="BD65" s="70">
        <f>IF($H65&lt;=0,"0",IF($H65&lt;=2,"22",IF($H65&lt;=3,"19",IF($H65&lt;=4,"15",IF($H65&lt;=5,"9",0)))))+0</f>
        <v>0</v>
      </c>
      <c r="BE65" s="70">
        <f>IF($H65&lt;=0,"0",IF($H65&lt;=1,"6",0))+0</f>
        <v>0</v>
      </c>
      <c r="BF65" s="79">
        <f>SUM(Summary2831[[#This Row],[3*
(Tal)]],Summary2831[[#This Row],[3*
(Asc)]])</f>
        <v>19</v>
      </c>
      <c r="BG65" s="81">
        <f>SUM(Summary2831[[#This Row],[2*
(Tal)]],Summary2831[[#This Row],[2*
(Asc)]])</f>
        <v>22</v>
      </c>
      <c r="BH65" s="82">
        <f>SUM(Summary2831[[#This Row],[1*
(Tal)]],Summary2831[[#This Row],[1*
(Asc)]])</f>
        <v>6</v>
      </c>
      <c r="BI65" s="86">
        <f>(IF($E65&lt;=0,"0",IF($E65&lt;=1,"2092530",IF($E65&lt;=10,"2087525",IF($E65&lt;=20,"2068495",IF($E65&lt;=30,"2005910",IF($E65&lt;=40,"1932830",IF($E65&lt;=50,"1777010",IF($E65&lt;=60,"1546185",IF($E65&lt;=70,"1227000",IF($E65&lt;=80,"804625",IF($E65&lt;=81,"647990",IF($E65&lt;=90,"0",0)))))))))))))+0</f>
        <v>0</v>
      </c>
      <c r="BJ65" s="87">
        <f>(IF($F65&lt;=0,"0",IF($F65&lt;=1,"952500",IF($F65&lt;=2,"940000",IF($F65&lt;=3,"922500",IF($F65&lt;=4,"897500",IF($F65&lt;=5,"867500",IF($F65&lt;=6,"830000",IF($F65&lt;=7,"710000",IF($F65&lt;=8,"450000",0))))))))))+0</f>
        <v>952500</v>
      </c>
      <c r="BK65" s="87">
        <f>(IF($G65&lt;=0,"0",IF($G65&lt;=1,"952500",IF($G65&lt;=2,"940000",IF($G65&lt;=3,"922500",IF($G65&lt;=4,"897500",IF($G65&lt;=5,"867500",IF($G65&lt;=6,"830000",IF($G65&lt;=7,"710000",IF($G65&lt;=8,"450000",0))))))))))+0</f>
        <v>0</v>
      </c>
      <c r="BL65" s="87">
        <f>(IF($H65&lt;=0,"0",IF($H65&lt;=1,"952500",IF($H65&lt;=2,"940000",IF($H65&lt;=3,"922500",IF($H65&lt;=4,"897500",IF($H65&lt;=5,"867500",IF($H65&lt;=6,"830000",IF($H65&lt;=7,"710000",IF($H65&lt;=8,"450000",0))))))))))+0</f>
        <v>0</v>
      </c>
      <c r="BM65" s="88">
        <f>SUM(BI65,BJ65,BK65,BL65)</f>
        <v>952500</v>
      </c>
    </row>
    <row r="66" spans="1:65">
      <c r="A66" s="46">
        <f ca="1">SUBTOTAL(3,$B$3:Summary2831[[#This Row],[Name]])</f>
        <v>64</v>
      </c>
      <c r="B66" s="140" t="s">
        <v>436</v>
      </c>
      <c r="C66" s="14" t="s">
        <v>624</v>
      </c>
      <c r="D66" s="155">
        <v>1</v>
      </c>
      <c r="E66" s="14">
        <v>81</v>
      </c>
      <c r="F66" s="9">
        <v>1</v>
      </c>
      <c r="G66" s="2">
        <v>8</v>
      </c>
      <c r="H66" s="2">
        <v>9</v>
      </c>
      <c r="I66" s="72">
        <v>81</v>
      </c>
      <c r="J66" s="73">
        <v>1</v>
      </c>
      <c r="K66" s="74">
        <v>9</v>
      </c>
      <c r="L66" s="74">
        <v>9</v>
      </c>
      <c r="M66" s="44" t="s">
        <v>85</v>
      </c>
      <c r="N66" s="10">
        <f>(IF($E66&lt;=0,"0",IF($E66&lt;=40,"46",IF($E66&lt;=50,"44",IF($E66&lt;=60,"40",IF($E66&lt;=70,"32",IF($E66&lt;=80,"20","0")))))))+0</f>
        <v>0</v>
      </c>
      <c r="O6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6" s="49" t="s">
        <v>527</v>
      </c>
      <c r="Q66" s="50">
        <f>T66+W66+Z66</f>
        <v>34</v>
      </c>
      <c r="R66" s="50">
        <f>U66+X66+AA66</f>
        <v>21</v>
      </c>
      <c r="S66" s="51">
        <f>V66+Y66+AB66</f>
        <v>3</v>
      </c>
      <c r="T66" s="123">
        <f>(IF($F66&lt;=0,"0",IF($F66&lt;=6,"22",IF($F66&lt;=7,"18",IF($F66&lt;=8,"12",0)))))+0</f>
        <v>22</v>
      </c>
      <c r="U66" s="124">
        <f>(IF($F66&lt;=0,"0",IF($F66&lt;=2,"21",IF($F66&lt;=3,"19",IF($F66&lt;=4,"15",IF($F66&lt;=5,"9",0))))))+0</f>
        <v>21</v>
      </c>
      <c r="V66" s="124">
        <f>(IF($F66&lt;=0,"0",IF($F66&lt;=1,"3",0)))+0</f>
        <v>3</v>
      </c>
      <c r="W66" s="124">
        <f>(IF($G66&lt;=0,"0",IF($G66&lt;=6,"22",IF($G66&lt;=7,"18",IF($G66&lt;=8,"12",0)))))+0</f>
        <v>12</v>
      </c>
      <c r="X66" s="124">
        <f>(IF($G66&lt;=0,"0",IF($G66&lt;=2,"21",IF($G66&lt;=3,"19",IF($G66&lt;=4,"15",IF($G66&lt;=5,"9",0))))))+0</f>
        <v>0</v>
      </c>
      <c r="Y66" s="124">
        <f>(IF($G66&lt;=0,"0",IF($G66&lt;=1,"3",0)))+0</f>
        <v>0</v>
      </c>
      <c r="Z66" s="124">
        <f>(IF($H66&lt;=0,"0",IF($H66&lt;=6,"22",IF($H66&lt;=7,"18",IF($H66&lt;=8,"12",0)))))+0</f>
        <v>0</v>
      </c>
      <c r="AA66" s="124">
        <f>(IF($H66&lt;=0,"0",IF($H66&lt;=2,"21",IF($H66&lt;=3,"19",IF($H66&lt;=4,"15",IF($H66&lt;=5,"9",0))))))+0</f>
        <v>0</v>
      </c>
      <c r="AB66" s="125">
        <f>(IF($H66&lt;=0,"0",IF($H66&lt;=1,"3",0)))+0</f>
        <v>0</v>
      </c>
      <c r="AC66" s="8" t="s">
        <v>543</v>
      </c>
      <c r="AD66" s="1" t="s">
        <v>574</v>
      </c>
      <c r="AE66" s="126">
        <f>(IF($F66&lt;=0,"0",IF($F66&lt;=6,"4",IF($F66&lt;=7,"3",IF($F66&lt;=8,"2","0")))))+0</f>
        <v>4</v>
      </c>
      <c r="AF66" s="126">
        <f>(IF($G66&lt;=0,"0",IF($G66&lt;=6,"4",IF($G66&lt;=7,"3",IF($G66&lt;=8,"2","0")))))+0</f>
        <v>2</v>
      </c>
      <c r="AG66" s="126">
        <f>(IF($H66&lt;=0,"0",IF($H66&lt;=6,"4",IF($H66&lt;=7,"3",IF($H66&lt;=8,"2","0")))))+0</f>
        <v>0</v>
      </c>
      <c r="AH66" s="10">
        <f>SUM(AE66:AG66)</f>
        <v>6</v>
      </c>
      <c r="AI66" s="1" t="s">
        <v>551</v>
      </c>
      <c r="AJ66" s="2">
        <f>(IF($E66&lt;=0,"0",IF($E66&lt;=20,"168",IF($E66&lt;=30,"165",IF($E66&lt;=50,"155",IF($E66&lt;=60,"135",IF($E66&lt;=70,"105",IF($E66&lt;=80,"60","0"))))))))+0</f>
        <v>0</v>
      </c>
      <c r="AK66" s="44" t="s">
        <v>573</v>
      </c>
      <c r="AL66" s="1">
        <f>(IF($E66&lt;=0,"0",IF($E66&lt;=80,"6","0")))+0</f>
        <v>0</v>
      </c>
      <c r="AM66" s="1">
        <f>(IF($E66&lt;=0,"0",IF($E66&lt;=60,"9",IF($E66&lt;=70,"6","0"))))+0</f>
        <v>0</v>
      </c>
      <c r="AN66" s="1">
        <f>(IF($E66&lt;=0,"0",IF($E66&lt;=40,"9",IF($E66&lt;=50,"6","0"))))+0</f>
        <v>0</v>
      </c>
      <c r="AO66" s="34">
        <f>(IF($E66&lt;=0,"0",IF($E66&lt;=20,"1","0")))+0</f>
        <v>0</v>
      </c>
      <c r="AP66" s="44" t="s">
        <v>264</v>
      </c>
      <c r="AQ66" s="1">
        <f>(IF($E66&lt;=0,"0",IF($E66&lt;=70,"36",IF($E66&lt;=80,"24","0"))))+0</f>
        <v>0</v>
      </c>
      <c r="AR66" s="1">
        <f>(IF($E66&lt;=0,"0",IF($E66&lt;=50,"30",IF($E66&lt;=60,"18","0"))))+0</f>
        <v>0</v>
      </c>
      <c r="AS66" s="1">
        <f>(IF($E66&lt;=0,"0",IF($E66&lt;=20,"18",IF($E66&lt;=40,"15","0"))))+0</f>
        <v>0</v>
      </c>
      <c r="AT66" s="53">
        <f>Summary2831[[#This Row],[3*2]]+Summary2831[[#This Row],[3*22]]+Summary2831[[#This Row],[3*23]]</f>
        <v>28</v>
      </c>
      <c r="AU66" s="52">
        <f>Summary2831[[#This Row],[2*2]]+Summary2831[[#This Row],[2*23]]+Summary2831[[#This Row],[2*24]]</f>
        <v>22</v>
      </c>
      <c r="AV66" s="52">
        <f>Summary2831[[#This Row],[1*2]]+Summary2831[[#This Row],[1*24]]+Summary2831[[#This Row],[1*25]]</f>
        <v>6</v>
      </c>
      <c r="AW66" s="52">
        <f>IF($F66&lt;=0,"0",IF($F66&lt;=6,"19",IF($F66&lt;=7,"18",IF($F66&lt;=8,"9",0))))+0</f>
        <v>19</v>
      </c>
      <c r="AX66" s="52">
        <f>IF($F66&lt;=0,"0",IF($F66&lt;=2,"22",IF($F66&lt;=3,"19",IF($F66&lt;=4,"15",IF($F66&lt;=5,"9",0)))))+0</f>
        <v>22</v>
      </c>
      <c r="AY66" s="52">
        <f>IF($F66&lt;=0,"0",IF($F66&lt;=1,"6",0))+0</f>
        <v>6</v>
      </c>
      <c r="AZ66" s="52">
        <f>IF($G66&lt;=0,"0",IF($G66&lt;=6,"19",IF($G66&lt;=7,"18",IF($G66&lt;=8,"9",0))))+0</f>
        <v>9</v>
      </c>
      <c r="BA66" s="52">
        <f>IF($G66&lt;=0,"0",IF($G66&lt;=2,"22",IF($G66&lt;=3,"19",IF($G66&lt;=4,"15",IF($G66&lt;=5,"9",0)))))+0</f>
        <v>0</v>
      </c>
      <c r="BB66" s="52">
        <f>IF($G66&lt;=0,"0",IF($G66&lt;=1,"6",0))+0</f>
        <v>0</v>
      </c>
      <c r="BC66" s="52">
        <f>IF($H66&lt;=0,"0",IF($H66&lt;=6,"19",IF($H66&lt;=7,"18",IF($H66&lt;=8,"9",0))))+0</f>
        <v>0</v>
      </c>
      <c r="BD66" s="52">
        <f>IF($H66&lt;=0,"0",IF($H66&lt;=2,"22",IF($H66&lt;=3,"19",IF($H66&lt;=4,"15",IF($H66&lt;=5,"9",0)))))+0</f>
        <v>0</v>
      </c>
      <c r="BE66" s="52">
        <f>IF($H66&lt;=0,"0",IF($H66&lt;=1,"6",0))+0</f>
        <v>0</v>
      </c>
      <c r="BF66" s="44">
        <f>SUM(Summary2831[[#This Row],[3*
(Tal)]],Summary2831[[#This Row],[3*
(Asc)]])</f>
        <v>28</v>
      </c>
      <c r="BG66" s="1">
        <f>SUM(Summary2831[[#This Row],[2*
(Tal)]],Summary2831[[#This Row],[2*
(Asc)]])</f>
        <v>22</v>
      </c>
      <c r="BH66" s="34">
        <f>SUM(Summary2831[[#This Row],[1*
(Tal)]],Summary2831[[#This Row],[1*
(Asc)]])</f>
        <v>6</v>
      </c>
      <c r="BI66" s="86">
        <f>(IF($E66&lt;=0,"0",IF($E66&lt;=1,"2092530",IF($E66&lt;=10,"2087525",IF($E66&lt;=20,"2068495",IF($E66&lt;=30,"2005910",IF($E66&lt;=40,"1932830",IF($E66&lt;=50,"1777010",IF($E66&lt;=60,"1546185",IF($E66&lt;=70,"1227000",IF($E66&lt;=80,"804625",IF($E66&lt;=81,"647990",IF($E66&lt;=90,"0",0)))))))))))))+0</f>
        <v>647990</v>
      </c>
      <c r="BJ66" s="56">
        <f>(IF($F66&lt;=0,"0",IF($F66&lt;=1,"952500",IF($F66&lt;=2,"940000",IF($F66&lt;=3,"922500",IF($F66&lt;=4,"897500",IF($F66&lt;=5,"867500",IF($F66&lt;=6,"830000",IF($F66&lt;=7,"710000",IF($F66&lt;=8,"450000",0))))))))))+0</f>
        <v>952500</v>
      </c>
      <c r="BK66" s="56">
        <f>(IF($G66&lt;=0,"0",IF($G66&lt;=1,"952500",IF($G66&lt;=2,"940000",IF($G66&lt;=3,"922500",IF($G66&lt;=4,"897500",IF($G66&lt;=5,"867500",IF($G66&lt;=6,"830000",IF($G66&lt;=7,"710000",IF($G66&lt;=8,"450000",0))))))))))+0</f>
        <v>450000</v>
      </c>
      <c r="BL66" s="56">
        <f>(IF($H66&lt;=0,"0",IF($H66&lt;=1,"952500",IF($H66&lt;=2,"940000",IF($H66&lt;=3,"922500",IF($H66&lt;=4,"897500",IF($H66&lt;=5,"867500",IF($H66&lt;=6,"830000",IF($H66&lt;=7,"710000",IF($H66&lt;=8,"450000",0))))))))))+0</f>
        <v>0</v>
      </c>
      <c r="BM66" s="57">
        <f>SUM(BI66,BJ66,BK66,BL66)</f>
        <v>2050490</v>
      </c>
    </row>
    <row r="67" spans="1:65">
      <c r="A67" s="71">
        <f ca="1">SUBTOTAL(3,$B$3:Summary2831[[#This Row],[Name]])</f>
        <v>65</v>
      </c>
      <c r="B67" s="72" t="s">
        <v>389</v>
      </c>
      <c r="C67" s="72" t="s">
        <v>623</v>
      </c>
      <c r="D67" s="154">
        <v>1.1000000000000001</v>
      </c>
      <c r="E67" s="72">
        <v>0</v>
      </c>
      <c r="F67" s="73">
        <v>0</v>
      </c>
      <c r="G67" s="74">
        <v>0</v>
      </c>
      <c r="H67" s="74">
        <v>0</v>
      </c>
      <c r="I67" s="72">
        <v>81</v>
      </c>
      <c r="J67" s="73">
        <v>1</v>
      </c>
      <c r="K67" s="74">
        <v>9</v>
      </c>
      <c r="L67" s="74">
        <v>9</v>
      </c>
      <c r="M67" s="79" t="s">
        <v>127</v>
      </c>
      <c r="N67" s="75">
        <f>(IF($E67&lt;=0,"0",IF($E67&lt;=40,"46",IF($E67&lt;=50,"44",IF($E67&lt;=60,"40",IF($E67&lt;=70,"32",IF($E67&lt;=80,"20","0")))))))+0</f>
        <v>0</v>
      </c>
      <c r="O6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67" s="76" t="s">
        <v>527</v>
      </c>
      <c r="Q67" s="77">
        <f>T67+W67+Z67</f>
        <v>0</v>
      </c>
      <c r="R67" s="77">
        <f>U67+X67+AA67</f>
        <v>0</v>
      </c>
      <c r="S67" s="78">
        <f>V67+Y67+AB67</f>
        <v>0</v>
      </c>
      <c r="T67" s="123">
        <f>(IF($F67&lt;=0,"0",IF($F67&lt;=6,"22",IF($F67&lt;=7,"18",IF($F67&lt;=8,"12",0)))))+0</f>
        <v>0</v>
      </c>
      <c r="U67" s="124">
        <f>(IF($F67&lt;=0,"0",IF($F67&lt;=2,"21",IF($F67&lt;=3,"19",IF($F67&lt;=4,"15",IF($F67&lt;=5,"9",0))))))+0</f>
        <v>0</v>
      </c>
      <c r="V67" s="124">
        <f>(IF($F67&lt;=0,"0",IF($F67&lt;=1,"3",0)))+0</f>
        <v>0</v>
      </c>
      <c r="W67" s="124">
        <f>(IF($G67&lt;=0,"0",IF($G67&lt;=6,"22",IF($G67&lt;=7,"18",IF($G67&lt;=8,"12",0)))))+0</f>
        <v>0</v>
      </c>
      <c r="X67" s="124">
        <f>(IF($G67&lt;=0,"0",IF($G67&lt;=2,"21",IF($G67&lt;=3,"19",IF($G67&lt;=4,"15",IF($G67&lt;=5,"9",0))))))+0</f>
        <v>0</v>
      </c>
      <c r="Y67" s="124">
        <f>(IF($G67&lt;=0,"0",IF($G67&lt;=1,"3",0)))+0</f>
        <v>0</v>
      </c>
      <c r="Z67" s="124">
        <f>(IF($H67&lt;=0,"0",IF($H67&lt;=6,"22",IF($H67&lt;=7,"18",IF($H67&lt;=8,"12",0)))))+0</f>
        <v>0</v>
      </c>
      <c r="AA67" s="124">
        <f>(IF($H67&lt;=0,"0",IF($H67&lt;=2,"21",IF($H67&lt;=3,"19",IF($H67&lt;=4,"15",IF($H67&lt;=5,"9",0))))))+0</f>
        <v>0</v>
      </c>
      <c r="AB67" s="125">
        <f>(IF($H67&lt;=0,"0",IF($H67&lt;=1,"3",0)))+0</f>
        <v>0</v>
      </c>
      <c r="AC67" s="80" t="s">
        <v>389</v>
      </c>
      <c r="AD67" s="81" t="s">
        <v>567</v>
      </c>
      <c r="AE67" s="126">
        <f>(IF($F67&lt;=0,"0",IF($F67&lt;=6,"4",IF($F67&lt;=7,"3",IF($F67&lt;=8,"2","0")))))+0</f>
        <v>0</v>
      </c>
      <c r="AF67" s="126">
        <f>(IF($G67&lt;=0,"0",IF($G67&lt;=6,"4",IF($G67&lt;=7,"3",IF($G67&lt;=8,"2","0")))))+0</f>
        <v>0</v>
      </c>
      <c r="AG67" s="126">
        <f>(IF($H67&lt;=0,"0",IF($H67&lt;=6,"4",IF($H67&lt;=7,"3",IF($H67&lt;=8,"2","0")))))+0</f>
        <v>0</v>
      </c>
      <c r="AH67" s="75">
        <f>SUM(AE67:AG67)</f>
        <v>0</v>
      </c>
      <c r="AI67" s="81" t="s">
        <v>388</v>
      </c>
      <c r="AJ67" s="74">
        <f>(IF($E67&lt;=0,"0",IF($E67&lt;=20,"168",IF($E67&lt;=30,"165",IF($E67&lt;=50,"155",IF($E67&lt;=60,"135",IF($E67&lt;=70,"105",IF($E67&lt;=80,"60","0"))))))))+0</f>
        <v>0</v>
      </c>
      <c r="AK67" s="79" t="s">
        <v>546</v>
      </c>
      <c r="AL67" s="81">
        <f>(IF($E67&lt;=0,"0",IF($E67&lt;=80,"6","0")))+0</f>
        <v>0</v>
      </c>
      <c r="AM67" s="81">
        <f>(IF($E67&lt;=0,"0",IF($E67&lt;=60,"9",IF($E67&lt;=70,"6","0"))))+0</f>
        <v>0</v>
      </c>
      <c r="AN67" s="81">
        <f>(IF($E67&lt;=0,"0",IF($E67&lt;=40,"9",IF($E67&lt;=50,"6","0"))))+0</f>
        <v>0</v>
      </c>
      <c r="AO67" s="82">
        <f>(IF($E67&lt;=0,"0",IF($E67&lt;=20,"1","0")))+0</f>
        <v>0</v>
      </c>
      <c r="AP67" s="79" t="s">
        <v>236</v>
      </c>
      <c r="AQ67" s="81">
        <f>(IF($E67&lt;=0,"0",IF($E67&lt;=70,"36",IF($E67&lt;=80,"24","0"))))+0</f>
        <v>0</v>
      </c>
      <c r="AR67" s="81">
        <f>(IF($E67&lt;=0,"0",IF($E67&lt;=50,"30",IF($E67&lt;=60,"18","0"))))+0</f>
        <v>0</v>
      </c>
      <c r="AS67" s="81">
        <f>(IF($E67&lt;=0,"0",IF($E67&lt;=20,"18",IF($E67&lt;=40,"15","0"))))+0</f>
        <v>0</v>
      </c>
      <c r="AT67" s="83">
        <f>Summary2831[[#This Row],[3*2]]+Summary2831[[#This Row],[3*22]]+Summary2831[[#This Row],[3*23]]</f>
        <v>0</v>
      </c>
      <c r="AU67" s="85">
        <f>Summary2831[[#This Row],[2*2]]+Summary2831[[#This Row],[2*23]]+Summary2831[[#This Row],[2*24]]</f>
        <v>0</v>
      </c>
      <c r="AV67" s="85">
        <f>Summary2831[[#This Row],[1*2]]+Summary2831[[#This Row],[1*24]]+Summary2831[[#This Row],[1*25]]</f>
        <v>0</v>
      </c>
      <c r="AW67" s="70">
        <f>IF($F67&lt;=0,"0",IF($F67&lt;=6,"19",IF($F67&lt;=7,"18",IF($F67&lt;=8,"9",0))))+0</f>
        <v>0</v>
      </c>
      <c r="AX67" s="70">
        <f>IF($F67&lt;=0,"0",IF($F67&lt;=2,"22",IF($F67&lt;=3,"19",IF($F67&lt;=4,"15",IF($F67&lt;=5,"9",0)))))+0</f>
        <v>0</v>
      </c>
      <c r="AY67" s="70">
        <f>IF($F67&lt;=0,"0",IF($F67&lt;=1,"6",0))+0</f>
        <v>0</v>
      </c>
      <c r="AZ67" s="70">
        <f>IF($G67&lt;=0,"0",IF($G67&lt;=6,"19",IF($G67&lt;=7,"18",IF($G67&lt;=8,"9",0))))+0</f>
        <v>0</v>
      </c>
      <c r="BA67" s="70">
        <f>IF($G67&lt;=0,"0",IF($G67&lt;=2,"22",IF($G67&lt;=3,"19",IF($G67&lt;=4,"15",IF($G67&lt;=5,"9",0)))))+0</f>
        <v>0</v>
      </c>
      <c r="BB67" s="70">
        <f>IF($G67&lt;=0,"0",IF($G67&lt;=1,"6",0))+0</f>
        <v>0</v>
      </c>
      <c r="BC67" s="70">
        <f>IF($H67&lt;=0,"0",IF($H67&lt;=6,"19",IF($H67&lt;=7,"18",IF($H67&lt;=8,"9",0))))+0</f>
        <v>0</v>
      </c>
      <c r="BD67" s="70">
        <f>IF($H67&lt;=0,"0",IF($H67&lt;=2,"22",IF($H67&lt;=3,"19",IF($H67&lt;=4,"15",IF($H67&lt;=5,"9",0)))))+0</f>
        <v>0</v>
      </c>
      <c r="BE67" s="70">
        <f>IF($H67&lt;=0,"0",IF($H67&lt;=1,"6",0))+0</f>
        <v>0</v>
      </c>
      <c r="BF67" s="79">
        <f>SUM(Summary2831[[#This Row],[3*
(Tal)]],Summary2831[[#This Row],[3*
(Asc)]])</f>
        <v>0</v>
      </c>
      <c r="BG67" s="81">
        <f>SUM(Summary2831[[#This Row],[2*
(Tal)]],Summary2831[[#This Row],[2*
(Asc)]])</f>
        <v>0</v>
      </c>
      <c r="BH67" s="82">
        <f>SUM(Summary2831[[#This Row],[1*
(Tal)]],Summary2831[[#This Row],[1*
(Asc)]])</f>
        <v>0</v>
      </c>
      <c r="BI67" s="86">
        <f>(IF($E67&lt;=0,"0",IF($E67&lt;=1,"2092530",IF($E67&lt;=10,"2087525",IF($E67&lt;=20,"2068495",IF($E67&lt;=30,"2005910",IF($E67&lt;=40,"1932830",IF($E67&lt;=50,"1777010",IF($E67&lt;=60,"1546185",IF($E67&lt;=70,"1227000",IF($E67&lt;=80,"804625",IF($E67&lt;=81,"647990",IF($E67&lt;=90,"0",0)))))))))))))+0</f>
        <v>0</v>
      </c>
      <c r="BJ67" s="87">
        <f>(IF($F67&lt;=0,"0",IF($F67&lt;=1,"952500",IF($F67&lt;=2,"940000",IF($F67&lt;=3,"922500",IF($F67&lt;=4,"897500",IF($F67&lt;=5,"867500",IF($F67&lt;=6,"830000",IF($F67&lt;=7,"710000",IF($F67&lt;=8,"450000",0))))))))))+0</f>
        <v>0</v>
      </c>
      <c r="BK67" s="87">
        <f>(IF($G67&lt;=0,"0",IF($G67&lt;=1,"952500",IF($G67&lt;=2,"940000",IF($G67&lt;=3,"922500",IF($G67&lt;=4,"897500",IF($G67&lt;=5,"867500",IF($G67&lt;=6,"830000",IF($G67&lt;=7,"710000",IF($G67&lt;=8,"450000",0))))))))))+0</f>
        <v>0</v>
      </c>
      <c r="BL67" s="87">
        <f>(IF($H67&lt;=0,"0",IF($H67&lt;=1,"952500",IF($H67&lt;=2,"940000",IF($H67&lt;=3,"922500",IF($H67&lt;=4,"897500",IF($H67&lt;=5,"867500",IF($H67&lt;=6,"830000",IF($H67&lt;=7,"710000",IF($H67&lt;=8,"450000",0))))))))))+0</f>
        <v>0</v>
      </c>
      <c r="BM67" s="88">
        <f>SUM(BI67,BJ67,BK67,BL67)</f>
        <v>0</v>
      </c>
    </row>
    <row r="68" spans="1:65">
      <c r="A68" s="46">
        <f ca="1">SUBTOTAL(3,$B$3:Summary2831[[#This Row],[Name]])</f>
        <v>66</v>
      </c>
      <c r="B68" s="140" t="s">
        <v>450</v>
      </c>
      <c r="C68" s="14" t="s">
        <v>622</v>
      </c>
      <c r="D68" s="155">
        <v>2.2000000000000002</v>
      </c>
      <c r="E68" s="14">
        <v>21</v>
      </c>
      <c r="F68" s="9">
        <v>1</v>
      </c>
      <c r="G68" s="2">
        <v>1</v>
      </c>
      <c r="H68" s="2">
        <v>1</v>
      </c>
      <c r="I68" s="72">
        <v>81</v>
      </c>
      <c r="J68" s="73">
        <v>1</v>
      </c>
      <c r="K68" s="74">
        <v>9</v>
      </c>
      <c r="L68" s="74">
        <v>9</v>
      </c>
      <c r="M68" s="44" t="s">
        <v>185</v>
      </c>
      <c r="N68" s="10">
        <f>(IF($E68&lt;=0,"0",IF($E68&lt;=40,"46",IF($E68&lt;=50,"44",IF($E68&lt;=60,"40",IF($E68&lt;=70,"32",IF($E68&lt;=80,"20","0")))))))+0</f>
        <v>46</v>
      </c>
      <c r="O6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68" s="49" t="s">
        <v>582</v>
      </c>
      <c r="Q68" s="50">
        <f>T68+W68+Z68</f>
        <v>66</v>
      </c>
      <c r="R68" s="50">
        <f>U68+X68+AA68</f>
        <v>63</v>
      </c>
      <c r="S68" s="51">
        <f>V68+Y68+AB68</f>
        <v>9</v>
      </c>
      <c r="T68" s="123">
        <f>(IF($F68&lt;=0,"0",IF($F68&lt;=6,"22",IF($F68&lt;=7,"18",IF($F68&lt;=8,"12",0)))))+0</f>
        <v>22</v>
      </c>
      <c r="U68" s="124">
        <f>(IF($F68&lt;=0,"0",IF($F68&lt;=2,"21",IF($F68&lt;=3,"19",IF($F68&lt;=4,"15",IF($F68&lt;=5,"9",0))))))+0</f>
        <v>21</v>
      </c>
      <c r="V68" s="124">
        <f>(IF($F68&lt;=0,"0",IF($F68&lt;=1,"3",0)))+0</f>
        <v>3</v>
      </c>
      <c r="W68" s="124">
        <f>(IF($G68&lt;=0,"0",IF($G68&lt;=6,"22",IF($G68&lt;=7,"18",IF($G68&lt;=8,"12",0)))))+0</f>
        <v>22</v>
      </c>
      <c r="X68" s="124">
        <f>(IF($G68&lt;=0,"0",IF($G68&lt;=2,"21",IF($G68&lt;=3,"19",IF($G68&lt;=4,"15",IF($G68&lt;=5,"9",0))))))+0</f>
        <v>21</v>
      </c>
      <c r="Y68" s="124">
        <f>(IF($G68&lt;=0,"0",IF($G68&lt;=1,"3",0)))+0</f>
        <v>3</v>
      </c>
      <c r="Z68" s="124">
        <f>(IF($H68&lt;=0,"0",IF($H68&lt;=6,"22",IF($H68&lt;=7,"18",IF($H68&lt;=8,"12",0)))))+0</f>
        <v>22</v>
      </c>
      <c r="AA68" s="124">
        <f>(IF($H68&lt;=0,"0",IF($H68&lt;=2,"21",IF($H68&lt;=3,"19",IF($H68&lt;=4,"15",IF($H68&lt;=5,"9",0))))))+0</f>
        <v>21</v>
      </c>
      <c r="AB68" s="125">
        <f>(IF($H68&lt;=0,"0",IF($H68&lt;=1,"3",0)))+0</f>
        <v>3</v>
      </c>
      <c r="AC68" s="8" t="s">
        <v>205</v>
      </c>
      <c r="AD68" s="1" t="s">
        <v>593</v>
      </c>
      <c r="AE68" s="126">
        <f>(IF($F68&lt;=0,"0",IF($F68&lt;=6,"4",IF($F68&lt;=7,"3",IF($F68&lt;=8,"2","0")))))+0</f>
        <v>4</v>
      </c>
      <c r="AF68" s="126">
        <f>(IF($G68&lt;=0,"0",IF($G68&lt;=6,"4",IF($G68&lt;=7,"3",IF($G68&lt;=8,"2","0")))))+0</f>
        <v>4</v>
      </c>
      <c r="AG68" s="126">
        <f>(IF($H68&lt;=0,"0",IF($H68&lt;=6,"4",IF($H68&lt;=7,"3",IF($H68&lt;=8,"2","0")))))+0</f>
        <v>4</v>
      </c>
      <c r="AH68" s="10">
        <f>SUM(AE68:AG68)</f>
        <v>12</v>
      </c>
      <c r="AI68" s="1" t="s">
        <v>601</v>
      </c>
      <c r="AJ68" s="2">
        <f>(IF($E68&lt;=0,"0",IF($E68&lt;=20,"168",IF($E68&lt;=30,"165",IF($E68&lt;=50,"155",IF($E68&lt;=60,"135",IF($E68&lt;=70,"105",IF($E68&lt;=80,"60","0"))))))))+0</f>
        <v>165</v>
      </c>
      <c r="AK68" s="44" t="s">
        <v>534</v>
      </c>
      <c r="AL68" s="1">
        <f>(IF($E68&lt;=0,"0",IF($E68&lt;=80,"6","0")))+0</f>
        <v>6</v>
      </c>
      <c r="AM68" s="1">
        <f>(IF($E68&lt;=0,"0",IF($E68&lt;=60,"9",IF($E68&lt;=70,"6","0"))))+0</f>
        <v>9</v>
      </c>
      <c r="AN68" s="1">
        <f>(IF($E68&lt;=0,"0",IF($E68&lt;=40,"9",IF($E68&lt;=50,"6","0"))))+0</f>
        <v>9</v>
      </c>
      <c r="AO68" s="34">
        <f>(IF($E68&lt;=0,"0",IF($E68&lt;=20,"1","0")))+0</f>
        <v>0</v>
      </c>
      <c r="AP68" s="44" t="s">
        <v>207</v>
      </c>
      <c r="AQ68" s="1">
        <f>(IF($E68&lt;=0,"0",IF($E68&lt;=70,"36",IF($E68&lt;=80,"24","0"))))+0</f>
        <v>36</v>
      </c>
      <c r="AR68" s="1">
        <f>(IF($E68&lt;=0,"0",IF($E68&lt;=50,"30",IF($E68&lt;=60,"18","0"))))+0</f>
        <v>30</v>
      </c>
      <c r="AS68" s="1">
        <f>(IF($E68&lt;=0,"0",IF($E68&lt;=20,"18",IF($E68&lt;=40,"15","0"))))+0</f>
        <v>15</v>
      </c>
      <c r="AT68" s="53">
        <f>Summary2831[[#This Row],[3*2]]+Summary2831[[#This Row],[3*22]]+Summary2831[[#This Row],[3*23]]</f>
        <v>57</v>
      </c>
      <c r="AU68" s="52">
        <f>Summary2831[[#This Row],[2*2]]+Summary2831[[#This Row],[2*23]]+Summary2831[[#This Row],[2*24]]</f>
        <v>66</v>
      </c>
      <c r="AV68" s="52">
        <f>Summary2831[[#This Row],[1*2]]+Summary2831[[#This Row],[1*24]]+Summary2831[[#This Row],[1*25]]</f>
        <v>18</v>
      </c>
      <c r="AW68" s="52">
        <f>IF($F68&lt;=0,"0",IF($F68&lt;=6,"19",IF($F68&lt;=7,"18",IF($F68&lt;=8,"9",0))))+0</f>
        <v>19</v>
      </c>
      <c r="AX68" s="52">
        <f>IF($F68&lt;=0,"0",IF($F68&lt;=2,"22",IF($F68&lt;=3,"19",IF($F68&lt;=4,"15",IF($F68&lt;=5,"9",0)))))+0</f>
        <v>22</v>
      </c>
      <c r="AY68" s="52">
        <f>IF($F68&lt;=0,"0",IF($F68&lt;=1,"6",0))+0</f>
        <v>6</v>
      </c>
      <c r="AZ68" s="52">
        <f>IF($G68&lt;=0,"0",IF($G68&lt;=6,"19",IF($G68&lt;=7,"18",IF($G68&lt;=8,"9",0))))+0</f>
        <v>19</v>
      </c>
      <c r="BA68" s="52">
        <f>IF($G68&lt;=0,"0",IF($G68&lt;=2,"22",IF($G68&lt;=3,"19",IF($G68&lt;=4,"15",IF($G68&lt;=5,"9",0)))))+0</f>
        <v>22</v>
      </c>
      <c r="BB68" s="52">
        <f>IF($G68&lt;=0,"0",IF($G68&lt;=1,"6",0))+0</f>
        <v>6</v>
      </c>
      <c r="BC68" s="52">
        <f>IF($H68&lt;=0,"0",IF($H68&lt;=6,"19",IF($H68&lt;=7,"18",IF($H68&lt;=8,"9",0))))+0</f>
        <v>19</v>
      </c>
      <c r="BD68" s="52">
        <f>IF($H68&lt;=0,"0",IF($H68&lt;=2,"22",IF($H68&lt;=3,"19",IF($H68&lt;=4,"15",IF($H68&lt;=5,"9",0)))))+0</f>
        <v>22</v>
      </c>
      <c r="BE68" s="52">
        <f>IF($H68&lt;=0,"0",IF($H68&lt;=1,"6",0))+0</f>
        <v>6</v>
      </c>
      <c r="BF68" s="44">
        <f>SUM(Summary2831[[#This Row],[3*
(Tal)]],Summary2831[[#This Row],[3*
(Asc)]])</f>
        <v>93</v>
      </c>
      <c r="BG68" s="1">
        <f>SUM(Summary2831[[#This Row],[2*
(Tal)]],Summary2831[[#This Row],[2*
(Asc)]])</f>
        <v>96</v>
      </c>
      <c r="BH68" s="34">
        <f>SUM(Summary2831[[#This Row],[1*
(Tal)]],Summary2831[[#This Row],[1*
(Asc)]])</f>
        <v>33</v>
      </c>
      <c r="BI68" s="86">
        <f>(IF($E68&lt;=0,"0",IF($E68&lt;=1,"2092530",IF($E68&lt;=10,"2087525",IF($E68&lt;=20,"2068495",IF($E68&lt;=30,"2005910",IF($E68&lt;=40,"1932830",IF($E68&lt;=50,"1777010",IF($E68&lt;=60,"1546185",IF($E68&lt;=70,"1227000",IF($E68&lt;=80,"804625",IF($E68&lt;=81,"647990",IF($E68&lt;=90,"0",0)))))))))))))+0</f>
        <v>2005910</v>
      </c>
      <c r="BJ68" s="56">
        <f>(IF($F68&lt;=0,"0",IF($F68&lt;=1,"952500",IF($F68&lt;=2,"940000",IF($F68&lt;=3,"922500",IF($F68&lt;=4,"897500",IF($F68&lt;=5,"867500",IF($F68&lt;=6,"830000",IF($F68&lt;=7,"710000",IF($F68&lt;=8,"450000",0))))))))))+0</f>
        <v>952500</v>
      </c>
      <c r="BK68" s="56">
        <f>(IF($G68&lt;=0,"0",IF($G68&lt;=1,"952500",IF($G68&lt;=2,"940000",IF($G68&lt;=3,"922500",IF($G68&lt;=4,"897500",IF($G68&lt;=5,"867500",IF($G68&lt;=6,"830000",IF($G68&lt;=7,"710000",IF($G68&lt;=8,"450000",0))))))))))+0</f>
        <v>952500</v>
      </c>
      <c r="BL68" s="56">
        <f>(IF($H68&lt;=0,"0",IF($H68&lt;=1,"952500",IF($H68&lt;=2,"940000",IF($H68&lt;=3,"922500",IF($H68&lt;=4,"897500",IF($H68&lt;=5,"867500",IF($H68&lt;=6,"830000",IF($H68&lt;=7,"710000",IF($H68&lt;=8,"450000",0))))))))))+0</f>
        <v>952500</v>
      </c>
      <c r="BM68" s="57">
        <f>SUM(BI68,BJ68,BK68,BL68)</f>
        <v>4863410</v>
      </c>
    </row>
    <row r="69" spans="1:65" s="81" customFormat="1">
      <c r="A69" s="71">
        <f ca="1">SUBTOTAL(3,$B$3:Summary2831[[#This Row],[Name]])</f>
        <v>67</v>
      </c>
      <c r="B69" s="72" t="s">
        <v>393</v>
      </c>
      <c r="C69" s="72" t="s">
        <v>620</v>
      </c>
      <c r="D69" s="155">
        <v>3</v>
      </c>
      <c r="E69" s="72">
        <v>22</v>
      </c>
      <c r="F69" s="73">
        <v>1</v>
      </c>
      <c r="G69" s="74">
        <v>1</v>
      </c>
      <c r="H69" s="74">
        <v>1</v>
      </c>
      <c r="I69" s="72">
        <v>81</v>
      </c>
      <c r="J69" s="73">
        <v>1</v>
      </c>
      <c r="K69" s="74">
        <v>9</v>
      </c>
      <c r="L69" s="74">
        <v>9</v>
      </c>
      <c r="M69" s="79" t="s">
        <v>252</v>
      </c>
      <c r="N69" s="75">
        <f>(IF($E69&lt;=0,"0",IF($E69&lt;=40,"46",IF($E69&lt;=50,"44",IF($E69&lt;=60,"40",IF($E69&lt;=70,"32",IF($E69&lt;=80,"20","0")))))))+0</f>
        <v>46</v>
      </c>
      <c r="O6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249</v>
      </c>
      <c r="P69" s="76" t="s">
        <v>552</v>
      </c>
      <c r="Q69" s="77">
        <f>T69+W69+Z69</f>
        <v>66</v>
      </c>
      <c r="R69" s="77">
        <f>U69+X69+AA69</f>
        <v>63</v>
      </c>
      <c r="S69" s="78">
        <f>V69+Y69+AB69</f>
        <v>9</v>
      </c>
      <c r="T69" s="123">
        <f>(IF($F69&lt;=0,"0",IF($F69&lt;=6,"22",IF($F69&lt;=7,"18",IF($F69&lt;=8,"12",0)))))+0</f>
        <v>22</v>
      </c>
      <c r="U69" s="124">
        <f>(IF($F69&lt;=0,"0",IF($F69&lt;=2,"21",IF($F69&lt;=3,"19",IF($F69&lt;=4,"15",IF($F69&lt;=5,"9",0))))))+0</f>
        <v>21</v>
      </c>
      <c r="V69" s="124">
        <f>(IF($F69&lt;=0,"0",IF($F69&lt;=1,"3",0)))+0</f>
        <v>3</v>
      </c>
      <c r="W69" s="124">
        <f>(IF($G69&lt;=0,"0",IF($G69&lt;=6,"22",IF($G69&lt;=7,"18",IF($G69&lt;=8,"12",0)))))+0</f>
        <v>22</v>
      </c>
      <c r="X69" s="124">
        <f>(IF($G69&lt;=0,"0",IF($G69&lt;=2,"21",IF($G69&lt;=3,"19",IF($G69&lt;=4,"15",IF($G69&lt;=5,"9",0))))))+0</f>
        <v>21</v>
      </c>
      <c r="Y69" s="124">
        <f>(IF($G69&lt;=0,"0",IF($G69&lt;=1,"3",0)))+0</f>
        <v>3</v>
      </c>
      <c r="Z69" s="124">
        <f>(IF($H69&lt;=0,"0",IF($H69&lt;=6,"22",IF($H69&lt;=7,"18",IF($H69&lt;=8,"12",0)))))+0</f>
        <v>22</v>
      </c>
      <c r="AA69" s="124">
        <f>(IF($H69&lt;=0,"0",IF($H69&lt;=2,"21",IF($H69&lt;=3,"19",IF($H69&lt;=4,"15",IF($H69&lt;=5,"9",0))))))+0</f>
        <v>21</v>
      </c>
      <c r="AB69" s="125">
        <f>(IF($H69&lt;=0,"0",IF($H69&lt;=1,"3",0)))+0</f>
        <v>3</v>
      </c>
      <c r="AC69" s="80" t="s">
        <v>553</v>
      </c>
      <c r="AD69" s="81" t="s">
        <v>583</v>
      </c>
      <c r="AE69" s="126">
        <f>(IF($F69&lt;=0,"0",IF($F69&lt;=6,"4",IF($F69&lt;=7,"3",IF($F69&lt;=8,"2","0")))))+0</f>
        <v>4</v>
      </c>
      <c r="AF69" s="126">
        <f>(IF($G69&lt;=0,"0",IF($G69&lt;=6,"4",IF($G69&lt;=7,"3",IF($G69&lt;=8,"2","0")))))+0</f>
        <v>4</v>
      </c>
      <c r="AG69" s="126">
        <f>(IF($H69&lt;=0,"0",IF($H69&lt;=6,"4",IF($H69&lt;=7,"3",IF($H69&lt;=8,"2","0")))))+0</f>
        <v>4</v>
      </c>
      <c r="AH69" s="75">
        <f>SUM(AE69:AG69)</f>
        <v>12</v>
      </c>
      <c r="AI69" s="81" t="s">
        <v>595</v>
      </c>
      <c r="AJ69" s="74">
        <f>(IF($E69&lt;=0,"0",IF($E69&lt;=20,"168",IF($E69&lt;=30,"165",IF($E69&lt;=50,"155",IF($E69&lt;=60,"135",IF($E69&lt;=70,"105",IF($E69&lt;=80,"60","0"))))))))+0</f>
        <v>165</v>
      </c>
      <c r="AK69" s="79" t="s">
        <v>526</v>
      </c>
      <c r="AL69" s="81">
        <f>(IF($E69&lt;=0,"0",IF($E69&lt;=80,"6","0")))+0</f>
        <v>6</v>
      </c>
      <c r="AM69" s="81">
        <f>(IF($E69&lt;=0,"0",IF($E69&lt;=60,"9",IF($E69&lt;=70,"6","0"))))+0</f>
        <v>9</v>
      </c>
      <c r="AN69" s="81">
        <f>(IF($E69&lt;=0,"0",IF($E69&lt;=40,"9",IF($E69&lt;=50,"6","0"))))+0</f>
        <v>9</v>
      </c>
      <c r="AO69" s="82">
        <f>(IF($E69&lt;=0,"0",IF($E69&lt;=20,"1","0")))+0</f>
        <v>0</v>
      </c>
      <c r="AP69" s="79" t="s">
        <v>336</v>
      </c>
      <c r="AQ69" s="81">
        <f>(IF($E69&lt;=0,"0",IF($E69&lt;=70,"36",IF($E69&lt;=80,"24","0"))))+0</f>
        <v>36</v>
      </c>
      <c r="AR69" s="81">
        <f>(IF($E69&lt;=0,"0",IF($E69&lt;=50,"30",IF($E69&lt;=60,"18","0"))))+0</f>
        <v>30</v>
      </c>
      <c r="AS69" s="81">
        <f>(IF($E69&lt;=0,"0",IF($E69&lt;=20,"18",IF($E69&lt;=40,"15","0"))))+0</f>
        <v>15</v>
      </c>
      <c r="AT69" s="83">
        <f>Summary2831[[#This Row],[3*2]]+Summary2831[[#This Row],[3*22]]+Summary2831[[#This Row],[3*23]]</f>
        <v>57</v>
      </c>
      <c r="AU69" s="85">
        <f>Summary2831[[#This Row],[2*2]]+Summary2831[[#This Row],[2*23]]+Summary2831[[#This Row],[2*24]]</f>
        <v>66</v>
      </c>
      <c r="AV69" s="85">
        <f>Summary2831[[#This Row],[1*2]]+Summary2831[[#This Row],[1*24]]+Summary2831[[#This Row],[1*25]]</f>
        <v>18</v>
      </c>
      <c r="AW69" s="70">
        <f>IF($F69&lt;=0,"0",IF($F69&lt;=6,"19",IF($F69&lt;=7,"18",IF($F69&lt;=8,"9",0))))+0</f>
        <v>19</v>
      </c>
      <c r="AX69" s="70">
        <f>IF($F69&lt;=0,"0",IF($F69&lt;=2,"22",IF($F69&lt;=3,"19",IF($F69&lt;=4,"15",IF($F69&lt;=5,"9",0)))))+0</f>
        <v>22</v>
      </c>
      <c r="AY69" s="70">
        <f>IF($F69&lt;=0,"0",IF($F69&lt;=1,"6",0))+0</f>
        <v>6</v>
      </c>
      <c r="AZ69" s="70">
        <f>IF($G69&lt;=0,"0",IF($G69&lt;=6,"19",IF($G69&lt;=7,"18",IF($G69&lt;=8,"9",0))))+0</f>
        <v>19</v>
      </c>
      <c r="BA69" s="70">
        <f>IF($G69&lt;=0,"0",IF($G69&lt;=2,"22",IF($G69&lt;=3,"19",IF($G69&lt;=4,"15",IF($G69&lt;=5,"9",0)))))+0</f>
        <v>22</v>
      </c>
      <c r="BB69" s="70">
        <f>IF($G69&lt;=0,"0",IF($G69&lt;=1,"6",0))+0</f>
        <v>6</v>
      </c>
      <c r="BC69" s="70">
        <f>IF($H69&lt;=0,"0",IF($H69&lt;=6,"19",IF($H69&lt;=7,"18",IF($H69&lt;=8,"9",0))))+0</f>
        <v>19</v>
      </c>
      <c r="BD69" s="70">
        <f>IF($H69&lt;=0,"0",IF($H69&lt;=2,"22",IF($H69&lt;=3,"19",IF($H69&lt;=4,"15",IF($H69&lt;=5,"9",0)))))+0</f>
        <v>22</v>
      </c>
      <c r="BE69" s="70">
        <f>IF($H69&lt;=0,"0",IF($H69&lt;=1,"6",0))+0</f>
        <v>6</v>
      </c>
      <c r="BF69" s="79">
        <f>SUM(Summary2831[[#This Row],[3*
(Tal)]],Summary2831[[#This Row],[3*
(Asc)]])</f>
        <v>93</v>
      </c>
      <c r="BG69" s="81">
        <f>SUM(Summary2831[[#This Row],[2*
(Tal)]],Summary2831[[#This Row],[2*
(Asc)]])</f>
        <v>96</v>
      </c>
      <c r="BH69" s="82">
        <f>SUM(Summary2831[[#This Row],[1*
(Tal)]],Summary2831[[#This Row],[1*
(Asc)]])</f>
        <v>33</v>
      </c>
      <c r="BI69" s="86">
        <f>(IF($E69&lt;=0,"0",IF($E69&lt;=1,"2092530",IF($E69&lt;=10,"2087525",IF($E69&lt;=20,"2068495",IF($E69&lt;=30,"2005910",IF($E69&lt;=40,"1932830",IF($E69&lt;=50,"1777010",IF($E69&lt;=60,"1546185",IF($E69&lt;=70,"1227000",IF($E69&lt;=80,"804625",IF($E69&lt;=81,"647990",IF($E69&lt;=90,"0",0)))))))))))))+0</f>
        <v>2005910</v>
      </c>
      <c r="BJ69" s="87">
        <f>(IF($F69&lt;=0,"0",IF($F69&lt;=1,"952500",IF($F69&lt;=2,"940000",IF($F69&lt;=3,"922500",IF($F69&lt;=4,"897500",IF($F69&lt;=5,"867500",IF($F69&lt;=6,"830000",IF($F69&lt;=7,"710000",IF($F69&lt;=8,"450000",0))))))))))+0</f>
        <v>952500</v>
      </c>
      <c r="BK69" s="87">
        <f>(IF($G69&lt;=0,"0",IF($G69&lt;=1,"952500",IF($G69&lt;=2,"940000",IF($G69&lt;=3,"922500",IF($G69&lt;=4,"897500",IF($G69&lt;=5,"867500",IF($G69&lt;=6,"830000",IF($G69&lt;=7,"710000",IF($G69&lt;=8,"450000",0))))))))))+0</f>
        <v>952500</v>
      </c>
      <c r="BL69" s="87">
        <f>(IF($H69&lt;=0,"0",IF($H69&lt;=1,"952500",IF($H69&lt;=2,"940000",IF($H69&lt;=3,"922500",IF($H69&lt;=4,"897500",IF($H69&lt;=5,"867500",IF($H69&lt;=6,"830000",IF($H69&lt;=7,"710000",IF($H69&lt;=8,"450000",0))))))))))+0</f>
        <v>952500</v>
      </c>
      <c r="BM69" s="88">
        <f>SUM(BI69,BJ69,BK69,BL69)</f>
        <v>4863410</v>
      </c>
    </row>
    <row r="70" spans="1:65">
      <c r="A70" s="71">
        <f ca="1">SUBTOTAL(3,$B$3:Summary2831[[#This Row],[Name]])</f>
        <v>68</v>
      </c>
      <c r="B70" s="72" t="s">
        <v>602</v>
      </c>
      <c r="C70" s="72" t="s">
        <v>621</v>
      </c>
      <c r="D70" s="155">
        <v>1</v>
      </c>
      <c r="E70" s="72">
        <v>81</v>
      </c>
      <c r="F70" s="73">
        <v>1</v>
      </c>
      <c r="G70" s="74">
        <v>1</v>
      </c>
      <c r="H70" s="74">
        <v>1</v>
      </c>
      <c r="I70" s="72">
        <v>81</v>
      </c>
      <c r="J70" s="73">
        <v>1</v>
      </c>
      <c r="K70" s="74">
        <v>9</v>
      </c>
      <c r="L70" s="74">
        <v>9</v>
      </c>
      <c r="M70" s="73" t="s">
        <v>603</v>
      </c>
      <c r="N70" s="75">
        <f>(IF($E70&lt;=0,"0",IF($E70&lt;=40,"46",IF($E70&lt;=50,"44",IF($E70&lt;=60,"40",IF($E70&lt;=70,"32",IF($E70&lt;=80,"20","0")))))))+0</f>
        <v>0</v>
      </c>
      <c r="O7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0" s="76" t="s">
        <v>604</v>
      </c>
      <c r="Q70" s="77">
        <f>T70+W70+Z70</f>
        <v>66</v>
      </c>
      <c r="R70" s="77">
        <f>U70+X70+AA70</f>
        <v>63</v>
      </c>
      <c r="S70" s="78">
        <f>V70+Y70+AB70</f>
        <v>9</v>
      </c>
      <c r="T70" s="65">
        <f>(IF($F70&lt;=0,"0",IF($F70&lt;=6,"22",IF($F70&lt;=7,"18",IF($F70&lt;=8,"12",0)))))+0</f>
        <v>22</v>
      </c>
      <c r="U70" s="66">
        <f>(IF($F70&lt;=0,"0",IF($F70&lt;=2,"21",IF($F70&lt;=3,"19",IF($F70&lt;=4,"15",IF($F70&lt;=5,"9",0))))))+0</f>
        <v>21</v>
      </c>
      <c r="V70" s="66">
        <f>(IF($F70&lt;=0,"0",IF($F70&lt;=1,"3",0)))+0</f>
        <v>3</v>
      </c>
      <c r="W70" s="66">
        <f>(IF($G70&lt;=0,"0",IF($G70&lt;=6,"22",IF($G70&lt;=7,"18",IF($G70&lt;=8,"12",0)))))+0</f>
        <v>22</v>
      </c>
      <c r="X70" s="66">
        <f>(IF($G70&lt;=0,"0",IF($G70&lt;=2,"21",IF($G70&lt;=3,"19",IF($G70&lt;=4,"15",IF($G70&lt;=5,"9",0))))))+0</f>
        <v>21</v>
      </c>
      <c r="Y70" s="66">
        <f>(IF($G70&lt;=0,"0",IF($G70&lt;=1,"3",0)))+0</f>
        <v>3</v>
      </c>
      <c r="Z70" s="66">
        <f>(IF($H70&lt;=0,"0",IF($H70&lt;=6,"22",IF($H70&lt;=7,"18",IF($H70&lt;=8,"12",0)))))+0</f>
        <v>22</v>
      </c>
      <c r="AA70" s="66">
        <f>(IF($H70&lt;=0,"0",IF($H70&lt;=2,"21",IF($H70&lt;=3,"19",IF($H70&lt;=4,"15",IF($H70&lt;=5,"9",0))))))+0</f>
        <v>21</v>
      </c>
      <c r="AB70" s="67">
        <f>(IF($H70&lt;=0,"0",IF($H70&lt;=1,"3",0)))+0</f>
        <v>3</v>
      </c>
      <c r="AC70" s="80" t="s">
        <v>604</v>
      </c>
      <c r="AD70" s="81" t="s">
        <v>604</v>
      </c>
      <c r="AE70" s="68">
        <f>(IF($F70&lt;=0,"0",IF($F70&lt;=6,"4",IF($F70&lt;=7,"3",IF($F70&lt;=8,"2","0")))))+0</f>
        <v>4</v>
      </c>
      <c r="AF70" s="68">
        <f>(IF($G70&lt;=0,"0",IF($G70&lt;=6,"4",IF($G70&lt;=7,"3",IF($G70&lt;=8,"2","0")))))+0</f>
        <v>4</v>
      </c>
      <c r="AG70" s="68">
        <f>(IF($H70&lt;=0,"0",IF($H70&lt;=6,"4",IF($H70&lt;=7,"3",IF($H70&lt;=8,"2","0")))))+0</f>
        <v>4</v>
      </c>
      <c r="AH70" s="75">
        <f>SUM(AE70:AG70)</f>
        <v>12</v>
      </c>
      <c r="AI70" s="74" t="s">
        <v>604</v>
      </c>
      <c r="AJ70" s="74">
        <f>(IF($E70&lt;=0,"0",IF($E70&lt;=20,"168",IF($E70&lt;=30,"165",IF($E70&lt;=50,"155",IF($E70&lt;=60,"135",IF($E70&lt;=70,"105",IF($E70&lt;=80,"60","0"))))))))+0</f>
        <v>0</v>
      </c>
      <c r="AK70" s="79" t="s">
        <v>605</v>
      </c>
      <c r="AL70" s="81">
        <f>(IF($E70&lt;=0,"0",IF($E70&lt;=80,"6","0")))+0</f>
        <v>0</v>
      </c>
      <c r="AM70" s="81">
        <f>(IF($E70&lt;=0,"0",IF($E70&lt;=60,"9",IF($E70&lt;=70,"6","0"))))+0</f>
        <v>0</v>
      </c>
      <c r="AN70" s="81">
        <f>(IF($E70&lt;=0,"0",IF($E70&lt;=40,"9",IF($E70&lt;=50,"6","0"))))+0</f>
        <v>0</v>
      </c>
      <c r="AO70" s="82">
        <f>(IF($E70&lt;=0,"0",IF($E70&lt;=20,"1","0")))+0</f>
        <v>0</v>
      </c>
      <c r="AP70" s="73" t="s">
        <v>604</v>
      </c>
      <c r="AQ70" s="81">
        <f>(IF($E70&lt;=0,"0",IF($E70&lt;=70,"36",IF($E70&lt;=80,"24","0"))))+0</f>
        <v>0</v>
      </c>
      <c r="AR70" s="81">
        <f>(IF($E70&lt;=0,"0",IF($E70&lt;=50,"30",IF($E70&lt;=60,"18","0"))))+0</f>
        <v>0</v>
      </c>
      <c r="AS70" s="81">
        <f>(IF($E70&lt;=0,"0",IF($E70&lt;=20,"18",IF($E70&lt;=40,"15","0"))))+0</f>
        <v>0</v>
      </c>
      <c r="AT70" s="83">
        <f>Summary2831[[#This Row],[3*2]]+Summary2831[[#This Row],[3*22]]+Summary2831[[#This Row],[3*23]]</f>
        <v>57</v>
      </c>
      <c r="AU70" s="85">
        <f>Summary2831[[#This Row],[2*2]]+Summary2831[[#This Row],[2*23]]+Summary2831[[#This Row],[2*24]]</f>
        <v>66</v>
      </c>
      <c r="AV70" s="85">
        <f>Summary2831[[#This Row],[1*2]]+Summary2831[[#This Row],[1*24]]+Summary2831[[#This Row],[1*25]]</f>
        <v>18</v>
      </c>
      <c r="AW70" s="70">
        <f>IF($F70&lt;=0,"0",IF($F70&lt;=6,"19",IF($F70&lt;=7,"18",IF($F70&lt;=8,"9",0))))+0</f>
        <v>19</v>
      </c>
      <c r="AX70" s="70">
        <f>IF($F70&lt;=0,"0",IF($F70&lt;=2,"22",IF($F70&lt;=3,"19",IF($F70&lt;=4,"15",IF($F70&lt;=5,"9",0)))))+0</f>
        <v>22</v>
      </c>
      <c r="AY70" s="70">
        <f>IF($F70&lt;=0,"0",IF($F70&lt;=1,"6",0))+0</f>
        <v>6</v>
      </c>
      <c r="AZ70" s="70">
        <f>IF($G70&lt;=0,"0",IF($G70&lt;=6,"19",IF($G70&lt;=7,"18",IF($G70&lt;=8,"9",0))))+0</f>
        <v>19</v>
      </c>
      <c r="BA70" s="70">
        <f>IF($G70&lt;=0,"0",IF($G70&lt;=2,"22",IF($G70&lt;=3,"19",IF($G70&lt;=4,"15",IF($G70&lt;=5,"9",0)))))+0</f>
        <v>22</v>
      </c>
      <c r="BB70" s="70">
        <f>IF($G70&lt;=0,"0",IF($G70&lt;=1,"6",0))+0</f>
        <v>6</v>
      </c>
      <c r="BC70" s="70">
        <f>IF($H70&lt;=0,"0",IF($H70&lt;=6,"19",IF($H70&lt;=7,"18",IF($H70&lt;=8,"9",0))))+0</f>
        <v>19</v>
      </c>
      <c r="BD70" s="70">
        <f>IF($H70&lt;=0,"0",IF($H70&lt;=2,"22",IF($H70&lt;=3,"19",IF($H70&lt;=4,"15",IF($H70&lt;=5,"9",0)))))+0</f>
        <v>22</v>
      </c>
      <c r="BE70" s="70">
        <f>IF($H70&lt;=0,"0",IF($H70&lt;=1,"6",0))+0</f>
        <v>6</v>
      </c>
      <c r="BF70" s="79">
        <f>SUM(Summary2831[[#This Row],[3*
(Tal)]],Summary2831[[#This Row],[3*
(Asc)]])</f>
        <v>57</v>
      </c>
      <c r="BG70" s="81">
        <f>SUM(Summary2831[[#This Row],[2*
(Tal)]],Summary2831[[#This Row],[2*
(Asc)]])</f>
        <v>66</v>
      </c>
      <c r="BH70" s="82">
        <f>SUM(Summary2831[[#This Row],[1*
(Tal)]],Summary2831[[#This Row],[1*
(Asc)]])</f>
        <v>18</v>
      </c>
      <c r="BI70" s="86">
        <f>(IF($E70&lt;=0,"0",IF($E70&lt;=1,"2092530",IF($E70&lt;=10,"2087525",IF($E70&lt;=20,"2068495",IF($E70&lt;=30,"2005910",IF($E70&lt;=40,"1932830",IF($E70&lt;=50,"1777010",IF($E70&lt;=60,"1546185",IF($E70&lt;=70,"1227000",IF($E70&lt;=80,"804625",IF($E70&lt;=81,"647990",IF($E70&lt;=90,"0",0)))))))))))))+0</f>
        <v>647990</v>
      </c>
      <c r="BJ70" s="87">
        <f>(IF($F70&lt;=0,"0",IF($F70&lt;=1,"952500",IF($F70&lt;=2,"940000",IF($F70&lt;=3,"922500",IF($F70&lt;=4,"897500",IF($F70&lt;=5,"867500",IF($F70&lt;=6,"830000",IF($F70&lt;=7,"710000",IF($F70&lt;=8,"450000",0))))))))))+0</f>
        <v>952500</v>
      </c>
      <c r="BK70" s="87">
        <f>(IF($G70&lt;=0,"0",IF($G70&lt;=1,"952500",IF($G70&lt;=2,"940000",IF($G70&lt;=3,"922500",IF($G70&lt;=4,"897500",IF($G70&lt;=5,"867500",IF($G70&lt;=6,"830000",IF($G70&lt;=7,"710000",IF($G70&lt;=8,"450000",0))))))))))+0</f>
        <v>952500</v>
      </c>
      <c r="BL70" s="87">
        <f>(IF($H70&lt;=0,"0",IF($H70&lt;=1,"952500",IF($H70&lt;=2,"940000",IF($H70&lt;=3,"922500",IF($H70&lt;=4,"897500",IF($H70&lt;=5,"867500",IF($H70&lt;=6,"830000",IF($H70&lt;=7,"710000",IF($H70&lt;=8,"450000",0))))))))))+0</f>
        <v>952500</v>
      </c>
      <c r="BM70" s="88">
        <f>SUM(BI70,BJ70,BK70,BL70)</f>
        <v>3505490</v>
      </c>
    </row>
    <row r="71" spans="1:65" s="81" customFormat="1">
      <c r="A71" s="71">
        <f ca="1">SUBTOTAL(3,$B$3:Summary2831[[#This Row],[Name]])</f>
        <v>69</v>
      </c>
      <c r="B71" s="72" t="s">
        <v>602</v>
      </c>
      <c r="C71" s="72" t="s">
        <v>620</v>
      </c>
      <c r="D71" s="155">
        <v>1</v>
      </c>
      <c r="E71" s="72">
        <v>81</v>
      </c>
      <c r="F71" s="73">
        <v>1</v>
      </c>
      <c r="G71" s="74">
        <v>1</v>
      </c>
      <c r="H71" s="74">
        <v>1</v>
      </c>
      <c r="I71" s="72">
        <v>81</v>
      </c>
      <c r="J71" s="73">
        <v>1</v>
      </c>
      <c r="K71" s="74">
        <v>9</v>
      </c>
      <c r="L71" s="74">
        <v>9</v>
      </c>
      <c r="M71" s="73" t="s">
        <v>603</v>
      </c>
      <c r="N71" s="75">
        <f>(IF($E71&lt;=0,"0",IF($E71&lt;=40,"46",IF($E71&lt;=50,"44",IF($E71&lt;=60,"40",IF($E71&lt;=70,"32",IF($E71&lt;=80,"20","0")))))))+0</f>
        <v>0</v>
      </c>
      <c r="O7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1" s="76" t="s">
        <v>604</v>
      </c>
      <c r="Q71" s="77">
        <f>T71+W71+Z71</f>
        <v>66</v>
      </c>
      <c r="R71" s="77">
        <f>U71+X71+AA71</f>
        <v>63</v>
      </c>
      <c r="S71" s="78">
        <f>V71+Y71+AB71</f>
        <v>9</v>
      </c>
      <c r="T71" s="65">
        <f>(IF($F71&lt;=0,"0",IF($F71&lt;=6,"22",IF($F71&lt;=7,"18",IF($F71&lt;=8,"12",0)))))+0</f>
        <v>22</v>
      </c>
      <c r="U71" s="66">
        <f>(IF($F71&lt;=0,"0",IF($F71&lt;=2,"21",IF($F71&lt;=3,"19",IF($F71&lt;=4,"15",IF($F71&lt;=5,"9",0))))))+0</f>
        <v>21</v>
      </c>
      <c r="V71" s="66">
        <f>(IF($F71&lt;=0,"0",IF($F71&lt;=1,"3",0)))+0</f>
        <v>3</v>
      </c>
      <c r="W71" s="66">
        <f>(IF($G71&lt;=0,"0",IF($G71&lt;=6,"22",IF($G71&lt;=7,"18",IF($G71&lt;=8,"12",0)))))+0</f>
        <v>22</v>
      </c>
      <c r="X71" s="66">
        <f>(IF($G71&lt;=0,"0",IF($G71&lt;=2,"21",IF($G71&lt;=3,"19",IF($G71&lt;=4,"15",IF($G71&lt;=5,"9",0))))))+0</f>
        <v>21</v>
      </c>
      <c r="Y71" s="66">
        <f>(IF($G71&lt;=0,"0",IF($G71&lt;=1,"3",0)))+0</f>
        <v>3</v>
      </c>
      <c r="Z71" s="66">
        <f>(IF($H71&lt;=0,"0",IF($H71&lt;=6,"22",IF($H71&lt;=7,"18",IF($H71&lt;=8,"12",0)))))+0</f>
        <v>22</v>
      </c>
      <c r="AA71" s="66">
        <f>(IF($H71&lt;=0,"0",IF($H71&lt;=2,"21",IF($H71&lt;=3,"19",IF($H71&lt;=4,"15",IF($H71&lt;=5,"9",0))))))+0</f>
        <v>21</v>
      </c>
      <c r="AB71" s="67">
        <f>(IF($H71&lt;=0,"0",IF($H71&lt;=1,"3",0)))+0</f>
        <v>3</v>
      </c>
      <c r="AC71" s="80" t="s">
        <v>553</v>
      </c>
      <c r="AD71" s="81" t="s">
        <v>565</v>
      </c>
      <c r="AE71" s="68">
        <f>(IF($F71&lt;=0,"0",IF($F71&lt;=6,"4",IF($F71&lt;=7,"3",IF($F71&lt;=8,"2","0")))))+0</f>
        <v>4</v>
      </c>
      <c r="AF71" s="68">
        <f>(IF($G71&lt;=0,"0",IF($G71&lt;=6,"4",IF($G71&lt;=7,"3",IF($G71&lt;=8,"2","0")))))+0</f>
        <v>4</v>
      </c>
      <c r="AG71" s="68">
        <f>(IF($H71&lt;=0,"0",IF($H71&lt;=6,"4",IF($H71&lt;=7,"3",IF($H71&lt;=8,"2","0")))))+0</f>
        <v>4</v>
      </c>
      <c r="AH71" s="75">
        <f>SUM(AE71:AG71)</f>
        <v>12</v>
      </c>
      <c r="AI71" s="74" t="s">
        <v>604</v>
      </c>
      <c r="AJ71" s="74">
        <f>(IF($E71&lt;=0,"0",IF($E71&lt;=20,"168",IF($E71&lt;=30,"165",IF($E71&lt;=50,"155",IF($E71&lt;=60,"135",IF($E71&lt;=70,"105",IF($E71&lt;=80,"60","0"))))))))+0</f>
        <v>0</v>
      </c>
      <c r="AK71" s="79" t="s">
        <v>605</v>
      </c>
      <c r="AL71" s="81">
        <f>(IF($E71&lt;=0,"0",IF($E71&lt;=80,"6","0")))+0</f>
        <v>0</v>
      </c>
      <c r="AM71" s="81">
        <f>(IF($E71&lt;=0,"0",IF($E71&lt;=60,"9",IF($E71&lt;=70,"6","0"))))+0</f>
        <v>0</v>
      </c>
      <c r="AN71" s="81">
        <f>(IF($E71&lt;=0,"0",IF($E71&lt;=40,"9",IF($E71&lt;=50,"6","0"))))+0</f>
        <v>0</v>
      </c>
      <c r="AO71" s="82">
        <f>(IF($E71&lt;=0,"0",IF($E71&lt;=20,"1","0")))+0</f>
        <v>0</v>
      </c>
      <c r="AP71" s="73" t="s">
        <v>604</v>
      </c>
      <c r="AQ71" s="81">
        <f>(IF($E71&lt;=0,"0",IF($E71&lt;=70,"36",IF($E71&lt;=80,"24","0"))))+0</f>
        <v>0</v>
      </c>
      <c r="AR71" s="81">
        <f>(IF($E71&lt;=0,"0",IF($E71&lt;=50,"30",IF($E71&lt;=60,"18","0"))))+0</f>
        <v>0</v>
      </c>
      <c r="AS71" s="81">
        <f>(IF($E71&lt;=0,"0",IF($E71&lt;=20,"18",IF($E71&lt;=40,"15","0"))))+0</f>
        <v>0</v>
      </c>
      <c r="AT71" s="83">
        <f>Summary2831[[#This Row],[3*2]]+Summary2831[[#This Row],[3*22]]+Summary2831[[#This Row],[3*23]]</f>
        <v>57</v>
      </c>
      <c r="AU71" s="85">
        <f>Summary2831[[#This Row],[2*2]]+Summary2831[[#This Row],[2*23]]+Summary2831[[#This Row],[2*24]]</f>
        <v>66</v>
      </c>
      <c r="AV71" s="85">
        <f>Summary2831[[#This Row],[1*2]]+Summary2831[[#This Row],[1*24]]+Summary2831[[#This Row],[1*25]]</f>
        <v>18</v>
      </c>
      <c r="AW71" s="70">
        <f>IF($F71&lt;=0,"0",IF($F71&lt;=6,"19",IF($F71&lt;=7,"18",IF($F71&lt;=8,"9",0))))+0</f>
        <v>19</v>
      </c>
      <c r="AX71" s="70">
        <f>IF($F71&lt;=0,"0",IF($F71&lt;=2,"22",IF($F71&lt;=3,"19",IF($F71&lt;=4,"15",IF($F71&lt;=5,"9",0)))))+0</f>
        <v>22</v>
      </c>
      <c r="AY71" s="70">
        <f>IF($F71&lt;=0,"0",IF($F71&lt;=1,"6",0))+0</f>
        <v>6</v>
      </c>
      <c r="AZ71" s="70">
        <f>IF($G71&lt;=0,"0",IF($G71&lt;=6,"19",IF($G71&lt;=7,"18",IF($G71&lt;=8,"9",0))))+0</f>
        <v>19</v>
      </c>
      <c r="BA71" s="70">
        <f>IF($G71&lt;=0,"0",IF($G71&lt;=2,"22",IF($G71&lt;=3,"19",IF($G71&lt;=4,"15",IF($G71&lt;=5,"9",0)))))+0</f>
        <v>22</v>
      </c>
      <c r="BB71" s="70">
        <f>IF($G71&lt;=0,"0",IF($G71&lt;=1,"6",0))+0</f>
        <v>6</v>
      </c>
      <c r="BC71" s="70">
        <f>IF($H71&lt;=0,"0",IF($H71&lt;=6,"19",IF($H71&lt;=7,"18",IF($H71&lt;=8,"9",0))))+0</f>
        <v>19</v>
      </c>
      <c r="BD71" s="70">
        <f>IF($H71&lt;=0,"0",IF($H71&lt;=2,"22",IF($H71&lt;=3,"19",IF($H71&lt;=4,"15",IF($H71&lt;=5,"9",0)))))+0</f>
        <v>22</v>
      </c>
      <c r="BE71" s="70">
        <f>IF($H71&lt;=0,"0",IF($H71&lt;=1,"6",0))+0</f>
        <v>6</v>
      </c>
      <c r="BF71" s="79">
        <f>SUM(Summary2831[[#This Row],[3*
(Tal)]],Summary2831[[#This Row],[3*
(Asc)]])</f>
        <v>57</v>
      </c>
      <c r="BG71" s="81">
        <f>SUM(Summary2831[[#This Row],[2*
(Tal)]],Summary2831[[#This Row],[2*
(Asc)]])</f>
        <v>66</v>
      </c>
      <c r="BH71" s="82">
        <f>SUM(Summary2831[[#This Row],[1*
(Tal)]],Summary2831[[#This Row],[1*
(Asc)]])</f>
        <v>18</v>
      </c>
      <c r="BI71" s="86">
        <f>(IF($E71&lt;=0,"0",IF($E71&lt;=1,"2092530",IF($E71&lt;=10,"2087525",IF($E71&lt;=20,"2068495",IF($E71&lt;=30,"2005910",IF($E71&lt;=40,"1932830",IF($E71&lt;=50,"1777010",IF($E71&lt;=60,"1546185",IF($E71&lt;=70,"1227000",IF($E71&lt;=80,"804625",IF($E71&lt;=81,"647990",IF($E71&lt;=90,"0",0)))))))))))))+0</f>
        <v>647990</v>
      </c>
      <c r="BJ71" s="87">
        <f>(IF($F71&lt;=0,"0",IF($F71&lt;=1,"952500",IF($F71&lt;=2,"940000",IF($F71&lt;=3,"922500",IF($F71&lt;=4,"897500",IF($F71&lt;=5,"867500",IF($F71&lt;=6,"830000",IF($F71&lt;=7,"710000",IF($F71&lt;=8,"450000",0))))))))))+0</f>
        <v>952500</v>
      </c>
      <c r="BK71" s="87">
        <f>(IF($G71&lt;=0,"0",IF($G71&lt;=1,"952500",IF($G71&lt;=2,"940000",IF($G71&lt;=3,"922500",IF($G71&lt;=4,"897500",IF($G71&lt;=5,"867500",IF($G71&lt;=6,"830000",IF($G71&lt;=7,"710000",IF($G71&lt;=8,"450000",0))))))))))+0</f>
        <v>952500</v>
      </c>
      <c r="BL71" s="87">
        <f>(IF($H71&lt;=0,"0",IF($H71&lt;=1,"952500",IF($H71&lt;=2,"940000",IF($H71&lt;=3,"922500",IF($H71&lt;=4,"897500",IF($H71&lt;=5,"867500",IF($H71&lt;=6,"830000",IF($H71&lt;=7,"710000",IF($H71&lt;=8,"450000",0))))))))))+0</f>
        <v>952500</v>
      </c>
      <c r="BM71" s="88">
        <f>SUM(BI71,BJ71,BK71,BL71)</f>
        <v>3505490</v>
      </c>
    </row>
    <row r="72" spans="1:65">
      <c r="A72" s="71">
        <f ca="1">SUBTOTAL(3,$B$3:Summary2831[[#This Row],[Name]])</f>
        <v>70</v>
      </c>
      <c r="B72" s="72" t="s">
        <v>602</v>
      </c>
      <c r="C72" s="72" t="s">
        <v>31</v>
      </c>
      <c r="D72" s="155">
        <v>1</v>
      </c>
      <c r="E72" s="72">
        <v>81</v>
      </c>
      <c r="F72" s="73">
        <v>1</v>
      </c>
      <c r="G72" s="74">
        <v>1</v>
      </c>
      <c r="H72" s="74">
        <v>1</v>
      </c>
      <c r="I72" s="72">
        <v>81</v>
      </c>
      <c r="J72" s="73">
        <v>1</v>
      </c>
      <c r="K72" s="74">
        <v>9</v>
      </c>
      <c r="L72" s="74">
        <v>9</v>
      </c>
      <c r="M72" s="73" t="s">
        <v>603</v>
      </c>
      <c r="N72" s="75">
        <f>(IF($E72&lt;=0,"0",IF($E72&lt;=40,"46",IF($E72&lt;=50,"44",IF($E72&lt;=60,"40",IF($E72&lt;=70,"32",IF($E72&lt;=80,"20","0")))))))+0</f>
        <v>0</v>
      </c>
      <c r="O7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2" s="76" t="s">
        <v>604</v>
      </c>
      <c r="Q72" s="77">
        <f>T72+W72+Z72</f>
        <v>66</v>
      </c>
      <c r="R72" s="77">
        <f>U72+X72+AA72</f>
        <v>63</v>
      </c>
      <c r="S72" s="78">
        <f>V72+Y72+AB72</f>
        <v>9</v>
      </c>
      <c r="T72" s="65">
        <f>(IF($F72&lt;=0,"0",IF($F72&lt;=6,"22",IF($F72&lt;=7,"18",IF($F72&lt;=8,"12",0)))))+0</f>
        <v>22</v>
      </c>
      <c r="U72" s="66">
        <f>(IF($F72&lt;=0,"0",IF($F72&lt;=2,"21",IF($F72&lt;=3,"19",IF($F72&lt;=4,"15",IF($F72&lt;=5,"9",0))))))+0</f>
        <v>21</v>
      </c>
      <c r="V72" s="66">
        <f>(IF($F72&lt;=0,"0",IF($F72&lt;=1,"3",0)))+0</f>
        <v>3</v>
      </c>
      <c r="W72" s="66">
        <f>(IF($G72&lt;=0,"0",IF($G72&lt;=6,"22",IF($G72&lt;=7,"18",IF($G72&lt;=8,"12",0)))))+0</f>
        <v>22</v>
      </c>
      <c r="X72" s="66">
        <f>(IF($G72&lt;=0,"0",IF($G72&lt;=2,"21",IF($G72&lt;=3,"19",IF($G72&lt;=4,"15",IF($G72&lt;=5,"9",0))))))+0</f>
        <v>21</v>
      </c>
      <c r="Y72" s="66">
        <f>(IF($G72&lt;=0,"0",IF($G72&lt;=1,"3",0)))+0</f>
        <v>3</v>
      </c>
      <c r="Z72" s="66">
        <f>(IF($H72&lt;=0,"0",IF($H72&lt;=6,"22",IF($H72&lt;=7,"18",IF($H72&lt;=8,"12",0)))))+0</f>
        <v>22</v>
      </c>
      <c r="AA72" s="66">
        <f>(IF($H72&lt;=0,"0",IF($H72&lt;=2,"21",IF($H72&lt;=3,"19",IF($H72&lt;=4,"15",IF($H72&lt;=5,"9",0))))))+0</f>
        <v>21</v>
      </c>
      <c r="AB72" s="67">
        <f>(IF($H72&lt;=0,"0",IF($H72&lt;=1,"3",0)))+0</f>
        <v>3</v>
      </c>
      <c r="AC72" s="80" t="s">
        <v>176</v>
      </c>
      <c r="AD72" s="81" t="s">
        <v>571</v>
      </c>
      <c r="AE72" s="68">
        <f>(IF($F72&lt;=0,"0",IF($F72&lt;=6,"4",IF($F72&lt;=7,"3",IF($F72&lt;=8,"2","0")))))+0</f>
        <v>4</v>
      </c>
      <c r="AF72" s="68">
        <f>(IF($G72&lt;=0,"0",IF($G72&lt;=6,"4",IF($G72&lt;=7,"3",IF($G72&lt;=8,"2","0")))))+0</f>
        <v>4</v>
      </c>
      <c r="AG72" s="68">
        <f>(IF($H72&lt;=0,"0",IF($H72&lt;=6,"4",IF($H72&lt;=7,"3",IF($H72&lt;=8,"2","0")))))+0</f>
        <v>4</v>
      </c>
      <c r="AH72" s="75">
        <f>SUM(AE72:AG72)</f>
        <v>12</v>
      </c>
      <c r="AI72" s="74" t="s">
        <v>604</v>
      </c>
      <c r="AJ72" s="74">
        <f>(IF($E72&lt;=0,"0",IF($E72&lt;=20,"168",IF($E72&lt;=30,"165",IF($E72&lt;=50,"155",IF($E72&lt;=60,"135",IF($E72&lt;=70,"105",IF($E72&lt;=80,"60","0"))))))))+0</f>
        <v>0</v>
      </c>
      <c r="AK72" s="79" t="s">
        <v>605</v>
      </c>
      <c r="AL72" s="81">
        <f>(IF($E72&lt;=0,"0",IF($E72&lt;=80,"6","0")))+0</f>
        <v>0</v>
      </c>
      <c r="AM72" s="81">
        <f>(IF($E72&lt;=0,"0",IF($E72&lt;=60,"9",IF($E72&lt;=70,"6","0"))))+0</f>
        <v>0</v>
      </c>
      <c r="AN72" s="81">
        <f>(IF($E72&lt;=0,"0",IF($E72&lt;=40,"9",IF($E72&lt;=50,"6","0"))))+0</f>
        <v>0</v>
      </c>
      <c r="AO72" s="82">
        <f>(IF($E72&lt;=0,"0",IF($E72&lt;=20,"1","0")))+0</f>
        <v>0</v>
      </c>
      <c r="AP72" s="73" t="s">
        <v>604</v>
      </c>
      <c r="AQ72" s="81">
        <f>(IF($E72&lt;=0,"0",IF($E72&lt;=70,"36",IF($E72&lt;=80,"24","0"))))+0</f>
        <v>0</v>
      </c>
      <c r="AR72" s="81">
        <f>(IF($E72&lt;=0,"0",IF($E72&lt;=50,"30",IF($E72&lt;=60,"18","0"))))+0</f>
        <v>0</v>
      </c>
      <c r="AS72" s="81">
        <f>(IF($E72&lt;=0,"0",IF($E72&lt;=20,"18",IF($E72&lt;=40,"15","0"))))+0</f>
        <v>0</v>
      </c>
      <c r="AT72" s="83">
        <f>Summary2831[[#This Row],[3*2]]+Summary2831[[#This Row],[3*22]]+Summary2831[[#This Row],[3*23]]</f>
        <v>57</v>
      </c>
      <c r="AU72" s="85">
        <f>Summary2831[[#This Row],[2*2]]+Summary2831[[#This Row],[2*23]]+Summary2831[[#This Row],[2*24]]</f>
        <v>66</v>
      </c>
      <c r="AV72" s="85">
        <f>Summary2831[[#This Row],[1*2]]+Summary2831[[#This Row],[1*24]]+Summary2831[[#This Row],[1*25]]</f>
        <v>18</v>
      </c>
      <c r="AW72" s="70">
        <f>IF($F72&lt;=0,"0",IF($F72&lt;=6,"19",IF($F72&lt;=7,"18",IF($F72&lt;=8,"9",0))))+0</f>
        <v>19</v>
      </c>
      <c r="AX72" s="70">
        <f>IF($F72&lt;=0,"0",IF($F72&lt;=2,"22",IF($F72&lt;=3,"19",IF($F72&lt;=4,"15",IF($F72&lt;=5,"9",0)))))+0</f>
        <v>22</v>
      </c>
      <c r="AY72" s="70">
        <f>IF($F72&lt;=0,"0",IF($F72&lt;=1,"6",0))+0</f>
        <v>6</v>
      </c>
      <c r="AZ72" s="70">
        <f>IF($G72&lt;=0,"0",IF($G72&lt;=6,"19",IF($G72&lt;=7,"18",IF($G72&lt;=8,"9",0))))+0</f>
        <v>19</v>
      </c>
      <c r="BA72" s="70">
        <f>IF($G72&lt;=0,"0",IF($G72&lt;=2,"22",IF($G72&lt;=3,"19",IF($G72&lt;=4,"15",IF($G72&lt;=5,"9",0)))))+0</f>
        <v>22</v>
      </c>
      <c r="BB72" s="70">
        <f>IF($G72&lt;=0,"0",IF($G72&lt;=1,"6",0))+0</f>
        <v>6</v>
      </c>
      <c r="BC72" s="70">
        <f>IF($H72&lt;=0,"0",IF($H72&lt;=6,"19",IF($H72&lt;=7,"18",IF($H72&lt;=8,"9",0))))+0</f>
        <v>19</v>
      </c>
      <c r="BD72" s="70">
        <f>IF($H72&lt;=0,"0",IF($H72&lt;=2,"22",IF($H72&lt;=3,"19",IF($H72&lt;=4,"15",IF($H72&lt;=5,"9",0)))))+0</f>
        <v>22</v>
      </c>
      <c r="BE72" s="70">
        <f>IF($H72&lt;=0,"0",IF($H72&lt;=1,"6",0))+0</f>
        <v>6</v>
      </c>
      <c r="BF72" s="79">
        <f>SUM(Summary2831[[#This Row],[3*
(Tal)]],Summary2831[[#This Row],[3*
(Asc)]])</f>
        <v>57</v>
      </c>
      <c r="BG72" s="81">
        <f>SUM(Summary2831[[#This Row],[2*
(Tal)]],Summary2831[[#This Row],[2*
(Asc)]])</f>
        <v>66</v>
      </c>
      <c r="BH72" s="82">
        <f>SUM(Summary2831[[#This Row],[1*
(Tal)]],Summary2831[[#This Row],[1*
(Asc)]])</f>
        <v>18</v>
      </c>
      <c r="BI72" s="86">
        <f>(IF($E72&lt;=0,"0",IF($E72&lt;=1,"2092530",IF($E72&lt;=10,"2087525",IF($E72&lt;=20,"2068495",IF($E72&lt;=30,"2005910",IF($E72&lt;=40,"1932830",IF($E72&lt;=50,"1777010",IF($E72&lt;=60,"1546185",IF($E72&lt;=70,"1227000",IF($E72&lt;=80,"804625",IF($E72&lt;=81,"647990",IF($E72&lt;=90,"0",0)))))))))))))+0</f>
        <v>647990</v>
      </c>
      <c r="BJ72" s="87">
        <f>(IF($F72&lt;=0,"0",IF($F72&lt;=1,"952500",IF($F72&lt;=2,"940000",IF($F72&lt;=3,"922500",IF($F72&lt;=4,"897500",IF($F72&lt;=5,"867500",IF($F72&lt;=6,"830000",IF($F72&lt;=7,"710000",IF($F72&lt;=8,"450000",0))))))))))+0</f>
        <v>952500</v>
      </c>
      <c r="BK72" s="87">
        <f>(IF($G72&lt;=0,"0",IF($G72&lt;=1,"952500",IF($G72&lt;=2,"940000",IF($G72&lt;=3,"922500",IF($G72&lt;=4,"897500",IF($G72&lt;=5,"867500",IF($G72&lt;=6,"830000",IF($G72&lt;=7,"710000",IF($G72&lt;=8,"450000",0))))))))))+0</f>
        <v>952500</v>
      </c>
      <c r="BL72" s="87">
        <f>(IF($H72&lt;=0,"0",IF($H72&lt;=1,"952500",IF($H72&lt;=2,"940000",IF($H72&lt;=3,"922500",IF($H72&lt;=4,"897500",IF($H72&lt;=5,"867500",IF($H72&lt;=6,"830000",IF($H72&lt;=7,"710000",IF($H72&lt;=8,"450000",0))))))))))+0</f>
        <v>952500</v>
      </c>
      <c r="BM72" s="88">
        <f>SUM(BI72,BJ72,BK72,BL72)</f>
        <v>3505490</v>
      </c>
    </row>
    <row r="73" spans="1:65" s="81" customFormat="1">
      <c r="A73" s="71">
        <f ca="1">SUBTOTAL(3,$B$3:Summary2831[[#This Row],[Name]])</f>
        <v>71</v>
      </c>
      <c r="B73" s="72" t="s">
        <v>602</v>
      </c>
      <c r="C73" s="72" t="s">
        <v>619</v>
      </c>
      <c r="D73" s="155">
        <v>1</v>
      </c>
      <c r="E73" s="72">
        <v>81</v>
      </c>
      <c r="F73" s="73">
        <v>1</v>
      </c>
      <c r="G73" s="74">
        <v>4</v>
      </c>
      <c r="H73" s="74">
        <v>4</v>
      </c>
      <c r="I73" s="72">
        <v>81</v>
      </c>
      <c r="J73" s="73">
        <v>1</v>
      </c>
      <c r="K73" s="74">
        <v>9</v>
      </c>
      <c r="L73" s="74">
        <v>9</v>
      </c>
      <c r="M73" s="73" t="s">
        <v>603</v>
      </c>
      <c r="N73" s="75">
        <f>(IF($E73&lt;=0,"0",IF($E73&lt;=40,"46",IF($E73&lt;=50,"44",IF($E73&lt;=60,"40",IF($E73&lt;=70,"32",IF($E73&lt;=80,"20","0")))))))+0</f>
        <v>0</v>
      </c>
      <c r="O7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3" s="76" t="s">
        <v>604</v>
      </c>
      <c r="Q73" s="77">
        <f>T73+W73+Z73</f>
        <v>66</v>
      </c>
      <c r="R73" s="77">
        <f>U73+X73+AA73</f>
        <v>51</v>
      </c>
      <c r="S73" s="78">
        <f>V73+Y73+AB73</f>
        <v>3</v>
      </c>
      <c r="T73" s="65">
        <f>(IF($F73&lt;=0,"0",IF($F73&lt;=6,"22",IF($F73&lt;=7,"18",IF($F73&lt;=8,"12",0)))))+0</f>
        <v>22</v>
      </c>
      <c r="U73" s="66">
        <f>(IF($F73&lt;=0,"0",IF($F73&lt;=2,"21",IF($F73&lt;=3,"19",IF($F73&lt;=4,"15",IF($F73&lt;=5,"9",0))))))+0</f>
        <v>21</v>
      </c>
      <c r="V73" s="66">
        <f>(IF($F73&lt;=0,"0",IF($F73&lt;=1,"3",0)))+0</f>
        <v>3</v>
      </c>
      <c r="W73" s="66">
        <f>(IF($G73&lt;=0,"0",IF($G73&lt;=6,"22",IF($G73&lt;=7,"18",IF($G73&lt;=8,"12",0)))))+0</f>
        <v>22</v>
      </c>
      <c r="X73" s="66">
        <f>(IF($G73&lt;=0,"0",IF($G73&lt;=2,"21",IF($G73&lt;=3,"19",IF($G73&lt;=4,"15",IF($G73&lt;=5,"9",0))))))+0</f>
        <v>15</v>
      </c>
      <c r="Y73" s="66">
        <f>(IF($G73&lt;=0,"0",IF($G73&lt;=1,"3",0)))+0</f>
        <v>0</v>
      </c>
      <c r="Z73" s="66">
        <f>(IF($H73&lt;=0,"0",IF($H73&lt;=6,"22",IF($H73&lt;=7,"18",IF($H73&lt;=8,"12",0)))))+0</f>
        <v>22</v>
      </c>
      <c r="AA73" s="66">
        <f>(IF($H73&lt;=0,"0",IF($H73&lt;=2,"21",IF($H73&lt;=3,"19",IF($H73&lt;=4,"15",IF($H73&lt;=5,"9",0))))))+0</f>
        <v>15</v>
      </c>
      <c r="AB73" s="67">
        <f>(IF($H73&lt;=0,"0",IF($H73&lt;=1,"3",0)))+0</f>
        <v>0</v>
      </c>
      <c r="AC73" s="80" t="s">
        <v>543</v>
      </c>
      <c r="AD73" s="81" t="s">
        <v>600</v>
      </c>
      <c r="AE73" s="68">
        <f>(IF($F73&lt;=0,"0",IF($F73&lt;=6,"4",IF($F73&lt;=7,"3",IF($F73&lt;=8,"2","0")))))+0</f>
        <v>4</v>
      </c>
      <c r="AF73" s="68">
        <f>(IF($G73&lt;=0,"0",IF($G73&lt;=6,"4",IF($G73&lt;=7,"3",IF($G73&lt;=8,"2","0")))))+0</f>
        <v>4</v>
      </c>
      <c r="AG73" s="68">
        <f>(IF($H73&lt;=0,"0",IF($H73&lt;=6,"4",IF($H73&lt;=7,"3",IF($H73&lt;=8,"2","0")))))+0</f>
        <v>4</v>
      </c>
      <c r="AH73" s="75">
        <f>SUM(AE73:AG73)</f>
        <v>12</v>
      </c>
      <c r="AI73" s="74" t="s">
        <v>604</v>
      </c>
      <c r="AJ73" s="74">
        <f>(IF($E73&lt;=0,"0",IF($E73&lt;=20,"168",IF($E73&lt;=30,"165",IF($E73&lt;=50,"155",IF($E73&lt;=60,"135",IF($E73&lt;=70,"105",IF($E73&lt;=80,"60","0"))))))))+0</f>
        <v>0</v>
      </c>
      <c r="AK73" s="79" t="s">
        <v>605</v>
      </c>
      <c r="AL73" s="81">
        <f>(IF($E73&lt;=0,"0",IF($E73&lt;=80,"6","0")))+0</f>
        <v>0</v>
      </c>
      <c r="AM73" s="81">
        <f>(IF($E73&lt;=0,"0",IF($E73&lt;=60,"9",IF($E73&lt;=70,"6","0"))))+0</f>
        <v>0</v>
      </c>
      <c r="AN73" s="81">
        <f>(IF($E73&lt;=0,"0",IF($E73&lt;=40,"9",IF($E73&lt;=50,"6","0"))))+0</f>
        <v>0</v>
      </c>
      <c r="AO73" s="82">
        <f>(IF($E73&lt;=0,"0",IF($E73&lt;=20,"1","0")))+0</f>
        <v>0</v>
      </c>
      <c r="AP73" s="73" t="s">
        <v>604</v>
      </c>
      <c r="AQ73" s="81">
        <f>(IF($E73&lt;=0,"0",IF($E73&lt;=70,"36",IF($E73&lt;=80,"24","0"))))+0</f>
        <v>0</v>
      </c>
      <c r="AR73" s="81">
        <f>(IF($E73&lt;=0,"0",IF($E73&lt;=50,"30",IF($E73&lt;=60,"18","0"))))+0</f>
        <v>0</v>
      </c>
      <c r="AS73" s="81">
        <f>(IF($E73&lt;=0,"0",IF($E73&lt;=20,"18",IF($E73&lt;=40,"15","0"))))+0</f>
        <v>0</v>
      </c>
      <c r="AT73" s="83">
        <f>Summary2831[[#This Row],[3*2]]+Summary2831[[#This Row],[3*22]]+Summary2831[[#This Row],[3*23]]</f>
        <v>57</v>
      </c>
      <c r="AU73" s="85">
        <f>Summary2831[[#This Row],[2*2]]+Summary2831[[#This Row],[2*23]]+Summary2831[[#This Row],[2*24]]</f>
        <v>52</v>
      </c>
      <c r="AV73" s="85">
        <f>Summary2831[[#This Row],[1*2]]+Summary2831[[#This Row],[1*24]]+Summary2831[[#This Row],[1*25]]</f>
        <v>6</v>
      </c>
      <c r="AW73" s="70">
        <f>IF($F73&lt;=0,"0",IF($F73&lt;=6,"19",IF($F73&lt;=7,"18",IF($F73&lt;=8,"9",0))))+0</f>
        <v>19</v>
      </c>
      <c r="AX73" s="70">
        <f>IF($F73&lt;=0,"0",IF($F73&lt;=2,"22",IF($F73&lt;=3,"19",IF($F73&lt;=4,"15",IF($F73&lt;=5,"9",0)))))+0</f>
        <v>22</v>
      </c>
      <c r="AY73" s="70">
        <f>IF($F73&lt;=0,"0",IF($F73&lt;=1,"6",0))+0</f>
        <v>6</v>
      </c>
      <c r="AZ73" s="70">
        <f>IF($G73&lt;=0,"0",IF($G73&lt;=6,"19",IF($G73&lt;=7,"18",IF($G73&lt;=8,"9",0))))+0</f>
        <v>19</v>
      </c>
      <c r="BA73" s="70">
        <f>IF($G73&lt;=0,"0",IF($G73&lt;=2,"22",IF($G73&lt;=3,"19",IF($G73&lt;=4,"15",IF($G73&lt;=5,"9",0)))))+0</f>
        <v>15</v>
      </c>
      <c r="BB73" s="70">
        <f>IF($G73&lt;=0,"0",IF($G73&lt;=1,"6",0))+0</f>
        <v>0</v>
      </c>
      <c r="BC73" s="70">
        <f>IF($H73&lt;=0,"0",IF($H73&lt;=6,"19",IF($H73&lt;=7,"18",IF($H73&lt;=8,"9",0))))+0</f>
        <v>19</v>
      </c>
      <c r="BD73" s="70">
        <f>IF($H73&lt;=0,"0",IF($H73&lt;=2,"22",IF($H73&lt;=3,"19",IF($H73&lt;=4,"15",IF($H73&lt;=5,"9",0)))))+0</f>
        <v>15</v>
      </c>
      <c r="BE73" s="70">
        <f>IF($H73&lt;=0,"0",IF($H73&lt;=1,"6",0))+0</f>
        <v>0</v>
      </c>
      <c r="BF73" s="79">
        <f>SUM(Summary2831[[#This Row],[3*
(Tal)]],Summary2831[[#This Row],[3*
(Asc)]])</f>
        <v>57</v>
      </c>
      <c r="BG73" s="81">
        <f>SUM(Summary2831[[#This Row],[2*
(Tal)]],Summary2831[[#This Row],[2*
(Asc)]])</f>
        <v>52</v>
      </c>
      <c r="BH73" s="82">
        <f>SUM(Summary2831[[#This Row],[1*
(Tal)]],Summary2831[[#This Row],[1*
(Asc)]])</f>
        <v>6</v>
      </c>
      <c r="BI73" s="86">
        <f>(IF($E73&lt;=0,"0",IF($E73&lt;=1,"2092530",IF($E73&lt;=10,"2087525",IF($E73&lt;=20,"2068495",IF($E73&lt;=30,"2005910",IF($E73&lt;=40,"1932830",IF($E73&lt;=50,"1777010",IF($E73&lt;=60,"1546185",IF($E73&lt;=70,"1227000",IF($E73&lt;=80,"804625",IF($E73&lt;=81,"647990",IF($E73&lt;=90,"0",0)))))))))))))+0</f>
        <v>647990</v>
      </c>
      <c r="BJ73" s="87">
        <f>(IF($F73&lt;=0,"0",IF($F73&lt;=1,"952500",IF($F73&lt;=2,"940000",IF($F73&lt;=3,"922500",IF($F73&lt;=4,"897500",IF($F73&lt;=5,"867500",IF($F73&lt;=6,"830000",IF($F73&lt;=7,"710000",IF($F73&lt;=8,"450000",0))))))))))+0</f>
        <v>952500</v>
      </c>
      <c r="BK73" s="87">
        <f>(IF($G73&lt;=0,"0",IF($G73&lt;=1,"952500",IF($G73&lt;=2,"940000",IF($G73&lt;=3,"922500",IF($G73&lt;=4,"897500",IF($G73&lt;=5,"867500",IF($G73&lt;=6,"830000",IF($G73&lt;=7,"710000",IF($G73&lt;=8,"450000",0))))))))))+0</f>
        <v>897500</v>
      </c>
      <c r="BL73" s="87">
        <f>(IF($H73&lt;=0,"0",IF($H73&lt;=1,"952500",IF($H73&lt;=2,"940000",IF($H73&lt;=3,"922500",IF($H73&lt;=4,"897500",IF($H73&lt;=5,"867500",IF($H73&lt;=6,"830000",IF($H73&lt;=7,"710000",IF($H73&lt;=8,"450000",0))))))))))+0</f>
        <v>897500</v>
      </c>
      <c r="BM73" s="88">
        <f>SUM(BI73,BJ73,BK73,BL73)</f>
        <v>3395490</v>
      </c>
    </row>
    <row r="74" spans="1:65" s="81" customFormat="1">
      <c r="A74" s="71">
        <f ca="1">SUBTOTAL(3,$B$3:Summary2831[[#This Row],[Name]])</f>
        <v>72</v>
      </c>
      <c r="B74" s="72" t="s">
        <v>602</v>
      </c>
      <c r="C74" s="72" t="s">
        <v>623</v>
      </c>
      <c r="D74" s="155">
        <v>1</v>
      </c>
      <c r="E74" s="72">
        <v>81</v>
      </c>
      <c r="F74" s="73">
        <v>1</v>
      </c>
      <c r="G74" s="74">
        <v>1</v>
      </c>
      <c r="H74" s="74">
        <v>1</v>
      </c>
      <c r="I74" s="72">
        <v>81</v>
      </c>
      <c r="J74" s="73">
        <v>1</v>
      </c>
      <c r="K74" s="74">
        <v>9</v>
      </c>
      <c r="L74" s="74">
        <v>9</v>
      </c>
      <c r="M74" s="73" t="s">
        <v>603</v>
      </c>
      <c r="N74" s="75">
        <f>(IF($E74&lt;=0,"0",IF($E74&lt;=40,"46",IF($E74&lt;=50,"44",IF($E74&lt;=60,"40",IF($E74&lt;=70,"32",IF($E74&lt;=80,"20","0")))))))+0</f>
        <v>0</v>
      </c>
      <c r="O7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4" s="76" t="s">
        <v>604</v>
      </c>
      <c r="Q74" s="77">
        <f>T74+W74+Z74</f>
        <v>66</v>
      </c>
      <c r="R74" s="77">
        <f>U74+X74+AA74</f>
        <v>63</v>
      </c>
      <c r="S74" s="78">
        <f>V74+Y74+AB74</f>
        <v>9</v>
      </c>
      <c r="T74" s="65">
        <f>(IF($F74&lt;=0,"0",IF($F74&lt;=6,"22",IF($F74&lt;=7,"18",IF($F74&lt;=8,"12",0)))))+0</f>
        <v>22</v>
      </c>
      <c r="U74" s="66">
        <f>(IF($F74&lt;=0,"0",IF($F74&lt;=2,"21",IF($F74&lt;=3,"19",IF($F74&lt;=4,"15",IF($F74&lt;=5,"9",0))))))+0</f>
        <v>21</v>
      </c>
      <c r="V74" s="66">
        <f>(IF($F74&lt;=0,"0",IF($F74&lt;=1,"3",0)))+0</f>
        <v>3</v>
      </c>
      <c r="W74" s="66">
        <f>(IF($G74&lt;=0,"0",IF($G74&lt;=6,"22",IF($G74&lt;=7,"18",IF($G74&lt;=8,"12",0)))))+0</f>
        <v>22</v>
      </c>
      <c r="X74" s="66">
        <f>(IF($G74&lt;=0,"0",IF($G74&lt;=2,"21",IF($G74&lt;=3,"19",IF($G74&lt;=4,"15",IF($G74&lt;=5,"9",0))))))+0</f>
        <v>21</v>
      </c>
      <c r="Y74" s="66">
        <f>(IF($G74&lt;=0,"0",IF($G74&lt;=1,"3",0)))+0</f>
        <v>3</v>
      </c>
      <c r="Z74" s="66">
        <f>(IF($H74&lt;=0,"0",IF($H74&lt;=6,"22",IF($H74&lt;=7,"18",IF($H74&lt;=8,"12",0)))))+0</f>
        <v>22</v>
      </c>
      <c r="AA74" s="66">
        <f>(IF($H74&lt;=0,"0",IF($H74&lt;=2,"21",IF($H74&lt;=3,"19",IF($H74&lt;=4,"15",IF($H74&lt;=5,"9",0))))))+0</f>
        <v>21</v>
      </c>
      <c r="AB74" s="67">
        <f>(IF($H74&lt;=0,"0",IF($H74&lt;=1,"3",0)))+0</f>
        <v>3</v>
      </c>
      <c r="AC74" s="80" t="s">
        <v>541</v>
      </c>
      <c r="AD74" s="81" t="s">
        <v>542</v>
      </c>
      <c r="AE74" s="68">
        <f>(IF($F74&lt;=0,"0",IF($F74&lt;=6,"4",IF($F74&lt;=7,"3",IF($F74&lt;=8,"2","0")))))+0</f>
        <v>4</v>
      </c>
      <c r="AF74" s="68">
        <f>(IF($G74&lt;=0,"0",IF($G74&lt;=6,"4",IF($G74&lt;=7,"3",IF($G74&lt;=8,"2","0")))))+0</f>
        <v>4</v>
      </c>
      <c r="AG74" s="68">
        <f>(IF($H74&lt;=0,"0",IF($H74&lt;=6,"4",IF($H74&lt;=7,"3",IF($H74&lt;=8,"2","0")))))+0</f>
        <v>4</v>
      </c>
      <c r="AH74" s="75">
        <f>SUM(AE74:AG74)</f>
        <v>12</v>
      </c>
      <c r="AI74" s="74" t="s">
        <v>604</v>
      </c>
      <c r="AJ74" s="74">
        <f>(IF($E74&lt;=0,"0",IF($E74&lt;=20,"168",IF($E74&lt;=30,"165",IF($E74&lt;=50,"155",IF($E74&lt;=60,"135",IF($E74&lt;=70,"105",IF($E74&lt;=80,"60","0"))))))))+0</f>
        <v>0</v>
      </c>
      <c r="AK74" s="79" t="s">
        <v>605</v>
      </c>
      <c r="AL74" s="81">
        <f>(IF($E74&lt;=0,"0",IF($E74&lt;=80,"6","0")))+0</f>
        <v>0</v>
      </c>
      <c r="AM74" s="81">
        <f>(IF($E74&lt;=0,"0",IF($E74&lt;=60,"9",IF($E74&lt;=70,"6","0"))))+0</f>
        <v>0</v>
      </c>
      <c r="AN74" s="81">
        <f>(IF($E74&lt;=0,"0",IF($E74&lt;=40,"9",IF($E74&lt;=50,"6","0"))))+0</f>
        <v>0</v>
      </c>
      <c r="AO74" s="82">
        <f>(IF($E74&lt;=0,"0",IF($E74&lt;=20,"1","0")))+0</f>
        <v>0</v>
      </c>
      <c r="AP74" s="73" t="s">
        <v>604</v>
      </c>
      <c r="AQ74" s="81">
        <f>(IF($E74&lt;=0,"0",IF($E74&lt;=70,"36",IF($E74&lt;=80,"24","0"))))+0</f>
        <v>0</v>
      </c>
      <c r="AR74" s="81">
        <f>(IF($E74&lt;=0,"0",IF($E74&lt;=50,"30",IF($E74&lt;=60,"18","0"))))+0</f>
        <v>0</v>
      </c>
      <c r="AS74" s="81">
        <f>(IF($E74&lt;=0,"0",IF($E74&lt;=20,"18",IF($E74&lt;=40,"15","0"))))+0</f>
        <v>0</v>
      </c>
      <c r="AT74" s="83">
        <f>Summary2831[[#This Row],[3*2]]+Summary2831[[#This Row],[3*22]]+Summary2831[[#This Row],[3*23]]</f>
        <v>57</v>
      </c>
      <c r="AU74" s="85">
        <f>Summary2831[[#This Row],[2*2]]+Summary2831[[#This Row],[2*23]]+Summary2831[[#This Row],[2*24]]</f>
        <v>66</v>
      </c>
      <c r="AV74" s="85">
        <f>Summary2831[[#This Row],[1*2]]+Summary2831[[#This Row],[1*24]]+Summary2831[[#This Row],[1*25]]</f>
        <v>18</v>
      </c>
      <c r="AW74" s="70">
        <f>IF($F74&lt;=0,"0",IF($F74&lt;=6,"19",IF($F74&lt;=7,"18",IF($F74&lt;=8,"9",0))))+0</f>
        <v>19</v>
      </c>
      <c r="AX74" s="70">
        <f>IF($F74&lt;=0,"0",IF($F74&lt;=2,"22",IF($F74&lt;=3,"19",IF($F74&lt;=4,"15",IF($F74&lt;=5,"9",0)))))+0</f>
        <v>22</v>
      </c>
      <c r="AY74" s="70">
        <f>IF($F74&lt;=0,"0",IF($F74&lt;=1,"6",0))+0</f>
        <v>6</v>
      </c>
      <c r="AZ74" s="70">
        <f>IF($G74&lt;=0,"0",IF($G74&lt;=6,"19",IF($G74&lt;=7,"18",IF($G74&lt;=8,"9",0))))+0</f>
        <v>19</v>
      </c>
      <c r="BA74" s="70">
        <f>IF($G74&lt;=0,"0",IF($G74&lt;=2,"22",IF($G74&lt;=3,"19",IF($G74&lt;=4,"15",IF($G74&lt;=5,"9",0)))))+0</f>
        <v>22</v>
      </c>
      <c r="BB74" s="70">
        <f>IF($G74&lt;=0,"0",IF($G74&lt;=1,"6",0))+0</f>
        <v>6</v>
      </c>
      <c r="BC74" s="70">
        <f>IF($H74&lt;=0,"0",IF($H74&lt;=6,"19",IF($H74&lt;=7,"18",IF($H74&lt;=8,"9",0))))+0</f>
        <v>19</v>
      </c>
      <c r="BD74" s="70">
        <f>IF($H74&lt;=0,"0",IF($H74&lt;=2,"22",IF($H74&lt;=3,"19",IF($H74&lt;=4,"15",IF($H74&lt;=5,"9",0)))))+0</f>
        <v>22</v>
      </c>
      <c r="BE74" s="70">
        <f>IF($H74&lt;=0,"0",IF($H74&lt;=1,"6",0))+0</f>
        <v>6</v>
      </c>
      <c r="BF74" s="79">
        <f>SUM(Summary2831[[#This Row],[3*
(Tal)]],Summary2831[[#This Row],[3*
(Asc)]])</f>
        <v>57</v>
      </c>
      <c r="BG74" s="81">
        <f>SUM(Summary2831[[#This Row],[2*
(Tal)]],Summary2831[[#This Row],[2*
(Asc)]])</f>
        <v>66</v>
      </c>
      <c r="BH74" s="82">
        <f>SUM(Summary2831[[#This Row],[1*
(Tal)]],Summary2831[[#This Row],[1*
(Asc)]])</f>
        <v>18</v>
      </c>
      <c r="BI74" s="86">
        <f>(IF($E74&lt;=0,"0",IF($E74&lt;=1,"2092530",IF($E74&lt;=10,"2087525",IF($E74&lt;=20,"2068495",IF($E74&lt;=30,"2005910",IF($E74&lt;=40,"1932830",IF($E74&lt;=50,"1777010",IF($E74&lt;=60,"1546185",IF($E74&lt;=70,"1227000",IF($E74&lt;=80,"804625",IF($E74&lt;=81,"647990",IF($E74&lt;=90,"0",0)))))))))))))+0</f>
        <v>647990</v>
      </c>
      <c r="BJ74" s="87">
        <f>(IF($F74&lt;=0,"0",IF($F74&lt;=1,"952500",IF($F74&lt;=2,"940000",IF($F74&lt;=3,"922500",IF($F74&lt;=4,"897500",IF($F74&lt;=5,"867500",IF($F74&lt;=6,"830000",IF($F74&lt;=7,"710000",IF($F74&lt;=8,"450000",0))))))))))+0</f>
        <v>952500</v>
      </c>
      <c r="BK74" s="87">
        <f>(IF($G74&lt;=0,"0",IF($G74&lt;=1,"952500",IF($G74&lt;=2,"940000",IF($G74&lt;=3,"922500",IF($G74&lt;=4,"897500",IF($G74&lt;=5,"867500",IF($G74&lt;=6,"830000",IF($G74&lt;=7,"710000",IF($G74&lt;=8,"450000",0))))))))))+0</f>
        <v>952500</v>
      </c>
      <c r="BL74" s="87">
        <f>(IF($H74&lt;=0,"0",IF($H74&lt;=1,"952500",IF($H74&lt;=2,"940000",IF($H74&lt;=3,"922500",IF($H74&lt;=4,"897500",IF($H74&lt;=5,"867500",IF($H74&lt;=6,"830000",IF($H74&lt;=7,"710000",IF($H74&lt;=8,"450000",0))))))))))+0</f>
        <v>952500</v>
      </c>
      <c r="BM74" s="88">
        <f>SUM(BI74,BJ74,BK74,BL74)</f>
        <v>3505490</v>
      </c>
    </row>
    <row r="75" spans="1:65" s="81" customFormat="1">
      <c r="A75" s="71">
        <f ca="1">SUBTOTAL(3,$B$3:Summary2831[[#This Row],[Name]])</f>
        <v>73</v>
      </c>
      <c r="B75" s="72" t="s">
        <v>602</v>
      </c>
      <c r="C75" s="72" t="s">
        <v>622</v>
      </c>
      <c r="D75" s="155">
        <v>1</v>
      </c>
      <c r="E75" s="72">
        <v>81</v>
      </c>
      <c r="F75" s="73">
        <v>1</v>
      </c>
      <c r="G75" s="74">
        <v>1</v>
      </c>
      <c r="H75" s="74">
        <v>1</v>
      </c>
      <c r="I75" s="72">
        <v>81</v>
      </c>
      <c r="J75" s="73">
        <v>1</v>
      </c>
      <c r="K75" s="74">
        <v>9</v>
      </c>
      <c r="L75" s="74">
        <v>9</v>
      </c>
      <c r="M75" s="73" t="s">
        <v>603</v>
      </c>
      <c r="N75" s="75">
        <f>(IF($E75&lt;=0,"0",IF($E75&lt;=40,"46",IF($E75&lt;=50,"44",IF($E75&lt;=60,"40",IF($E75&lt;=70,"32",IF($E75&lt;=80,"20","0")))))))+0</f>
        <v>0</v>
      </c>
      <c r="O7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5" s="76" t="s">
        <v>604</v>
      </c>
      <c r="Q75" s="77">
        <f>T75+W75+Z75</f>
        <v>66</v>
      </c>
      <c r="R75" s="77">
        <f>U75+X75+AA75</f>
        <v>63</v>
      </c>
      <c r="S75" s="78">
        <f>V75+Y75+AB75</f>
        <v>9</v>
      </c>
      <c r="T75" s="65">
        <f>(IF($F75&lt;=0,"0",IF($F75&lt;=6,"22",IF($F75&lt;=7,"18",IF($F75&lt;=8,"12",0)))))+0</f>
        <v>22</v>
      </c>
      <c r="U75" s="66">
        <f>(IF($F75&lt;=0,"0",IF($F75&lt;=2,"21",IF($F75&lt;=3,"19",IF($F75&lt;=4,"15",IF($F75&lt;=5,"9",0))))))+0</f>
        <v>21</v>
      </c>
      <c r="V75" s="66">
        <f>(IF($F75&lt;=0,"0",IF($F75&lt;=1,"3",0)))+0</f>
        <v>3</v>
      </c>
      <c r="W75" s="66">
        <f>(IF($G75&lt;=0,"0",IF($G75&lt;=6,"22",IF($G75&lt;=7,"18",IF($G75&lt;=8,"12",0)))))+0</f>
        <v>22</v>
      </c>
      <c r="X75" s="66">
        <f>(IF($G75&lt;=0,"0",IF($G75&lt;=2,"21",IF($G75&lt;=3,"19",IF($G75&lt;=4,"15",IF($G75&lt;=5,"9",0))))))+0</f>
        <v>21</v>
      </c>
      <c r="Y75" s="66">
        <f>(IF($G75&lt;=0,"0",IF($G75&lt;=1,"3",0)))+0</f>
        <v>3</v>
      </c>
      <c r="Z75" s="66">
        <f>(IF($H75&lt;=0,"0",IF($H75&lt;=6,"22",IF($H75&lt;=7,"18",IF($H75&lt;=8,"12",0)))))+0</f>
        <v>22</v>
      </c>
      <c r="AA75" s="66">
        <f>(IF($H75&lt;=0,"0",IF($H75&lt;=2,"21",IF($H75&lt;=3,"19",IF($H75&lt;=4,"15",IF($H75&lt;=5,"9",0))))))+0</f>
        <v>21</v>
      </c>
      <c r="AB75" s="67">
        <f>(IF($H75&lt;=0,"0",IF($H75&lt;=1,"3",0)))+0</f>
        <v>3</v>
      </c>
      <c r="AC75" s="80" t="s">
        <v>604</v>
      </c>
      <c r="AD75" s="81" t="s">
        <v>604</v>
      </c>
      <c r="AE75" s="68">
        <f>(IF($F75&lt;=0,"0",IF($F75&lt;=6,"4",IF($F75&lt;=7,"3",IF($F75&lt;=8,"2","0")))))+0</f>
        <v>4</v>
      </c>
      <c r="AF75" s="68">
        <f>(IF($G75&lt;=0,"0",IF($G75&lt;=6,"4",IF($G75&lt;=7,"3",IF($G75&lt;=8,"2","0")))))+0</f>
        <v>4</v>
      </c>
      <c r="AG75" s="68">
        <f>(IF($H75&lt;=0,"0",IF($H75&lt;=6,"4",IF($H75&lt;=7,"3",IF($H75&lt;=8,"2","0")))))+0</f>
        <v>4</v>
      </c>
      <c r="AH75" s="75">
        <f>SUM(AE75:AG75)</f>
        <v>12</v>
      </c>
      <c r="AI75" s="74" t="s">
        <v>604</v>
      </c>
      <c r="AJ75" s="74">
        <f>(IF($E75&lt;=0,"0",IF($E75&lt;=20,"168",IF($E75&lt;=30,"165",IF($E75&lt;=50,"155",IF($E75&lt;=60,"135",IF($E75&lt;=70,"105",IF($E75&lt;=80,"60","0"))))))))+0</f>
        <v>0</v>
      </c>
      <c r="AK75" s="79" t="s">
        <v>605</v>
      </c>
      <c r="AL75" s="81">
        <f>(IF($E75&lt;=0,"0",IF($E75&lt;=80,"6","0")))+0</f>
        <v>0</v>
      </c>
      <c r="AM75" s="81">
        <f>(IF($E75&lt;=0,"0",IF($E75&lt;=60,"9",IF($E75&lt;=70,"6","0"))))+0</f>
        <v>0</v>
      </c>
      <c r="AN75" s="81">
        <f>(IF($E75&lt;=0,"0",IF($E75&lt;=40,"9",IF($E75&lt;=50,"6","0"))))+0</f>
        <v>0</v>
      </c>
      <c r="AO75" s="82">
        <f>(IF($E75&lt;=0,"0",IF($E75&lt;=20,"1","0")))+0</f>
        <v>0</v>
      </c>
      <c r="AP75" s="73" t="s">
        <v>604</v>
      </c>
      <c r="AQ75" s="81">
        <f>(IF($E75&lt;=0,"0",IF($E75&lt;=70,"36",IF($E75&lt;=80,"24","0"))))+0</f>
        <v>0</v>
      </c>
      <c r="AR75" s="81">
        <f>(IF($E75&lt;=0,"0",IF($E75&lt;=50,"30",IF($E75&lt;=60,"18","0"))))+0</f>
        <v>0</v>
      </c>
      <c r="AS75" s="81">
        <f>(IF($E75&lt;=0,"0",IF($E75&lt;=20,"18",IF($E75&lt;=40,"15","0"))))+0</f>
        <v>0</v>
      </c>
      <c r="AT75" s="83">
        <f>Summary2831[[#This Row],[3*2]]+Summary2831[[#This Row],[3*22]]+Summary2831[[#This Row],[3*23]]</f>
        <v>57</v>
      </c>
      <c r="AU75" s="85">
        <f>Summary2831[[#This Row],[2*2]]+Summary2831[[#This Row],[2*23]]+Summary2831[[#This Row],[2*24]]</f>
        <v>66</v>
      </c>
      <c r="AV75" s="85">
        <f>Summary2831[[#This Row],[1*2]]+Summary2831[[#This Row],[1*24]]+Summary2831[[#This Row],[1*25]]</f>
        <v>18</v>
      </c>
      <c r="AW75" s="70">
        <f>IF($F75&lt;=0,"0",IF($F75&lt;=6,"19",IF($F75&lt;=7,"18",IF($F75&lt;=8,"9",0))))+0</f>
        <v>19</v>
      </c>
      <c r="AX75" s="70">
        <f>IF($F75&lt;=0,"0",IF($F75&lt;=2,"22",IF($F75&lt;=3,"19",IF($F75&lt;=4,"15",IF($F75&lt;=5,"9",0)))))+0</f>
        <v>22</v>
      </c>
      <c r="AY75" s="70">
        <f>IF($F75&lt;=0,"0",IF($F75&lt;=1,"6",0))+0</f>
        <v>6</v>
      </c>
      <c r="AZ75" s="70">
        <f>IF($G75&lt;=0,"0",IF($G75&lt;=6,"19",IF($G75&lt;=7,"18",IF($G75&lt;=8,"9",0))))+0</f>
        <v>19</v>
      </c>
      <c r="BA75" s="70">
        <f>IF($G75&lt;=0,"0",IF($G75&lt;=2,"22",IF($G75&lt;=3,"19",IF($G75&lt;=4,"15",IF($G75&lt;=5,"9",0)))))+0</f>
        <v>22</v>
      </c>
      <c r="BB75" s="70">
        <f>IF($G75&lt;=0,"0",IF($G75&lt;=1,"6",0))+0</f>
        <v>6</v>
      </c>
      <c r="BC75" s="70">
        <f>IF($H75&lt;=0,"0",IF($H75&lt;=6,"19",IF($H75&lt;=7,"18",IF($H75&lt;=8,"9",0))))+0</f>
        <v>19</v>
      </c>
      <c r="BD75" s="70">
        <f>IF($H75&lt;=0,"0",IF($H75&lt;=2,"22",IF($H75&lt;=3,"19",IF($H75&lt;=4,"15",IF($H75&lt;=5,"9",0)))))+0</f>
        <v>22</v>
      </c>
      <c r="BE75" s="70">
        <f>IF($H75&lt;=0,"0",IF($H75&lt;=1,"6",0))+0</f>
        <v>6</v>
      </c>
      <c r="BF75" s="79">
        <f>SUM(Summary2831[[#This Row],[3*
(Tal)]],Summary2831[[#This Row],[3*
(Asc)]])</f>
        <v>57</v>
      </c>
      <c r="BG75" s="81">
        <f>SUM(Summary2831[[#This Row],[2*
(Tal)]],Summary2831[[#This Row],[2*
(Asc)]])</f>
        <v>66</v>
      </c>
      <c r="BH75" s="82">
        <f>SUM(Summary2831[[#This Row],[1*
(Tal)]],Summary2831[[#This Row],[1*
(Asc)]])</f>
        <v>18</v>
      </c>
      <c r="BI75" s="86">
        <f>(IF($E75&lt;=0,"0",IF($E75&lt;=1,"2092530",IF($E75&lt;=10,"2087525",IF($E75&lt;=20,"2068495",IF($E75&lt;=30,"2005910",IF($E75&lt;=40,"1932830",IF($E75&lt;=50,"1777010",IF($E75&lt;=60,"1546185",IF($E75&lt;=70,"1227000",IF($E75&lt;=80,"804625",IF($E75&lt;=81,"647990",IF($E75&lt;=90,"0",0)))))))))))))+0</f>
        <v>647990</v>
      </c>
      <c r="BJ75" s="87">
        <f>(IF($F75&lt;=0,"0",IF($F75&lt;=1,"952500",IF($F75&lt;=2,"940000",IF($F75&lt;=3,"922500",IF($F75&lt;=4,"897500",IF($F75&lt;=5,"867500",IF($F75&lt;=6,"830000",IF($F75&lt;=7,"710000",IF($F75&lt;=8,"450000",0))))))))))+0</f>
        <v>952500</v>
      </c>
      <c r="BK75" s="87">
        <f>(IF($G75&lt;=0,"0",IF($G75&lt;=1,"952500",IF($G75&lt;=2,"940000",IF($G75&lt;=3,"922500",IF($G75&lt;=4,"897500",IF($G75&lt;=5,"867500",IF($G75&lt;=6,"830000",IF($G75&lt;=7,"710000",IF($G75&lt;=8,"450000",0))))))))))+0</f>
        <v>952500</v>
      </c>
      <c r="BL75" s="87">
        <f>(IF($H75&lt;=0,"0",IF($H75&lt;=1,"952500",IF($H75&lt;=2,"940000",IF($H75&lt;=3,"922500",IF($H75&lt;=4,"897500",IF($H75&lt;=5,"867500",IF($H75&lt;=6,"830000",IF($H75&lt;=7,"710000",IF($H75&lt;=8,"450000",0))))))))))+0</f>
        <v>952500</v>
      </c>
      <c r="BM75" s="88">
        <f>SUM(BI75,BJ75,BK75,BL75)</f>
        <v>3505490</v>
      </c>
    </row>
    <row r="76" spans="1:65" s="81" customFormat="1">
      <c r="A76" s="71">
        <f ca="1">SUBTOTAL(3,$B$3:Summary2831[[#This Row],[Name]])</f>
        <v>74</v>
      </c>
      <c r="B76" s="72" t="s">
        <v>602</v>
      </c>
      <c r="C76" s="72" t="s">
        <v>624</v>
      </c>
      <c r="D76" s="155">
        <v>1</v>
      </c>
      <c r="E76" s="72">
        <v>81</v>
      </c>
      <c r="F76" s="73">
        <v>5</v>
      </c>
      <c r="G76" s="74">
        <v>6</v>
      </c>
      <c r="H76" s="74">
        <v>6</v>
      </c>
      <c r="I76" s="72">
        <v>81</v>
      </c>
      <c r="J76" s="73">
        <v>1</v>
      </c>
      <c r="K76" s="74">
        <v>9</v>
      </c>
      <c r="L76" s="74">
        <v>9</v>
      </c>
      <c r="M76" s="73" t="s">
        <v>603</v>
      </c>
      <c r="N76" s="75">
        <f>(IF($E76&lt;=0,"0",IF($E76&lt;=40,"46",IF($E76&lt;=50,"44",IF($E76&lt;=60,"40",IF($E76&lt;=70,"32",IF($E76&lt;=80,"20","0")))))))+0</f>
        <v>0</v>
      </c>
      <c r="O7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6" s="76" t="s">
        <v>604</v>
      </c>
      <c r="Q76" s="77">
        <f>T76+W76+Z76</f>
        <v>66</v>
      </c>
      <c r="R76" s="77">
        <f>U76+X76+AA76</f>
        <v>9</v>
      </c>
      <c r="S76" s="78">
        <f>V76+Y76+AB76</f>
        <v>0</v>
      </c>
      <c r="T76" s="65">
        <f>(IF($F76&lt;=0,"0",IF($F76&lt;=6,"22",IF($F76&lt;=7,"18",IF($F76&lt;=8,"12",0)))))+0</f>
        <v>22</v>
      </c>
      <c r="U76" s="66">
        <f>(IF($F76&lt;=0,"0",IF($F76&lt;=2,"21",IF($F76&lt;=3,"19",IF($F76&lt;=4,"15",IF($F76&lt;=5,"9",0))))))+0</f>
        <v>9</v>
      </c>
      <c r="V76" s="66">
        <f>(IF($F76&lt;=0,"0",IF($F76&lt;=1,"3",0)))+0</f>
        <v>0</v>
      </c>
      <c r="W76" s="66">
        <f>(IF($G76&lt;=0,"0",IF($G76&lt;=6,"22",IF($G76&lt;=7,"18",IF($G76&lt;=8,"12",0)))))+0</f>
        <v>22</v>
      </c>
      <c r="X76" s="66">
        <f>(IF($G76&lt;=0,"0",IF($G76&lt;=2,"21",IF($G76&lt;=3,"19",IF($G76&lt;=4,"15",IF($G76&lt;=5,"9",0))))))+0</f>
        <v>0</v>
      </c>
      <c r="Y76" s="66">
        <f>(IF($G76&lt;=0,"0",IF($G76&lt;=1,"3",0)))+0</f>
        <v>0</v>
      </c>
      <c r="Z76" s="66">
        <f>(IF($H76&lt;=0,"0",IF($H76&lt;=6,"22",IF($H76&lt;=7,"18",IF($H76&lt;=8,"12",0)))))+0</f>
        <v>22</v>
      </c>
      <c r="AA76" s="66">
        <f>(IF($H76&lt;=0,"0",IF($H76&lt;=2,"21",IF($H76&lt;=3,"19",IF($H76&lt;=4,"15",IF($H76&lt;=5,"9",0))))))+0</f>
        <v>0</v>
      </c>
      <c r="AB76" s="67">
        <f>(IF($H76&lt;=0,"0",IF($H76&lt;=1,"3",0)))+0</f>
        <v>0</v>
      </c>
      <c r="AC76" s="80" t="s">
        <v>531</v>
      </c>
      <c r="AD76" s="81" t="s">
        <v>532</v>
      </c>
      <c r="AE76" s="68">
        <f>(IF($F76&lt;=0,"0",IF($F76&lt;=6,"4",IF($F76&lt;=7,"3",IF($F76&lt;=8,"2","0")))))+0</f>
        <v>4</v>
      </c>
      <c r="AF76" s="68">
        <f>(IF($G76&lt;=0,"0",IF($G76&lt;=6,"4",IF($G76&lt;=7,"3",IF($G76&lt;=8,"2","0")))))+0</f>
        <v>4</v>
      </c>
      <c r="AG76" s="68">
        <f>(IF($H76&lt;=0,"0",IF($H76&lt;=6,"4",IF($H76&lt;=7,"3",IF($H76&lt;=8,"2","0")))))+0</f>
        <v>4</v>
      </c>
      <c r="AH76" s="75">
        <f>SUM(AE76:AG76)</f>
        <v>12</v>
      </c>
      <c r="AI76" s="81" t="s">
        <v>551</v>
      </c>
      <c r="AJ76" s="74">
        <f>(IF($E76&lt;=0,"0",IF($E76&lt;=20,"168",IF($E76&lt;=30,"165",IF($E76&lt;=50,"155",IF($E76&lt;=60,"135",IF($E76&lt;=70,"105",IF($E76&lt;=80,"60","0"))))))))+0</f>
        <v>0</v>
      </c>
      <c r="AK76" s="79" t="s">
        <v>605</v>
      </c>
      <c r="AL76" s="81">
        <f>(IF($E76&lt;=0,"0",IF($E76&lt;=80,"6","0")))+0</f>
        <v>0</v>
      </c>
      <c r="AM76" s="81">
        <f>(IF($E76&lt;=0,"0",IF($E76&lt;=60,"9",IF($E76&lt;=70,"6","0"))))+0</f>
        <v>0</v>
      </c>
      <c r="AN76" s="81">
        <f>(IF($E76&lt;=0,"0",IF($E76&lt;=40,"9",IF($E76&lt;=50,"6","0"))))+0</f>
        <v>0</v>
      </c>
      <c r="AO76" s="82">
        <f>(IF($E76&lt;=0,"0",IF($E76&lt;=20,"1","0")))+0</f>
        <v>0</v>
      </c>
      <c r="AP76" s="79" t="s">
        <v>89</v>
      </c>
      <c r="AQ76" s="81">
        <f>(IF($E76&lt;=0,"0",IF($E76&lt;=70,"36",IF($E76&lt;=80,"24","0"))))+0</f>
        <v>0</v>
      </c>
      <c r="AR76" s="81">
        <f>(IF($E76&lt;=0,"0",IF($E76&lt;=50,"30",IF($E76&lt;=60,"18","0"))))+0</f>
        <v>0</v>
      </c>
      <c r="AS76" s="81">
        <f>(IF($E76&lt;=0,"0",IF($E76&lt;=20,"18",IF($E76&lt;=40,"15","0"))))+0</f>
        <v>0</v>
      </c>
      <c r="AT76" s="83">
        <f>Summary2831[[#This Row],[3*2]]+Summary2831[[#This Row],[3*22]]+Summary2831[[#This Row],[3*23]]</f>
        <v>57</v>
      </c>
      <c r="AU76" s="84">
        <f>Summary2831[[#This Row],[2*2]]+Summary2831[[#This Row],[2*23]]+Summary2831[[#This Row],[2*24]]</f>
        <v>9</v>
      </c>
      <c r="AV76" s="84">
        <f>Summary2831[[#This Row],[1*2]]+Summary2831[[#This Row],[1*24]]+Summary2831[[#This Row],[1*25]]</f>
        <v>0</v>
      </c>
      <c r="AW76" s="69">
        <f>IF($F76&lt;=0,"0",IF($F76&lt;=6,"19",IF($F76&lt;=7,"18",IF($F76&lt;=8,"9",0))))+0</f>
        <v>19</v>
      </c>
      <c r="AX76" s="69">
        <f>IF($F76&lt;=0,"0",IF($F76&lt;=2,"22",IF($F76&lt;=3,"19",IF($F76&lt;=4,"15",IF($F76&lt;=5,"9",0)))))+0</f>
        <v>9</v>
      </c>
      <c r="AY76" s="69">
        <f>IF($F76&lt;=0,"0",IF($F76&lt;=1,"6",0))+0</f>
        <v>0</v>
      </c>
      <c r="AZ76" s="69">
        <f>IF($G76&lt;=0,"0",IF($G76&lt;=6,"19",IF($G76&lt;=7,"18",IF($G76&lt;=8,"9",0))))+0</f>
        <v>19</v>
      </c>
      <c r="BA76" s="69">
        <f>IF($G76&lt;=0,"0",IF($G76&lt;=2,"22",IF($G76&lt;=3,"19",IF($G76&lt;=4,"15",IF($G76&lt;=5,"9",0)))))+0</f>
        <v>0</v>
      </c>
      <c r="BB76" s="69">
        <f>IF($G76&lt;=0,"0",IF($G76&lt;=1,"6",0))+0</f>
        <v>0</v>
      </c>
      <c r="BC76" s="69">
        <f>IF($H76&lt;=0,"0",IF($H76&lt;=6,"19",IF($H76&lt;=7,"18",IF($H76&lt;=8,"9",0))))+0</f>
        <v>19</v>
      </c>
      <c r="BD76" s="69">
        <f>IF($H76&lt;=0,"0",IF($H76&lt;=2,"22",IF($H76&lt;=3,"19",IF($H76&lt;=4,"15",IF($H76&lt;=5,"9",0)))))+0</f>
        <v>0</v>
      </c>
      <c r="BE76" s="69">
        <f>IF($H76&lt;=0,"0",IF($H76&lt;=1,"6",0))+0</f>
        <v>0</v>
      </c>
      <c r="BF76" s="79">
        <f>SUM(Summary2831[[#This Row],[3*
(Tal)]],Summary2831[[#This Row],[3*
(Asc)]])</f>
        <v>57</v>
      </c>
      <c r="BG76" s="81">
        <f>SUM(Summary2831[[#This Row],[2*
(Tal)]],Summary2831[[#This Row],[2*
(Asc)]])</f>
        <v>9</v>
      </c>
      <c r="BH76" s="82">
        <f>SUM(Summary2831[[#This Row],[1*
(Tal)]],Summary2831[[#This Row],[1*
(Asc)]])</f>
        <v>0</v>
      </c>
      <c r="BI76" s="86">
        <f>(IF($E76&lt;=0,"0",IF($E76&lt;=1,"2092530",IF($E76&lt;=10,"2087525",IF($E76&lt;=20,"2068495",IF($E76&lt;=30,"2005910",IF($E76&lt;=40,"1932830",IF($E76&lt;=50,"1777010",IF($E76&lt;=60,"1546185",IF($E76&lt;=70,"1227000",IF($E76&lt;=80,"804625",IF($E76&lt;=81,"647990",IF($E76&lt;=90,"0",0)))))))))))))+0</f>
        <v>647990</v>
      </c>
      <c r="BJ76" s="87">
        <f>(IF($F76&lt;=0,"0",IF($F76&lt;=1,"952500",IF($F76&lt;=2,"940000",IF($F76&lt;=3,"922500",IF($F76&lt;=4,"897500",IF($F76&lt;=5,"867500",IF($F76&lt;=6,"830000",IF($F76&lt;=7,"710000",IF($F76&lt;=8,"450000",0))))))))))+0</f>
        <v>867500</v>
      </c>
      <c r="BK76" s="87">
        <f>(IF($G76&lt;=0,"0",IF($G76&lt;=1,"952500",IF($G76&lt;=2,"940000",IF($G76&lt;=3,"922500",IF($G76&lt;=4,"897500",IF($G76&lt;=5,"867500",IF($G76&lt;=6,"830000",IF($G76&lt;=7,"710000",IF($G76&lt;=8,"450000",0))))))))))+0</f>
        <v>830000</v>
      </c>
      <c r="BL76" s="87">
        <f>(IF($H76&lt;=0,"0",IF($H76&lt;=1,"952500",IF($H76&lt;=2,"940000",IF($H76&lt;=3,"922500",IF($H76&lt;=4,"897500",IF($H76&lt;=5,"867500",IF($H76&lt;=6,"830000",IF($H76&lt;=7,"710000",IF($H76&lt;=8,"450000",0))))))))))+0</f>
        <v>830000</v>
      </c>
      <c r="BM76" s="88">
        <f>SUM(BI76,BJ76,BK76,BL76)</f>
        <v>3175490</v>
      </c>
    </row>
    <row r="77" spans="1:65">
      <c r="A77" s="71">
        <f ca="1">SUBTOTAL(3,$B$3:Summary2831[[#This Row],[Name]])</f>
        <v>75</v>
      </c>
      <c r="B77" s="72" t="s">
        <v>396</v>
      </c>
      <c r="C77" s="72" t="s">
        <v>624</v>
      </c>
      <c r="D77" s="154">
        <v>1</v>
      </c>
      <c r="E77" s="72">
        <v>90</v>
      </c>
      <c r="F77" s="73">
        <v>1</v>
      </c>
      <c r="G77" s="74">
        <v>9</v>
      </c>
      <c r="H77" s="74">
        <v>9</v>
      </c>
      <c r="I77" s="72">
        <v>81</v>
      </c>
      <c r="J77" s="73">
        <v>1</v>
      </c>
      <c r="K77" s="74">
        <v>9</v>
      </c>
      <c r="L77" s="74">
        <v>9</v>
      </c>
      <c r="M77" s="79" t="s">
        <v>85</v>
      </c>
      <c r="N77" s="75">
        <f>(IF($E77&lt;=0,"0",IF($E77&lt;=40,"46",IF($E77&lt;=50,"44",IF($E77&lt;=60,"40",IF($E77&lt;=70,"32",IF($E77&lt;=80,"20","0")))))))+0</f>
        <v>0</v>
      </c>
      <c r="O7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7" s="76" t="s">
        <v>519</v>
      </c>
      <c r="Q77" s="77">
        <f>T77+W77+Z77</f>
        <v>22</v>
      </c>
      <c r="R77" s="77">
        <f>U77+X77+AA77</f>
        <v>21</v>
      </c>
      <c r="S77" s="78">
        <f>V77+Y77+AB77</f>
        <v>3</v>
      </c>
      <c r="T77" s="123">
        <f>(IF($F77&lt;=0,"0",IF($F77&lt;=6,"22",IF($F77&lt;=7,"18",IF($F77&lt;=8,"12",0)))))+0</f>
        <v>22</v>
      </c>
      <c r="U77" s="124">
        <f>(IF($F77&lt;=0,"0",IF($F77&lt;=2,"21",IF($F77&lt;=3,"19",IF($F77&lt;=4,"15",IF($F77&lt;=5,"9",0))))))+0</f>
        <v>21</v>
      </c>
      <c r="V77" s="124">
        <f>(IF($F77&lt;=0,"0",IF($F77&lt;=1,"3",0)))+0</f>
        <v>3</v>
      </c>
      <c r="W77" s="124">
        <f>(IF($G77&lt;=0,"0",IF($G77&lt;=6,"22",IF($G77&lt;=7,"18",IF($G77&lt;=8,"12",0)))))+0</f>
        <v>0</v>
      </c>
      <c r="X77" s="124">
        <f>(IF($G77&lt;=0,"0",IF($G77&lt;=2,"21",IF($G77&lt;=3,"19",IF($G77&lt;=4,"15",IF($G77&lt;=5,"9",0))))))+0</f>
        <v>0</v>
      </c>
      <c r="Y77" s="124">
        <f>(IF($G77&lt;=0,"0",IF($G77&lt;=1,"3",0)))+0</f>
        <v>0</v>
      </c>
      <c r="Z77" s="124">
        <f>(IF($H77&lt;=0,"0",IF($H77&lt;=6,"22",IF($H77&lt;=7,"18",IF($H77&lt;=8,"12",0)))))+0</f>
        <v>0</v>
      </c>
      <c r="AA77" s="124">
        <f>(IF($H77&lt;=0,"0",IF($H77&lt;=2,"21",IF($H77&lt;=3,"19",IF($H77&lt;=4,"15",IF($H77&lt;=5,"9",0))))))+0</f>
        <v>0</v>
      </c>
      <c r="AB77" s="125">
        <f>(IF($H77&lt;=0,"0",IF($H77&lt;=1,"3",0)))+0</f>
        <v>0</v>
      </c>
      <c r="AC77" s="80" t="s">
        <v>543</v>
      </c>
      <c r="AD77" s="81" t="s">
        <v>600</v>
      </c>
      <c r="AE77" s="126">
        <f>(IF($F77&lt;=0,"0",IF($F77&lt;=6,"4",IF($F77&lt;=7,"3",IF($F77&lt;=8,"2","0")))))+0</f>
        <v>4</v>
      </c>
      <c r="AF77" s="126">
        <f>(IF($G77&lt;=0,"0",IF($G77&lt;=6,"4",IF($G77&lt;=7,"3",IF($G77&lt;=8,"2","0")))))+0</f>
        <v>0</v>
      </c>
      <c r="AG77" s="126">
        <f>(IF($H77&lt;=0,"0",IF($H77&lt;=6,"4",IF($H77&lt;=7,"3",IF($H77&lt;=8,"2","0")))))+0</f>
        <v>0</v>
      </c>
      <c r="AH77" s="75">
        <f>SUM(AE77:AG77)</f>
        <v>4</v>
      </c>
      <c r="AI77" s="81" t="s">
        <v>123</v>
      </c>
      <c r="AJ77" s="74">
        <f>(IF($E77&lt;=0,"0",IF($E77&lt;=20,"168",IF($E77&lt;=30,"165",IF($E77&lt;=50,"155",IF($E77&lt;=60,"135",IF($E77&lt;=70,"105",IF($E77&lt;=80,"60","0"))))))))+0</f>
        <v>0</v>
      </c>
      <c r="AK77" s="79" t="s">
        <v>573</v>
      </c>
      <c r="AL77" s="81">
        <f>(IF($E77&lt;=0,"0",IF($E77&lt;=80,"6","0")))+0</f>
        <v>0</v>
      </c>
      <c r="AM77" s="81">
        <f>(IF($E77&lt;=0,"0",IF($E77&lt;=60,"9",IF($E77&lt;=70,"6","0"))))+0</f>
        <v>0</v>
      </c>
      <c r="AN77" s="81">
        <f>(IF($E77&lt;=0,"0",IF($E77&lt;=40,"9",IF($E77&lt;=50,"6","0"))))+0</f>
        <v>0</v>
      </c>
      <c r="AO77" s="82">
        <f>(IF($E77&lt;=0,"0",IF($E77&lt;=20,"1","0")))+0</f>
        <v>0</v>
      </c>
      <c r="AP77" s="79" t="s">
        <v>178</v>
      </c>
      <c r="AQ77" s="81">
        <f>(IF($E77&lt;=0,"0",IF($E77&lt;=70,"36",IF($E77&lt;=80,"24","0"))))+0</f>
        <v>0</v>
      </c>
      <c r="AR77" s="81">
        <f>(IF($E77&lt;=0,"0",IF($E77&lt;=50,"30",IF($E77&lt;=60,"18","0"))))+0</f>
        <v>0</v>
      </c>
      <c r="AS77" s="81">
        <f>(IF($E77&lt;=0,"0",IF($E77&lt;=20,"18",IF($E77&lt;=40,"15","0"))))+0</f>
        <v>0</v>
      </c>
      <c r="AT77" s="83">
        <f>Summary2831[[#This Row],[3*2]]+Summary2831[[#This Row],[3*22]]+Summary2831[[#This Row],[3*23]]</f>
        <v>19</v>
      </c>
      <c r="AU77" s="85">
        <f>Summary2831[[#This Row],[2*2]]+Summary2831[[#This Row],[2*23]]+Summary2831[[#This Row],[2*24]]</f>
        <v>22</v>
      </c>
      <c r="AV77" s="85">
        <f>Summary2831[[#This Row],[1*2]]+Summary2831[[#This Row],[1*24]]+Summary2831[[#This Row],[1*25]]</f>
        <v>6</v>
      </c>
      <c r="AW77" s="70">
        <f>IF($F77&lt;=0,"0",IF($F77&lt;=6,"19",IF($F77&lt;=7,"18",IF($F77&lt;=8,"9",0))))+0</f>
        <v>19</v>
      </c>
      <c r="AX77" s="70">
        <f>IF($F77&lt;=0,"0",IF($F77&lt;=2,"22",IF($F77&lt;=3,"19",IF($F77&lt;=4,"15",IF($F77&lt;=5,"9",0)))))+0</f>
        <v>22</v>
      </c>
      <c r="AY77" s="70">
        <f>IF($F77&lt;=0,"0",IF($F77&lt;=1,"6",0))+0</f>
        <v>6</v>
      </c>
      <c r="AZ77" s="70">
        <f>IF($G77&lt;=0,"0",IF($G77&lt;=6,"19",IF($G77&lt;=7,"18",IF($G77&lt;=8,"9",0))))+0</f>
        <v>0</v>
      </c>
      <c r="BA77" s="70">
        <f>IF($G77&lt;=0,"0",IF($G77&lt;=2,"22",IF($G77&lt;=3,"19",IF($G77&lt;=4,"15",IF($G77&lt;=5,"9",0)))))+0</f>
        <v>0</v>
      </c>
      <c r="BB77" s="70">
        <f>IF($G77&lt;=0,"0",IF($G77&lt;=1,"6",0))+0</f>
        <v>0</v>
      </c>
      <c r="BC77" s="70">
        <f>IF($H77&lt;=0,"0",IF($H77&lt;=6,"19",IF($H77&lt;=7,"18",IF($H77&lt;=8,"9",0))))+0</f>
        <v>0</v>
      </c>
      <c r="BD77" s="70">
        <f>IF($H77&lt;=0,"0",IF($H77&lt;=2,"22",IF($H77&lt;=3,"19",IF($H77&lt;=4,"15",IF($H77&lt;=5,"9",0)))))+0</f>
        <v>0</v>
      </c>
      <c r="BE77" s="70">
        <f>IF($H77&lt;=0,"0",IF($H77&lt;=1,"6",0))+0</f>
        <v>0</v>
      </c>
      <c r="BF77" s="79">
        <f>SUM(Summary2831[[#This Row],[3*
(Tal)]],Summary2831[[#This Row],[3*
(Asc)]])</f>
        <v>19</v>
      </c>
      <c r="BG77" s="81">
        <f>SUM(Summary2831[[#This Row],[2*
(Tal)]],Summary2831[[#This Row],[2*
(Asc)]])</f>
        <v>22</v>
      </c>
      <c r="BH77" s="82">
        <f>SUM(Summary2831[[#This Row],[1*
(Tal)]],Summary2831[[#This Row],[1*
(Asc)]])</f>
        <v>6</v>
      </c>
      <c r="BI77" s="86">
        <f>(IF($E77&lt;=0,"0",IF($E77&lt;=1,"2092530",IF($E77&lt;=10,"2087525",IF($E77&lt;=20,"2068495",IF($E77&lt;=30,"2005910",IF($E77&lt;=40,"1932830",IF($E77&lt;=50,"1777010",IF($E77&lt;=60,"1546185",IF($E77&lt;=70,"1227000",IF($E77&lt;=80,"804625",IF($E77&lt;=81,"647990",IF($E77&lt;=90,"0",0)))))))))))))+0</f>
        <v>0</v>
      </c>
      <c r="BJ77" s="87">
        <f>(IF($F77&lt;=0,"0",IF($F77&lt;=1,"952500",IF($F77&lt;=2,"940000",IF($F77&lt;=3,"922500",IF($F77&lt;=4,"897500",IF($F77&lt;=5,"867500",IF($F77&lt;=6,"830000",IF($F77&lt;=7,"710000",IF($F77&lt;=8,"450000",0))))))))))+0</f>
        <v>952500</v>
      </c>
      <c r="BK77" s="87">
        <f>(IF($G77&lt;=0,"0",IF($G77&lt;=1,"952500",IF($G77&lt;=2,"940000",IF($G77&lt;=3,"922500",IF($G77&lt;=4,"897500",IF($G77&lt;=5,"867500",IF($G77&lt;=6,"830000",IF($G77&lt;=7,"710000",IF($G77&lt;=8,"450000",0))))))))))+0</f>
        <v>0</v>
      </c>
      <c r="BL77" s="87">
        <f>(IF($H77&lt;=0,"0",IF($H77&lt;=1,"952500",IF($H77&lt;=2,"940000",IF($H77&lt;=3,"922500",IF($H77&lt;=4,"897500",IF($H77&lt;=5,"867500",IF($H77&lt;=6,"830000",IF($H77&lt;=7,"710000",IF($H77&lt;=8,"450000",0))))))))))+0</f>
        <v>0</v>
      </c>
      <c r="BM77" s="88">
        <f>SUM(BI77,BJ77,BK77,BL77)</f>
        <v>952500</v>
      </c>
    </row>
    <row r="78" spans="1:65" s="81" customFormat="1">
      <c r="A78" s="71">
        <f ca="1">SUBTOTAL(3,$B$3:Summary2831[[#This Row],[Name]])</f>
        <v>76</v>
      </c>
      <c r="B78" s="72" t="s">
        <v>437</v>
      </c>
      <c r="C78" s="72" t="s">
        <v>624</v>
      </c>
      <c r="D78" s="154">
        <v>3.3</v>
      </c>
      <c r="E78" s="72">
        <v>90</v>
      </c>
      <c r="F78" s="73">
        <v>10</v>
      </c>
      <c r="G78" s="74">
        <v>10</v>
      </c>
      <c r="H78" s="74">
        <v>10</v>
      </c>
      <c r="I78" s="72">
        <v>81</v>
      </c>
      <c r="J78" s="73">
        <v>1</v>
      </c>
      <c r="K78" s="74">
        <v>9</v>
      </c>
      <c r="L78" s="74">
        <v>9</v>
      </c>
      <c r="M78" s="79" t="s">
        <v>261</v>
      </c>
      <c r="N78" s="75">
        <f>(IF($E78&lt;=0,"0",IF($E78&lt;=40,"46",IF($E78&lt;=50,"44",IF($E78&lt;=60,"40",IF($E78&lt;=70,"32",IF($E78&lt;=80,"20","0")))))))+0</f>
        <v>0</v>
      </c>
      <c r="O7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8" s="76" t="s">
        <v>39</v>
      </c>
      <c r="Q78" s="77">
        <f>T78+W78+Z78</f>
        <v>0</v>
      </c>
      <c r="R78" s="77">
        <f>U78+X78+AA78</f>
        <v>0</v>
      </c>
      <c r="S78" s="78">
        <f>V78+Y78+AB78</f>
        <v>0</v>
      </c>
      <c r="T78" s="123">
        <f>(IF($F78&lt;=0,"0",IF($F78&lt;=6,"22",IF($F78&lt;=7,"18",IF($F78&lt;=8,"12",0)))))+0</f>
        <v>0</v>
      </c>
      <c r="U78" s="124">
        <f>(IF($F78&lt;=0,"0",IF($F78&lt;=2,"21",IF($F78&lt;=3,"19",IF($F78&lt;=4,"15",IF($F78&lt;=5,"9",0))))))+0</f>
        <v>0</v>
      </c>
      <c r="V78" s="124">
        <f>(IF($F78&lt;=0,"0",IF($F78&lt;=1,"3",0)))+0</f>
        <v>0</v>
      </c>
      <c r="W78" s="124">
        <f>(IF($G78&lt;=0,"0",IF($G78&lt;=6,"22",IF($G78&lt;=7,"18",IF($G78&lt;=8,"12",0)))))+0</f>
        <v>0</v>
      </c>
      <c r="X78" s="124">
        <f>(IF($G78&lt;=0,"0",IF($G78&lt;=2,"21",IF($G78&lt;=3,"19",IF($G78&lt;=4,"15",IF($G78&lt;=5,"9",0))))))+0</f>
        <v>0</v>
      </c>
      <c r="Y78" s="124">
        <f>(IF($G78&lt;=0,"0",IF($G78&lt;=1,"3",0)))+0</f>
        <v>0</v>
      </c>
      <c r="Z78" s="124">
        <f>(IF($H78&lt;=0,"0",IF($H78&lt;=6,"22",IF($H78&lt;=7,"18",IF($H78&lt;=8,"12",0)))))+0</f>
        <v>0</v>
      </c>
      <c r="AA78" s="124">
        <f>(IF($H78&lt;=0,"0",IF($H78&lt;=2,"21",IF($H78&lt;=3,"19",IF($H78&lt;=4,"15",IF($H78&lt;=5,"9",0))))))+0</f>
        <v>0</v>
      </c>
      <c r="AB78" s="125">
        <f>(IF($H78&lt;=0,"0",IF($H78&lt;=1,"3",0)))+0</f>
        <v>0</v>
      </c>
      <c r="AC78" s="80" t="s">
        <v>523</v>
      </c>
      <c r="AD78" s="81" t="s">
        <v>42</v>
      </c>
      <c r="AE78" s="126">
        <f>(IF($F78&lt;=0,"0",IF($F78&lt;=6,"4",IF($F78&lt;=7,"3",IF($F78&lt;=8,"2","0")))))+0</f>
        <v>0</v>
      </c>
      <c r="AF78" s="126">
        <f>(IF($G78&lt;=0,"0",IF($G78&lt;=6,"4",IF($G78&lt;=7,"3",IF($G78&lt;=8,"2","0")))))+0</f>
        <v>0</v>
      </c>
      <c r="AG78" s="126">
        <f>(IF($H78&lt;=0,"0",IF($H78&lt;=6,"4",IF($H78&lt;=7,"3",IF($H78&lt;=8,"2","0")))))+0</f>
        <v>0</v>
      </c>
      <c r="AH78" s="75">
        <f>SUM(AE78:AG78)</f>
        <v>0</v>
      </c>
      <c r="AI78" s="81" t="s">
        <v>564</v>
      </c>
      <c r="AJ78" s="74">
        <f>(IF($E78&lt;=0,"0",IF($E78&lt;=20,"168",IF($E78&lt;=30,"165",IF($E78&lt;=50,"155",IF($E78&lt;=60,"135",IF($E78&lt;=70,"105",IF($E78&lt;=80,"60","0"))))))))+0</f>
        <v>0</v>
      </c>
      <c r="AK78" s="79" t="s">
        <v>573</v>
      </c>
      <c r="AL78" s="81">
        <f>(IF($E78&lt;=0,"0",IF($E78&lt;=80,"6","0")))+0</f>
        <v>0</v>
      </c>
      <c r="AM78" s="81">
        <f>(IF($E78&lt;=0,"0",IF($E78&lt;=60,"9",IF($E78&lt;=70,"6","0"))))+0</f>
        <v>0</v>
      </c>
      <c r="AN78" s="81">
        <f>(IF($E78&lt;=0,"0",IF($E78&lt;=40,"9",IF($E78&lt;=50,"6","0"))))+0</f>
        <v>0</v>
      </c>
      <c r="AO78" s="82">
        <f>(IF($E78&lt;=0,"0",IF($E78&lt;=20,"1","0")))+0</f>
        <v>0</v>
      </c>
      <c r="AP78" s="79" t="s">
        <v>288</v>
      </c>
      <c r="AQ78" s="81">
        <f>(IF($E78&lt;=0,"0",IF($E78&lt;=70,"36",IF($E78&lt;=80,"24","0"))))+0</f>
        <v>0</v>
      </c>
      <c r="AR78" s="81">
        <f>(IF($E78&lt;=0,"0",IF($E78&lt;=50,"30",IF($E78&lt;=60,"18","0"))))+0</f>
        <v>0</v>
      </c>
      <c r="AS78" s="81">
        <f>(IF($E78&lt;=0,"0",IF($E78&lt;=20,"18",IF($E78&lt;=40,"15","0"))))+0</f>
        <v>0</v>
      </c>
      <c r="AT78" s="83">
        <f>Summary2831[[#This Row],[3*2]]+Summary2831[[#This Row],[3*22]]+Summary2831[[#This Row],[3*23]]</f>
        <v>0</v>
      </c>
      <c r="AU78" s="85">
        <f>Summary2831[[#This Row],[2*2]]+Summary2831[[#This Row],[2*23]]+Summary2831[[#This Row],[2*24]]</f>
        <v>0</v>
      </c>
      <c r="AV78" s="85">
        <f>Summary2831[[#This Row],[1*2]]+Summary2831[[#This Row],[1*24]]+Summary2831[[#This Row],[1*25]]</f>
        <v>0</v>
      </c>
      <c r="AW78" s="70">
        <f>IF($F78&lt;=0,"0",IF($F78&lt;=6,"19",IF($F78&lt;=7,"18",IF($F78&lt;=8,"9",0))))+0</f>
        <v>0</v>
      </c>
      <c r="AX78" s="70">
        <f>IF($F78&lt;=0,"0",IF($F78&lt;=2,"22",IF($F78&lt;=3,"19",IF($F78&lt;=4,"15",IF($F78&lt;=5,"9",0)))))+0</f>
        <v>0</v>
      </c>
      <c r="AY78" s="70">
        <f>IF($F78&lt;=0,"0",IF($F78&lt;=1,"6",0))+0</f>
        <v>0</v>
      </c>
      <c r="AZ78" s="70">
        <f>IF($G78&lt;=0,"0",IF($G78&lt;=6,"19",IF($G78&lt;=7,"18",IF($G78&lt;=8,"9",0))))+0</f>
        <v>0</v>
      </c>
      <c r="BA78" s="70">
        <f>IF($G78&lt;=0,"0",IF($G78&lt;=2,"22",IF($G78&lt;=3,"19",IF($G78&lt;=4,"15",IF($G78&lt;=5,"9",0)))))+0</f>
        <v>0</v>
      </c>
      <c r="BB78" s="70">
        <f>IF($G78&lt;=0,"0",IF($G78&lt;=1,"6",0))+0</f>
        <v>0</v>
      </c>
      <c r="BC78" s="70">
        <f>IF($H78&lt;=0,"0",IF($H78&lt;=6,"19",IF($H78&lt;=7,"18",IF($H78&lt;=8,"9",0))))+0</f>
        <v>0</v>
      </c>
      <c r="BD78" s="70">
        <f>IF($H78&lt;=0,"0",IF($H78&lt;=2,"22",IF($H78&lt;=3,"19",IF($H78&lt;=4,"15",IF($H78&lt;=5,"9",0)))))+0</f>
        <v>0</v>
      </c>
      <c r="BE78" s="70">
        <f>IF($H78&lt;=0,"0",IF($H78&lt;=1,"6",0))+0</f>
        <v>0</v>
      </c>
      <c r="BF78" s="79">
        <f>SUM(Summary2831[[#This Row],[3*
(Tal)]],Summary2831[[#This Row],[3*
(Asc)]])</f>
        <v>0</v>
      </c>
      <c r="BG78" s="81">
        <f>SUM(Summary2831[[#This Row],[2*
(Tal)]],Summary2831[[#This Row],[2*
(Asc)]])</f>
        <v>0</v>
      </c>
      <c r="BH78" s="82">
        <f>SUM(Summary2831[[#This Row],[1*
(Tal)]],Summary2831[[#This Row],[1*
(Asc)]])</f>
        <v>0</v>
      </c>
      <c r="BI78" s="86">
        <f>(IF($E78&lt;=0,"0",IF($E78&lt;=1,"2092530",IF($E78&lt;=10,"2087525",IF($E78&lt;=20,"2068495",IF($E78&lt;=30,"2005910",IF($E78&lt;=40,"1932830",IF($E78&lt;=50,"1777010",IF($E78&lt;=60,"1546185",IF($E78&lt;=70,"1227000",IF($E78&lt;=80,"804625",IF($E78&lt;=81,"647990",IF($E78&lt;=90,"0",0)))))))))))))+0</f>
        <v>0</v>
      </c>
      <c r="BJ78" s="87">
        <f>(IF($F78&lt;=0,"0",IF($F78&lt;=1,"952500",IF($F78&lt;=2,"940000",IF($F78&lt;=3,"922500",IF($F78&lt;=4,"897500",IF($F78&lt;=5,"867500",IF($F78&lt;=6,"830000",IF($F78&lt;=7,"710000",IF($F78&lt;=8,"450000",0))))))))))+0</f>
        <v>0</v>
      </c>
      <c r="BK78" s="87">
        <f>(IF($G78&lt;=0,"0",IF($G78&lt;=1,"952500",IF($G78&lt;=2,"940000",IF($G78&lt;=3,"922500",IF($G78&lt;=4,"897500",IF($G78&lt;=5,"867500",IF($G78&lt;=6,"830000",IF($G78&lt;=7,"710000",IF($G78&lt;=8,"450000",0))))))))))+0</f>
        <v>0</v>
      </c>
      <c r="BL78" s="87">
        <f>(IF($H78&lt;=0,"0",IF($H78&lt;=1,"952500",IF($H78&lt;=2,"940000",IF($H78&lt;=3,"922500",IF($H78&lt;=4,"897500",IF($H78&lt;=5,"867500",IF($H78&lt;=6,"830000",IF($H78&lt;=7,"710000",IF($H78&lt;=8,"450000",0))))))))))+0</f>
        <v>0</v>
      </c>
      <c r="BM78" s="88">
        <f>SUM(BI78,BJ78,BK78,BL78)</f>
        <v>0</v>
      </c>
    </row>
    <row r="79" spans="1:65" s="81" customFormat="1">
      <c r="A79" s="71">
        <f ca="1">SUBTOTAL(3,$B$3:Summary2831[[#This Row],[Name]])</f>
        <v>77</v>
      </c>
      <c r="B79" s="72" t="s">
        <v>438</v>
      </c>
      <c r="C79" s="72" t="s">
        <v>621</v>
      </c>
      <c r="D79" s="154">
        <v>4.0999999999999996</v>
      </c>
      <c r="E79" s="72">
        <v>0</v>
      </c>
      <c r="F79" s="73">
        <v>0</v>
      </c>
      <c r="G79" s="74">
        <v>0</v>
      </c>
      <c r="H79" s="74">
        <v>0</v>
      </c>
      <c r="I79" s="72">
        <v>81</v>
      </c>
      <c r="J79" s="73">
        <v>1</v>
      </c>
      <c r="K79" s="74">
        <v>9</v>
      </c>
      <c r="L79" s="74">
        <v>9</v>
      </c>
      <c r="M79" s="79" t="s">
        <v>325</v>
      </c>
      <c r="N79" s="75">
        <f>(IF($E79&lt;=0,"0",IF($E79&lt;=40,"46",IF($E79&lt;=50,"44",IF($E79&lt;=60,"40",IF($E79&lt;=70,"32",IF($E79&lt;=80,"20","0")))))))+0</f>
        <v>0</v>
      </c>
      <c r="O7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79" s="76" t="s">
        <v>537</v>
      </c>
      <c r="Q79" s="77">
        <f>T79+W79+Z79</f>
        <v>0</v>
      </c>
      <c r="R79" s="77">
        <f>U79+X79+AA79</f>
        <v>0</v>
      </c>
      <c r="S79" s="78">
        <f>V79+Y79+AB79</f>
        <v>0</v>
      </c>
      <c r="T79" s="123">
        <f>(IF($F79&lt;=0,"0",IF($F79&lt;=6,"22",IF($F79&lt;=7,"18",IF($F79&lt;=8,"12",0)))))+0</f>
        <v>0</v>
      </c>
      <c r="U79" s="124">
        <f>(IF($F79&lt;=0,"0",IF($F79&lt;=2,"21",IF($F79&lt;=3,"19",IF($F79&lt;=4,"15",IF($F79&lt;=5,"9",0))))))+0</f>
        <v>0</v>
      </c>
      <c r="V79" s="124">
        <f>(IF($F79&lt;=0,"0",IF($F79&lt;=1,"3",0)))+0</f>
        <v>0</v>
      </c>
      <c r="W79" s="124">
        <f>(IF($G79&lt;=0,"0",IF($G79&lt;=6,"22",IF($G79&lt;=7,"18",IF($G79&lt;=8,"12",0)))))+0</f>
        <v>0</v>
      </c>
      <c r="X79" s="124">
        <f>(IF($G79&lt;=0,"0",IF($G79&lt;=2,"21",IF($G79&lt;=3,"19",IF($G79&lt;=4,"15",IF($G79&lt;=5,"9",0))))))+0</f>
        <v>0</v>
      </c>
      <c r="Y79" s="124">
        <f>(IF($G79&lt;=0,"0",IF($G79&lt;=1,"3",0)))+0</f>
        <v>0</v>
      </c>
      <c r="Z79" s="124">
        <f>(IF($H79&lt;=0,"0",IF($H79&lt;=6,"22",IF($H79&lt;=7,"18",IF($H79&lt;=8,"12",0)))))+0</f>
        <v>0</v>
      </c>
      <c r="AA79" s="124">
        <f>(IF($H79&lt;=0,"0",IF($H79&lt;=2,"21",IF($H79&lt;=3,"19",IF($H79&lt;=4,"15",IF($H79&lt;=5,"9",0))))))+0</f>
        <v>0</v>
      </c>
      <c r="AB79" s="125">
        <f>(IF($H79&lt;=0,"0",IF($H79&lt;=1,"3",0)))+0</f>
        <v>0</v>
      </c>
      <c r="AC79" s="80" t="s">
        <v>541</v>
      </c>
      <c r="AD79" s="81" t="s">
        <v>587</v>
      </c>
      <c r="AE79" s="126">
        <f>(IF($F79&lt;=0,"0",IF($F79&lt;=6,"4",IF($F79&lt;=7,"3",IF($F79&lt;=8,"2","0")))))+0</f>
        <v>0</v>
      </c>
      <c r="AF79" s="126">
        <f>(IF($G79&lt;=0,"0",IF($G79&lt;=6,"4",IF($G79&lt;=7,"3",IF($G79&lt;=8,"2","0")))))+0</f>
        <v>0</v>
      </c>
      <c r="AG79" s="126">
        <f>(IF($H79&lt;=0,"0",IF($H79&lt;=6,"4",IF($H79&lt;=7,"3",IF($H79&lt;=8,"2","0")))))+0</f>
        <v>0</v>
      </c>
      <c r="AH79" s="75">
        <f>SUM(AE79:AG79)</f>
        <v>0</v>
      </c>
      <c r="AI79" s="81" t="s">
        <v>606</v>
      </c>
      <c r="AJ79" s="74">
        <f>(IF($E79&lt;=0,"0",IF($E79&lt;=20,"168",IF($E79&lt;=30,"165",IF($E79&lt;=50,"155",IF($E79&lt;=60,"135",IF($E79&lt;=70,"105",IF($E79&lt;=80,"60","0"))))))))+0</f>
        <v>0</v>
      </c>
      <c r="AK79" s="79" t="s">
        <v>530</v>
      </c>
      <c r="AL79" s="81">
        <f>(IF($E79&lt;=0,"0",IF($E79&lt;=80,"6","0")))+0</f>
        <v>0</v>
      </c>
      <c r="AM79" s="81">
        <f>(IF($E79&lt;=0,"0",IF($E79&lt;=60,"9",IF($E79&lt;=70,"6","0"))))+0</f>
        <v>0</v>
      </c>
      <c r="AN79" s="81">
        <f>(IF($E79&lt;=0,"0",IF($E79&lt;=40,"9",IF($E79&lt;=50,"6","0"))))+0</f>
        <v>0</v>
      </c>
      <c r="AO79" s="82">
        <f>(IF($E79&lt;=0,"0",IF($E79&lt;=20,"1","0")))+0</f>
        <v>0</v>
      </c>
      <c r="AP79" s="79" t="s">
        <v>385</v>
      </c>
      <c r="AQ79" s="81">
        <f>(IF($E79&lt;=0,"0",IF($E79&lt;=70,"36",IF($E79&lt;=80,"24","0"))))+0</f>
        <v>0</v>
      </c>
      <c r="AR79" s="81">
        <f>(IF($E79&lt;=0,"0",IF($E79&lt;=50,"30",IF($E79&lt;=60,"18","0"))))+0</f>
        <v>0</v>
      </c>
      <c r="AS79" s="81">
        <f>(IF($E79&lt;=0,"0",IF($E79&lt;=20,"18",IF($E79&lt;=40,"15","0"))))+0</f>
        <v>0</v>
      </c>
      <c r="AT79" s="83">
        <f>Summary2831[[#This Row],[3*2]]+Summary2831[[#This Row],[3*22]]+Summary2831[[#This Row],[3*23]]</f>
        <v>0</v>
      </c>
      <c r="AU79" s="85">
        <f>Summary2831[[#This Row],[2*2]]+Summary2831[[#This Row],[2*23]]+Summary2831[[#This Row],[2*24]]</f>
        <v>0</v>
      </c>
      <c r="AV79" s="85">
        <f>Summary2831[[#This Row],[1*2]]+Summary2831[[#This Row],[1*24]]+Summary2831[[#This Row],[1*25]]</f>
        <v>0</v>
      </c>
      <c r="AW79" s="70">
        <f>IF($F79&lt;=0,"0",IF($F79&lt;=6,"19",IF($F79&lt;=7,"18",IF($F79&lt;=8,"9",0))))+0</f>
        <v>0</v>
      </c>
      <c r="AX79" s="70">
        <f>IF($F79&lt;=0,"0",IF($F79&lt;=2,"22",IF($F79&lt;=3,"19",IF($F79&lt;=4,"15",IF($F79&lt;=5,"9",0)))))+0</f>
        <v>0</v>
      </c>
      <c r="AY79" s="70">
        <f>IF($F79&lt;=0,"0",IF($F79&lt;=1,"6",0))+0</f>
        <v>0</v>
      </c>
      <c r="AZ79" s="70">
        <f>IF($G79&lt;=0,"0",IF($G79&lt;=6,"19",IF($G79&lt;=7,"18",IF($G79&lt;=8,"9",0))))+0</f>
        <v>0</v>
      </c>
      <c r="BA79" s="70">
        <f>IF($G79&lt;=0,"0",IF($G79&lt;=2,"22",IF($G79&lt;=3,"19",IF($G79&lt;=4,"15",IF($G79&lt;=5,"9",0)))))+0</f>
        <v>0</v>
      </c>
      <c r="BB79" s="70">
        <f>IF($G79&lt;=0,"0",IF($G79&lt;=1,"6",0))+0</f>
        <v>0</v>
      </c>
      <c r="BC79" s="70">
        <f>IF($H79&lt;=0,"0",IF($H79&lt;=6,"19",IF($H79&lt;=7,"18",IF($H79&lt;=8,"9",0))))+0</f>
        <v>0</v>
      </c>
      <c r="BD79" s="70">
        <f>IF($H79&lt;=0,"0",IF($H79&lt;=2,"22",IF($H79&lt;=3,"19",IF($H79&lt;=4,"15",IF($H79&lt;=5,"9",0)))))+0</f>
        <v>0</v>
      </c>
      <c r="BE79" s="70">
        <f>IF($H79&lt;=0,"0",IF($H79&lt;=1,"6",0))+0</f>
        <v>0</v>
      </c>
      <c r="BF79" s="79">
        <f>SUM(Summary2831[[#This Row],[3*
(Tal)]],Summary2831[[#This Row],[3*
(Asc)]])</f>
        <v>0</v>
      </c>
      <c r="BG79" s="81">
        <f>SUM(Summary2831[[#This Row],[2*
(Tal)]],Summary2831[[#This Row],[2*
(Asc)]])</f>
        <v>0</v>
      </c>
      <c r="BH79" s="82">
        <f>SUM(Summary2831[[#This Row],[1*
(Tal)]],Summary2831[[#This Row],[1*
(Asc)]])</f>
        <v>0</v>
      </c>
      <c r="BI79" s="86">
        <f>(IF($E79&lt;=0,"0",IF($E79&lt;=1,"2092530",IF($E79&lt;=10,"2087525",IF($E79&lt;=20,"2068495",IF($E79&lt;=30,"2005910",IF($E79&lt;=40,"1932830",IF($E79&lt;=50,"1777010",IF($E79&lt;=60,"1546185",IF($E79&lt;=70,"1227000",IF($E79&lt;=80,"804625",IF($E79&lt;=81,"647990",IF($E79&lt;=90,"0",0)))))))))))))+0</f>
        <v>0</v>
      </c>
      <c r="BJ79" s="87">
        <f>(IF($F79&lt;=0,"0",IF($F79&lt;=1,"952500",IF($F79&lt;=2,"940000",IF($F79&lt;=3,"922500",IF($F79&lt;=4,"897500",IF($F79&lt;=5,"867500",IF($F79&lt;=6,"830000",IF($F79&lt;=7,"710000",IF($F79&lt;=8,"450000",0))))))))))+0</f>
        <v>0</v>
      </c>
      <c r="BK79" s="87">
        <f>(IF($G79&lt;=0,"0",IF($G79&lt;=1,"952500",IF($G79&lt;=2,"940000",IF($G79&lt;=3,"922500",IF($G79&lt;=4,"897500",IF($G79&lt;=5,"867500",IF($G79&lt;=6,"830000",IF($G79&lt;=7,"710000",IF($G79&lt;=8,"450000",0))))))))))+0</f>
        <v>0</v>
      </c>
      <c r="BL79" s="87">
        <f>(IF($H79&lt;=0,"0",IF($H79&lt;=1,"952500",IF($H79&lt;=2,"940000",IF($H79&lt;=3,"922500",IF($H79&lt;=4,"897500",IF($H79&lt;=5,"867500",IF($H79&lt;=6,"830000",IF($H79&lt;=7,"710000",IF($H79&lt;=8,"450000",0))))))))))+0</f>
        <v>0</v>
      </c>
      <c r="BM79" s="88">
        <f>SUM(BI79,BJ79,BK79,BL79)</f>
        <v>0</v>
      </c>
    </row>
    <row r="80" spans="1:65">
      <c r="A80" s="46">
        <f ca="1">SUBTOTAL(3,$B$3:Summary2831[[#This Row],[Name]])</f>
        <v>78</v>
      </c>
      <c r="B80" s="140" t="s">
        <v>451</v>
      </c>
      <c r="C80" s="14" t="s">
        <v>622</v>
      </c>
      <c r="D80" s="155">
        <v>1</v>
      </c>
      <c r="E80" s="14">
        <v>90</v>
      </c>
      <c r="F80" s="9">
        <v>1</v>
      </c>
      <c r="G80" s="2">
        <v>9</v>
      </c>
      <c r="H80" s="2">
        <v>9</v>
      </c>
      <c r="I80" s="72">
        <v>81</v>
      </c>
      <c r="J80" s="73">
        <v>1</v>
      </c>
      <c r="K80" s="74">
        <v>9</v>
      </c>
      <c r="L80" s="74">
        <v>9</v>
      </c>
      <c r="M80" s="44" t="s">
        <v>136</v>
      </c>
      <c r="N80" s="10">
        <f>(IF($E80&lt;=0,"0",IF($E80&lt;=40,"46",IF($E80&lt;=50,"44",IF($E80&lt;=60,"40",IF($E80&lt;=70,"32",IF($E80&lt;=80,"20","0")))))))+0</f>
        <v>0</v>
      </c>
      <c r="O8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0" s="49" t="s">
        <v>562</v>
      </c>
      <c r="Q80" s="50">
        <f>T80+W80+Z80</f>
        <v>22</v>
      </c>
      <c r="R80" s="50">
        <f>U80+X80+AA80</f>
        <v>21</v>
      </c>
      <c r="S80" s="51">
        <f>V80+Y80+AB80</f>
        <v>3</v>
      </c>
      <c r="T80" s="123">
        <f>(IF($F80&lt;=0,"0",IF($F80&lt;=6,"22",IF($F80&lt;=7,"18",IF($F80&lt;=8,"12",0)))))+0</f>
        <v>22</v>
      </c>
      <c r="U80" s="124">
        <f>(IF($F80&lt;=0,"0",IF($F80&lt;=2,"21",IF($F80&lt;=3,"19",IF($F80&lt;=4,"15",IF($F80&lt;=5,"9",0))))))+0</f>
        <v>21</v>
      </c>
      <c r="V80" s="124">
        <f>(IF($F80&lt;=0,"0",IF($F80&lt;=1,"3",0)))+0</f>
        <v>3</v>
      </c>
      <c r="W80" s="124">
        <f>(IF($G80&lt;=0,"0",IF($G80&lt;=6,"22",IF($G80&lt;=7,"18",IF($G80&lt;=8,"12",0)))))+0</f>
        <v>0</v>
      </c>
      <c r="X80" s="124">
        <f>(IF($G80&lt;=0,"0",IF($G80&lt;=2,"21",IF($G80&lt;=3,"19",IF($G80&lt;=4,"15",IF($G80&lt;=5,"9",0))))))+0</f>
        <v>0</v>
      </c>
      <c r="Y80" s="124">
        <f>(IF($G80&lt;=0,"0",IF($G80&lt;=1,"3",0)))+0</f>
        <v>0</v>
      </c>
      <c r="Z80" s="124">
        <f>(IF($H80&lt;=0,"0",IF($H80&lt;=6,"22",IF($H80&lt;=7,"18",IF($H80&lt;=8,"12",0)))))+0</f>
        <v>0</v>
      </c>
      <c r="AA80" s="124">
        <f>(IF($H80&lt;=0,"0",IF($H80&lt;=2,"21",IF($H80&lt;=3,"19",IF($H80&lt;=4,"15",IF($H80&lt;=5,"9",0))))))+0</f>
        <v>0</v>
      </c>
      <c r="AB80" s="125">
        <f>(IF($H80&lt;=0,"0",IF($H80&lt;=1,"3",0)))+0</f>
        <v>0</v>
      </c>
      <c r="AC80" s="8" t="s">
        <v>531</v>
      </c>
      <c r="AD80" s="1" t="s">
        <v>596</v>
      </c>
      <c r="AE80" s="126">
        <f>(IF($F80&lt;=0,"0",IF($F80&lt;=6,"4",IF($F80&lt;=7,"3",IF($F80&lt;=8,"2","0")))))+0</f>
        <v>4</v>
      </c>
      <c r="AF80" s="126">
        <f>(IF($G80&lt;=0,"0",IF($G80&lt;=6,"4",IF($G80&lt;=7,"3",IF($G80&lt;=8,"2","0")))))+0</f>
        <v>0</v>
      </c>
      <c r="AG80" s="126">
        <f>(IF($H80&lt;=0,"0",IF($H80&lt;=6,"4",IF($H80&lt;=7,"3",IF($H80&lt;=8,"2","0")))))+0</f>
        <v>0</v>
      </c>
      <c r="AH80" s="10">
        <f>SUM(AE80:AG80)</f>
        <v>4</v>
      </c>
      <c r="AI80" s="1" t="s">
        <v>607</v>
      </c>
      <c r="AJ80" s="2">
        <f>(IF($E80&lt;=0,"0",IF($E80&lt;=20,"168",IF($E80&lt;=30,"165",IF($E80&lt;=50,"155",IF($E80&lt;=60,"135",IF($E80&lt;=70,"105",IF($E80&lt;=80,"60","0"))))))))+0</f>
        <v>0</v>
      </c>
      <c r="AK80" s="44" t="s">
        <v>534</v>
      </c>
      <c r="AL80" s="1">
        <f>(IF($E80&lt;=0,"0",IF($E80&lt;=80,"6","0")))+0</f>
        <v>0</v>
      </c>
      <c r="AM80" s="1">
        <f>(IF($E80&lt;=0,"0",IF($E80&lt;=60,"9",IF($E80&lt;=70,"6","0"))))+0</f>
        <v>0</v>
      </c>
      <c r="AN80" s="1">
        <f>(IF($E80&lt;=0,"0",IF($E80&lt;=40,"9",IF($E80&lt;=50,"6","0"))))+0</f>
        <v>0</v>
      </c>
      <c r="AO80" s="34">
        <f>(IF($E80&lt;=0,"0",IF($E80&lt;=20,"1","0")))+0</f>
        <v>0</v>
      </c>
      <c r="AP80" s="44" t="s">
        <v>178</v>
      </c>
      <c r="AQ80" s="1">
        <f>(IF($E80&lt;=0,"0",IF($E80&lt;=70,"36",IF($E80&lt;=80,"24","0"))))+0</f>
        <v>0</v>
      </c>
      <c r="AR80" s="1">
        <f>(IF($E80&lt;=0,"0",IF($E80&lt;=50,"30",IF($E80&lt;=60,"18","0"))))+0</f>
        <v>0</v>
      </c>
      <c r="AS80" s="1">
        <f>(IF($E80&lt;=0,"0",IF($E80&lt;=20,"18",IF($E80&lt;=40,"15","0"))))+0</f>
        <v>0</v>
      </c>
      <c r="AT80" s="53">
        <f>Summary2831[[#This Row],[3*2]]+Summary2831[[#This Row],[3*22]]+Summary2831[[#This Row],[3*23]]</f>
        <v>19</v>
      </c>
      <c r="AU80" s="52">
        <f>Summary2831[[#This Row],[2*2]]+Summary2831[[#This Row],[2*23]]+Summary2831[[#This Row],[2*24]]</f>
        <v>22</v>
      </c>
      <c r="AV80" s="52">
        <f>Summary2831[[#This Row],[1*2]]+Summary2831[[#This Row],[1*24]]+Summary2831[[#This Row],[1*25]]</f>
        <v>6</v>
      </c>
      <c r="AW80" s="52">
        <f>IF($F80&lt;=0,"0",IF($F80&lt;=6,"19",IF($F80&lt;=7,"18",IF($F80&lt;=8,"9",0))))+0</f>
        <v>19</v>
      </c>
      <c r="AX80" s="52">
        <f>IF($F80&lt;=0,"0",IF($F80&lt;=2,"22",IF($F80&lt;=3,"19",IF($F80&lt;=4,"15",IF($F80&lt;=5,"9",0)))))+0</f>
        <v>22</v>
      </c>
      <c r="AY80" s="52">
        <f>IF($F80&lt;=0,"0",IF($F80&lt;=1,"6",0))+0</f>
        <v>6</v>
      </c>
      <c r="AZ80" s="52">
        <f>IF($G80&lt;=0,"0",IF($G80&lt;=6,"19",IF($G80&lt;=7,"18",IF($G80&lt;=8,"9",0))))+0</f>
        <v>0</v>
      </c>
      <c r="BA80" s="52">
        <f>IF($G80&lt;=0,"0",IF($G80&lt;=2,"22",IF($G80&lt;=3,"19",IF($G80&lt;=4,"15",IF($G80&lt;=5,"9",0)))))+0</f>
        <v>0</v>
      </c>
      <c r="BB80" s="52">
        <f>IF($G80&lt;=0,"0",IF($G80&lt;=1,"6",0))+0</f>
        <v>0</v>
      </c>
      <c r="BC80" s="52">
        <f>IF($H80&lt;=0,"0",IF($H80&lt;=6,"19",IF($H80&lt;=7,"18",IF($H80&lt;=8,"9",0))))+0</f>
        <v>0</v>
      </c>
      <c r="BD80" s="52">
        <f>IF($H80&lt;=0,"0",IF($H80&lt;=2,"22",IF($H80&lt;=3,"19",IF($H80&lt;=4,"15",IF($H80&lt;=5,"9",0)))))+0</f>
        <v>0</v>
      </c>
      <c r="BE80" s="52">
        <f>IF($H80&lt;=0,"0",IF($H80&lt;=1,"6",0))+0</f>
        <v>0</v>
      </c>
      <c r="BF80" s="44">
        <f>SUM(Summary2831[[#This Row],[3*
(Tal)]],Summary2831[[#This Row],[3*
(Asc)]])</f>
        <v>19</v>
      </c>
      <c r="BG80" s="1">
        <f>SUM(Summary2831[[#This Row],[2*
(Tal)]],Summary2831[[#This Row],[2*
(Asc)]])</f>
        <v>22</v>
      </c>
      <c r="BH80" s="34">
        <f>SUM(Summary2831[[#This Row],[1*
(Tal)]],Summary2831[[#This Row],[1*
(Asc)]])</f>
        <v>6</v>
      </c>
      <c r="BI80" s="86">
        <f>(IF($E80&lt;=0,"0",IF($E80&lt;=1,"2092530",IF($E80&lt;=10,"2087525",IF($E80&lt;=20,"2068495",IF($E80&lt;=30,"2005910",IF($E80&lt;=40,"1932830",IF($E80&lt;=50,"1777010",IF($E80&lt;=60,"1546185",IF($E80&lt;=70,"1227000",IF($E80&lt;=80,"804625",IF($E80&lt;=81,"647990",IF($E80&lt;=90,"0",0)))))))))))))+0</f>
        <v>0</v>
      </c>
      <c r="BJ80" s="56">
        <f>(IF($F80&lt;=0,"0",IF($F80&lt;=1,"952500",IF($F80&lt;=2,"940000",IF($F80&lt;=3,"922500",IF($F80&lt;=4,"897500",IF($F80&lt;=5,"867500",IF($F80&lt;=6,"830000",IF($F80&lt;=7,"710000",IF($F80&lt;=8,"450000",0))))))))))+0</f>
        <v>952500</v>
      </c>
      <c r="BK80" s="56">
        <f>(IF($G80&lt;=0,"0",IF($G80&lt;=1,"952500",IF($G80&lt;=2,"940000",IF($G80&lt;=3,"922500",IF($G80&lt;=4,"897500",IF($G80&lt;=5,"867500",IF($G80&lt;=6,"830000",IF($G80&lt;=7,"710000",IF($G80&lt;=8,"450000",0))))))))))+0</f>
        <v>0</v>
      </c>
      <c r="BL80" s="56">
        <f>(IF($H80&lt;=0,"0",IF($H80&lt;=1,"952500",IF($H80&lt;=2,"940000",IF($H80&lt;=3,"922500",IF($H80&lt;=4,"897500",IF($H80&lt;=5,"867500",IF($H80&lt;=6,"830000",IF($H80&lt;=7,"710000",IF($H80&lt;=8,"450000",0))))))))))+0</f>
        <v>0</v>
      </c>
      <c r="BM80" s="57">
        <f>SUM(BI80,BJ80,BK80,BL80)</f>
        <v>952500</v>
      </c>
    </row>
    <row r="81" spans="1:65">
      <c r="A81" s="71">
        <f ca="1">SUBTOTAL(3,$B$3:Summary2831[[#This Row],[Name]])</f>
        <v>79</v>
      </c>
      <c r="B81" s="72" t="s">
        <v>439</v>
      </c>
      <c r="C81" s="72" t="s">
        <v>624</v>
      </c>
      <c r="D81" s="154">
        <v>4.4000000000000004</v>
      </c>
      <c r="E81" s="72">
        <v>80</v>
      </c>
      <c r="F81" s="73">
        <v>1</v>
      </c>
      <c r="G81" s="74">
        <v>1</v>
      </c>
      <c r="H81" s="74">
        <v>1</v>
      </c>
      <c r="I81" s="72">
        <v>81</v>
      </c>
      <c r="J81" s="73">
        <v>1</v>
      </c>
      <c r="K81" s="74">
        <v>9</v>
      </c>
      <c r="L81" s="74">
        <v>9</v>
      </c>
      <c r="M81" s="79" t="s">
        <v>37</v>
      </c>
      <c r="N81" s="75">
        <f>(IF($E81&lt;=0,"0",IF($E81&lt;=40,"46",IF($E81&lt;=50,"44",IF($E81&lt;=60,"40",IF($E81&lt;=70,"32",IF($E81&lt;=80,"20","0")))))))+0</f>
        <v>20</v>
      </c>
      <c r="O8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81" s="76" t="s">
        <v>540</v>
      </c>
      <c r="Q81" s="77">
        <f>T81+W81+Z81</f>
        <v>66</v>
      </c>
      <c r="R81" s="77">
        <f>U81+X81+AA81</f>
        <v>63</v>
      </c>
      <c r="S81" s="78">
        <f>V81+Y81+AB81</f>
        <v>9</v>
      </c>
      <c r="T81" s="123">
        <f>(IF($F81&lt;=0,"0",IF($F81&lt;=6,"22",IF($F81&lt;=7,"18",IF($F81&lt;=8,"12",0)))))+0</f>
        <v>22</v>
      </c>
      <c r="U81" s="124">
        <f>(IF($F81&lt;=0,"0",IF($F81&lt;=2,"21",IF($F81&lt;=3,"19",IF($F81&lt;=4,"15",IF($F81&lt;=5,"9",0))))))+0</f>
        <v>21</v>
      </c>
      <c r="V81" s="124">
        <f>(IF($F81&lt;=0,"0",IF($F81&lt;=1,"3",0)))+0</f>
        <v>3</v>
      </c>
      <c r="W81" s="124">
        <f>(IF($G81&lt;=0,"0",IF($G81&lt;=6,"22",IF($G81&lt;=7,"18",IF($G81&lt;=8,"12",0)))))+0</f>
        <v>22</v>
      </c>
      <c r="X81" s="124">
        <f>(IF($G81&lt;=0,"0",IF($G81&lt;=2,"21",IF($G81&lt;=3,"19",IF($G81&lt;=4,"15",IF($G81&lt;=5,"9",0))))))+0</f>
        <v>21</v>
      </c>
      <c r="Y81" s="124">
        <f>(IF($G81&lt;=0,"0",IF($G81&lt;=1,"3",0)))+0</f>
        <v>3</v>
      </c>
      <c r="Z81" s="124">
        <f>(IF($H81&lt;=0,"0",IF($H81&lt;=6,"22",IF($H81&lt;=7,"18",IF($H81&lt;=8,"12",0)))))+0</f>
        <v>22</v>
      </c>
      <c r="AA81" s="124">
        <f>(IF($H81&lt;=0,"0",IF($H81&lt;=2,"21",IF($H81&lt;=3,"19",IF($H81&lt;=4,"15",IF($H81&lt;=5,"9",0))))))+0</f>
        <v>21</v>
      </c>
      <c r="AB81" s="125">
        <f>(IF($H81&lt;=0,"0",IF($H81&lt;=1,"3",0)))+0</f>
        <v>3</v>
      </c>
      <c r="AC81" s="80" t="s">
        <v>557</v>
      </c>
      <c r="AD81" s="81" t="s">
        <v>608</v>
      </c>
      <c r="AE81" s="126">
        <f>(IF($F81&lt;=0,"0",IF($F81&lt;=6,"4",IF($F81&lt;=7,"3",IF($F81&lt;=8,"2","0")))))+0</f>
        <v>4</v>
      </c>
      <c r="AF81" s="126">
        <f>(IF($G81&lt;=0,"0",IF($G81&lt;=6,"4",IF($G81&lt;=7,"3",IF($G81&lt;=8,"2","0")))))+0</f>
        <v>4</v>
      </c>
      <c r="AG81" s="126">
        <f>(IF($H81&lt;=0,"0",IF($H81&lt;=6,"4",IF($H81&lt;=7,"3",IF($H81&lt;=8,"2","0")))))+0</f>
        <v>4</v>
      </c>
      <c r="AH81" s="75">
        <f>SUM(AE81:AG81)</f>
        <v>12</v>
      </c>
      <c r="AI81" s="81" t="s">
        <v>609</v>
      </c>
      <c r="AJ81" s="74">
        <f>(IF($E81&lt;=0,"0",IF($E81&lt;=20,"168",IF($E81&lt;=30,"165",IF($E81&lt;=50,"155",IF($E81&lt;=60,"135",IF($E81&lt;=70,"105",IF($E81&lt;=80,"60","0"))))))))+0</f>
        <v>60</v>
      </c>
      <c r="AK81" s="79" t="s">
        <v>573</v>
      </c>
      <c r="AL81" s="81">
        <f>(IF($E81&lt;=0,"0",IF($E81&lt;=80,"6","0")))+0</f>
        <v>6</v>
      </c>
      <c r="AM81" s="81">
        <f>(IF($E81&lt;=0,"0",IF($E81&lt;=60,"9",IF($E81&lt;=70,"6","0"))))+0</f>
        <v>0</v>
      </c>
      <c r="AN81" s="81">
        <f>(IF($E81&lt;=0,"0",IF($E81&lt;=40,"9",IF($E81&lt;=50,"6","0"))))+0</f>
        <v>0</v>
      </c>
      <c r="AO81" s="82">
        <f>(IF($E81&lt;=0,"0",IF($E81&lt;=20,"1","0")))+0</f>
        <v>0</v>
      </c>
      <c r="AP81" s="79" t="s">
        <v>149</v>
      </c>
      <c r="AQ81" s="81">
        <f>(IF($E81&lt;=0,"0",IF($E81&lt;=70,"36",IF($E81&lt;=80,"24","0"))))+0</f>
        <v>24</v>
      </c>
      <c r="AR81" s="81">
        <f>(IF($E81&lt;=0,"0",IF($E81&lt;=50,"30",IF($E81&lt;=60,"18","0"))))+0</f>
        <v>0</v>
      </c>
      <c r="AS81" s="81">
        <f>(IF($E81&lt;=0,"0",IF($E81&lt;=20,"18",IF($E81&lt;=40,"15","0"))))+0</f>
        <v>0</v>
      </c>
      <c r="AT81" s="83">
        <f>Summary2831[[#This Row],[3*2]]+Summary2831[[#This Row],[3*22]]+Summary2831[[#This Row],[3*23]]</f>
        <v>57</v>
      </c>
      <c r="AU81" s="85">
        <f>Summary2831[[#This Row],[2*2]]+Summary2831[[#This Row],[2*23]]+Summary2831[[#This Row],[2*24]]</f>
        <v>66</v>
      </c>
      <c r="AV81" s="85">
        <f>Summary2831[[#This Row],[1*2]]+Summary2831[[#This Row],[1*24]]+Summary2831[[#This Row],[1*25]]</f>
        <v>18</v>
      </c>
      <c r="AW81" s="70">
        <f>IF($F81&lt;=0,"0",IF($F81&lt;=6,"19",IF($F81&lt;=7,"18",IF($F81&lt;=8,"9",0))))+0</f>
        <v>19</v>
      </c>
      <c r="AX81" s="70">
        <f>IF($F81&lt;=0,"0",IF($F81&lt;=2,"22",IF($F81&lt;=3,"19",IF($F81&lt;=4,"15",IF($F81&lt;=5,"9",0)))))+0</f>
        <v>22</v>
      </c>
      <c r="AY81" s="70">
        <f>IF($F81&lt;=0,"0",IF($F81&lt;=1,"6",0))+0</f>
        <v>6</v>
      </c>
      <c r="AZ81" s="70">
        <f>IF($G81&lt;=0,"0",IF($G81&lt;=6,"19",IF($G81&lt;=7,"18",IF($G81&lt;=8,"9",0))))+0</f>
        <v>19</v>
      </c>
      <c r="BA81" s="70">
        <f>IF($G81&lt;=0,"0",IF($G81&lt;=2,"22",IF($G81&lt;=3,"19",IF($G81&lt;=4,"15",IF($G81&lt;=5,"9",0)))))+0</f>
        <v>22</v>
      </c>
      <c r="BB81" s="70">
        <f>IF($G81&lt;=0,"0",IF($G81&lt;=1,"6",0))+0</f>
        <v>6</v>
      </c>
      <c r="BC81" s="70">
        <f>IF($H81&lt;=0,"0",IF($H81&lt;=6,"19",IF($H81&lt;=7,"18",IF($H81&lt;=8,"9",0))))+0</f>
        <v>19</v>
      </c>
      <c r="BD81" s="70">
        <f>IF($H81&lt;=0,"0",IF($H81&lt;=2,"22",IF($H81&lt;=3,"19",IF($H81&lt;=4,"15",IF($H81&lt;=5,"9",0)))))+0</f>
        <v>22</v>
      </c>
      <c r="BE81" s="70">
        <f>IF($H81&lt;=0,"0",IF($H81&lt;=1,"6",0))+0</f>
        <v>6</v>
      </c>
      <c r="BF81" s="79">
        <f>SUM(Summary2831[[#This Row],[3*
(Tal)]],Summary2831[[#This Row],[3*
(Asc)]])</f>
        <v>81</v>
      </c>
      <c r="BG81" s="81">
        <f>SUM(Summary2831[[#This Row],[2*
(Tal)]],Summary2831[[#This Row],[2*
(Asc)]])</f>
        <v>66</v>
      </c>
      <c r="BH81" s="82">
        <f>SUM(Summary2831[[#This Row],[1*
(Tal)]],Summary2831[[#This Row],[1*
(Asc)]])</f>
        <v>18</v>
      </c>
      <c r="BI81" s="86">
        <f>(IF($E81&lt;=0,"0",IF($E81&lt;=1,"2092530",IF($E81&lt;=10,"2087525",IF($E81&lt;=20,"2068495",IF($E81&lt;=30,"2005910",IF($E81&lt;=40,"1932830",IF($E81&lt;=50,"1777010",IF($E81&lt;=60,"1546185",IF($E81&lt;=70,"1227000",IF($E81&lt;=80,"804625",IF($E81&lt;=81,"647990",IF($E81&lt;=90,"0",0)))))))))))))+0</f>
        <v>804625</v>
      </c>
      <c r="BJ81" s="87">
        <f>(IF($F81&lt;=0,"0",IF($F81&lt;=1,"952500",IF($F81&lt;=2,"940000",IF($F81&lt;=3,"922500",IF($F81&lt;=4,"897500",IF($F81&lt;=5,"867500",IF($F81&lt;=6,"830000",IF($F81&lt;=7,"710000",IF($F81&lt;=8,"450000",0))))))))))+0</f>
        <v>952500</v>
      </c>
      <c r="BK81" s="87">
        <f>(IF($G81&lt;=0,"0",IF($G81&lt;=1,"952500",IF($G81&lt;=2,"940000",IF($G81&lt;=3,"922500",IF($G81&lt;=4,"897500",IF($G81&lt;=5,"867500",IF($G81&lt;=6,"830000",IF($G81&lt;=7,"710000",IF($G81&lt;=8,"450000",0))))))))))+0</f>
        <v>952500</v>
      </c>
      <c r="BL81" s="87">
        <f>(IF($H81&lt;=0,"0",IF($H81&lt;=1,"952500",IF($H81&lt;=2,"940000",IF($H81&lt;=3,"922500",IF($H81&lt;=4,"897500",IF($H81&lt;=5,"867500",IF($H81&lt;=6,"830000",IF($H81&lt;=7,"710000",IF($H81&lt;=8,"450000",0))))))))))+0</f>
        <v>952500</v>
      </c>
      <c r="BM81" s="88">
        <f>SUM(BI81,BJ81,BK81,BL81)</f>
        <v>3662125</v>
      </c>
    </row>
    <row r="82" spans="1:65" s="81" customFormat="1">
      <c r="A82" s="71">
        <f ca="1">SUBTOTAL(3,$B$3:Summary2831[[#This Row],[Name]])</f>
        <v>80</v>
      </c>
      <c r="B82" s="72" t="s">
        <v>452</v>
      </c>
      <c r="C82" s="72" t="s">
        <v>624</v>
      </c>
      <c r="D82" s="154">
        <v>1.3</v>
      </c>
      <c r="E82" s="72">
        <v>0</v>
      </c>
      <c r="F82" s="73">
        <v>0</v>
      </c>
      <c r="G82" s="74">
        <v>0</v>
      </c>
      <c r="H82" s="74">
        <v>0</v>
      </c>
      <c r="I82" s="72">
        <v>81</v>
      </c>
      <c r="J82" s="73">
        <v>1</v>
      </c>
      <c r="K82" s="74">
        <v>9</v>
      </c>
      <c r="L82" s="74">
        <v>9</v>
      </c>
      <c r="M82" s="79" t="s">
        <v>145</v>
      </c>
      <c r="N82" s="75">
        <f>(IF($E82&lt;=0,"0",IF($E82&lt;=40,"46",IF($E82&lt;=50,"44",IF($E82&lt;=60,"40",IF($E82&lt;=70,"32",IF($E82&lt;=80,"20","0")))))))+0</f>
        <v>0</v>
      </c>
      <c r="O82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2" s="76" t="s">
        <v>578</v>
      </c>
      <c r="Q82" s="77">
        <f>T82+W82+Z82</f>
        <v>0</v>
      </c>
      <c r="R82" s="77">
        <f>U82+X82+AA82</f>
        <v>0</v>
      </c>
      <c r="S82" s="78">
        <f>V82+Y82+AB82</f>
        <v>0</v>
      </c>
      <c r="T82" s="123">
        <f>(IF($F82&lt;=0,"0",IF($F82&lt;=6,"22",IF($F82&lt;=7,"18",IF($F82&lt;=8,"12",0)))))+0</f>
        <v>0</v>
      </c>
      <c r="U82" s="124">
        <f>(IF($F82&lt;=0,"0",IF($F82&lt;=2,"21",IF($F82&lt;=3,"19",IF($F82&lt;=4,"15",IF($F82&lt;=5,"9",0))))))+0</f>
        <v>0</v>
      </c>
      <c r="V82" s="124">
        <f>(IF($F82&lt;=0,"0",IF($F82&lt;=1,"3",0)))+0</f>
        <v>0</v>
      </c>
      <c r="W82" s="124">
        <f>(IF($G82&lt;=0,"0",IF($G82&lt;=6,"22",IF($G82&lt;=7,"18",IF($G82&lt;=8,"12",0)))))+0</f>
        <v>0</v>
      </c>
      <c r="X82" s="124">
        <f>(IF($G82&lt;=0,"0",IF($G82&lt;=2,"21",IF($G82&lt;=3,"19",IF($G82&lt;=4,"15",IF($G82&lt;=5,"9",0))))))+0</f>
        <v>0</v>
      </c>
      <c r="Y82" s="124">
        <f>(IF($G82&lt;=0,"0",IF($G82&lt;=1,"3",0)))+0</f>
        <v>0</v>
      </c>
      <c r="Z82" s="124">
        <f>(IF($H82&lt;=0,"0",IF($H82&lt;=6,"22",IF($H82&lt;=7,"18",IF($H82&lt;=8,"12",0)))))+0</f>
        <v>0</v>
      </c>
      <c r="AA82" s="124">
        <f>(IF($H82&lt;=0,"0",IF($H82&lt;=2,"21",IF($H82&lt;=3,"19",IF($H82&lt;=4,"15",IF($H82&lt;=5,"9",0))))))+0</f>
        <v>0</v>
      </c>
      <c r="AB82" s="125">
        <f>(IF($H82&lt;=0,"0",IF($H82&lt;=1,"3",0)))+0</f>
        <v>0</v>
      </c>
      <c r="AC82" s="80" t="s">
        <v>389</v>
      </c>
      <c r="AD82" s="81" t="s">
        <v>579</v>
      </c>
      <c r="AE82" s="126">
        <f>(IF($F82&lt;=0,"0",IF($F82&lt;=6,"4",IF($F82&lt;=7,"3",IF($F82&lt;=8,"2","0")))))+0</f>
        <v>0</v>
      </c>
      <c r="AF82" s="126">
        <f>(IF($G82&lt;=0,"0",IF($G82&lt;=6,"4",IF($G82&lt;=7,"3",IF($G82&lt;=8,"2","0")))))+0</f>
        <v>0</v>
      </c>
      <c r="AG82" s="126">
        <f>(IF($H82&lt;=0,"0",IF($H82&lt;=6,"4",IF($H82&lt;=7,"3",IF($H82&lt;=8,"2","0")))))+0</f>
        <v>0</v>
      </c>
      <c r="AH82" s="75">
        <f>SUM(AE82:AG82)</f>
        <v>0</v>
      </c>
      <c r="AI82" s="81" t="s">
        <v>314</v>
      </c>
      <c r="AJ82" s="74">
        <f>(IF($E82&lt;=0,"0",IF($E82&lt;=20,"168",IF($E82&lt;=30,"165",IF($E82&lt;=50,"155",IF($E82&lt;=60,"135",IF($E82&lt;=70,"105",IF($E82&lt;=80,"60","0"))))))))+0</f>
        <v>0</v>
      </c>
      <c r="AK82" s="79" t="s">
        <v>573</v>
      </c>
      <c r="AL82" s="81">
        <f>(IF($E82&lt;=0,"0",IF($E82&lt;=80,"6","0")))+0</f>
        <v>0</v>
      </c>
      <c r="AM82" s="81">
        <f>(IF($E82&lt;=0,"0",IF($E82&lt;=60,"9",IF($E82&lt;=70,"6","0"))))+0</f>
        <v>0</v>
      </c>
      <c r="AN82" s="81">
        <f>(IF($E82&lt;=0,"0",IF($E82&lt;=40,"9",IF($E82&lt;=50,"6","0"))))+0</f>
        <v>0</v>
      </c>
      <c r="AO82" s="82">
        <f>(IF($E82&lt;=0,"0",IF($E82&lt;=20,"1","0")))+0</f>
        <v>0</v>
      </c>
      <c r="AP82" s="79" t="s">
        <v>178</v>
      </c>
      <c r="AQ82" s="81">
        <f>(IF($E82&lt;=0,"0",IF($E82&lt;=70,"36",IF($E82&lt;=80,"24","0"))))+0</f>
        <v>0</v>
      </c>
      <c r="AR82" s="81">
        <f>(IF($E82&lt;=0,"0",IF($E82&lt;=50,"30",IF($E82&lt;=60,"18","0"))))+0</f>
        <v>0</v>
      </c>
      <c r="AS82" s="81">
        <f>(IF($E82&lt;=0,"0",IF($E82&lt;=20,"18",IF($E82&lt;=40,"15","0"))))+0</f>
        <v>0</v>
      </c>
      <c r="AT82" s="83">
        <f>Summary2831[[#This Row],[3*2]]+Summary2831[[#This Row],[3*22]]+Summary2831[[#This Row],[3*23]]</f>
        <v>0</v>
      </c>
      <c r="AU82" s="85">
        <f>Summary2831[[#This Row],[2*2]]+Summary2831[[#This Row],[2*23]]+Summary2831[[#This Row],[2*24]]</f>
        <v>0</v>
      </c>
      <c r="AV82" s="85">
        <f>Summary2831[[#This Row],[1*2]]+Summary2831[[#This Row],[1*24]]+Summary2831[[#This Row],[1*25]]</f>
        <v>0</v>
      </c>
      <c r="AW82" s="70">
        <f>IF($F82&lt;=0,"0",IF($F82&lt;=6,"19",IF($F82&lt;=7,"18",IF($F82&lt;=8,"9",0))))+0</f>
        <v>0</v>
      </c>
      <c r="AX82" s="70">
        <f>IF($F82&lt;=0,"0",IF($F82&lt;=2,"22",IF($F82&lt;=3,"19",IF($F82&lt;=4,"15",IF($F82&lt;=5,"9",0)))))+0</f>
        <v>0</v>
      </c>
      <c r="AY82" s="70">
        <f>IF($F82&lt;=0,"0",IF($F82&lt;=1,"6",0))+0</f>
        <v>0</v>
      </c>
      <c r="AZ82" s="70">
        <f>IF($G82&lt;=0,"0",IF($G82&lt;=6,"19",IF($G82&lt;=7,"18",IF($G82&lt;=8,"9",0))))+0</f>
        <v>0</v>
      </c>
      <c r="BA82" s="70">
        <f>IF($G82&lt;=0,"0",IF($G82&lt;=2,"22",IF($G82&lt;=3,"19",IF($G82&lt;=4,"15",IF($G82&lt;=5,"9",0)))))+0</f>
        <v>0</v>
      </c>
      <c r="BB82" s="70">
        <f>IF($G82&lt;=0,"0",IF($G82&lt;=1,"6",0))+0</f>
        <v>0</v>
      </c>
      <c r="BC82" s="70">
        <f>IF($H82&lt;=0,"0",IF($H82&lt;=6,"19",IF($H82&lt;=7,"18",IF($H82&lt;=8,"9",0))))+0</f>
        <v>0</v>
      </c>
      <c r="BD82" s="70">
        <f>IF($H82&lt;=0,"0",IF($H82&lt;=2,"22",IF($H82&lt;=3,"19",IF($H82&lt;=4,"15",IF($H82&lt;=5,"9",0)))))+0</f>
        <v>0</v>
      </c>
      <c r="BE82" s="70">
        <f>IF($H82&lt;=0,"0",IF($H82&lt;=1,"6",0))+0</f>
        <v>0</v>
      </c>
      <c r="BF82" s="79">
        <f>SUM(Summary2831[[#This Row],[3*
(Tal)]],Summary2831[[#This Row],[3*
(Asc)]])</f>
        <v>0</v>
      </c>
      <c r="BG82" s="81">
        <f>SUM(Summary2831[[#This Row],[2*
(Tal)]],Summary2831[[#This Row],[2*
(Asc)]])</f>
        <v>0</v>
      </c>
      <c r="BH82" s="82">
        <f>SUM(Summary2831[[#This Row],[1*
(Tal)]],Summary2831[[#This Row],[1*
(Asc)]])</f>
        <v>0</v>
      </c>
      <c r="BI82" s="86">
        <f>(IF($E82&lt;=0,"0",IF($E82&lt;=1,"2092530",IF($E82&lt;=10,"2087525",IF($E82&lt;=20,"2068495",IF($E82&lt;=30,"2005910",IF($E82&lt;=40,"1932830",IF($E82&lt;=50,"1777010",IF($E82&lt;=60,"1546185",IF($E82&lt;=70,"1227000",IF($E82&lt;=80,"804625",IF($E82&lt;=81,"647990",IF($E82&lt;=90,"0",0)))))))))))))+0</f>
        <v>0</v>
      </c>
      <c r="BJ82" s="87">
        <f>(IF($F82&lt;=0,"0",IF($F82&lt;=1,"952500",IF($F82&lt;=2,"940000",IF($F82&lt;=3,"922500",IF($F82&lt;=4,"897500",IF($F82&lt;=5,"867500",IF($F82&lt;=6,"830000",IF($F82&lt;=7,"710000",IF($F82&lt;=8,"450000",0))))))))))+0</f>
        <v>0</v>
      </c>
      <c r="BK82" s="87">
        <f>(IF($G82&lt;=0,"0",IF($G82&lt;=1,"952500",IF($G82&lt;=2,"940000",IF($G82&lt;=3,"922500",IF($G82&lt;=4,"897500",IF($G82&lt;=5,"867500",IF($G82&lt;=6,"830000",IF($G82&lt;=7,"710000",IF($G82&lt;=8,"450000",0))))))))))+0</f>
        <v>0</v>
      </c>
      <c r="BL82" s="87">
        <f>(IF($H82&lt;=0,"0",IF($H82&lt;=1,"952500",IF($H82&lt;=2,"940000",IF($H82&lt;=3,"922500",IF($H82&lt;=4,"897500",IF($H82&lt;=5,"867500",IF($H82&lt;=6,"830000",IF($H82&lt;=7,"710000",IF($H82&lt;=8,"450000",0))))))))))+0</f>
        <v>0</v>
      </c>
      <c r="BM82" s="88">
        <f>SUM(BI82,BJ82,BK82,BL82)</f>
        <v>0</v>
      </c>
    </row>
    <row r="83" spans="1:65">
      <c r="A83" s="46">
        <f ca="1">SUBTOTAL(3,$B$3:Summary2831[[#This Row],[Name]])</f>
        <v>81</v>
      </c>
      <c r="B83" s="140" t="s">
        <v>610</v>
      </c>
      <c r="C83" s="14" t="s">
        <v>623</v>
      </c>
      <c r="D83" s="155">
        <v>1</v>
      </c>
      <c r="E83" s="14">
        <v>90</v>
      </c>
      <c r="F83" s="9">
        <v>1</v>
      </c>
      <c r="G83" s="2">
        <v>9</v>
      </c>
      <c r="H83" s="2">
        <v>10</v>
      </c>
      <c r="I83" s="72">
        <v>81</v>
      </c>
      <c r="J83" s="73">
        <v>1</v>
      </c>
      <c r="K83" s="74">
        <v>9</v>
      </c>
      <c r="L83" s="74">
        <v>9</v>
      </c>
      <c r="M83" s="44" t="s">
        <v>127</v>
      </c>
      <c r="N83" s="10">
        <f>(IF($E83&lt;=0,"0",IF($E83&lt;=40,"46",IF($E83&lt;=50,"44",IF($E83&lt;=60,"40",IF($E83&lt;=70,"32",IF($E83&lt;=80,"20","0")))))))+0</f>
        <v>0</v>
      </c>
      <c r="O83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3" s="49" t="s">
        <v>540</v>
      </c>
      <c r="Q83" s="50">
        <f>T83+W83+Z83</f>
        <v>22</v>
      </c>
      <c r="R83" s="50">
        <f>U83+X83+AA83</f>
        <v>21</v>
      </c>
      <c r="S83" s="51">
        <f>V83+Y83+AB83</f>
        <v>3</v>
      </c>
      <c r="T83" s="123">
        <f>(IF($F83&lt;=0,"0",IF($F83&lt;=6,"22",IF($F83&lt;=7,"18",IF($F83&lt;=8,"12",0)))))+0</f>
        <v>22</v>
      </c>
      <c r="U83" s="124">
        <f>(IF($F83&lt;=0,"0",IF($F83&lt;=2,"21",IF($F83&lt;=3,"19",IF($F83&lt;=4,"15",IF($F83&lt;=5,"9",0))))))+0</f>
        <v>21</v>
      </c>
      <c r="V83" s="124">
        <f>(IF($F83&lt;=0,"0",IF($F83&lt;=1,"3",0)))+0</f>
        <v>3</v>
      </c>
      <c r="W83" s="124">
        <f>(IF($G83&lt;=0,"0",IF($G83&lt;=6,"22",IF($G83&lt;=7,"18",IF($G83&lt;=8,"12",0)))))+0</f>
        <v>0</v>
      </c>
      <c r="X83" s="124">
        <f>(IF($G83&lt;=0,"0",IF($G83&lt;=2,"21",IF($G83&lt;=3,"19",IF($G83&lt;=4,"15",IF($G83&lt;=5,"9",0))))))+0</f>
        <v>0</v>
      </c>
      <c r="Y83" s="124">
        <f>(IF($G83&lt;=0,"0",IF($G83&lt;=1,"3",0)))+0</f>
        <v>0</v>
      </c>
      <c r="Z83" s="124">
        <f>(IF($H83&lt;=0,"0",IF($H83&lt;=6,"22",IF($H83&lt;=7,"18",IF($H83&lt;=8,"12",0)))))+0</f>
        <v>0</v>
      </c>
      <c r="AA83" s="124">
        <f>(IF($H83&lt;=0,"0",IF($H83&lt;=2,"21",IF($H83&lt;=3,"19",IF($H83&lt;=4,"15",IF($H83&lt;=5,"9",0))))))+0</f>
        <v>0</v>
      </c>
      <c r="AB83" s="125">
        <f>(IF($H83&lt;=0,"0",IF($H83&lt;=1,"3",0)))+0</f>
        <v>0</v>
      </c>
      <c r="AC83" s="8" t="s">
        <v>543</v>
      </c>
      <c r="AD83" s="1" t="s">
        <v>600</v>
      </c>
      <c r="AE83" s="126">
        <f>(IF($F83&lt;=0,"0",IF($F83&lt;=6,"4",IF($F83&lt;=7,"3",IF($F83&lt;=8,"2","0")))))+0</f>
        <v>4</v>
      </c>
      <c r="AF83" s="126">
        <f>(IF($G83&lt;=0,"0",IF($G83&lt;=6,"4",IF($G83&lt;=7,"3",IF($G83&lt;=8,"2","0")))))+0</f>
        <v>0</v>
      </c>
      <c r="AG83" s="126">
        <f>(IF($H83&lt;=0,"0",IF($H83&lt;=6,"4",IF($H83&lt;=7,"3",IF($H83&lt;=8,"2","0")))))+0</f>
        <v>0</v>
      </c>
      <c r="AH83" s="10">
        <f>SUM(AE83:AG83)</f>
        <v>4</v>
      </c>
      <c r="AI83" s="1" t="s">
        <v>584</v>
      </c>
      <c r="AJ83" s="2">
        <f>(IF($E83&lt;=0,"0",IF($E83&lt;=20,"168",IF($E83&lt;=30,"165",IF($E83&lt;=50,"155",IF($E83&lt;=60,"135",IF($E83&lt;=70,"105",IF($E83&lt;=80,"60","0"))))))))+0</f>
        <v>0</v>
      </c>
      <c r="AK83" s="44" t="s">
        <v>546</v>
      </c>
      <c r="AL83" s="1">
        <f>(IF($E83&lt;=0,"0",IF($E83&lt;=80,"6","0")))+0</f>
        <v>0</v>
      </c>
      <c r="AM83" s="1">
        <f>(IF($E83&lt;=0,"0",IF($E83&lt;=60,"9",IF($E83&lt;=70,"6","0"))))+0</f>
        <v>0</v>
      </c>
      <c r="AN83" s="1">
        <f>(IF($E83&lt;=0,"0",IF($E83&lt;=40,"9",IF($E83&lt;=50,"6","0"))))+0</f>
        <v>0</v>
      </c>
      <c r="AO83" s="34">
        <f>(IF($E83&lt;=0,"0",IF($E83&lt;=20,"1","0")))+0</f>
        <v>0</v>
      </c>
      <c r="AP83" s="44" t="s">
        <v>89</v>
      </c>
      <c r="AQ83" s="1">
        <f>(IF($E83&lt;=0,"0",IF($E83&lt;=70,"36",IF($E83&lt;=80,"24","0"))))+0</f>
        <v>0</v>
      </c>
      <c r="AR83" s="1">
        <f>(IF($E83&lt;=0,"0",IF($E83&lt;=50,"30",IF($E83&lt;=60,"18","0"))))+0</f>
        <v>0</v>
      </c>
      <c r="AS83" s="1">
        <f>(IF($E83&lt;=0,"0",IF($E83&lt;=20,"18",IF($E83&lt;=40,"15","0"))))+0</f>
        <v>0</v>
      </c>
      <c r="AT83" s="53">
        <f>Summary2831[[#This Row],[3*2]]+Summary2831[[#This Row],[3*22]]+Summary2831[[#This Row],[3*23]]</f>
        <v>19</v>
      </c>
      <c r="AU83" s="52">
        <f>Summary2831[[#This Row],[2*2]]+Summary2831[[#This Row],[2*23]]+Summary2831[[#This Row],[2*24]]</f>
        <v>22</v>
      </c>
      <c r="AV83" s="52">
        <f>Summary2831[[#This Row],[1*2]]+Summary2831[[#This Row],[1*24]]+Summary2831[[#This Row],[1*25]]</f>
        <v>6</v>
      </c>
      <c r="AW83" s="52">
        <f>IF($F83&lt;=0,"0",IF($F83&lt;=6,"19",IF($F83&lt;=7,"18",IF($F83&lt;=8,"9",0))))+0</f>
        <v>19</v>
      </c>
      <c r="AX83" s="52">
        <f>IF($F83&lt;=0,"0",IF($F83&lt;=2,"22",IF($F83&lt;=3,"19",IF($F83&lt;=4,"15",IF($F83&lt;=5,"9",0)))))+0</f>
        <v>22</v>
      </c>
      <c r="AY83" s="52">
        <f>IF($F83&lt;=0,"0",IF($F83&lt;=1,"6",0))+0</f>
        <v>6</v>
      </c>
      <c r="AZ83" s="52">
        <f>IF($G83&lt;=0,"0",IF($G83&lt;=6,"19",IF($G83&lt;=7,"18",IF($G83&lt;=8,"9",0))))+0</f>
        <v>0</v>
      </c>
      <c r="BA83" s="52">
        <f>IF($G83&lt;=0,"0",IF($G83&lt;=2,"22",IF($G83&lt;=3,"19",IF($G83&lt;=4,"15",IF($G83&lt;=5,"9",0)))))+0</f>
        <v>0</v>
      </c>
      <c r="BB83" s="52">
        <f>IF($G83&lt;=0,"0",IF($G83&lt;=1,"6",0))+0</f>
        <v>0</v>
      </c>
      <c r="BC83" s="52">
        <f>IF($H83&lt;=0,"0",IF($H83&lt;=6,"19",IF($H83&lt;=7,"18",IF($H83&lt;=8,"9",0))))+0</f>
        <v>0</v>
      </c>
      <c r="BD83" s="52">
        <f>IF($H83&lt;=0,"0",IF($H83&lt;=2,"22",IF($H83&lt;=3,"19",IF($H83&lt;=4,"15",IF($H83&lt;=5,"9",0)))))+0</f>
        <v>0</v>
      </c>
      <c r="BE83" s="52">
        <f>IF($H83&lt;=0,"0",IF($H83&lt;=1,"6",0))+0</f>
        <v>0</v>
      </c>
      <c r="BF83" s="44">
        <f>SUM(Summary2831[[#This Row],[3*
(Tal)]],Summary2831[[#This Row],[3*
(Asc)]])</f>
        <v>19</v>
      </c>
      <c r="BG83" s="1">
        <f>SUM(Summary2831[[#This Row],[2*
(Tal)]],Summary2831[[#This Row],[2*
(Asc)]])</f>
        <v>22</v>
      </c>
      <c r="BH83" s="34">
        <f>SUM(Summary2831[[#This Row],[1*
(Tal)]],Summary2831[[#This Row],[1*
(Asc)]])</f>
        <v>6</v>
      </c>
      <c r="BI83" s="86">
        <f>(IF($E83&lt;=0,"0",IF($E83&lt;=1,"2092530",IF($E83&lt;=10,"2087525",IF($E83&lt;=20,"2068495",IF($E83&lt;=30,"2005910",IF($E83&lt;=40,"1932830",IF($E83&lt;=50,"1777010",IF($E83&lt;=60,"1546185",IF($E83&lt;=70,"1227000",IF($E83&lt;=80,"804625",IF($E83&lt;=81,"647990",IF($E83&lt;=90,"0",0)))))))))))))+0</f>
        <v>0</v>
      </c>
      <c r="BJ83" s="56">
        <f>(IF($F83&lt;=0,"0",IF($F83&lt;=1,"952500",IF($F83&lt;=2,"940000",IF($F83&lt;=3,"922500",IF($F83&lt;=4,"897500",IF($F83&lt;=5,"867500",IF($F83&lt;=6,"830000",IF($F83&lt;=7,"710000",IF($F83&lt;=8,"450000",0))))))))))+0</f>
        <v>952500</v>
      </c>
      <c r="BK83" s="56">
        <f>(IF($G83&lt;=0,"0",IF($G83&lt;=1,"952500",IF($G83&lt;=2,"940000",IF($G83&lt;=3,"922500",IF($G83&lt;=4,"897500",IF($G83&lt;=5,"867500",IF($G83&lt;=6,"830000",IF($G83&lt;=7,"710000",IF($G83&lt;=8,"450000",0))))))))))+0</f>
        <v>0</v>
      </c>
      <c r="BL83" s="56">
        <f>(IF($H83&lt;=0,"0",IF($H83&lt;=1,"952500",IF($H83&lt;=2,"940000",IF($H83&lt;=3,"922500",IF($H83&lt;=4,"897500",IF($H83&lt;=5,"867500",IF($H83&lt;=6,"830000",IF($H83&lt;=7,"710000",IF($H83&lt;=8,"450000",0))))))))))+0</f>
        <v>0</v>
      </c>
      <c r="BM83" s="57">
        <f>SUM(BI83,BJ83,BK83,BL83)</f>
        <v>952500</v>
      </c>
    </row>
    <row r="84" spans="1:65">
      <c r="A84" s="46">
        <f ca="1">SUBTOTAL(3,$B$3:Summary2831[[#This Row],[Name]])</f>
        <v>82</v>
      </c>
      <c r="B84" s="140" t="s">
        <v>423</v>
      </c>
      <c r="C84" s="14" t="s">
        <v>622</v>
      </c>
      <c r="D84" s="154">
        <v>1.1000000000000001</v>
      </c>
      <c r="E84" s="14">
        <v>40</v>
      </c>
      <c r="F84" s="9">
        <v>1</v>
      </c>
      <c r="G84" s="2">
        <v>1</v>
      </c>
      <c r="H84" s="2">
        <v>1</v>
      </c>
      <c r="I84" s="72">
        <v>81</v>
      </c>
      <c r="J84" s="73">
        <v>1</v>
      </c>
      <c r="K84" s="74">
        <v>9</v>
      </c>
      <c r="L84" s="74">
        <v>9</v>
      </c>
      <c r="M84" s="44" t="s">
        <v>136</v>
      </c>
      <c r="N84" s="10">
        <f>(IF($E84&lt;=0,"0",IF($E84&lt;=40,"46",IF($E84&lt;=50,"44",IF($E84&lt;=60,"40",IF($E84&lt;=70,"32",IF($E84&lt;=80,"20","0")))))))+0</f>
        <v>46</v>
      </c>
      <c r="O84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84" s="49" t="s">
        <v>540</v>
      </c>
      <c r="Q84" s="50">
        <f>T84+W84+Z84</f>
        <v>66</v>
      </c>
      <c r="R84" s="50">
        <f>U84+X84+AA84</f>
        <v>63</v>
      </c>
      <c r="S84" s="51">
        <f>V84+Y84+AB84</f>
        <v>9</v>
      </c>
      <c r="T84" s="123">
        <f>(IF($F84&lt;=0,"0",IF($F84&lt;=6,"22",IF($F84&lt;=7,"18",IF($F84&lt;=8,"12",0)))))+0</f>
        <v>22</v>
      </c>
      <c r="U84" s="124">
        <f>(IF($F84&lt;=0,"0",IF($F84&lt;=2,"21",IF($F84&lt;=3,"19",IF($F84&lt;=4,"15",IF($F84&lt;=5,"9",0))))))+0</f>
        <v>21</v>
      </c>
      <c r="V84" s="124">
        <f>(IF($F84&lt;=0,"0",IF($F84&lt;=1,"3",0)))+0</f>
        <v>3</v>
      </c>
      <c r="W84" s="124">
        <f>(IF($G84&lt;=0,"0",IF($G84&lt;=6,"22",IF($G84&lt;=7,"18",IF($G84&lt;=8,"12",0)))))+0</f>
        <v>22</v>
      </c>
      <c r="X84" s="124">
        <f>(IF($G84&lt;=0,"0",IF($G84&lt;=2,"21",IF($G84&lt;=3,"19",IF($G84&lt;=4,"15",IF($G84&lt;=5,"9",0))))))+0</f>
        <v>21</v>
      </c>
      <c r="Y84" s="124">
        <f>(IF($G84&lt;=0,"0",IF($G84&lt;=1,"3",0)))+0</f>
        <v>3</v>
      </c>
      <c r="Z84" s="124">
        <f>(IF($H84&lt;=0,"0",IF($H84&lt;=6,"22",IF($H84&lt;=7,"18",IF($H84&lt;=8,"12",0)))))+0</f>
        <v>22</v>
      </c>
      <c r="AA84" s="124">
        <f>(IF($H84&lt;=0,"0",IF($H84&lt;=2,"21",IF($H84&lt;=3,"19",IF($H84&lt;=4,"15",IF($H84&lt;=5,"9",0))))))+0</f>
        <v>21</v>
      </c>
      <c r="AB84" s="125">
        <f>(IF($H84&lt;=0,"0",IF($H84&lt;=1,"3",0)))+0</f>
        <v>3</v>
      </c>
      <c r="AC84" s="8" t="s">
        <v>389</v>
      </c>
      <c r="AD84" s="1" t="s">
        <v>520</v>
      </c>
      <c r="AE84" s="126">
        <f>(IF($F84&lt;=0,"0",IF($F84&lt;=6,"4",IF($F84&lt;=7,"3",IF($F84&lt;=8,"2","0")))))+0</f>
        <v>4</v>
      </c>
      <c r="AF84" s="126">
        <f>(IF($G84&lt;=0,"0",IF($G84&lt;=6,"4",IF($G84&lt;=7,"3",IF($G84&lt;=8,"2","0")))))+0</f>
        <v>4</v>
      </c>
      <c r="AG84" s="126">
        <f>(IF($H84&lt;=0,"0",IF($H84&lt;=6,"4",IF($H84&lt;=7,"3",IF($H84&lt;=8,"2","0")))))+0</f>
        <v>4</v>
      </c>
      <c r="AH84" s="10">
        <f>SUM(AE84:AG84)</f>
        <v>12</v>
      </c>
      <c r="AI84" s="1" t="s">
        <v>401</v>
      </c>
      <c r="AJ84" s="2">
        <f>(IF($E84&lt;=0,"0",IF($E84&lt;=20,"168",IF($E84&lt;=30,"165",IF($E84&lt;=50,"155",IF($E84&lt;=60,"135",IF($E84&lt;=70,"105",IF($E84&lt;=80,"60","0"))))))))+0</f>
        <v>155</v>
      </c>
      <c r="AK84" s="44" t="s">
        <v>534</v>
      </c>
      <c r="AL84" s="1">
        <f>(IF($E84&lt;=0,"0",IF($E84&lt;=80,"6","0")))+0</f>
        <v>6</v>
      </c>
      <c r="AM84" s="1">
        <f>(IF($E84&lt;=0,"0",IF($E84&lt;=60,"9",IF($E84&lt;=70,"6","0"))))+0</f>
        <v>9</v>
      </c>
      <c r="AN84" s="1">
        <f>(IF($E84&lt;=0,"0",IF($E84&lt;=40,"9",IF($E84&lt;=50,"6","0"))))+0</f>
        <v>9</v>
      </c>
      <c r="AO84" s="34">
        <f>(IF($E84&lt;=0,"0",IF($E84&lt;=20,"1","0")))+0</f>
        <v>0</v>
      </c>
      <c r="AP84" s="44" t="s">
        <v>207</v>
      </c>
      <c r="AQ84" s="1">
        <f>(IF($E84&lt;=0,"0",IF($E84&lt;=70,"36",IF($E84&lt;=80,"24","0"))))+0</f>
        <v>36</v>
      </c>
      <c r="AR84" s="1">
        <f>(IF($E84&lt;=0,"0",IF($E84&lt;=50,"30",IF($E84&lt;=60,"18","0"))))+0</f>
        <v>30</v>
      </c>
      <c r="AS84" s="1">
        <f>(IF($E84&lt;=0,"0",IF($E84&lt;=20,"18",IF($E84&lt;=40,"15","0"))))+0</f>
        <v>15</v>
      </c>
      <c r="AT84" s="53">
        <f>Summary2831[[#This Row],[3*2]]+Summary2831[[#This Row],[3*22]]+Summary2831[[#This Row],[3*23]]</f>
        <v>57</v>
      </c>
      <c r="AU84" s="52">
        <f>Summary2831[[#This Row],[2*2]]+Summary2831[[#This Row],[2*23]]+Summary2831[[#This Row],[2*24]]</f>
        <v>66</v>
      </c>
      <c r="AV84" s="52">
        <f>Summary2831[[#This Row],[1*2]]+Summary2831[[#This Row],[1*24]]+Summary2831[[#This Row],[1*25]]</f>
        <v>18</v>
      </c>
      <c r="AW84" s="52">
        <f>IF($F84&lt;=0,"0",IF($F84&lt;=6,"19",IF($F84&lt;=7,"18",IF($F84&lt;=8,"9",0))))+0</f>
        <v>19</v>
      </c>
      <c r="AX84" s="52">
        <f>IF($F84&lt;=0,"0",IF($F84&lt;=2,"22",IF($F84&lt;=3,"19",IF($F84&lt;=4,"15",IF($F84&lt;=5,"9",0)))))+0</f>
        <v>22</v>
      </c>
      <c r="AY84" s="52">
        <f>IF($F84&lt;=0,"0",IF($F84&lt;=1,"6",0))+0</f>
        <v>6</v>
      </c>
      <c r="AZ84" s="52">
        <f>IF($G84&lt;=0,"0",IF($G84&lt;=6,"19",IF($G84&lt;=7,"18",IF($G84&lt;=8,"9",0))))+0</f>
        <v>19</v>
      </c>
      <c r="BA84" s="52">
        <f>IF($G84&lt;=0,"0",IF($G84&lt;=2,"22",IF($G84&lt;=3,"19",IF($G84&lt;=4,"15",IF($G84&lt;=5,"9",0)))))+0</f>
        <v>22</v>
      </c>
      <c r="BB84" s="52">
        <f>IF($G84&lt;=0,"0",IF($G84&lt;=1,"6",0))+0</f>
        <v>6</v>
      </c>
      <c r="BC84" s="52">
        <f>IF($H84&lt;=0,"0",IF($H84&lt;=6,"19",IF($H84&lt;=7,"18",IF($H84&lt;=8,"9",0))))+0</f>
        <v>19</v>
      </c>
      <c r="BD84" s="52">
        <f>IF($H84&lt;=0,"0",IF($H84&lt;=2,"22",IF($H84&lt;=3,"19",IF($H84&lt;=4,"15",IF($H84&lt;=5,"9",0)))))+0</f>
        <v>22</v>
      </c>
      <c r="BE84" s="52">
        <f>IF($H84&lt;=0,"0",IF($H84&lt;=1,"6",0))+0</f>
        <v>6</v>
      </c>
      <c r="BF84" s="44">
        <f>SUM(Summary2831[[#This Row],[3*
(Tal)]],Summary2831[[#This Row],[3*
(Asc)]])</f>
        <v>93</v>
      </c>
      <c r="BG84" s="1">
        <f>SUM(Summary2831[[#This Row],[2*
(Tal)]],Summary2831[[#This Row],[2*
(Asc)]])</f>
        <v>96</v>
      </c>
      <c r="BH84" s="34">
        <f>SUM(Summary2831[[#This Row],[1*
(Tal)]],Summary2831[[#This Row],[1*
(Asc)]])</f>
        <v>33</v>
      </c>
      <c r="BI84" s="86">
        <f>(IF($E84&lt;=0,"0",IF($E84&lt;=1,"2092530",IF($E84&lt;=10,"2087525",IF($E84&lt;=20,"2068495",IF($E84&lt;=30,"2005910",IF($E84&lt;=40,"1932830",IF($E84&lt;=50,"1777010",IF($E84&lt;=60,"1546185",IF($E84&lt;=70,"1227000",IF($E84&lt;=80,"804625",IF($E84&lt;=81,"647990",IF($E84&lt;=90,"0",0)))))))))))))+0</f>
        <v>1932830</v>
      </c>
      <c r="BJ84" s="56">
        <f>(IF($F84&lt;=0,"0",IF($F84&lt;=1,"952500",IF($F84&lt;=2,"940000",IF($F84&lt;=3,"922500",IF($F84&lt;=4,"897500",IF($F84&lt;=5,"867500",IF($F84&lt;=6,"830000",IF($F84&lt;=7,"710000",IF($F84&lt;=8,"450000",0))))))))))+0</f>
        <v>952500</v>
      </c>
      <c r="BK84" s="56">
        <f>(IF($G84&lt;=0,"0",IF($G84&lt;=1,"952500",IF($G84&lt;=2,"940000",IF($G84&lt;=3,"922500",IF($G84&lt;=4,"897500",IF($G84&lt;=5,"867500",IF($G84&lt;=6,"830000",IF($G84&lt;=7,"710000",IF($G84&lt;=8,"450000",0))))))))))+0</f>
        <v>952500</v>
      </c>
      <c r="BL84" s="56">
        <f>(IF($H84&lt;=0,"0",IF($H84&lt;=1,"952500",IF($H84&lt;=2,"940000",IF($H84&lt;=3,"922500",IF($H84&lt;=4,"897500",IF($H84&lt;=5,"867500",IF($H84&lt;=6,"830000",IF($H84&lt;=7,"710000",IF($H84&lt;=8,"450000",0))))))))))+0</f>
        <v>952500</v>
      </c>
      <c r="BM84" s="57">
        <f>SUM(BI84,BJ84,BK84,BL84)</f>
        <v>4790330</v>
      </c>
    </row>
    <row r="85" spans="1:65" s="81" customFormat="1">
      <c r="A85" s="71">
        <f ca="1">SUBTOTAL(3,$B$3:Summary2831[[#This Row],[Name]])</f>
        <v>83</v>
      </c>
      <c r="B85" s="72" t="s">
        <v>440</v>
      </c>
      <c r="C85" s="72" t="s">
        <v>31</v>
      </c>
      <c r="D85" s="154">
        <v>2.5</v>
      </c>
      <c r="E85" s="72">
        <v>0</v>
      </c>
      <c r="F85" s="73">
        <v>0</v>
      </c>
      <c r="G85" s="74">
        <v>0</v>
      </c>
      <c r="H85" s="74">
        <v>0</v>
      </c>
      <c r="I85" s="72">
        <v>81</v>
      </c>
      <c r="J85" s="73">
        <v>1</v>
      </c>
      <c r="K85" s="74">
        <v>9</v>
      </c>
      <c r="L85" s="74">
        <v>9</v>
      </c>
      <c r="M85" s="79" t="s">
        <v>223</v>
      </c>
      <c r="N85" s="75">
        <f>(IF($E85&lt;=0,"0",IF($E85&lt;=40,"46",IF($E85&lt;=50,"44",IF($E85&lt;=60,"40",IF($E85&lt;=70,"32",IF($E85&lt;=80,"20","0")))))))+0</f>
        <v>0</v>
      </c>
      <c r="O85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5" s="76" t="s">
        <v>561</v>
      </c>
      <c r="Q85" s="77">
        <f>T85+W85+Z85</f>
        <v>0</v>
      </c>
      <c r="R85" s="77">
        <f>U85+X85+AA85</f>
        <v>0</v>
      </c>
      <c r="S85" s="78">
        <f>V85+Y85+AB85</f>
        <v>0</v>
      </c>
      <c r="T85" s="123">
        <f>(IF($F85&lt;=0,"0",IF($F85&lt;=6,"22",IF($F85&lt;=7,"18",IF($F85&lt;=8,"12",0)))))+0</f>
        <v>0</v>
      </c>
      <c r="U85" s="124">
        <f>(IF($F85&lt;=0,"0",IF($F85&lt;=2,"21",IF($F85&lt;=3,"19",IF($F85&lt;=4,"15",IF($F85&lt;=5,"9",0))))))+0</f>
        <v>0</v>
      </c>
      <c r="V85" s="124">
        <f>(IF($F85&lt;=0,"0",IF($F85&lt;=1,"3",0)))+0</f>
        <v>0</v>
      </c>
      <c r="W85" s="124">
        <f>(IF($G85&lt;=0,"0",IF($G85&lt;=6,"22",IF($G85&lt;=7,"18",IF($G85&lt;=8,"12",0)))))+0</f>
        <v>0</v>
      </c>
      <c r="X85" s="124">
        <f>(IF($G85&lt;=0,"0",IF($G85&lt;=2,"21",IF($G85&lt;=3,"19",IF($G85&lt;=4,"15",IF($G85&lt;=5,"9",0))))))+0</f>
        <v>0</v>
      </c>
      <c r="Y85" s="124">
        <f>(IF($G85&lt;=0,"0",IF($G85&lt;=1,"3",0)))+0</f>
        <v>0</v>
      </c>
      <c r="Z85" s="124">
        <f>(IF($H85&lt;=0,"0",IF($H85&lt;=6,"22",IF($H85&lt;=7,"18",IF($H85&lt;=8,"12",0)))))+0</f>
        <v>0</v>
      </c>
      <c r="AA85" s="124">
        <f>(IF($H85&lt;=0,"0",IF($H85&lt;=2,"21",IF($H85&lt;=3,"19",IF($H85&lt;=4,"15",IF($H85&lt;=5,"9",0))))))+0</f>
        <v>0</v>
      </c>
      <c r="AB85" s="125">
        <f>(IF($H85&lt;=0,"0",IF($H85&lt;=1,"3",0)))+0</f>
        <v>0</v>
      </c>
      <c r="AC85" s="80" t="s">
        <v>553</v>
      </c>
      <c r="AD85" s="81" t="s">
        <v>583</v>
      </c>
      <c r="AE85" s="126">
        <f>(IF($F85&lt;=0,"0",IF($F85&lt;=6,"4",IF($F85&lt;=7,"3",IF($F85&lt;=8,"2","0")))))+0</f>
        <v>0</v>
      </c>
      <c r="AF85" s="126">
        <f>(IF($G85&lt;=0,"0",IF($G85&lt;=6,"4",IF($G85&lt;=7,"3",IF($G85&lt;=8,"2","0")))))+0</f>
        <v>0</v>
      </c>
      <c r="AG85" s="126">
        <f>(IF($H85&lt;=0,"0",IF($H85&lt;=6,"4",IF($H85&lt;=7,"3",IF($H85&lt;=8,"2","0")))))+0</f>
        <v>0</v>
      </c>
      <c r="AH85" s="75">
        <f>SUM(AE85:AG85)</f>
        <v>0</v>
      </c>
      <c r="AI85" s="81" t="s">
        <v>590</v>
      </c>
      <c r="AJ85" s="74">
        <f>(IF($E85&lt;=0,"0",IF($E85&lt;=20,"168",IF($E85&lt;=30,"165",IF($E85&lt;=50,"155",IF($E85&lt;=60,"135",IF($E85&lt;=70,"105",IF($E85&lt;=80,"60","0"))))))))+0</f>
        <v>0</v>
      </c>
      <c r="AK85" s="79" t="s">
        <v>548</v>
      </c>
      <c r="AL85" s="81">
        <f>(IF($E85&lt;=0,"0",IF($E85&lt;=80,"6","0")))+0</f>
        <v>0</v>
      </c>
      <c r="AM85" s="81">
        <f>(IF($E85&lt;=0,"0",IF($E85&lt;=60,"9",IF($E85&lt;=70,"6","0"))))+0</f>
        <v>0</v>
      </c>
      <c r="AN85" s="81">
        <f>(IF($E85&lt;=0,"0",IF($E85&lt;=40,"9",IF($E85&lt;=50,"6","0"))))+0</f>
        <v>0</v>
      </c>
      <c r="AO85" s="82">
        <f>(IF($E85&lt;=0,"0",IF($E85&lt;=20,"1","0")))+0</f>
        <v>0</v>
      </c>
      <c r="AP85" s="79" t="s">
        <v>288</v>
      </c>
      <c r="AQ85" s="81">
        <f>(IF($E85&lt;=0,"0",IF($E85&lt;=70,"36",IF($E85&lt;=80,"24","0"))))+0</f>
        <v>0</v>
      </c>
      <c r="AR85" s="81">
        <f>(IF($E85&lt;=0,"0",IF($E85&lt;=50,"30",IF($E85&lt;=60,"18","0"))))+0</f>
        <v>0</v>
      </c>
      <c r="AS85" s="81">
        <f>(IF($E85&lt;=0,"0",IF($E85&lt;=20,"18",IF($E85&lt;=40,"15","0"))))+0</f>
        <v>0</v>
      </c>
      <c r="AT85" s="83">
        <f>Summary2831[[#This Row],[3*2]]+Summary2831[[#This Row],[3*22]]+Summary2831[[#This Row],[3*23]]</f>
        <v>0</v>
      </c>
      <c r="AU85" s="85">
        <f>Summary2831[[#This Row],[2*2]]+Summary2831[[#This Row],[2*23]]+Summary2831[[#This Row],[2*24]]</f>
        <v>0</v>
      </c>
      <c r="AV85" s="85">
        <f>Summary2831[[#This Row],[1*2]]+Summary2831[[#This Row],[1*24]]+Summary2831[[#This Row],[1*25]]</f>
        <v>0</v>
      </c>
      <c r="AW85" s="70">
        <f>IF($F85&lt;=0,"0",IF($F85&lt;=6,"19",IF($F85&lt;=7,"18",IF($F85&lt;=8,"9",0))))+0</f>
        <v>0</v>
      </c>
      <c r="AX85" s="70">
        <f>IF($F85&lt;=0,"0",IF($F85&lt;=2,"22",IF($F85&lt;=3,"19",IF($F85&lt;=4,"15",IF($F85&lt;=5,"9",0)))))+0</f>
        <v>0</v>
      </c>
      <c r="AY85" s="70">
        <f>IF($F85&lt;=0,"0",IF($F85&lt;=1,"6",0))+0</f>
        <v>0</v>
      </c>
      <c r="AZ85" s="70">
        <f>IF($G85&lt;=0,"0",IF($G85&lt;=6,"19",IF($G85&lt;=7,"18",IF($G85&lt;=8,"9",0))))+0</f>
        <v>0</v>
      </c>
      <c r="BA85" s="70">
        <f>IF($G85&lt;=0,"0",IF($G85&lt;=2,"22",IF($G85&lt;=3,"19",IF($G85&lt;=4,"15",IF($G85&lt;=5,"9",0)))))+0</f>
        <v>0</v>
      </c>
      <c r="BB85" s="70">
        <f>IF($G85&lt;=0,"0",IF($G85&lt;=1,"6",0))+0</f>
        <v>0</v>
      </c>
      <c r="BC85" s="70">
        <f>IF($H85&lt;=0,"0",IF($H85&lt;=6,"19",IF($H85&lt;=7,"18",IF($H85&lt;=8,"9",0))))+0</f>
        <v>0</v>
      </c>
      <c r="BD85" s="70">
        <f>IF($H85&lt;=0,"0",IF($H85&lt;=2,"22",IF($H85&lt;=3,"19",IF($H85&lt;=4,"15",IF($H85&lt;=5,"9",0)))))+0</f>
        <v>0</v>
      </c>
      <c r="BE85" s="70">
        <f>IF($H85&lt;=0,"0",IF($H85&lt;=1,"6",0))+0</f>
        <v>0</v>
      </c>
      <c r="BF85" s="79">
        <f>SUM(Summary2831[[#This Row],[3*
(Tal)]],Summary2831[[#This Row],[3*
(Asc)]])</f>
        <v>0</v>
      </c>
      <c r="BG85" s="81">
        <f>SUM(Summary2831[[#This Row],[2*
(Tal)]],Summary2831[[#This Row],[2*
(Asc)]])</f>
        <v>0</v>
      </c>
      <c r="BH85" s="82">
        <f>SUM(Summary2831[[#This Row],[1*
(Tal)]],Summary2831[[#This Row],[1*
(Asc)]])</f>
        <v>0</v>
      </c>
      <c r="BI85" s="86">
        <f>(IF($E85&lt;=0,"0",IF($E85&lt;=1,"2092530",IF($E85&lt;=10,"2087525",IF($E85&lt;=20,"2068495",IF($E85&lt;=30,"2005910",IF($E85&lt;=40,"1932830",IF($E85&lt;=50,"1777010",IF($E85&lt;=60,"1546185",IF($E85&lt;=70,"1227000",IF($E85&lt;=80,"804625",IF($E85&lt;=81,"647990",IF($E85&lt;=90,"0",0)))))))))))))+0</f>
        <v>0</v>
      </c>
      <c r="BJ85" s="87">
        <f>(IF($F85&lt;=0,"0",IF($F85&lt;=1,"952500",IF($F85&lt;=2,"940000",IF($F85&lt;=3,"922500",IF($F85&lt;=4,"897500",IF($F85&lt;=5,"867500",IF($F85&lt;=6,"830000",IF($F85&lt;=7,"710000",IF($F85&lt;=8,"450000",0))))))))))+0</f>
        <v>0</v>
      </c>
      <c r="BK85" s="87">
        <f>(IF($G85&lt;=0,"0",IF($G85&lt;=1,"952500",IF($G85&lt;=2,"940000",IF($G85&lt;=3,"922500",IF($G85&lt;=4,"897500",IF($G85&lt;=5,"867500",IF($G85&lt;=6,"830000",IF($G85&lt;=7,"710000",IF($G85&lt;=8,"450000",0))))))))))+0</f>
        <v>0</v>
      </c>
      <c r="BL85" s="87">
        <f>(IF($H85&lt;=0,"0",IF($H85&lt;=1,"952500",IF($H85&lt;=2,"940000",IF($H85&lt;=3,"922500",IF($H85&lt;=4,"897500",IF($H85&lt;=5,"867500",IF($H85&lt;=6,"830000",IF($H85&lt;=7,"710000",IF($H85&lt;=8,"450000",0))))))))))+0</f>
        <v>0</v>
      </c>
      <c r="BM85" s="88">
        <f>SUM(BI85,BJ85,BK85,BL85)</f>
        <v>0</v>
      </c>
    </row>
    <row r="86" spans="1:65" s="81" customFormat="1">
      <c r="A86" s="46">
        <f ca="1">SUBTOTAL(3,$B$3:Summary2831[[#This Row],[Name]])</f>
        <v>84</v>
      </c>
      <c r="B86" s="140" t="s">
        <v>441</v>
      </c>
      <c r="C86" s="14" t="s">
        <v>622</v>
      </c>
      <c r="D86" s="154">
        <v>1.5</v>
      </c>
      <c r="E86" s="14">
        <v>80</v>
      </c>
      <c r="F86" s="9">
        <v>4</v>
      </c>
      <c r="G86" s="2">
        <v>4</v>
      </c>
      <c r="H86" s="2">
        <v>4</v>
      </c>
      <c r="I86" s="72">
        <v>81</v>
      </c>
      <c r="J86" s="73">
        <v>1</v>
      </c>
      <c r="K86" s="74">
        <v>9</v>
      </c>
      <c r="L86" s="74">
        <v>9</v>
      </c>
      <c r="M86" s="44" t="s">
        <v>145</v>
      </c>
      <c r="N86" s="10">
        <f>(IF($E86&lt;=0,"0",IF($E86&lt;=40,"46",IF($E86&lt;=50,"44",IF($E86&lt;=60,"40",IF($E86&lt;=70,"32",IF($E86&lt;=80,"20","0")))))))+0</f>
        <v>20</v>
      </c>
      <c r="O86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10</v>
      </c>
      <c r="P86" s="49" t="s">
        <v>540</v>
      </c>
      <c r="Q86" s="50">
        <f>T86+W86+Z86</f>
        <v>66</v>
      </c>
      <c r="R86" s="50">
        <f>U86+X86+AA86</f>
        <v>45</v>
      </c>
      <c r="S86" s="51">
        <f>V86+Y86+AB86</f>
        <v>0</v>
      </c>
      <c r="T86" s="123">
        <f>(IF($F86&lt;=0,"0",IF($F86&lt;=6,"22",IF($F86&lt;=7,"18",IF($F86&lt;=8,"12",0)))))+0</f>
        <v>22</v>
      </c>
      <c r="U86" s="124">
        <f>(IF($F86&lt;=0,"0",IF($F86&lt;=2,"21",IF($F86&lt;=3,"19",IF($F86&lt;=4,"15",IF($F86&lt;=5,"9",0))))))+0</f>
        <v>15</v>
      </c>
      <c r="V86" s="124">
        <f>(IF($F86&lt;=0,"0",IF($F86&lt;=1,"3",0)))+0</f>
        <v>0</v>
      </c>
      <c r="W86" s="124">
        <f>(IF($G86&lt;=0,"0",IF($G86&lt;=6,"22",IF($G86&lt;=7,"18",IF($G86&lt;=8,"12",0)))))+0</f>
        <v>22</v>
      </c>
      <c r="X86" s="124">
        <f>(IF($G86&lt;=0,"0",IF($G86&lt;=2,"21",IF($G86&lt;=3,"19",IF($G86&lt;=4,"15",IF($G86&lt;=5,"9",0))))))+0</f>
        <v>15</v>
      </c>
      <c r="Y86" s="124">
        <f>(IF($G86&lt;=0,"0",IF($G86&lt;=1,"3",0)))+0</f>
        <v>0</v>
      </c>
      <c r="Z86" s="124">
        <f>(IF($H86&lt;=0,"0",IF($H86&lt;=6,"22",IF($H86&lt;=7,"18",IF($H86&lt;=8,"12",0)))))+0</f>
        <v>22</v>
      </c>
      <c r="AA86" s="124">
        <f>(IF($H86&lt;=0,"0",IF($H86&lt;=2,"21",IF($H86&lt;=3,"19",IF($H86&lt;=4,"15",IF($H86&lt;=5,"9",0))))))+0</f>
        <v>15</v>
      </c>
      <c r="AB86" s="125">
        <f>(IF($H86&lt;=0,"0",IF($H86&lt;=1,"3",0)))+0</f>
        <v>0</v>
      </c>
      <c r="AC86" s="8" t="s">
        <v>176</v>
      </c>
      <c r="AD86" s="1" t="s">
        <v>569</v>
      </c>
      <c r="AE86" s="126">
        <f>(IF($F86&lt;=0,"0",IF($F86&lt;=6,"4",IF($F86&lt;=7,"3",IF($F86&lt;=8,"2","0")))))+0</f>
        <v>4</v>
      </c>
      <c r="AF86" s="126">
        <f>(IF($G86&lt;=0,"0",IF($G86&lt;=6,"4",IF($G86&lt;=7,"3",IF($G86&lt;=8,"2","0")))))+0</f>
        <v>4</v>
      </c>
      <c r="AG86" s="126">
        <f>(IF($H86&lt;=0,"0",IF($H86&lt;=6,"4",IF($H86&lt;=7,"3",IF($H86&lt;=8,"2","0")))))+0</f>
        <v>4</v>
      </c>
      <c r="AH86" s="10">
        <f>SUM(AE86:AG86)</f>
        <v>12</v>
      </c>
      <c r="AI86" s="1" t="s">
        <v>547</v>
      </c>
      <c r="AJ86" s="2">
        <f>(IF($E86&lt;=0,"0",IF($E86&lt;=20,"168",IF($E86&lt;=30,"165",IF($E86&lt;=50,"155",IF($E86&lt;=60,"135",IF($E86&lt;=70,"105",IF($E86&lt;=80,"60","0"))))))))+0</f>
        <v>60</v>
      </c>
      <c r="AK86" s="44" t="s">
        <v>534</v>
      </c>
      <c r="AL86" s="1">
        <f>(IF($E86&lt;=0,"0",IF($E86&lt;=80,"6","0")))+0</f>
        <v>6</v>
      </c>
      <c r="AM86" s="1">
        <f>(IF($E86&lt;=0,"0",IF($E86&lt;=60,"9",IF($E86&lt;=70,"6","0"))))+0</f>
        <v>0</v>
      </c>
      <c r="AN86" s="1">
        <f>(IF($E86&lt;=0,"0",IF($E86&lt;=40,"9",IF($E86&lt;=50,"6","0"))))+0</f>
        <v>0</v>
      </c>
      <c r="AO86" s="34">
        <f>(IF($E86&lt;=0,"0",IF($E86&lt;=20,"1","0")))+0</f>
        <v>0</v>
      </c>
      <c r="AP86" s="44" t="s">
        <v>207</v>
      </c>
      <c r="AQ86" s="1">
        <f>(IF($E86&lt;=0,"0",IF($E86&lt;=70,"36",IF($E86&lt;=80,"24","0"))))+0</f>
        <v>24</v>
      </c>
      <c r="AR86" s="1">
        <f>(IF($E86&lt;=0,"0",IF($E86&lt;=50,"30",IF($E86&lt;=60,"18","0"))))+0</f>
        <v>0</v>
      </c>
      <c r="AS86" s="1">
        <f>(IF($E86&lt;=0,"0",IF($E86&lt;=20,"18",IF($E86&lt;=40,"15","0"))))+0</f>
        <v>0</v>
      </c>
      <c r="AT86" s="53">
        <f>Summary2831[[#This Row],[3*2]]+Summary2831[[#This Row],[3*22]]+Summary2831[[#This Row],[3*23]]</f>
        <v>57</v>
      </c>
      <c r="AU86" s="52">
        <f>Summary2831[[#This Row],[2*2]]+Summary2831[[#This Row],[2*23]]+Summary2831[[#This Row],[2*24]]</f>
        <v>45</v>
      </c>
      <c r="AV86" s="52">
        <f>Summary2831[[#This Row],[1*2]]+Summary2831[[#This Row],[1*24]]+Summary2831[[#This Row],[1*25]]</f>
        <v>0</v>
      </c>
      <c r="AW86" s="52">
        <f>IF($F86&lt;=0,"0",IF($F86&lt;=6,"19",IF($F86&lt;=7,"18",IF($F86&lt;=8,"9",0))))+0</f>
        <v>19</v>
      </c>
      <c r="AX86" s="52">
        <f>IF($F86&lt;=0,"0",IF($F86&lt;=2,"22",IF($F86&lt;=3,"19",IF($F86&lt;=4,"15",IF($F86&lt;=5,"9",0)))))+0</f>
        <v>15</v>
      </c>
      <c r="AY86" s="52">
        <f>IF($F86&lt;=0,"0",IF($F86&lt;=1,"6",0))+0</f>
        <v>0</v>
      </c>
      <c r="AZ86" s="52">
        <f>IF($G86&lt;=0,"0",IF($G86&lt;=6,"19",IF($G86&lt;=7,"18",IF($G86&lt;=8,"9",0))))+0</f>
        <v>19</v>
      </c>
      <c r="BA86" s="52">
        <f>IF($G86&lt;=0,"0",IF($G86&lt;=2,"22",IF($G86&lt;=3,"19",IF($G86&lt;=4,"15",IF($G86&lt;=5,"9",0)))))+0</f>
        <v>15</v>
      </c>
      <c r="BB86" s="52">
        <f>IF($G86&lt;=0,"0",IF($G86&lt;=1,"6",0))+0</f>
        <v>0</v>
      </c>
      <c r="BC86" s="52">
        <f>IF($H86&lt;=0,"0",IF($H86&lt;=6,"19",IF($H86&lt;=7,"18",IF($H86&lt;=8,"9",0))))+0</f>
        <v>19</v>
      </c>
      <c r="BD86" s="52">
        <f>IF($H86&lt;=0,"0",IF($H86&lt;=2,"22",IF($H86&lt;=3,"19",IF($H86&lt;=4,"15",IF($H86&lt;=5,"9",0)))))+0</f>
        <v>15</v>
      </c>
      <c r="BE86" s="52">
        <f>IF($H86&lt;=0,"0",IF($H86&lt;=1,"6",0))+0</f>
        <v>0</v>
      </c>
      <c r="BF86" s="44">
        <f>SUM(Summary2831[[#This Row],[3*
(Tal)]],Summary2831[[#This Row],[3*
(Asc)]])</f>
        <v>81</v>
      </c>
      <c r="BG86" s="1">
        <f>SUM(Summary2831[[#This Row],[2*
(Tal)]],Summary2831[[#This Row],[2*
(Asc)]])</f>
        <v>45</v>
      </c>
      <c r="BH86" s="34">
        <f>SUM(Summary2831[[#This Row],[1*
(Tal)]],Summary2831[[#This Row],[1*
(Asc)]])</f>
        <v>0</v>
      </c>
      <c r="BI86" s="86">
        <f>(IF($E86&lt;=0,"0",IF($E86&lt;=1,"2092530",IF($E86&lt;=10,"2087525",IF($E86&lt;=20,"2068495",IF($E86&lt;=30,"2005910",IF($E86&lt;=40,"1932830",IF($E86&lt;=50,"1777010",IF($E86&lt;=60,"1546185",IF($E86&lt;=70,"1227000",IF($E86&lt;=80,"804625",IF($E86&lt;=81,"647990",IF($E86&lt;=90,"0",0)))))))))))))+0</f>
        <v>804625</v>
      </c>
      <c r="BJ86" s="56">
        <f>(IF($F86&lt;=0,"0",IF($F86&lt;=1,"952500",IF($F86&lt;=2,"940000",IF($F86&lt;=3,"922500",IF($F86&lt;=4,"897500",IF($F86&lt;=5,"867500",IF($F86&lt;=6,"830000",IF($F86&lt;=7,"710000",IF($F86&lt;=8,"450000",0))))))))))+0</f>
        <v>897500</v>
      </c>
      <c r="BK86" s="56">
        <f>(IF($G86&lt;=0,"0",IF($G86&lt;=1,"952500",IF($G86&lt;=2,"940000",IF($G86&lt;=3,"922500",IF($G86&lt;=4,"897500",IF($G86&lt;=5,"867500",IF($G86&lt;=6,"830000",IF($G86&lt;=7,"710000",IF($G86&lt;=8,"450000",0))))))))))+0</f>
        <v>897500</v>
      </c>
      <c r="BL86" s="56">
        <f>(IF($H86&lt;=0,"0",IF($H86&lt;=1,"952500",IF($H86&lt;=2,"940000",IF($H86&lt;=3,"922500",IF($H86&lt;=4,"897500",IF($H86&lt;=5,"867500",IF($H86&lt;=6,"830000",IF($H86&lt;=7,"710000",IF($H86&lt;=8,"450000",0))))))))))+0</f>
        <v>897500</v>
      </c>
      <c r="BM86" s="57">
        <f>SUM(BI86,BJ86,BK86,BL86)</f>
        <v>3497125</v>
      </c>
    </row>
    <row r="87" spans="1:65">
      <c r="A87" s="46">
        <f ca="1">SUBTOTAL(3,$B$3:Summary2831[[#This Row],[Name]])</f>
        <v>85</v>
      </c>
      <c r="B87" s="140" t="s">
        <v>453</v>
      </c>
      <c r="C87" s="14" t="s">
        <v>620</v>
      </c>
      <c r="D87" s="154">
        <v>3.4</v>
      </c>
      <c r="E87" s="14">
        <v>21</v>
      </c>
      <c r="F87" s="9">
        <v>1</v>
      </c>
      <c r="G87" s="2">
        <v>1</v>
      </c>
      <c r="H87" s="2">
        <v>1</v>
      </c>
      <c r="I87" s="72">
        <v>81</v>
      </c>
      <c r="J87" s="73">
        <v>1</v>
      </c>
      <c r="K87" s="74">
        <v>9</v>
      </c>
      <c r="L87" s="74">
        <v>9</v>
      </c>
      <c r="M87" s="44" t="s">
        <v>277</v>
      </c>
      <c r="N87" s="10">
        <f>(IF($E87&lt;=0,"0",IF($E87&lt;=40,"46",IF($E87&lt;=50,"44",IF($E87&lt;=60,"40",IF($E87&lt;=70,"32",IF($E87&lt;=80,"20","0")))))))+0</f>
        <v>46</v>
      </c>
      <c r="O87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250</v>
      </c>
      <c r="P87" s="49" t="s">
        <v>562</v>
      </c>
      <c r="Q87" s="50">
        <f>T87+W87+Z87</f>
        <v>66</v>
      </c>
      <c r="R87" s="50">
        <f>U87+X87+AA87</f>
        <v>63</v>
      </c>
      <c r="S87" s="51">
        <f>V87+Y87+AB87</f>
        <v>9</v>
      </c>
      <c r="T87" s="123">
        <f>(IF($F87&lt;=0,"0",IF($F87&lt;=6,"22",IF($F87&lt;=7,"18",IF($F87&lt;=8,"12",0)))))+0</f>
        <v>22</v>
      </c>
      <c r="U87" s="124">
        <f>(IF($F87&lt;=0,"0",IF($F87&lt;=2,"21",IF($F87&lt;=3,"19",IF($F87&lt;=4,"15",IF($F87&lt;=5,"9",0))))))+0</f>
        <v>21</v>
      </c>
      <c r="V87" s="124">
        <f>(IF($F87&lt;=0,"0",IF($F87&lt;=1,"3",0)))+0</f>
        <v>3</v>
      </c>
      <c r="W87" s="124">
        <f>(IF($G87&lt;=0,"0",IF($G87&lt;=6,"22",IF($G87&lt;=7,"18",IF($G87&lt;=8,"12",0)))))+0</f>
        <v>22</v>
      </c>
      <c r="X87" s="124">
        <f>(IF($G87&lt;=0,"0",IF($G87&lt;=2,"21",IF($G87&lt;=3,"19",IF($G87&lt;=4,"15",IF($G87&lt;=5,"9",0))))))+0</f>
        <v>21</v>
      </c>
      <c r="Y87" s="124">
        <f>(IF($G87&lt;=0,"0",IF($G87&lt;=1,"3",0)))+0</f>
        <v>3</v>
      </c>
      <c r="Z87" s="124">
        <f>(IF($H87&lt;=0,"0",IF($H87&lt;=6,"22",IF($H87&lt;=7,"18",IF($H87&lt;=8,"12",0)))))+0</f>
        <v>22</v>
      </c>
      <c r="AA87" s="124">
        <f>(IF($H87&lt;=0,"0",IF($H87&lt;=2,"21",IF($H87&lt;=3,"19",IF($H87&lt;=4,"15",IF($H87&lt;=5,"9",0))))))+0</f>
        <v>21</v>
      </c>
      <c r="AB87" s="125">
        <f>(IF($H87&lt;=0,"0",IF($H87&lt;=1,"3",0)))+0</f>
        <v>3</v>
      </c>
      <c r="AC87" s="8" t="s">
        <v>523</v>
      </c>
      <c r="AD87" s="1" t="s">
        <v>42</v>
      </c>
      <c r="AE87" s="126">
        <f>(IF($F87&lt;=0,"0",IF($F87&lt;=6,"4",IF($F87&lt;=7,"3",IF($F87&lt;=8,"2","0")))))+0</f>
        <v>4</v>
      </c>
      <c r="AF87" s="126">
        <f>(IF($G87&lt;=0,"0",IF($G87&lt;=6,"4",IF($G87&lt;=7,"3",IF($G87&lt;=8,"2","0")))))+0</f>
        <v>4</v>
      </c>
      <c r="AG87" s="126">
        <f>(IF($H87&lt;=0,"0",IF($H87&lt;=6,"4",IF($H87&lt;=7,"3",IF($H87&lt;=8,"2","0")))))+0</f>
        <v>4</v>
      </c>
      <c r="AH87" s="10">
        <f>SUM(AE87:AG87)</f>
        <v>12</v>
      </c>
      <c r="AI87" s="1" t="s">
        <v>607</v>
      </c>
      <c r="AJ87" s="2">
        <f>(IF($E87&lt;=0,"0",IF($E87&lt;=20,"168",IF($E87&lt;=30,"165",IF($E87&lt;=50,"155",IF($E87&lt;=60,"135",IF($E87&lt;=70,"105",IF($E87&lt;=80,"60","0"))))))))+0</f>
        <v>165</v>
      </c>
      <c r="AK87" s="44" t="s">
        <v>526</v>
      </c>
      <c r="AL87" s="1">
        <f>(IF($E87&lt;=0,"0",IF($E87&lt;=80,"6","0")))+0</f>
        <v>6</v>
      </c>
      <c r="AM87" s="1">
        <f>(IF($E87&lt;=0,"0",IF($E87&lt;=60,"9",IF($E87&lt;=70,"6","0"))))+0</f>
        <v>9</v>
      </c>
      <c r="AN87" s="1">
        <f>(IF($E87&lt;=0,"0",IF($E87&lt;=40,"9",IF($E87&lt;=50,"6","0"))))+0</f>
        <v>9</v>
      </c>
      <c r="AO87" s="34">
        <f>(IF($E87&lt;=0,"0",IF($E87&lt;=20,"1","0")))+0</f>
        <v>0</v>
      </c>
      <c r="AP87" s="44" t="s">
        <v>178</v>
      </c>
      <c r="AQ87" s="1">
        <f>(IF($E87&lt;=0,"0",IF($E87&lt;=70,"36",IF($E87&lt;=80,"24","0"))))+0</f>
        <v>36</v>
      </c>
      <c r="AR87" s="1">
        <f>(IF($E87&lt;=0,"0",IF($E87&lt;=50,"30",IF($E87&lt;=60,"18","0"))))+0</f>
        <v>30</v>
      </c>
      <c r="AS87" s="1">
        <f>(IF($E87&lt;=0,"0",IF($E87&lt;=20,"18",IF($E87&lt;=40,"15","0"))))+0</f>
        <v>15</v>
      </c>
      <c r="AT87" s="53">
        <f>Summary2831[[#This Row],[3*2]]+Summary2831[[#This Row],[3*22]]+Summary2831[[#This Row],[3*23]]</f>
        <v>57</v>
      </c>
      <c r="AU87" s="52">
        <f>Summary2831[[#This Row],[2*2]]+Summary2831[[#This Row],[2*23]]+Summary2831[[#This Row],[2*24]]</f>
        <v>66</v>
      </c>
      <c r="AV87" s="52">
        <f>Summary2831[[#This Row],[1*2]]+Summary2831[[#This Row],[1*24]]+Summary2831[[#This Row],[1*25]]</f>
        <v>18</v>
      </c>
      <c r="AW87" s="52">
        <f>IF($F87&lt;=0,"0",IF($F87&lt;=6,"19",IF($F87&lt;=7,"18",IF($F87&lt;=8,"9",0))))+0</f>
        <v>19</v>
      </c>
      <c r="AX87" s="52">
        <f>IF($F87&lt;=0,"0",IF($F87&lt;=2,"22",IF($F87&lt;=3,"19",IF($F87&lt;=4,"15",IF($F87&lt;=5,"9",0)))))+0</f>
        <v>22</v>
      </c>
      <c r="AY87" s="52">
        <f>IF($F87&lt;=0,"0",IF($F87&lt;=1,"6",0))+0</f>
        <v>6</v>
      </c>
      <c r="AZ87" s="52">
        <f>IF($G87&lt;=0,"0",IF($G87&lt;=6,"19",IF($G87&lt;=7,"18",IF($G87&lt;=8,"9",0))))+0</f>
        <v>19</v>
      </c>
      <c r="BA87" s="52">
        <f>IF($G87&lt;=0,"0",IF($G87&lt;=2,"22",IF($G87&lt;=3,"19",IF($G87&lt;=4,"15",IF($G87&lt;=5,"9",0)))))+0</f>
        <v>22</v>
      </c>
      <c r="BB87" s="52">
        <f>IF($G87&lt;=0,"0",IF($G87&lt;=1,"6",0))+0</f>
        <v>6</v>
      </c>
      <c r="BC87" s="52">
        <f>IF($H87&lt;=0,"0",IF($H87&lt;=6,"19",IF($H87&lt;=7,"18",IF($H87&lt;=8,"9",0))))+0</f>
        <v>19</v>
      </c>
      <c r="BD87" s="52">
        <f>IF($H87&lt;=0,"0",IF($H87&lt;=2,"22",IF($H87&lt;=3,"19",IF($H87&lt;=4,"15",IF($H87&lt;=5,"9",0)))))+0</f>
        <v>22</v>
      </c>
      <c r="BE87" s="52">
        <f>IF($H87&lt;=0,"0",IF($H87&lt;=1,"6",0))+0</f>
        <v>6</v>
      </c>
      <c r="BF87" s="44">
        <f>SUM(Summary2831[[#This Row],[3*
(Tal)]],Summary2831[[#This Row],[3*
(Asc)]])</f>
        <v>93</v>
      </c>
      <c r="BG87" s="1">
        <f>SUM(Summary2831[[#This Row],[2*
(Tal)]],Summary2831[[#This Row],[2*
(Asc)]])</f>
        <v>96</v>
      </c>
      <c r="BH87" s="34">
        <f>SUM(Summary2831[[#This Row],[1*
(Tal)]],Summary2831[[#This Row],[1*
(Asc)]])</f>
        <v>33</v>
      </c>
      <c r="BI87" s="86">
        <f>(IF($E87&lt;=0,"0",IF($E87&lt;=1,"2092530",IF($E87&lt;=10,"2087525",IF($E87&lt;=20,"2068495",IF($E87&lt;=30,"2005910",IF($E87&lt;=40,"1932830",IF($E87&lt;=50,"1777010",IF($E87&lt;=60,"1546185",IF($E87&lt;=70,"1227000",IF($E87&lt;=80,"804625",IF($E87&lt;=81,"647990",IF($E87&lt;=90,"0",0)))))))))))))+0</f>
        <v>2005910</v>
      </c>
      <c r="BJ87" s="56">
        <f>(IF($F87&lt;=0,"0",IF($F87&lt;=1,"952500",IF($F87&lt;=2,"940000",IF($F87&lt;=3,"922500",IF($F87&lt;=4,"897500",IF($F87&lt;=5,"867500",IF($F87&lt;=6,"830000",IF($F87&lt;=7,"710000",IF($F87&lt;=8,"450000",0))))))))))+0</f>
        <v>952500</v>
      </c>
      <c r="BK87" s="56">
        <f>(IF($G87&lt;=0,"0",IF($G87&lt;=1,"952500",IF($G87&lt;=2,"940000",IF($G87&lt;=3,"922500",IF($G87&lt;=4,"897500",IF($G87&lt;=5,"867500",IF($G87&lt;=6,"830000",IF($G87&lt;=7,"710000",IF($G87&lt;=8,"450000",0))))))))))+0</f>
        <v>952500</v>
      </c>
      <c r="BL87" s="56">
        <f>(IF($H87&lt;=0,"0",IF($H87&lt;=1,"952500",IF($H87&lt;=2,"940000",IF($H87&lt;=3,"922500",IF($H87&lt;=4,"897500",IF($H87&lt;=5,"867500",IF($H87&lt;=6,"830000",IF($H87&lt;=7,"710000",IF($H87&lt;=8,"450000",0))))))))))+0</f>
        <v>952500</v>
      </c>
      <c r="BM87" s="57">
        <f>SUM(BI87,BJ87,BK87,BL87)</f>
        <v>4863410</v>
      </c>
    </row>
    <row r="88" spans="1:65">
      <c r="A88" s="71">
        <f ca="1">SUBTOTAL(3,$B$3:Summary2831[[#This Row],[Name]])</f>
        <v>86</v>
      </c>
      <c r="B88" s="72" t="s">
        <v>399</v>
      </c>
      <c r="C88" s="72" t="s">
        <v>623</v>
      </c>
      <c r="D88" s="154">
        <v>2.7</v>
      </c>
      <c r="E88" s="72">
        <v>90</v>
      </c>
      <c r="F88" s="73">
        <v>1</v>
      </c>
      <c r="G88" s="74">
        <v>9</v>
      </c>
      <c r="H88" s="74">
        <v>10</v>
      </c>
      <c r="I88" s="72">
        <v>81</v>
      </c>
      <c r="J88" s="73">
        <v>1</v>
      </c>
      <c r="K88" s="74">
        <v>9</v>
      </c>
      <c r="L88" s="74">
        <v>9</v>
      </c>
      <c r="M88" s="79" t="s">
        <v>232</v>
      </c>
      <c r="N88" s="75">
        <f>(IF($E88&lt;=0,"0",IF($E88&lt;=40,"46",IF($E88&lt;=50,"44",IF($E88&lt;=60,"40",IF($E88&lt;=70,"32",IF($E88&lt;=80,"20","0")))))))+0</f>
        <v>0</v>
      </c>
      <c r="O88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8" s="76" t="s">
        <v>578</v>
      </c>
      <c r="Q88" s="77">
        <f>T88+W88+Z88</f>
        <v>22</v>
      </c>
      <c r="R88" s="77">
        <f>U88+X88+AA88</f>
        <v>21</v>
      </c>
      <c r="S88" s="78">
        <f>V88+Y88+AB88</f>
        <v>3</v>
      </c>
      <c r="T88" s="123">
        <f>(IF($F88&lt;=0,"0",IF($F88&lt;=6,"22",IF($F88&lt;=7,"18",IF($F88&lt;=8,"12",0)))))+0</f>
        <v>22</v>
      </c>
      <c r="U88" s="124">
        <f>(IF($F88&lt;=0,"0",IF($F88&lt;=2,"21",IF($F88&lt;=3,"19",IF($F88&lt;=4,"15",IF($F88&lt;=5,"9",0))))))+0</f>
        <v>21</v>
      </c>
      <c r="V88" s="124">
        <f>(IF($F88&lt;=0,"0",IF($F88&lt;=1,"3",0)))+0</f>
        <v>3</v>
      </c>
      <c r="W88" s="124">
        <f>(IF($G88&lt;=0,"0",IF($G88&lt;=6,"22",IF($G88&lt;=7,"18",IF($G88&lt;=8,"12",0)))))+0</f>
        <v>0</v>
      </c>
      <c r="X88" s="124">
        <f>(IF($G88&lt;=0,"0",IF($G88&lt;=2,"21",IF($G88&lt;=3,"19",IF($G88&lt;=4,"15",IF($G88&lt;=5,"9",0))))))+0</f>
        <v>0</v>
      </c>
      <c r="Y88" s="124">
        <f>(IF($G88&lt;=0,"0",IF($G88&lt;=1,"3",0)))+0</f>
        <v>0</v>
      </c>
      <c r="Z88" s="124">
        <f>(IF($H88&lt;=0,"0",IF($H88&lt;=6,"22",IF($H88&lt;=7,"18",IF($H88&lt;=8,"12",0)))))+0</f>
        <v>0</v>
      </c>
      <c r="AA88" s="124">
        <f>(IF($H88&lt;=0,"0",IF($H88&lt;=2,"21",IF($H88&lt;=3,"19",IF($H88&lt;=4,"15",IF($H88&lt;=5,"9",0))))))+0</f>
        <v>0</v>
      </c>
      <c r="AB88" s="125">
        <f>(IF($H88&lt;=0,"0",IF($H88&lt;=1,"3",0)))+0</f>
        <v>0</v>
      </c>
      <c r="AC88" s="80" t="s">
        <v>176</v>
      </c>
      <c r="AD88" s="81" t="s">
        <v>589</v>
      </c>
      <c r="AE88" s="126">
        <f>(IF($F88&lt;=0,"0",IF($F88&lt;=6,"4",IF($F88&lt;=7,"3",IF($F88&lt;=8,"2","0")))))+0</f>
        <v>4</v>
      </c>
      <c r="AF88" s="126">
        <f>(IF($G88&lt;=0,"0",IF($G88&lt;=6,"4",IF($G88&lt;=7,"3",IF($G88&lt;=8,"2","0")))))+0</f>
        <v>0</v>
      </c>
      <c r="AG88" s="126">
        <f>(IF($H88&lt;=0,"0",IF($H88&lt;=6,"4",IF($H88&lt;=7,"3",IF($H88&lt;=8,"2","0")))))+0</f>
        <v>0</v>
      </c>
      <c r="AH88" s="75">
        <f>SUM(AE88:AG88)</f>
        <v>4</v>
      </c>
      <c r="AI88" s="120" t="s">
        <v>388</v>
      </c>
      <c r="AJ88" s="74">
        <f>(IF($E88&lt;=0,"0",IF($E88&lt;=20,"168",IF($E88&lt;=30,"165",IF($E88&lt;=50,"155",IF($E88&lt;=60,"135",IF($E88&lt;=70,"105",IF($E88&lt;=80,"60","0"))))))))+0</f>
        <v>0</v>
      </c>
      <c r="AK88" s="79" t="s">
        <v>546</v>
      </c>
      <c r="AL88" s="81">
        <f>(IF($E88&lt;=0,"0",IF($E88&lt;=80,"6","0")))+0</f>
        <v>0</v>
      </c>
      <c r="AM88" s="81">
        <f>(IF($E88&lt;=0,"0",IF($E88&lt;=60,"9",IF($E88&lt;=70,"6","0"))))+0</f>
        <v>0</v>
      </c>
      <c r="AN88" s="81">
        <f>(IF($E88&lt;=0,"0",IF($E88&lt;=40,"9",IF($E88&lt;=50,"6","0"))))+0</f>
        <v>0</v>
      </c>
      <c r="AO88" s="82">
        <f>(IF($E88&lt;=0,"0",IF($E88&lt;=20,"1","0")))+0</f>
        <v>0</v>
      </c>
      <c r="AP88" s="79" t="s">
        <v>236</v>
      </c>
      <c r="AQ88" s="81">
        <f>(IF($E88&lt;=0,"0",IF($E88&lt;=70,"36",IF($E88&lt;=80,"24","0"))))+0</f>
        <v>0</v>
      </c>
      <c r="AR88" s="81">
        <f>(IF($E88&lt;=0,"0",IF($E88&lt;=50,"30",IF($E88&lt;=60,"18","0"))))+0</f>
        <v>0</v>
      </c>
      <c r="AS88" s="82">
        <f>(IF($E88&lt;=0,"0",IF($E88&lt;=20,"18",IF($E88&lt;=40,"15","0"))))+0</f>
        <v>0</v>
      </c>
      <c r="AT88" s="83">
        <f>Summary2831[[#This Row],[3*2]]+Summary2831[[#This Row],[3*22]]+Summary2831[[#This Row],[3*23]]</f>
        <v>19</v>
      </c>
      <c r="AU88" s="85">
        <f>Summary2831[[#This Row],[2*2]]+Summary2831[[#This Row],[2*23]]+Summary2831[[#This Row],[2*24]]</f>
        <v>22</v>
      </c>
      <c r="AV88" s="122">
        <f>Summary2831[[#This Row],[1*2]]+Summary2831[[#This Row],[1*24]]+Summary2831[[#This Row],[1*25]]</f>
        <v>6</v>
      </c>
      <c r="AW88" s="70">
        <f>IF($F88&lt;=0,"0",IF($F88&lt;=6,"19",IF($F88&lt;=7,"18",IF($F88&lt;=8,"9",0))))+0</f>
        <v>19</v>
      </c>
      <c r="AX88" s="70">
        <f>IF($F88&lt;=0,"0",IF($F88&lt;=2,"22",IF($F88&lt;=3,"19",IF($F88&lt;=4,"15",IF($F88&lt;=5,"9",0)))))+0</f>
        <v>22</v>
      </c>
      <c r="AY88" s="70">
        <f>IF($F88&lt;=0,"0",IF($F88&lt;=1,"6",0))+0</f>
        <v>6</v>
      </c>
      <c r="AZ88" s="70">
        <f>IF($G88&lt;=0,"0",IF($G88&lt;=6,"19",IF($G88&lt;=7,"18",IF($G88&lt;=8,"9",0))))+0</f>
        <v>0</v>
      </c>
      <c r="BA88" s="70">
        <f>IF($G88&lt;=0,"0",IF($G88&lt;=2,"22",IF($G88&lt;=3,"19",IF($G88&lt;=4,"15",IF($G88&lt;=5,"9",0)))))+0</f>
        <v>0</v>
      </c>
      <c r="BB88" s="70">
        <f>IF($G88&lt;=0,"0",IF($G88&lt;=1,"6",0))+0</f>
        <v>0</v>
      </c>
      <c r="BC88" s="70">
        <f>IF($H88&lt;=0,"0",IF($H88&lt;=6,"19",IF($H88&lt;=7,"18",IF($H88&lt;=8,"9",0))))+0</f>
        <v>0</v>
      </c>
      <c r="BD88" s="70">
        <f>IF($H88&lt;=0,"0",IF($H88&lt;=2,"22",IF($H88&lt;=3,"19",IF($H88&lt;=4,"15",IF($H88&lt;=5,"9",0)))))+0</f>
        <v>0</v>
      </c>
      <c r="BE88" s="70">
        <f>IF($H88&lt;=0,"0",IF($H88&lt;=1,"6",0))+0</f>
        <v>0</v>
      </c>
      <c r="BF88" s="79">
        <f>SUM(Summary2831[[#This Row],[3*
(Tal)]],Summary2831[[#This Row],[3*
(Asc)]])</f>
        <v>19</v>
      </c>
      <c r="BG88" s="81">
        <f>SUM(Summary2831[[#This Row],[2*
(Tal)]],Summary2831[[#This Row],[2*
(Asc)]])</f>
        <v>22</v>
      </c>
      <c r="BH88" s="82">
        <f>SUM(Summary2831[[#This Row],[1*
(Tal)]],Summary2831[[#This Row],[1*
(Asc)]])</f>
        <v>6</v>
      </c>
      <c r="BI88" s="86">
        <f>(IF($E88&lt;=0,"0",IF($E88&lt;=1,"2092530",IF($E88&lt;=10,"2087525",IF($E88&lt;=20,"2068495",IF($E88&lt;=30,"2005910",IF($E88&lt;=40,"1932830",IF($E88&lt;=50,"1777010",IF($E88&lt;=60,"1546185",IF($E88&lt;=70,"1227000",IF($E88&lt;=80,"804625",IF($E88&lt;=81,"647990",IF($E88&lt;=90,"0",0)))))))))))))+0</f>
        <v>0</v>
      </c>
      <c r="BJ88" s="87">
        <f>(IF($F88&lt;=0,"0",IF($F88&lt;=1,"952500",IF($F88&lt;=2,"940000",IF($F88&lt;=3,"922500",IF($F88&lt;=4,"897500",IF($F88&lt;=5,"867500",IF($F88&lt;=6,"830000",IF($F88&lt;=7,"710000",IF($F88&lt;=8,"450000",0))))))))))+0</f>
        <v>952500</v>
      </c>
      <c r="BK88" s="87">
        <f>(IF($G88&lt;=0,"0",IF($G88&lt;=1,"952500",IF($G88&lt;=2,"940000",IF($G88&lt;=3,"922500",IF($G88&lt;=4,"897500",IF($G88&lt;=5,"867500",IF($G88&lt;=6,"830000",IF($G88&lt;=7,"710000",IF($G88&lt;=8,"450000",0))))))))))+0</f>
        <v>0</v>
      </c>
      <c r="BL88" s="87">
        <f>(IF($H88&lt;=0,"0",IF($H88&lt;=1,"952500",IF($H88&lt;=2,"940000",IF($H88&lt;=3,"922500",IF($H88&lt;=4,"897500",IF($H88&lt;=5,"867500",IF($H88&lt;=6,"830000",IF($H88&lt;=7,"710000",IF($H88&lt;=8,"450000",0))))))))))+0</f>
        <v>0</v>
      </c>
      <c r="BM88" s="88">
        <f>SUM(BI88,BJ88,BK88,BL88)</f>
        <v>952500</v>
      </c>
    </row>
    <row r="89" spans="1:65">
      <c r="A89" s="71">
        <f ca="1">SUBTOTAL(3,$B$3:Summary2831[[#This Row],[Name]])</f>
        <v>87</v>
      </c>
      <c r="B89" s="72" t="s">
        <v>611</v>
      </c>
      <c r="C89" s="72" t="s">
        <v>622</v>
      </c>
      <c r="D89" s="154">
        <v>2</v>
      </c>
      <c r="E89" s="72">
        <v>90</v>
      </c>
      <c r="F89" s="73">
        <v>9</v>
      </c>
      <c r="G89" s="74">
        <v>9</v>
      </c>
      <c r="H89" s="74">
        <v>1</v>
      </c>
      <c r="I89" s="72">
        <v>81</v>
      </c>
      <c r="J89" s="73">
        <v>1</v>
      </c>
      <c r="K89" s="74">
        <v>9</v>
      </c>
      <c r="L89" s="74">
        <v>9</v>
      </c>
      <c r="M89" s="79" t="s">
        <v>185</v>
      </c>
      <c r="N89" s="75">
        <f>(IF($E89&lt;=0,"0",IF($E89&lt;=40,"46",IF($E89&lt;=50,"44",IF($E89&lt;=60,"40",IF($E89&lt;=70,"32",IF($E89&lt;=80,"20","0")))))))+0</f>
        <v>0</v>
      </c>
      <c r="O89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89" s="76" t="s">
        <v>582</v>
      </c>
      <c r="Q89" s="77">
        <f>T89+W89+Z89</f>
        <v>22</v>
      </c>
      <c r="R89" s="77">
        <f>U89+X89+AA89</f>
        <v>21</v>
      </c>
      <c r="S89" s="78">
        <f>V89+Y89+AB89</f>
        <v>3</v>
      </c>
      <c r="T89" s="123">
        <f>(IF($F89&lt;=0,"0",IF($F89&lt;=6,"22",IF($F89&lt;=7,"18",IF($F89&lt;=8,"12",0)))))+0</f>
        <v>0</v>
      </c>
      <c r="U89" s="124">
        <f>(IF($F89&lt;=0,"0",IF($F89&lt;=2,"21",IF($F89&lt;=3,"19",IF($F89&lt;=4,"15",IF($F89&lt;=5,"9",0))))))+0</f>
        <v>0</v>
      </c>
      <c r="V89" s="124">
        <f>(IF($F89&lt;=0,"0",IF($F89&lt;=1,"3",0)))+0</f>
        <v>0</v>
      </c>
      <c r="W89" s="124">
        <f>(IF($G89&lt;=0,"0",IF($G89&lt;=6,"22",IF($G89&lt;=7,"18",IF($G89&lt;=8,"12",0)))))+0</f>
        <v>0</v>
      </c>
      <c r="X89" s="124">
        <f>(IF($G89&lt;=0,"0",IF($G89&lt;=2,"21",IF($G89&lt;=3,"19",IF($G89&lt;=4,"15",IF($G89&lt;=5,"9",0))))))+0</f>
        <v>0</v>
      </c>
      <c r="Y89" s="124">
        <f>(IF($G89&lt;=0,"0",IF($G89&lt;=1,"3",0)))+0</f>
        <v>0</v>
      </c>
      <c r="Z89" s="124">
        <f>(IF($H89&lt;=0,"0",IF($H89&lt;=6,"22",IF($H89&lt;=7,"18",IF($H89&lt;=8,"12",0)))))+0</f>
        <v>22</v>
      </c>
      <c r="AA89" s="124">
        <f>(IF($H89&lt;=0,"0",IF($H89&lt;=2,"21",IF($H89&lt;=3,"19",IF($H89&lt;=4,"15",IF($H89&lt;=5,"9",0))))))+0</f>
        <v>21</v>
      </c>
      <c r="AB89" s="125">
        <f>(IF($H89&lt;=0,"0",IF($H89&lt;=1,"3",0)))+0</f>
        <v>3</v>
      </c>
      <c r="AC89" s="80" t="s">
        <v>176</v>
      </c>
      <c r="AD89" s="81" t="s">
        <v>571</v>
      </c>
      <c r="AE89" s="126">
        <f>(IF($F89&lt;=0,"0",IF($F89&lt;=6,"4",IF($F89&lt;=7,"3",IF($F89&lt;=8,"2","0")))))+0</f>
        <v>0</v>
      </c>
      <c r="AF89" s="126">
        <f>(IF($G89&lt;=0,"0",IF($G89&lt;=6,"4",IF($G89&lt;=7,"3",IF($G89&lt;=8,"2","0")))))+0</f>
        <v>0</v>
      </c>
      <c r="AG89" s="126">
        <f>(IF($H89&lt;=0,"0",IF($H89&lt;=6,"4",IF($H89&lt;=7,"3",IF($H89&lt;=8,"2","0")))))+0</f>
        <v>4</v>
      </c>
      <c r="AH89" s="75">
        <f>SUM(AE89:AG89)</f>
        <v>4</v>
      </c>
      <c r="AI89" s="81" t="s">
        <v>594</v>
      </c>
      <c r="AJ89" s="74">
        <f>(IF($E89&lt;=0,"0",IF($E89&lt;=20,"168",IF($E89&lt;=30,"165",IF($E89&lt;=50,"155",IF($E89&lt;=60,"135",IF($E89&lt;=70,"105",IF($E89&lt;=80,"60","0"))))))))+0</f>
        <v>0</v>
      </c>
      <c r="AK89" s="79" t="s">
        <v>534</v>
      </c>
      <c r="AL89" s="81">
        <f>(IF($E89&lt;=0,"0",IF($E89&lt;=80,"6","0")))+0</f>
        <v>0</v>
      </c>
      <c r="AM89" s="81">
        <f>(IF($E89&lt;=0,"0",IF($E89&lt;=60,"9",IF($E89&lt;=70,"6","0"))))+0</f>
        <v>0</v>
      </c>
      <c r="AN89" s="81">
        <f>(IF($E89&lt;=0,"0",IF($E89&lt;=40,"9",IF($E89&lt;=50,"6","0"))))+0</f>
        <v>0</v>
      </c>
      <c r="AO89" s="82">
        <f>(IF($E89&lt;=0,"0",IF($E89&lt;=20,"1","0")))+0</f>
        <v>0</v>
      </c>
      <c r="AP89" s="79" t="s">
        <v>149</v>
      </c>
      <c r="AQ89" s="81">
        <f>(IF($E89&lt;=0,"0",IF($E89&lt;=70,"36",IF($E89&lt;=80,"24","0"))))+0</f>
        <v>0</v>
      </c>
      <c r="AR89" s="81">
        <f>(IF($E89&lt;=0,"0",IF($E89&lt;=50,"30",IF($E89&lt;=60,"18","0"))))+0</f>
        <v>0</v>
      </c>
      <c r="AS89" s="81">
        <f>(IF($E89&lt;=0,"0",IF($E89&lt;=20,"18",IF($E89&lt;=40,"15","0"))))+0</f>
        <v>0</v>
      </c>
      <c r="AT89" s="83">
        <f>Summary2831[[#This Row],[3*2]]+Summary2831[[#This Row],[3*22]]+Summary2831[[#This Row],[3*23]]</f>
        <v>19</v>
      </c>
      <c r="AU89" s="85">
        <f>Summary2831[[#This Row],[2*2]]+Summary2831[[#This Row],[2*23]]+Summary2831[[#This Row],[2*24]]</f>
        <v>22</v>
      </c>
      <c r="AV89" s="85">
        <f>Summary2831[[#This Row],[1*2]]+Summary2831[[#This Row],[1*24]]+Summary2831[[#This Row],[1*25]]</f>
        <v>6</v>
      </c>
      <c r="AW89" s="70">
        <f>IF($F89&lt;=0,"0",IF($F89&lt;=6,"19",IF($F89&lt;=7,"18",IF($F89&lt;=8,"9",0))))+0</f>
        <v>0</v>
      </c>
      <c r="AX89" s="70">
        <f>IF($F89&lt;=0,"0",IF($F89&lt;=2,"22",IF($F89&lt;=3,"19",IF($F89&lt;=4,"15",IF($F89&lt;=5,"9",0)))))+0</f>
        <v>0</v>
      </c>
      <c r="AY89" s="70">
        <f>IF($F89&lt;=0,"0",IF($F89&lt;=1,"6",0))+0</f>
        <v>0</v>
      </c>
      <c r="AZ89" s="70">
        <f>IF($G89&lt;=0,"0",IF($G89&lt;=6,"19",IF($G89&lt;=7,"18",IF($G89&lt;=8,"9",0))))+0</f>
        <v>0</v>
      </c>
      <c r="BA89" s="70">
        <f>IF($G89&lt;=0,"0",IF($G89&lt;=2,"22",IF($G89&lt;=3,"19",IF($G89&lt;=4,"15",IF($G89&lt;=5,"9",0)))))+0</f>
        <v>0</v>
      </c>
      <c r="BB89" s="70">
        <f>IF($G89&lt;=0,"0",IF($G89&lt;=1,"6",0))+0</f>
        <v>0</v>
      </c>
      <c r="BC89" s="70">
        <f>IF($H89&lt;=0,"0",IF($H89&lt;=6,"19",IF($H89&lt;=7,"18",IF($H89&lt;=8,"9",0))))+0</f>
        <v>19</v>
      </c>
      <c r="BD89" s="70">
        <f>IF($H89&lt;=0,"0",IF($H89&lt;=2,"22",IF($H89&lt;=3,"19",IF($H89&lt;=4,"15",IF($H89&lt;=5,"9",0)))))+0</f>
        <v>22</v>
      </c>
      <c r="BE89" s="70">
        <f>IF($H89&lt;=0,"0",IF($H89&lt;=1,"6",0))+0</f>
        <v>6</v>
      </c>
      <c r="BF89" s="79">
        <f>SUM(Summary2831[[#This Row],[3*
(Tal)]],Summary2831[[#This Row],[3*
(Asc)]])</f>
        <v>19</v>
      </c>
      <c r="BG89" s="81">
        <f>SUM(Summary2831[[#This Row],[2*
(Tal)]],Summary2831[[#This Row],[2*
(Asc)]])</f>
        <v>22</v>
      </c>
      <c r="BH89" s="82">
        <f>SUM(Summary2831[[#This Row],[1*
(Tal)]],Summary2831[[#This Row],[1*
(Asc)]])</f>
        <v>6</v>
      </c>
      <c r="BI89" s="86">
        <f>(IF($E89&lt;=0,"0",IF($E89&lt;=1,"2092530",IF($E89&lt;=10,"2087525",IF($E89&lt;=20,"2068495",IF($E89&lt;=30,"2005910",IF($E89&lt;=40,"1932830",IF($E89&lt;=50,"1777010",IF($E89&lt;=60,"1546185",IF($E89&lt;=70,"1227000",IF($E89&lt;=80,"804625",IF($E89&lt;=81,"647990",IF($E89&lt;=90,"0",0)))))))))))))+0</f>
        <v>0</v>
      </c>
      <c r="BJ89" s="87">
        <f>(IF($F89&lt;=0,"0",IF($F89&lt;=1,"952500",IF($F89&lt;=2,"940000",IF($F89&lt;=3,"922500",IF($F89&lt;=4,"897500",IF($F89&lt;=5,"867500",IF($F89&lt;=6,"830000",IF($F89&lt;=7,"710000",IF($F89&lt;=8,"450000",0))))))))))+0</f>
        <v>0</v>
      </c>
      <c r="BK89" s="87">
        <f>(IF($G89&lt;=0,"0",IF($G89&lt;=1,"952500",IF($G89&lt;=2,"940000",IF($G89&lt;=3,"922500",IF($G89&lt;=4,"897500",IF($G89&lt;=5,"867500",IF($G89&lt;=6,"830000",IF($G89&lt;=7,"710000",IF($G89&lt;=8,"450000",0))))))))))+0</f>
        <v>0</v>
      </c>
      <c r="BL89" s="87">
        <f>(IF($H89&lt;=0,"0",IF($H89&lt;=1,"952500",IF($H89&lt;=2,"940000",IF($H89&lt;=3,"922500",IF($H89&lt;=4,"897500",IF($H89&lt;=5,"867500",IF($H89&lt;=6,"830000",IF($H89&lt;=7,"710000",IF($H89&lt;=8,"450000",0))))))))))+0</f>
        <v>952500</v>
      </c>
      <c r="BM89" s="88">
        <f>SUM(BI89,BJ89,BK89,BL89)</f>
        <v>952500</v>
      </c>
    </row>
    <row r="90" spans="1:65">
      <c r="A90" s="46">
        <f ca="1">SUBTOTAL(3,$B$3:Summary2831[[#This Row],[Name]])</f>
        <v>88</v>
      </c>
      <c r="B90" s="140" t="s">
        <v>612</v>
      </c>
      <c r="C90" s="14" t="s">
        <v>619</v>
      </c>
      <c r="D90" s="155">
        <v>2.4</v>
      </c>
      <c r="E90" s="14">
        <v>40</v>
      </c>
      <c r="F90" s="9">
        <v>1</v>
      </c>
      <c r="G90" s="2">
        <v>1</v>
      </c>
      <c r="H90" s="2">
        <v>1</v>
      </c>
      <c r="I90" s="72">
        <v>81</v>
      </c>
      <c r="J90" s="73">
        <v>1</v>
      </c>
      <c r="K90" s="74">
        <v>9</v>
      </c>
      <c r="L90" s="74">
        <v>9</v>
      </c>
      <c r="M90" s="44" t="s">
        <v>214</v>
      </c>
      <c r="N90" s="10">
        <f>(IF($E90&lt;=0,"0",IF($E90&lt;=40,"46",IF($E90&lt;=50,"44",IF($E90&lt;=60,"40",IF($E90&lt;=70,"32",IF($E90&lt;=80,"20","0")))))))+0</f>
        <v>46</v>
      </c>
      <c r="O90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222</v>
      </c>
      <c r="P90" s="49" t="s">
        <v>562</v>
      </c>
      <c r="Q90" s="50">
        <f>T90+W90+Z90</f>
        <v>66</v>
      </c>
      <c r="R90" s="50">
        <f>U90+X90+AA90</f>
        <v>63</v>
      </c>
      <c r="S90" s="51">
        <f>V90+Y90+AB90</f>
        <v>9</v>
      </c>
      <c r="T90" s="123">
        <f>(IF($F90&lt;=0,"0",IF($F90&lt;=6,"22",IF($F90&lt;=7,"18",IF($F90&lt;=8,"12",0)))))+0</f>
        <v>22</v>
      </c>
      <c r="U90" s="124">
        <f>(IF($F90&lt;=0,"0",IF($F90&lt;=2,"21",IF($F90&lt;=3,"19",IF($F90&lt;=4,"15",IF($F90&lt;=5,"9",0))))))+0</f>
        <v>21</v>
      </c>
      <c r="V90" s="124">
        <f>(IF($F90&lt;=0,"0",IF($F90&lt;=1,"3",0)))+0</f>
        <v>3</v>
      </c>
      <c r="W90" s="124">
        <f>(IF($G90&lt;=0,"0",IF($G90&lt;=6,"22",IF($G90&lt;=7,"18",IF($G90&lt;=8,"12",0)))))+0</f>
        <v>22</v>
      </c>
      <c r="X90" s="124">
        <f>(IF($G90&lt;=0,"0",IF($G90&lt;=2,"21",IF($G90&lt;=3,"19",IF($G90&lt;=4,"15",IF($G90&lt;=5,"9",0))))))+0</f>
        <v>21</v>
      </c>
      <c r="Y90" s="124">
        <f>(IF($G90&lt;=0,"0",IF($G90&lt;=1,"3",0)))+0</f>
        <v>3</v>
      </c>
      <c r="Z90" s="124">
        <f>(IF($H90&lt;=0,"0",IF($H90&lt;=6,"22",IF($H90&lt;=7,"18",IF($H90&lt;=8,"12",0)))))+0</f>
        <v>22</v>
      </c>
      <c r="AA90" s="124">
        <f>(IF($H90&lt;=0,"0",IF($H90&lt;=2,"21",IF($H90&lt;=3,"19",IF($H90&lt;=4,"15",IF($H90&lt;=5,"9",0))))))+0</f>
        <v>21</v>
      </c>
      <c r="AB90" s="125">
        <f>(IF($H90&lt;=0,"0",IF($H90&lt;=1,"3",0)))+0</f>
        <v>3</v>
      </c>
      <c r="AC90" s="8" t="s">
        <v>205</v>
      </c>
      <c r="AD90" s="1" t="s">
        <v>536</v>
      </c>
      <c r="AE90" s="126">
        <f>(IF($F90&lt;=0,"0",IF($F90&lt;=6,"4",IF($F90&lt;=7,"3",IF($F90&lt;=8,"2","0")))))+0</f>
        <v>4</v>
      </c>
      <c r="AF90" s="126">
        <f>(IF($G90&lt;=0,"0",IF($G90&lt;=6,"4",IF($G90&lt;=7,"3",IF($G90&lt;=8,"2","0")))))+0</f>
        <v>4</v>
      </c>
      <c r="AG90" s="126">
        <f>(IF($H90&lt;=0,"0",IF($H90&lt;=6,"4",IF($H90&lt;=7,"3",IF($H90&lt;=8,"2","0")))))+0</f>
        <v>4</v>
      </c>
      <c r="AH90" s="10">
        <f>SUM(AE90:AG90)</f>
        <v>12</v>
      </c>
      <c r="AI90" s="173" t="s">
        <v>599</v>
      </c>
      <c r="AJ90" s="2">
        <f>(IF($E90&lt;=0,"0",IF($E90&lt;=20,"168",IF($E90&lt;=30,"165",IF($E90&lt;=50,"155",IF($E90&lt;=60,"135",IF($E90&lt;=70,"105",IF($E90&lt;=80,"60","0"))))))))+0</f>
        <v>155</v>
      </c>
      <c r="AK90" s="44" t="s">
        <v>521</v>
      </c>
      <c r="AL90" s="1">
        <f>(IF($E90&lt;=0,"0",IF($E90&lt;=80,"6","0")))+0</f>
        <v>6</v>
      </c>
      <c r="AM90" s="1">
        <f>(IF($E90&lt;=0,"0",IF($E90&lt;=60,"9",IF($E90&lt;=70,"6","0"))))+0</f>
        <v>9</v>
      </c>
      <c r="AN90" s="1">
        <f>(IF($E90&lt;=0,"0",IF($E90&lt;=40,"9",IF($E90&lt;=50,"6","0"))))+0</f>
        <v>9</v>
      </c>
      <c r="AO90" s="34">
        <f>(IF($E90&lt;=0,"0",IF($E90&lt;=20,"1","0")))+0</f>
        <v>0</v>
      </c>
      <c r="AP90" s="44" t="s">
        <v>89</v>
      </c>
      <c r="AQ90" s="1">
        <f>(IF($E90&lt;=0,"0",IF($E90&lt;=70,"36",IF($E90&lt;=80,"24","0"))))+0</f>
        <v>36</v>
      </c>
      <c r="AR90" s="1">
        <f>(IF($E90&lt;=0,"0",IF($E90&lt;=50,"30",IF($E90&lt;=60,"18","0"))))+0</f>
        <v>30</v>
      </c>
      <c r="AS90" s="34">
        <f>(IF($E90&lt;=0,"0",IF($E90&lt;=20,"18",IF($E90&lt;=40,"15","0"))))+0</f>
        <v>15</v>
      </c>
      <c r="AT90" s="53">
        <f>Summary2831[[#This Row],[3*2]]+Summary2831[[#This Row],[3*22]]+Summary2831[[#This Row],[3*23]]</f>
        <v>57</v>
      </c>
      <c r="AU90" s="52">
        <f>Summary2831[[#This Row],[2*2]]+Summary2831[[#This Row],[2*23]]+Summary2831[[#This Row],[2*24]]</f>
        <v>66</v>
      </c>
      <c r="AV90" s="174">
        <f>Summary2831[[#This Row],[1*2]]+Summary2831[[#This Row],[1*24]]+Summary2831[[#This Row],[1*25]]</f>
        <v>18</v>
      </c>
      <c r="AW90" s="52">
        <f>IF($F90&lt;=0,"0",IF($F90&lt;=6,"19",IF($F90&lt;=7,"18",IF($F90&lt;=8,"9",0))))+0</f>
        <v>19</v>
      </c>
      <c r="AX90" s="52">
        <f>IF($F90&lt;=0,"0",IF($F90&lt;=2,"22",IF($F90&lt;=3,"19",IF($F90&lt;=4,"15",IF($F90&lt;=5,"9",0)))))+0</f>
        <v>22</v>
      </c>
      <c r="AY90" s="52">
        <f>IF($F90&lt;=0,"0",IF($F90&lt;=1,"6",0))+0</f>
        <v>6</v>
      </c>
      <c r="AZ90" s="52">
        <f>IF($G90&lt;=0,"0",IF($G90&lt;=6,"19",IF($G90&lt;=7,"18",IF($G90&lt;=8,"9",0))))+0</f>
        <v>19</v>
      </c>
      <c r="BA90" s="52">
        <f>IF($G90&lt;=0,"0",IF($G90&lt;=2,"22",IF($G90&lt;=3,"19",IF($G90&lt;=4,"15",IF($G90&lt;=5,"9",0)))))+0</f>
        <v>22</v>
      </c>
      <c r="BB90" s="52">
        <f>IF($G90&lt;=0,"0",IF($G90&lt;=1,"6",0))+0</f>
        <v>6</v>
      </c>
      <c r="BC90" s="52">
        <f>IF($H90&lt;=0,"0",IF($H90&lt;=6,"19",IF($H90&lt;=7,"18",IF($H90&lt;=8,"9",0))))+0</f>
        <v>19</v>
      </c>
      <c r="BD90" s="52">
        <f>IF($H90&lt;=0,"0",IF($H90&lt;=2,"22",IF($H90&lt;=3,"19",IF($H90&lt;=4,"15",IF($H90&lt;=5,"9",0)))))+0</f>
        <v>22</v>
      </c>
      <c r="BE90" s="52">
        <f>IF($H90&lt;=0,"0",IF($H90&lt;=1,"6",0))+0</f>
        <v>6</v>
      </c>
      <c r="BF90" s="44">
        <f>SUM(Summary2831[[#This Row],[3*
(Tal)]],Summary2831[[#This Row],[3*
(Asc)]])</f>
        <v>93</v>
      </c>
      <c r="BG90" s="1">
        <f>SUM(Summary2831[[#This Row],[2*
(Tal)]],Summary2831[[#This Row],[2*
(Asc)]])</f>
        <v>96</v>
      </c>
      <c r="BH90" s="34">
        <f>SUM(Summary2831[[#This Row],[1*
(Tal)]],Summary2831[[#This Row],[1*
(Asc)]])</f>
        <v>33</v>
      </c>
      <c r="BI90" s="86">
        <f>(IF($E90&lt;=0,"0",IF($E90&lt;=1,"2092530",IF($E90&lt;=10,"2087525",IF($E90&lt;=20,"2068495",IF($E90&lt;=30,"2005910",IF($E90&lt;=40,"1932830",IF($E90&lt;=50,"1777010",IF($E90&lt;=60,"1546185",IF($E90&lt;=70,"1227000",IF($E90&lt;=80,"804625",IF($E90&lt;=81,"647990",IF($E90&lt;=90,"0",0)))))))))))))+0</f>
        <v>1932830</v>
      </c>
      <c r="BJ90" s="56">
        <f>(IF($F90&lt;=0,"0",IF($F90&lt;=1,"952500",IF($F90&lt;=2,"940000",IF($F90&lt;=3,"922500",IF($F90&lt;=4,"897500",IF($F90&lt;=5,"867500",IF($F90&lt;=6,"830000",IF($F90&lt;=7,"710000",IF($F90&lt;=8,"450000",0))))))))))+0</f>
        <v>952500</v>
      </c>
      <c r="BK90" s="56">
        <f>(IF($G90&lt;=0,"0",IF($G90&lt;=1,"952500",IF($G90&lt;=2,"940000",IF($G90&lt;=3,"922500",IF($G90&lt;=4,"897500",IF($G90&lt;=5,"867500",IF($G90&lt;=6,"830000",IF($G90&lt;=7,"710000",IF($G90&lt;=8,"450000",0))))))))))+0</f>
        <v>952500</v>
      </c>
      <c r="BL90" s="56">
        <f>(IF($H90&lt;=0,"0",IF($H90&lt;=1,"952500",IF($H90&lt;=2,"940000",IF($H90&lt;=3,"922500",IF($H90&lt;=4,"897500",IF($H90&lt;=5,"867500",IF($H90&lt;=6,"830000",IF($H90&lt;=7,"710000",IF($H90&lt;=8,"450000",0))))))))))+0</f>
        <v>952500</v>
      </c>
      <c r="BM90" s="57">
        <f>SUM(BI90,BJ90,BK90,BL90)</f>
        <v>4790330</v>
      </c>
    </row>
    <row r="91" spans="1:65">
      <c r="A91" s="71">
        <f ca="1">SUBTOTAL(3,$B$3:Summary2831[[#This Row],[Name]])</f>
        <v>89</v>
      </c>
      <c r="B91" s="72" t="s">
        <v>455</v>
      </c>
      <c r="C91" s="72" t="s">
        <v>619</v>
      </c>
      <c r="D91" s="154">
        <v>1.1000000000000001</v>
      </c>
      <c r="E91" s="72">
        <v>90</v>
      </c>
      <c r="F91" s="73">
        <v>1</v>
      </c>
      <c r="G91" s="74">
        <v>10</v>
      </c>
      <c r="H91" s="74">
        <v>9</v>
      </c>
      <c r="I91" s="72">
        <v>81</v>
      </c>
      <c r="J91" s="73">
        <v>1</v>
      </c>
      <c r="K91" s="74">
        <v>9</v>
      </c>
      <c r="L91" s="74">
        <v>9</v>
      </c>
      <c r="M91" s="79" t="s">
        <v>116</v>
      </c>
      <c r="N91" s="75">
        <f>(IF($E91&lt;=0,"0",IF($E91&lt;=40,"46",IF($E91&lt;=50,"44",IF($E91&lt;=60,"40",IF($E91&lt;=70,"32",IF($E91&lt;=80,"20","0")))))))+0</f>
        <v>0</v>
      </c>
      <c r="O91" s="78">
        <f>IF(Summary2831[[#This Row],[Level]]=0,0,IF(Summary2831[[#This Row],[Target Level]]&lt;Summary2831[[#This Row],[Level]],0,LOOKUP(Summary2831[[#This Row],[Level]],CharacterDatabase[Levels],CharacterDatabase[HerosWits])-LOOKUP(Summary2831[[#This Row],[Target Level]],CharacterDatabase[Levels],CharacterDatabase[HerosWits])))</f>
        <v>0</v>
      </c>
      <c r="P91" s="76" t="s">
        <v>540</v>
      </c>
      <c r="Q91" s="77">
        <f>T91+W91+Z91</f>
        <v>22</v>
      </c>
      <c r="R91" s="77">
        <f>U91+X91+AA91</f>
        <v>21</v>
      </c>
      <c r="S91" s="78">
        <f>V91+Y91+AB91</f>
        <v>3</v>
      </c>
      <c r="T91" s="123">
        <f>(IF($F91&lt;=0,"0",IF($F91&lt;=6,"22",IF($F91&lt;=7,"18",IF($F91&lt;=8,"12",0)))))+0</f>
        <v>22</v>
      </c>
      <c r="U91" s="124">
        <f>(IF($F91&lt;=0,"0",IF($F91&lt;=2,"21",IF($F91&lt;=3,"19",IF($F91&lt;=4,"15",IF($F91&lt;=5,"9",0))))))+0</f>
        <v>21</v>
      </c>
      <c r="V91" s="124">
        <f>(IF($F91&lt;=0,"0",IF($F91&lt;=1,"3",0)))+0</f>
        <v>3</v>
      </c>
      <c r="W91" s="124">
        <f>(IF($G91&lt;=0,"0",IF($G91&lt;=6,"22",IF($G91&lt;=7,"18",IF($G91&lt;=8,"12",0)))))+0</f>
        <v>0</v>
      </c>
      <c r="X91" s="124">
        <f>(IF($G91&lt;=0,"0",IF($G91&lt;=2,"21",IF($G91&lt;=3,"19",IF($G91&lt;=4,"15",IF($G91&lt;=5,"9",0))))))+0</f>
        <v>0</v>
      </c>
      <c r="Y91" s="124">
        <f>(IF($G91&lt;=0,"0",IF($G91&lt;=1,"3",0)))+0</f>
        <v>0</v>
      </c>
      <c r="Z91" s="124">
        <f>(IF($H91&lt;=0,"0",IF($H91&lt;=6,"22",IF($H91&lt;=7,"18",IF($H91&lt;=8,"12",0)))))+0</f>
        <v>0</v>
      </c>
      <c r="AA91" s="124">
        <f>(IF($H91&lt;=0,"0",IF($H91&lt;=2,"21",IF($H91&lt;=3,"19",IF($H91&lt;=4,"15",IF($H91&lt;=5,"9",0))))))+0</f>
        <v>0</v>
      </c>
      <c r="AB91" s="125">
        <f>(IF($H91&lt;=0,"0",IF($H91&lt;=1,"3",0)))+0</f>
        <v>0</v>
      </c>
      <c r="AC91" s="80" t="s">
        <v>389</v>
      </c>
      <c r="AD91" s="81" t="s">
        <v>520</v>
      </c>
      <c r="AE91" s="126">
        <f>(IF($F91&lt;=0,"0",IF($F91&lt;=6,"4",IF($F91&lt;=7,"3",IF($F91&lt;=8,"2","0")))))+0</f>
        <v>4</v>
      </c>
      <c r="AF91" s="126">
        <f>(IF($G91&lt;=0,"0",IF($G91&lt;=6,"4",IF($G91&lt;=7,"3",IF($G91&lt;=8,"2","0")))))+0</f>
        <v>0</v>
      </c>
      <c r="AG91" s="126">
        <f>(IF($H91&lt;=0,"0",IF($H91&lt;=6,"4",IF($H91&lt;=7,"3",IF($H91&lt;=8,"2","0")))))+0</f>
        <v>0</v>
      </c>
      <c r="AH91" s="75">
        <f>SUM(AE91:AG91)</f>
        <v>4</v>
      </c>
      <c r="AI91" s="120" t="s">
        <v>563</v>
      </c>
      <c r="AJ91" s="74">
        <f>(IF($E91&lt;=0,"0",IF($E91&lt;=20,"168",IF($E91&lt;=30,"165",IF($E91&lt;=50,"155",IF($E91&lt;=60,"135",IF($E91&lt;=70,"105",IF($E91&lt;=80,"60","0"))))))))+0</f>
        <v>0</v>
      </c>
      <c r="AK91" s="79" t="s">
        <v>521</v>
      </c>
      <c r="AL91" s="81">
        <f>(IF($E91&lt;=0,"0",IF($E91&lt;=80,"6","0")))+0</f>
        <v>0</v>
      </c>
      <c r="AM91" s="81">
        <f>(IF($E91&lt;=0,"0",IF($E91&lt;=60,"9",IF($E91&lt;=70,"6","0"))))+0</f>
        <v>0</v>
      </c>
      <c r="AN91" s="81">
        <f>(IF($E91&lt;=0,"0",IF($E91&lt;=40,"9",IF($E91&lt;=50,"6","0"))))+0</f>
        <v>0</v>
      </c>
      <c r="AO91" s="82">
        <f>(IF($E91&lt;=0,"0",IF($E91&lt;=20,"1","0")))+0</f>
        <v>0</v>
      </c>
      <c r="AP91" s="79" t="s">
        <v>178</v>
      </c>
      <c r="AQ91" s="81">
        <f>(IF($E91&lt;=0,"0",IF($E91&lt;=70,"36",IF($E91&lt;=80,"24","0"))))+0</f>
        <v>0</v>
      </c>
      <c r="AR91" s="81">
        <f>(IF($E91&lt;=0,"0",IF($E91&lt;=50,"30",IF($E91&lt;=60,"18","0"))))+0</f>
        <v>0</v>
      </c>
      <c r="AS91" s="82">
        <f>(IF($E91&lt;=0,"0",IF($E91&lt;=20,"18",IF($E91&lt;=40,"15","0"))))+0</f>
        <v>0</v>
      </c>
      <c r="AT91" s="83">
        <f>Summary2831[[#This Row],[3*2]]+Summary2831[[#This Row],[3*22]]+Summary2831[[#This Row],[3*23]]</f>
        <v>19</v>
      </c>
      <c r="AU91" s="85">
        <f>Summary2831[[#This Row],[2*2]]+Summary2831[[#This Row],[2*23]]+Summary2831[[#This Row],[2*24]]</f>
        <v>22</v>
      </c>
      <c r="AV91" s="122">
        <f>Summary2831[[#This Row],[1*2]]+Summary2831[[#This Row],[1*24]]+Summary2831[[#This Row],[1*25]]</f>
        <v>6</v>
      </c>
      <c r="AW91" s="70">
        <f>IF($F91&lt;=0,"0",IF($F91&lt;=6,"19",IF($F91&lt;=7,"18",IF($F91&lt;=8,"9",0))))+0</f>
        <v>19</v>
      </c>
      <c r="AX91" s="70">
        <f>IF($F91&lt;=0,"0",IF($F91&lt;=2,"22",IF($F91&lt;=3,"19",IF($F91&lt;=4,"15",IF($F91&lt;=5,"9",0)))))+0</f>
        <v>22</v>
      </c>
      <c r="AY91" s="70">
        <f>IF($F91&lt;=0,"0",IF($F91&lt;=1,"6",0))+0</f>
        <v>6</v>
      </c>
      <c r="AZ91" s="70">
        <f>IF($G91&lt;=0,"0",IF($G91&lt;=6,"19",IF($G91&lt;=7,"18",IF($G91&lt;=8,"9",0))))+0</f>
        <v>0</v>
      </c>
      <c r="BA91" s="70">
        <f>IF($G91&lt;=0,"0",IF($G91&lt;=2,"22",IF($G91&lt;=3,"19",IF($G91&lt;=4,"15",IF($G91&lt;=5,"9",0)))))+0</f>
        <v>0</v>
      </c>
      <c r="BB91" s="70">
        <f>IF($G91&lt;=0,"0",IF($G91&lt;=1,"6",0))+0</f>
        <v>0</v>
      </c>
      <c r="BC91" s="70">
        <f>IF($H91&lt;=0,"0",IF($H91&lt;=6,"19",IF($H91&lt;=7,"18",IF($H91&lt;=8,"9",0))))+0</f>
        <v>0</v>
      </c>
      <c r="BD91" s="70">
        <f>IF($H91&lt;=0,"0",IF($H91&lt;=2,"22",IF($H91&lt;=3,"19",IF($H91&lt;=4,"15",IF($H91&lt;=5,"9",0)))))+0</f>
        <v>0</v>
      </c>
      <c r="BE91" s="70">
        <f>IF($H91&lt;=0,"0",IF($H91&lt;=1,"6",0))+0</f>
        <v>0</v>
      </c>
      <c r="BF91" s="79">
        <f>SUM(Summary2831[[#This Row],[3*
(Tal)]],Summary2831[[#This Row],[3*
(Asc)]])</f>
        <v>19</v>
      </c>
      <c r="BG91" s="81">
        <f>SUM(Summary2831[[#This Row],[2*
(Tal)]],Summary2831[[#This Row],[2*
(Asc)]])</f>
        <v>22</v>
      </c>
      <c r="BH91" s="82">
        <f>SUM(Summary2831[[#This Row],[1*
(Tal)]],Summary2831[[#This Row],[1*
(Asc)]])</f>
        <v>6</v>
      </c>
      <c r="BI91" s="86">
        <f>(IF($E91&lt;=0,"0",IF($E91&lt;=1,"2092530",IF($E91&lt;=10,"2087525",IF($E91&lt;=20,"2068495",IF($E91&lt;=30,"2005910",IF($E91&lt;=40,"1932830",IF($E91&lt;=50,"1777010",IF($E91&lt;=60,"1546185",IF($E91&lt;=70,"1227000",IF($E91&lt;=80,"804625",IF($E91&lt;=81,"647990",IF($E91&lt;=90,"0",0)))))))))))))+0</f>
        <v>0</v>
      </c>
      <c r="BJ91" s="87">
        <f>(IF($F91&lt;=0,"0",IF($F91&lt;=1,"952500",IF($F91&lt;=2,"940000",IF($F91&lt;=3,"922500",IF($F91&lt;=4,"897500",IF($F91&lt;=5,"867500",IF($F91&lt;=6,"830000",IF($F91&lt;=7,"710000",IF($F91&lt;=8,"450000",0))))))))))+0</f>
        <v>952500</v>
      </c>
      <c r="BK91" s="87">
        <f>(IF($G91&lt;=0,"0",IF($G91&lt;=1,"952500",IF($G91&lt;=2,"940000",IF($G91&lt;=3,"922500",IF($G91&lt;=4,"897500",IF($G91&lt;=5,"867500",IF($G91&lt;=6,"830000",IF($G91&lt;=7,"710000",IF($G91&lt;=8,"450000",0))))))))))+0</f>
        <v>0</v>
      </c>
      <c r="BL91" s="87">
        <f>(IF($H91&lt;=0,"0",IF($H91&lt;=1,"952500",IF($H91&lt;=2,"940000",IF($H91&lt;=3,"922500",IF($H91&lt;=4,"897500",IF($H91&lt;=5,"867500",IF($H91&lt;=6,"830000",IF($H91&lt;=7,"710000",IF($H91&lt;=8,"450000",0))))))))))+0</f>
        <v>0</v>
      </c>
      <c r="BM91" s="88">
        <f>SUM(BI91,BJ91,BK91,BL91)</f>
        <v>952500</v>
      </c>
    </row>
    <row r="92" spans="1:65">
      <c r="A92" s="47"/>
      <c r="B92" s="89"/>
      <c r="C92" s="16"/>
      <c r="D92" s="16"/>
      <c r="E92" s="16"/>
      <c r="F92" s="11"/>
      <c r="G92" s="12"/>
      <c r="H92" s="12"/>
      <c r="I92" s="30"/>
      <c r="J92" s="31"/>
      <c r="K92" s="31"/>
      <c r="L92" s="31"/>
      <c r="M92" s="45" t="s">
        <v>518</v>
      </c>
      <c r="N92" s="13">
        <f>SUBTOTAL(109,Summary2831[World Boss Mats Meed])</f>
        <v>1354</v>
      </c>
      <c r="O92" s="13">
        <f>SUBTOTAL(109,Summary2831[Hero''s Wits])</f>
        <v>6427</v>
      </c>
      <c r="P92" s="11" t="s">
        <v>518</v>
      </c>
      <c r="Q92" s="12">
        <f>SUBTOTAL(109,Summary2831[4* Book])</f>
        <v>3466</v>
      </c>
      <c r="R92" s="12">
        <f>SUBTOTAL(109,Summary2831[3* Book])</f>
        <v>2871</v>
      </c>
      <c r="S92" s="13">
        <f>SUBTOTAL(109,Summary2831[2* Book])</f>
        <v>375</v>
      </c>
      <c r="T92" s="11">
        <f>SUBTOTAL(109,Summary2831[4*])</f>
        <v>1388</v>
      </c>
      <c r="U92" s="12">
        <f>SUBTOTAL(109,Summary2831[3*])</f>
        <v>1245</v>
      </c>
      <c r="V92" s="12">
        <f>SUBTOTAL(109,Summary2831[2*])</f>
        <v>165</v>
      </c>
      <c r="W92" s="12">
        <f>SUBTOTAL(109,Summary2831[4*2])</f>
        <v>1034</v>
      </c>
      <c r="X92" s="12">
        <f>SUBTOTAL(109,Summary2831[3*3])</f>
        <v>801</v>
      </c>
      <c r="Y92" s="12">
        <f>SUBTOTAL(109,Summary2831[2*4])</f>
        <v>102</v>
      </c>
      <c r="Z92" s="12">
        <f>SUBTOTAL(109,Summary2831[4*5])</f>
        <v>1044</v>
      </c>
      <c r="AA92" s="12">
        <f>SUBTOTAL(109,Summary2831[3*6])</f>
        <v>825</v>
      </c>
      <c r="AB92" s="13">
        <f>SUBTOTAL(109,Summary2831[2*7])</f>
        <v>108</v>
      </c>
      <c r="AC92" s="11"/>
      <c r="AD92" s="12" t="s">
        <v>518</v>
      </c>
      <c r="AE92" s="12">
        <f>SUBTOTAL(109,Summary2831[NA9])</f>
        <v>252</v>
      </c>
      <c r="AF92" s="12">
        <f>SUBTOTAL(109,Summary2831[Skill10])</f>
        <v>187</v>
      </c>
      <c r="AG92" s="12">
        <f>SUBTOTAL(109,Summary2831[Burst11])</f>
        <v>189</v>
      </c>
      <c r="AH92" s="13">
        <f>SUBTOTAL(109,Summary2831[Weekly Boss Mats Need])</f>
        <v>628</v>
      </c>
      <c r="AI92" s="43" t="s">
        <v>518</v>
      </c>
      <c r="AJ92" s="43">
        <f>SUBTOTAL(109,Summary2831[Flower Quantity])</f>
        <v>4705</v>
      </c>
      <c r="AK92" s="11" t="s">
        <v>518</v>
      </c>
      <c r="AL92" s="12">
        <f>SUBTOTAL(109,Summary2831[Gemstone])</f>
        <v>198</v>
      </c>
      <c r="AM92" s="12">
        <f>SUBTOTAL(109,Summary2831[Chunk])</f>
        <v>255</v>
      </c>
      <c r="AN92" s="12">
        <f>SUBTOTAL(109,Summary2831[Fragment])</f>
        <v>195</v>
      </c>
      <c r="AO92" s="13">
        <f>SUBTOTAL(109,Summary2831[Silver])</f>
        <v>0</v>
      </c>
      <c r="AP92" s="11" t="s">
        <v>518</v>
      </c>
      <c r="AQ92" s="12">
        <f>SUBTOTAL(109,Summary2831[3*
(Asc)])</f>
        <v>1140</v>
      </c>
      <c r="AR92" s="12">
        <f>SUBTOTAL(109,Summary2831[2*
(Asc)])</f>
        <v>750</v>
      </c>
      <c r="AS92" s="12">
        <f>SUBTOTAL(109,Summary2831[1*
(Asc)])</f>
        <v>315</v>
      </c>
      <c r="AT92" s="21">
        <f>SUBTOTAL(109,Summary2831[3*
(Tal)])</f>
        <v>2986</v>
      </c>
      <c r="AU92" s="19">
        <f>SUBTOTAL(109,Summary2831[2*
(Tal)])</f>
        <v>3000</v>
      </c>
      <c r="AV92" s="19">
        <f>SUBTOTAL(109,Summary2831[1*
(Tal)])</f>
        <v>750</v>
      </c>
      <c r="AW92" s="54">
        <f>SUBTOTAL(109,Summary2831[3*2])</f>
        <v>1196</v>
      </c>
      <c r="AX92" s="54">
        <f>SUBTOTAL(109,Summary2831[2*2])</f>
        <v>1302</v>
      </c>
      <c r="AY92" s="54">
        <f>SUBTOTAL(109,Summary2831[1*2])</f>
        <v>330</v>
      </c>
      <c r="AZ92" s="54">
        <f>SUBTOTAL(109,Summary2831[3*22])</f>
        <v>890</v>
      </c>
      <c r="BA92" s="54">
        <f>SUBTOTAL(109,Summary2831[2*23])</f>
        <v>836</v>
      </c>
      <c r="BB92" s="54">
        <f>SUBTOTAL(109,Summary2831[1*24])</f>
        <v>204</v>
      </c>
      <c r="BC92" s="54">
        <f>SUBTOTAL(109,Summary2831[3*23])</f>
        <v>900</v>
      </c>
      <c r="BD92" s="54">
        <f>SUBTOTAL(109,Summary2831[2*24])</f>
        <v>862</v>
      </c>
      <c r="BE92" s="54">
        <f>SUBTOTAL(109,Summary2831[1*25])</f>
        <v>216</v>
      </c>
      <c r="BF92" s="60">
        <f>SUBTOTAL(109,Summary2831[3* Mats])</f>
        <v>4126</v>
      </c>
      <c r="BG92" s="61">
        <f>SUBTOTAL(109,Summary2831[2* Mats])</f>
        <v>3750</v>
      </c>
      <c r="BH92" s="62">
        <f>SUBTOTAL(109,Summary2831[1* Mats])</f>
        <v>1065</v>
      </c>
      <c r="BI92" s="63">
        <f>SUBTOTAL(109,Summary2831[Level
Up])</f>
        <v>65436095</v>
      </c>
      <c r="BJ92" s="63">
        <f>SUBTOTAL(109,Summary2831[NA
Up])</f>
        <v>59527500</v>
      </c>
      <c r="BK92" s="63">
        <f>SUBTOTAL(109,Summary2831[Skill
Up])</f>
        <v>43590000</v>
      </c>
      <c r="BL92" s="63">
        <f>SUBTOTAL(109,Summary2831[Burst
Up])</f>
        <v>44140000</v>
      </c>
      <c r="BM92" s="64">
        <f>SUBTOTAL(109,Summary2831[Total])</f>
        <v>212693595</v>
      </c>
    </row>
    <row r="93" spans="1:65">
      <c r="N93" s="10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I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1:6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319" t="s">
        <v>627</v>
      </c>
      <c r="N94" s="320"/>
      <c r="O94" s="320"/>
      <c r="P94" s="320"/>
      <c r="Q94" s="20"/>
      <c r="R94"/>
      <c r="S94"/>
      <c r="T94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65">
      <c r="H95" s="1"/>
      <c r="I95" s="1"/>
      <c r="J95" s="1"/>
      <c r="K95" s="1"/>
      <c r="L95" s="1"/>
      <c r="M95" s="317" t="s">
        <v>628</v>
      </c>
      <c r="N95" s="318"/>
      <c r="O95" s="321" t="s">
        <v>629</v>
      </c>
      <c r="P95" s="322"/>
      <c r="Q95" s="20"/>
      <c r="R95"/>
      <c r="S95"/>
      <c r="T95"/>
    </row>
    <row r="96" spans="1:65">
      <c r="H96" s="1"/>
      <c r="I96" s="1"/>
      <c r="J96" s="1"/>
      <c r="K96" s="1"/>
      <c r="L96" s="1"/>
      <c r="M96" s="317" t="s">
        <v>630</v>
      </c>
      <c r="N96" s="318"/>
      <c r="O96">
        <f>(60/8)*24</f>
        <v>180</v>
      </c>
      <c r="P96" t="s">
        <v>631</v>
      </c>
      <c r="Q96" s="20"/>
      <c r="R96"/>
      <c r="S96"/>
      <c r="T96"/>
    </row>
    <row r="97" spans="8:20">
      <c r="H97" s="1"/>
      <c r="I97" s="1"/>
      <c r="J97" s="1"/>
      <c r="K97" s="1"/>
      <c r="L97" s="1"/>
      <c r="M97" s="317" t="s">
        <v>632</v>
      </c>
      <c r="N97" s="318"/>
      <c r="O97">
        <v>20</v>
      </c>
      <c r="P97" t="s">
        <v>631</v>
      </c>
      <c r="Q97" s="20"/>
      <c r="R97"/>
      <c r="S97"/>
      <c r="T97"/>
    </row>
    <row r="98" spans="8:20">
      <c r="H98" s="1"/>
      <c r="I98" s="1"/>
      <c r="J98" s="1"/>
      <c r="K98" s="1"/>
      <c r="L98" s="1"/>
      <c r="M98" s="317" t="s">
        <v>633</v>
      </c>
      <c r="N98" s="318"/>
      <c r="O98" s="40">
        <f>O96/O97</f>
        <v>9</v>
      </c>
      <c r="P98" t="s">
        <v>634</v>
      </c>
      <c r="Q98" s="20"/>
      <c r="R98"/>
      <c r="S98"/>
      <c r="T98"/>
    </row>
    <row r="99" spans="8:20">
      <c r="H99" s="1"/>
      <c r="I99" s="1"/>
      <c r="J99" s="1"/>
      <c r="K99" s="1"/>
      <c r="L99" s="1"/>
      <c r="M99" s="317" t="s">
        <v>635</v>
      </c>
      <c r="N99" s="318"/>
      <c r="O99" s="40">
        <v>4.5</v>
      </c>
      <c r="P99" t="s">
        <v>636</v>
      </c>
      <c r="Q99" s="20"/>
      <c r="R99"/>
      <c r="S99"/>
      <c r="T99"/>
    </row>
    <row r="100" spans="8:20">
      <c r="H100" s="1"/>
      <c r="I100" s="1"/>
      <c r="J100" s="1"/>
      <c r="K100" s="1"/>
      <c r="L100" s="1"/>
      <c r="M100" s="317" t="s">
        <v>637</v>
      </c>
      <c r="N100" s="318"/>
      <c r="O100" s="40">
        <f>O98*O99</f>
        <v>40.5</v>
      </c>
      <c r="P100" t="s">
        <v>636</v>
      </c>
      <c r="Q100" s="20"/>
      <c r="R100"/>
      <c r="S100"/>
      <c r="T100"/>
    </row>
    <row r="101" spans="8:20">
      <c r="H101" s="17"/>
      <c r="I101" s="17"/>
      <c r="J101" s="17"/>
      <c r="K101" s="17"/>
      <c r="L101" s="17"/>
      <c r="M101" s="323" t="s">
        <v>638</v>
      </c>
      <c r="N101" s="324"/>
      <c r="O101" s="37">
        <f>Summary2831[[#Totals],[Hero''s Wits]]/O100</f>
        <v>158.69135802469137</v>
      </c>
      <c r="P101" s="38" t="s">
        <v>639</v>
      </c>
      <c r="Q101" s="20"/>
      <c r="R101"/>
      <c r="S101"/>
      <c r="T101"/>
    </row>
    <row r="102" spans="8:20">
      <c r="M102" s="325" t="s">
        <v>640</v>
      </c>
      <c r="N102" s="326" t="s">
        <v>640</v>
      </c>
      <c r="O102" s="39">
        <f>O96*O101</f>
        <v>28564.444444444445</v>
      </c>
      <c r="P102" s="18" t="s">
        <v>631</v>
      </c>
      <c r="Q102" s="20"/>
      <c r="R102"/>
      <c r="S102"/>
      <c r="T102"/>
    </row>
    <row r="103" spans="8:20">
      <c r="N103" s="171" t="s">
        <v>641</v>
      </c>
    </row>
  </sheetData>
  <sheetProtection sort="0" autoFilter="0"/>
  <protectedRanges>
    <protectedRange sqref="E3:L91" name="Level and Talent"/>
  </protectedRanges>
  <mergeCells count="23">
    <mergeCell ref="M98:N98"/>
    <mergeCell ref="M99:N99"/>
    <mergeCell ref="M100:N100"/>
    <mergeCell ref="M101:N101"/>
    <mergeCell ref="M102:N102"/>
    <mergeCell ref="BI1:BM1"/>
    <mergeCell ref="M94:P94"/>
    <mergeCell ref="M95:N95"/>
    <mergeCell ref="O95:P95"/>
    <mergeCell ref="M96:N96"/>
    <mergeCell ref="AW1:BE1"/>
    <mergeCell ref="BF1:BH1"/>
    <mergeCell ref="M97:N97"/>
    <mergeCell ref="AI1:AJ1"/>
    <mergeCell ref="AK1:AO1"/>
    <mergeCell ref="AP1:AS1"/>
    <mergeCell ref="AT1:AV1"/>
    <mergeCell ref="AC1:AH1"/>
    <mergeCell ref="E1:H1"/>
    <mergeCell ref="I1:L1"/>
    <mergeCell ref="M1:N1"/>
    <mergeCell ref="P1:S1"/>
    <mergeCell ref="T1:AB1"/>
  </mergeCells>
  <conditionalFormatting sqref="M138:M1048576 M94 M103 M3:M91">
    <cfRule type="colorScale" priority="1">
      <colorScale>
        <cfvo type="min"/>
        <cfvo type="max"/>
        <color rgb="FF63BE7B"/>
        <color rgb="FFFCFCFF"/>
      </colorScale>
    </cfRule>
  </conditionalFormatting>
  <dataValidations count="3">
    <dataValidation type="whole" allowBlank="1" showInputMessage="1" showErrorMessage="1" errorTitle="Numeric Values Only!" error="Please put numeric values from 0 to 90." sqref="E3:E91" xr:uid="{867F224A-B542-45D3-A293-196156B9C61F}">
      <formula1>0</formula1>
      <formula2>90</formula2>
    </dataValidation>
    <dataValidation type="whole" allowBlank="1" showInputMessage="1" showErrorMessage="1" errorTitle="Numeric Values Only!" error="Please put numeric values from 0 to 10!" sqref="F3:H91 J3:L91" xr:uid="{432F1839-3002-4D1B-94C7-803B02EF3356}">
      <formula1>0</formula1>
      <formula2>10</formula2>
    </dataValidation>
    <dataValidation type="custom" allowBlank="1" showInputMessage="1" showErrorMessage="1" errorTitle="Enter Valid &quot;Target Level&quot;" error="Target level cannot be less than Current Level" sqref="I3:I91" xr:uid="{D3D627D3-6675-4CDE-BC32-A06931FE97A7}">
      <formula1>I3&gt;=E3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00B050"/>
  </sheetPr>
  <dimension ref="A1:F49"/>
  <sheetViews>
    <sheetView topLeftCell="A14" workbookViewId="0">
      <selection activeCell="B2" sqref="B2:B32"/>
    </sheetView>
    <sheetView workbookViewId="1"/>
  </sheetViews>
  <sheetFormatPr defaultRowHeight="15"/>
  <cols>
    <col min="2" max="2" width="28.5703125" bestFit="1" customWidth="1"/>
    <col min="3" max="3" width="12.42578125" style="2" bestFit="1" customWidth="1"/>
    <col min="4" max="4" width="15.42578125" customWidth="1"/>
    <col min="5" max="5" width="16" customWidth="1"/>
    <col min="6" max="6" width="17.42578125" customWidth="1"/>
  </cols>
  <sheetData>
    <row r="1" spans="1:6">
      <c r="A1" t="s">
        <v>459</v>
      </c>
      <c r="B1" s="6" t="s">
        <v>2</v>
      </c>
      <c r="C1" s="2" t="s">
        <v>471</v>
      </c>
      <c r="D1" s="6" t="s">
        <v>642</v>
      </c>
      <c r="E1" s="6" t="s">
        <v>643</v>
      </c>
      <c r="F1" s="6" t="s">
        <v>644</v>
      </c>
    </row>
    <row r="2" spans="1:6">
      <c r="A2" s="6">
        <f ca="1">SUBTOTAL(3,$B$2:World_Boss[[#This Row],[World Boss]])</f>
        <v>1</v>
      </c>
      <c r="B2" s="1" t="s">
        <v>85</v>
      </c>
      <c r="C2" s="152">
        <v>1</v>
      </c>
      <c r="D2" s="6" t="e">
        <f>SUMIF(#REF!,World_Boss[[#This Row],[World Boss]],#REF!)</f>
        <v>#REF!</v>
      </c>
      <c r="E2" s="6">
        <v>55</v>
      </c>
      <c r="F2" s="6" t="e">
        <f t="shared" ref="F2:F32" si="0">D2-E2</f>
        <v>#REF!</v>
      </c>
    </row>
    <row r="3" spans="1:6">
      <c r="A3" s="6">
        <f ca="1">SUBTOTAL(3,$B$2:World_Boss[[#This Row],[World Boss]])</f>
        <v>2</v>
      </c>
      <c r="B3" s="1" t="s">
        <v>96</v>
      </c>
      <c r="C3" s="152">
        <v>1</v>
      </c>
      <c r="D3" s="6" t="e">
        <f>SUMIF(#REF!,World_Boss[[#This Row],[World Boss]],#REF!)</f>
        <v>#REF!</v>
      </c>
      <c r="E3" s="6">
        <v>204</v>
      </c>
      <c r="F3" s="6" t="e">
        <f t="shared" si="0"/>
        <v>#REF!</v>
      </c>
    </row>
    <row r="4" spans="1:6">
      <c r="A4" s="6">
        <f ca="1">SUBTOTAL(3,$B$2:World_Boss[[#This Row],[World Boss]])</f>
        <v>3</v>
      </c>
      <c r="B4" s="1" t="s">
        <v>106</v>
      </c>
      <c r="C4" s="152">
        <v>1</v>
      </c>
      <c r="D4" s="6" t="e">
        <f>SUMIF(#REF!,World_Boss[[#This Row],[World Boss]],#REF!)</f>
        <v>#REF!</v>
      </c>
      <c r="E4" s="6">
        <v>125</v>
      </c>
      <c r="F4" s="6" t="e">
        <f t="shared" si="0"/>
        <v>#REF!</v>
      </c>
    </row>
    <row r="5" spans="1:6">
      <c r="A5" s="6">
        <f ca="1">SUBTOTAL(3,$B$2:World_Boss[[#This Row],[World Boss]])</f>
        <v>4</v>
      </c>
      <c r="B5" s="1" t="s">
        <v>116</v>
      </c>
      <c r="C5" s="152">
        <v>1</v>
      </c>
      <c r="D5" s="6" t="e">
        <f>SUMIF(#REF!,World_Boss[[#This Row],[World Boss]],#REF!)</f>
        <v>#REF!</v>
      </c>
      <c r="E5" s="6">
        <v>0</v>
      </c>
      <c r="F5" s="6" t="e">
        <f t="shared" si="0"/>
        <v>#REF!</v>
      </c>
    </row>
    <row r="6" spans="1:6">
      <c r="A6" s="6">
        <f ca="1">SUBTOTAL(3,$B$2:World_Boss[[#This Row],[World Boss]])</f>
        <v>5</v>
      </c>
      <c r="B6" s="1" t="s">
        <v>127</v>
      </c>
      <c r="C6" s="152">
        <v>1</v>
      </c>
      <c r="D6" s="6" t="e">
        <f>SUMIF(#REF!,World_Boss[[#This Row],[World Boss]],#REF!)</f>
        <v>#REF!</v>
      </c>
      <c r="E6" s="6">
        <v>1</v>
      </c>
      <c r="F6" s="6" t="e">
        <f t="shared" si="0"/>
        <v>#REF!</v>
      </c>
    </row>
    <row r="7" spans="1:6">
      <c r="A7" s="6">
        <f ca="1">SUBTOTAL(3,$B$2:World_Boss[[#This Row],[World Boss]])</f>
        <v>6</v>
      </c>
      <c r="B7" s="1" t="s">
        <v>136</v>
      </c>
      <c r="C7" s="152">
        <v>1</v>
      </c>
      <c r="D7" s="6" t="e">
        <f>SUMIF(#REF!,World_Boss[[#This Row],[World Boss]],#REF!)</f>
        <v>#REF!</v>
      </c>
      <c r="E7" s="6">
        <v>135</v>
      </c>
      <c r="F7" s="6" t="e">
        <f t="shared" si="0"/>
        <v>#REF!</v>
      </c>
    </row>
    <row r="8" spans="1:6">
      <c r="A8" s="6">
        <f ca="1">SUBTOTAL(3,$B$2:World_Boss[[#This Row],[World Boss]])</f>
        <v>7</v>
      </c>
      <c r="B8" s="1" t="s">
        <v>145</v>
      </c>
      <c r="C8" s="152">
        <v>1.3</v>
      </c>
      <c r="D8" s="6" t="e">
        <f>SUMIF(#REF!,World_Boss[[#This Row],[World Boss]],#REF!)</f>
        <v>#REF!</v>
      </c>
      <c r="E8" s="6">
        <v>21</v>
      </c>
      <c r="F8" s="6" t="e">
        <f t="shared" si="0"/>
        <v>#REF!</v>
      </c>
    </row>
    <row r="9" spans="1:6">
      <c r="A9" s="6">
        <f ca="1">SUBTOTAL(3,$B$2:World_Boss[[#This Row],[World Boss]])</f>
        <v>8</v>
      </c>
      <c r="B9" s="1" t="s">
        <v>156</v>
      </c>
      <c r="C9" s="152">
        <v>1.5</v>
      </c>
      <c r="D9" s="6" t="e">
        <f>SUMIF(#REF!,World_Boss[[#This Row],[World Boss]],#REF!)</f>
        <v>#REF!</v>
      </c>
      <c r="E9" s="6">
        <v>46</v>
      </c>
      <c r="F9" s="6" t="e">
        <f t="shared" si="0"/>
        <v>#REF!</v>
      </c>
    </row>
    <row r="10" spans="1:6">
      <c r="A10" s="6">
        <f ca="1">SUBTOTAL(3,$B$2:World_Boss[[#This Row],[World Boss]])</f>
        <v>9</v>
      </c>
      <c r="B10" s="1" t="s">
        <v>165</v>
      </c>
      <c r="C10" s="152">
        <v>1.6</v>
      </c>
      <c r="D10" s="6" t="e">
        <f>SUMIF(#REF!,World_Boss[[#This Row],[World Boss]],#REF!)</f>
        <v>#REF!</v>
      </c>
      <c r="E10" s="6">
        <v>46</v>
      </c>
      <c r="F10" s="6" t="e">
        <f t="shared" si="0"/>
        <v>#REF!</v>
      </c>
    </row>
    <row r="11" spans="1:6">
      <c r="A11" s="6">
        <f ca="1">SUBTOTAL(3,$B$2:World_Boss[[#This Row],[World Boss]])</f>
        <v>10</v>
      </c>
      <c r="B11" s="1" t="s">
        <v>174</v>
      </c>
      <c r="C11" s="152">
        <v>2</v>
      </c>
      <c r="D11" s="6" t="e">
        <f>SUMIF(#REF!,World_Boss[[#This Row],[World Boss]],#REF!)</f>
        <v>#REF!</v>
      </c>
      <c r="E11" s="6">
        <v>48</v>
      </c>
      <c r="F11" s="6" t="e">
        <f t="shared" si="0"/>
        <v>#REF!</v>
      </c>
    </row>
    <row r="12" spans="1:6">
      <c r="A12" s="6">
        <f ca="1">SUBTOTAL(3,$B$2:World_Boss[[#This Row],[World Boss]])</f>
        <v>11</v>
      </c>
      <c r="B12" s="1" t="s">
        <v>185</v>
      </c>
      <c r="C12" s="152">
        <v>2</v>
      </c>
      <c r="D12" s="6" t="e">
        <f>SUMIF(#REF!,World_Boss[[#This Row],[World Boss]],#REF!)</f>
        <v>#REF!</v>
      </c>
      <c r="E12" s="6">
        <v>46</v>
      </c>
      <c r="F12" s="6" t="e">
        <f t="shared" si="0"/>
        <v>#REF!</v>
      </c>
    </row>
    <row r="13" spans="1:6">
      <c r="A13" s="6">
        <f ca="1">SUBTOTAL(3,$B$2:World_Boss[[#This Row],[World Boss]])</f>
        <v>12</v>
      </c>
      <c r="B13" s="1" t="s">
        <v>194</v>
      </c>
      <c r="C13" s="152">
        <v>2.1</v>
      </c>
      <c r="D13" s="6" t="e">
        <f>SUMIF(#REF!,World_Boss[[#This Row],[World Boss]],#REF!)</f>
        <v>#REF!</v>
      </c>
      <c r="E13" s="6">
        <v>2</v>
      </c>
      <c r="F13" s="6" t="e">
        <f t="shared" si="0"/>
        <v>#REF!</v>
      </c>
    </row>
    <row r="14" spans="1:6">
      <c r="A14" s="6">
        <f ca="1">SUBTOTAL(3,$B$2:World_Boss[[#This Row],[World Boss]])</f>
        <v>13</v>
      </c>
      <c r="B14" s="1" t="s">
        <v>203</v>
      </c>
      <c r="C14" s="152">
        <v>2.1</v>
      </c>
      <c r="D14" s="6" t="e">
        <f>SUMIF(#REF!,World_Boss[[#This Row],[World Boss]],#REF!)</f>
        <v>#REF!</v>
      </c>
      <c r="E14" s="6">
        <v>47</v>
      </c>
      <c r="F14" s="6" t="e">
        <f t="shared" si="0"/>
        <v>#REF!</v>
      </c>
    </row>
    <row r="15" spans="1:6">
      <c r="A15" s="6">
        <f ca="1">SUBTOTAL(3,$B$2:World_Boss[[#This Row],[World Boss]])</f>
        <v>14</v>
      </c>
      <c r="B15" s="1" t="s">
        <v>214</v>
      </c>
      <c r="C15" s="152">
        <v>2.2999999999999998</v>
      </c>
      <c r="D15" s="6" t="e">
        <f>SUMIF(#REF!,World_Boss[[#This Row],[World Boss]],#REF!)</f>
        <v>#REF!</v>
      </c>
      <c r="E15" s="6">
        <v>47</v>
      </c>
      <c r="F15" s="6" t="e">
        <f t="shared" si="0"/>
        <v>#REF!</v>
      </c>
    </row>
    <row r="16" spans="1:6">
      <c r="A16" s="6">
        <f ca="1">SUBTOTAL(3,$B$2:World_Boss[[#This Row],[World Boss]])</f>
        <v>15</v>
      </c>
      <c r="B16" s="1" t="s">
        <v>223</v>
      </c>
      <c r="C16" s="152">
        <v>2.4</v>
      </c>
      <c r="D16" s="6" t="e">
        <f>SUMIF(#REF!,World_Boss[[#This Row],[World Boss]],#REF!)</f>
        <v>#REF!</v>
      </c>
      <c r="E16" s="6">
        <v>2</v>
      </c>
      <c r="F16" s="6" t="e">
        <f t="shared" si="0"/>
        <v>#REF!</v>
      </c>
    </row>
    <row r="17" spans="1:6">
      <c r="A17" s="6">
        <f ca="1">SUBTOTAL(3,$B$2:World_Boss[[#This Row],[World Boss]])</f>
        <v>16</v>
      </c>
      <c r="B17" s="1" t="s">
        <v>232</v>
      </c>
      <c r="C17" s="152">
        <v>2.6</v>
      </c>
      <c r="D17" s="6" t="e">
        <f>SUMIF(#REF!,World_Boss[[#This Row],[World Boss]],#REF!)</f>
        <v>#REF!</v>
      </c>
      <c r="E17" s="6">
        <v>41</v>
      </c>
      <c r="F17" s="6" t="e">
        <f t="shared" si="0"/>
        <v>#REF!</v>
      </c>
    </row>
    <row r="18" spans="1:6">
      <c r="A18" s="6">
        <f ca="1">SUBTOTAL(3,$B$2:World_Boss[[#This Row],[World Boss]])</f>
        <v>17</v>
      </c>
      <c r="B18" s="1" t="s">
        <v>243</v>
      </c>
      <c r="C18" s="152">
        <v>3</v>
      </c>
      <c r="D18" s="6" t="e">
        <f>SUMIF(#REF!,World_Boss[[#This Row],[World Boss]],#REF!)</f>
        <v>#REF!</v>
      </c>
      <c r="E18" s="6">
        <v>42</v>
      </c>
      <c r="F18" s="6" t="e">
        <f t="shared" si="0"/>
        <v>#REF!</v>
      </c>
    </row>
    <row r="19" spans="1:6">
      <c r="A19" s="6">
        <f ca="1">SUBTOTAL(3,$B$2:World_Boss[[#This Row],[World Boss]])</f>
        <v>18</v>
      </c>
      <c r="B19" s="1" t="s">
        <v>252</v>
      </c>
      <c r="C19" s="152">
        <v>3</v>
      </c>
      <c r="D19" s="6" t="e">
        <f>SUMIF(#REF!,World_Boss[[#This Row],[World Boss]],#REF!)</f>
        <v>#REF!</v>
      </c>
      <c r="E19" s="6">
        <v>93</v>
      </c>
      <c r="F19" s="6" t="e">
        <f t="shared" si="0"/>
        <v>#REF!</v>
      </c>
    </row>
    <row r="20" spans="1:6">
      <c r="A20" s="6">
        <f ca="1">SUBTOTAL(3,$B$2:World_Boss[[#This Row],[World Boss]])</f>
        <v>19</v>
      </c>
      <c r="B20" s="1" t="s">
        <v>261</v>
      </c>
      <c r="C20" s="152">
        <v>3.1</v>
      </c>
      <c r="D20" s="6" t="e">
        <f>SUMIF(#REF!,World_Boss[[#This Row],[World Boss]],#REF!)</f>
        <v>#REF!</v>
      </c>
      <c r="E20" s="6">
        <v>2</v>
      </c>
      <c r="F20" s="6" t="e">
        <f t="shared" si="0"/>
        <v>#REF!</v>
      </c>
    </row>
    <row r="21" spans="1:6">
      <c r="A21" s="6">
        <f ca="1">SUBTOTAL(3,$B$2:World_Boss[[#This Row],[World Boss]])</f>
        <v>20</v>
      </c>
      <c r="B21" s="1" t="s">
        <v>270</v>
      </c>
      <c r="C21" s="152">
        <v>3.1</v>
      </c>
      <c r="D21" s="6" t="e">
        <f>SUMIF(#REF!,World_Boss[[#This Row],[World Boss]],#REF!)</f>
        <v>#REF!</v>
      </c>
      <c r="E21" s="6">
        <v>48</v>
      </c>
      <c r="F21" s="6" t="e">
        <f t="shared" si="0"/>
        <v>#REF!</v>
      </c>
    </row>
    <row r="22" spans="1:6">
      <c r="A22" s="6">
        <f ca="1">SUBTOTAL(3,$B$2:World_Boss[[#This Row],[World Boss]])</f>
        <v>21</v>
      </c>
      <c r="B22" s="1" t="s">
        <v>277</v>
      </c>
      <c r="C22" s="152">
        <v>3.2</v>
      </c>
      <c r="D22" s="6" t="e">
        <f>SUMIF(#REF!,World_Boss[[#This Row],[World Boss]],#REF!)</f>
        <v>#REF!</v>
      </c>
      <c r="E22" s="6">
        <v>95</v>
      </c>
      <c r="F22" s="6" t="e">
        <f t="shared" si="0"/>
        <v>#REF!</v>
      </c>
    </row>
    <row r="23" spans="1:6">
      <c r="A23" s="6">
        <f ca="1">SUBTOTAL(3,$B$2:World_Boss[[#This Row],[World Boss]])</f>
        <v>22</v>
      </c>
      <c r="B23" s="1" t="s">
        <v>284</v>
      </c>
      <c r="C23" s="152">
        <v>3.4</v>
      </c>
      <c r="D23" s="6" t="e">
        <f>SUMIF(#REF!,World_Boss[[#This Row],[World Boss]],#REF!)</f>
        <v>#REF!</v>
      </c>
      <c r="E23" s="6">
        <v>45</v>
      </c>
      <c r="F23" s="6" t="e">
        <f t="shared" si="0"/>
        <v>#REF!</v>
      </c>
    </row>
    <row r="24" spans="1:6">
      <c r="A24" s="6">
        <f ca="1">SUBTOTAL(3,$B$2:World_Boss[[#This Row],[World Boss]])</f>
        <v>23</v>
      </c>
      <c r="B24" s="1" t="s">
        <v>293</v>
      </c>
      <c r="C24" s="152">
        <v>3.6</v>
      </c>
      <c r="D24" s="6" t="e">
        <f>SUMIF(#REF!,World_Boss[[#This Row],[World Boss]],#REF!)</f>
        <v>#REF!</v>
      </c>
      <c r="E24" s="6">
        <v>48</v>
      </c>
      <c r="F24" s="6" t="e">
        <f t="shared" si="0"/>
        <v>#REF!</v>
      </c>
    </row>
    <row r="25" spans="1:6">
      <c r="A25" s="6">
        <f ca="1">SUBTOTAL(3,$B$2:World_Boss[[#This Row],[World Boss]])</f>
        <v>24</v>
      </c>
      <c r="B25" s="1" t="s">
        <v>300</v>
      </c>
      <c r="C25" s="152">
        <v>4</v>
      </c>
      <c r="D25" s="6" t="e">
        <f>SUMIF(#REF!,World_Boss[[#This Row],[World Boss]],#REF!)</f>
        <v>#REF!</v>
      </c>
      <c r="E25" s="6">
        <v>48</v>
      </c>
      <c r="F25" s="6" t="e">
        <f t="shared" si="0"/>
        <v>#REF!</v>
      </c>
    </row>
    <row r="26" spans="1:6">
      <c r="A26" s="6">
        <f ca="1">SUBTOTAL(3,$B$2:World_Boss[[#This Row],[World Boss]])</f>
        <v>25</v>
      </c>
      <c r="B26" s="1" t="s">
        <v>307</v>
      </c>
      <c r="C26" s="152">
        <v>4</v>
      </c>
      <c r="D26" s="6" t="e">
        <f>SUMIF(#REF!,World_Boss[[#This Row],[World Boss]],#REF!)</f>
        <v>#REF!</v>
      </c>
      <c r="E26" s="6">
        <v>49</v>
      </c>
      <c r="F26" s="6" t="e">
        <f t="shared" si="0"/>
        <v>#REF!</v>
      </c>
    </row>
    <row r="27" spans="1:6">
      <c r="A27" s="6">
        <f ca="1">SUBTOTAL(3,$B$2:World_Boss[[#This Row],[World Boss]])</f>
        <v>26</v>
      </c>
      <c r="B27" s="1" t="s">
        <v>317</v>
      </c>
      <c r="C27" s="152">
        <v>4</v>
      </c>
      <c r="D27" s="6" t="e">
        <f>SUMIF(#REF!,World_Boss[[#This Row],[World Boss]],#REF!)</f>
        <v>#REF!</v>
      </c>
      <c r="E27" s="6">
        <v>46</v>
      </c>
      <c r="F27" s="6" t="e">
        <f t="shared" si="0"/>
        <v>#REF!</v>
      </c>
    </row>
    <row r="28" spans="1:6">
      <c r="A28" s="6">
        <f ca="1">SUBTOTAL(3,$B$2:World_Boss[[#This Row],[World Boss]])</f>
        <v>27</v>
      </c>
      <c r="B28" s="1" t="s">
        <v>325</v>
      </c>
      <c r="C28" s="152">
        <v>4.0999999999999996</v>
      </c>
      <c r="D28" s="6" t="e">
        <f>SUMIF(#REF!,World_Boss[[#This Row],[World Boss]],#REF!)</f>
        <v>#REF!</v>
      </c>
      <c r="E28" s="6">
        <v>1</v>
      </c>
      <c r="F28" s="6" t="e">
        <f t="shared" si="0"/>
        <v>#REF!</v>
      </c>
    </row>
    <row r="29" spans="1:6">
      <c r="A29" s="6">
        <f ca="1">SUBTOTAL(3,$B$2:World_Boss[[#This Row],[World Boss]])</f>
        <v>28</v>
      </c>
      <c r="B29" s="1" t="s">
        <v>333</v>
      </c>
      <c r="C29" s="152">
        <v>4.0999999999999996</v>
      </c>
      <c r="D29" s="6" t="e">
        <f>SUMIF(#REF!,World_Boss[[#This Row],[World Boss]],#REF!)</f>
        <v>#REF!</v>
      </c>
      <c r="E29" s="6">
        <v>0</v>
      </c>
      <c r="F29" s="6" t="e">
        <f t="shared" si="0"/>
        <v>#REF!</v>
      </c>
    </row>
    <row r="30" spans="1:6">
      <c r="A30" s="6">
        <f ca="1">SUBTOTAL(3,$B$2:World_Boss[[#This Row],[World Boss]])</f>
        <v>29</v>
      </c>
      <c r="B30" s="1" t="s">
        <v>342</v>
      </c>
      <c r="C30" s="152">
        <v>4.2</v>
      </c>
      <c r="D30" s="6" t="e">
        <f>SUMIF(#REF!,World_Boss[[#This Row],[World Boss]],#REF!)</f>
        <v>#REF!</v>
      </c>
      <c r="E30" s="6">
        <v>1</v>
      </c>
      <c r="F30" s="6" t="e">
        <f t="shared" si="0"/>
        <v>#REF!</v>
      </c>
    </row>
    <row r="31" spans="1:6">
      <c r="A31" s="6">
        <f ca="1">SUBTOTAL(3,$B$2:World_Boss[[#This Row],[World Boss]])</f>
        <v>30</v>
      </c>
      <c r="B31" s="1" t="s">
        <v>37</v>
      </c>
      <c r="C31" s="152">
        <v>4.4000000000000004</v>
      </c>
      <c r="D31" s="6" t="e">
        <f>SUMIF(#REF!,World_Boss[[#This Row],[World Boss]],#REF!)</f>
        <v>#REF!</v>
      </c>
      <c r="E31" s="6">
        <v>20</v>
      </c>
      <c r="F31" s="6" t="e">
        <f t="shared" si="0"/>
        <v>#REF!</v>
      </c>
    </row>
    <row r="32" spans="1:6">
      <c r="A32" s="6">
        <f ca="1">SUBTOTAL(3,$B$2:World_Boss[[#This Row],[World Boss]])</f>
        <v>31</v>
      </c>
      <c r="B32" s="1" t="s">
        <v>357</v>
      </c>
      <c r="C32" s="152">
        <v>4.5999999999999996</v>
      </c>
      <c r="D32" s="6" t="e">
        <f>SUMIF(#REF!,World_Boss[[#This Row],[World Boss]],#REF!)</f>
        <v>#REF!</v>
      </c>
      <c r="E32" s="6">
        <v>0</v>
      </c>
      <c r="F32" s="6" t="e">
        <f t="shared" si="0"/>
        <v>#REF!</v>
      </c>
    </row>
    <row r="33" spans="1:6">
      <c r="A33" s="6" t="s">
        <v>518</v>
      </c>
      <c r="B33" s="1"/>
      <c r="D33" s="6" t="e">
        <f>SUBTOTAL(109,World_Boss[Mats Needed])</f>
        <v>#REF!</v>
      </c>
      <c r="E33" s="6">
        <f>SUBTOTAL(109,World_Boss[Mats Acquired])</f>
        <v>1404</v>
      </c>
      <c r="F33" s="6">
        <f>SUMIF(F2:F32,"&gt;=0")</f>
        <v>0</v>
      </c>
    </row>
    <row r="34" spans="1:6">
      <c r="A34" s="6"/>
      <c r="B34" s="1"/>
      <c r="D34" s="6"/>
      <c r="E34" s="6"/>
      <c r="F34" s="6"/>
    </row>
    <row r="40" spans="1:6">
      <c r="A40" s="95"/>
      <c r="B40" s="96"/>
      <c r="C40" s="96"/>
      <c r="D40" s="95" t="s">
        <v>645</v>
      </c>
      <c r="E40" s="103"/>
      <c r="F40" s="104"/>
    </row>
    <row r="41" spans="1:6">
      <c r="A41" s="7"/>
      <c r="B41" s="99"/>
      <c r="C41" s="150"/>
      <c r="D41" s="98" t="s">
        <v>628</v>
      </c>
      <c r="E41" s="321" t="s">
        <v>629</v>
      </c>
      <c r="F41" s="322"/>
    </row>
    <row r="42" spans="1:6">
      <c r="A42" s="20"/>
      <c r="B42" s="100"/>
      <c r="D42" s="100" t="s">
        <v>630</v>
      </c>
      <c r="E42">
        <f>(60/8)*24</f>
        <v>180</v>
      </c>
      <c r="F42" s="105" t="s">
        <v>631</v>
      </c>
    </row>
    <row r="43" spans="1:6">
      <c r="A43" s="20"/>
      <c r="B43" s="100"/>
      <c r="D43" s="100" t="s">
        <v>646</v>
      </c>
      <c r="E43">
        <v>40</v>
      </c>
      <c r="F43" s="105" t="s">
        <v>631</v>
      </c>
    </row>
    <row r="44" spans="1:6">
      <c r="A44" s="20"/>
      <c r="B44" s="100"/>
      <c r="D44" s="94" t="s">
        <v>647</v>
      </c>
      <c r="E44" s="40">
        <f>E42/E43</f>
        <v>4.5</v>
      </c>
      <c r="F44" s="105" t="s">
        <v>634</v>
      </c>
    </row>
    <row r="45" spans="1:6">
      <c r="A45" s="20"/>
      <c r="B45" s="100"/>
      <c r="D45" s="94" t="s">
        <v>648</v>
      </c>
      <c r="E45" s="40">
        <v>2.5</v>
      </c>
      <c r="F45" s="105" t="s">
        <v>649</v>
      </c>
    </row>
    <row r="46" spans="1:6">
      <c r="A46" s="20"/>
      <c r="B46" s="100"/>
      <c r="D46" s="94" t="s">
        <v>650</v>
      </c>
      <c r="E46" s="40">
        <f>E44*E45</f>
        <v>11.25</v>
      </c>
      <c r="F46" s="105" t="s">
        <v>649</v>
      </c>
    </row>
    <row r="47" spans="1:6">
      <c r="A47" s="20"/>
      <c r="B47" s="101"/>
      <c r="C47" s="4"/>
      <c r="D47" s="93" t="s">
        <v>651</v>
      </c>
      <c r="E47" s="37">
        <f>World_Boss[[#Totals],[Remaining Mats]]/E46</f>
        <v>0</v>
      </c>
      <c r="F47" s="106" t="s">
        <v>639</v>
      </c>
    </row>
    <row r="48" spans="1:6">
      <c r="A48" s="21"/>
      <c r="B48" s="92"/>
      <c r="C48" s="151"/>
      <c r="D48" s="91" t="s">
        <v>640</v>
      </c>
      <c r="E48" s="39">
        <f>E42*E47</f>
        <v>0</v>
      </c>
      <c r="F48" s="107" t="s">
        <v>631</v>
      </c>
    </row>
    <row r="49" spans="4:4">
      <c r="D49" s="139" t="s">
        <v>641</v>
      </c>
    </row>
  </sheetData>
  <protectedRanges>
    <protectedRange sqref="E2:E30" name="World Boss Mats"/>
  </protectedRanges>
  <mergeCells count="1">
    <mergeCell ref="E41:F41"/>
  </mergeCells>
  <dataValidations count="1">
    <dataValidation type="whole" operator="greaterThanOrEqual" allowBlank="1" showInputMessage="1" showErrorMessage="1" errorTitle="Numeric Values Only!" error="Please put numeric values only." sqref="E2:E32" xr:uid="{2A86AE08-7CF5-4CD4-97E1-B726D9C1700D}">
      <formula1>0</formula1>
    </dataValidation>
  </dataValidations>
  <pageMargins left="0.7" right="0.7" top="0.75" bottom="0.75" header="0.3" footer="0.3"/>
  <legacy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R32"/>
  <sheetViews>
    <sheetView workbookViewId="0">
      <selection sqref="A1:M1"/>
    </sheetView>
    <sheetView workbookViewId="1">
      <selection sqref="A1:M1"/>
    </sheetView>
  </sheetViews>
  <sheetFormatPr defaultRowHeight="15"/>
  <cols>
    <col min="2" max="2" width="13.85546875" customWidth="1"/>
    <col min="3" max="3" width="12.7109375" customWidth="1"/>
    <col min="4" max="4" width="12.7109375" style="2" customWidth="1"/>
    <col min="12" max="12" width="9.140625" customWidth="1"/>
  </cols>
  <sheetData>
    <row r="1" spans="1:13">
      <c r="A1" s="332" t="s">
        <v>652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4"/>
    </row>
    <row r="2" spans="1:13">
      <c r="A2" s="28"/>
      <c r="B2" s="28"/>
      <c r="C2" s="23"/>
      <c r="D2" s="157"/>
      <c r="E2" s="338" t="s">
        <v>653</v>
      </c>
      <c r="F2" s="339"/>
      <c r="G2" s="340"/>
      <c r="H2" s="338" t="s">
        <v>654</v>
      </c>
      <c r="I2" s="339"/>
      <c r="J2" s="340"/>
      <c r="K2" s="338" t="s">
        <v>655</v>
      </c>
      <c r="L2" s="339"/>
      <c r="M2" s="340"/>
    </row>
    <row r="3" spans="1:13">
      <c r="A3" s="29" t="s">
        <v>459</v>
      </c>
      <c r="B3" s="29" t="s">
        <v>4</v>
      </c>
      <c r="C3" s="26" t="s">
        <v>656</v>
      </c>
      <c r="D3" s="29" t="s">
        <v>471</v>
      </c>
      <c r="E3" s="335" t="s">
        <v>657</v>
      </c>
      <c r="F3" s="336"/>
      <c r="G3" s="337"/>
      <c r="H3" s="335" t="s">
        <v>657</v>
      </c>
      <c r="I3" s="336"/>
      <c r="J3" s="337"/>
      <c r="K3" s="335" t="s">
        <v>657</v>
      </c>
      <c r="L3" s="336"/>
      <c r="M3" s="337"/>
    </row>
    <row r="4" spans="1:13">
      <c r="A4" s="27" t="s">
        <v>459</v>
      </c>
      <c r="B4" s="27" t="s">
        <v>4</v>
      </c>
      <c r="C4" s="27" t="s">
        <v>656</v>
      </c>
      <c r="D4" s="158" t="s">
        <v>471</v>
      </c>
      <c r="E4" s="24" t="s">
        <v>481</v>
      </c>
      <c r="F4" s="6" t="s">
        <v>482</v>
      </c>
      <c r="G4" s="25" t="s">
        <v>483</v>
      </c>
      <c r="H4" s="24" t="s">
        <v>658</v>
      </c>
      <c r="I4" s="6" t="s">
        <v>659</v>
      </c>
      <c r="J4" s="25" t="s">
        <v>660</v>
      </c>
      <c r="K4" s="24" t="s">
        <v>661</v>
      </c>
      <c r="L4" s="6" t="s">
        <v>662</v>
      </c>
      <c r="M4" s="25" t="s">
        <v>663</v>
      </c>
    </row>
    <row r="5" spans="1:13">
      <c r="A5" s="14">
        <f ca="1">SUBTOTAL(3,$B$5:Talent_Books[[#This Row],[Book Region]])</f>
        <v>1</v>
      </c>
      <c r="B5" s="14" t="s">
        <v>664</v>
      </c>
      <c r="C5" s="48" t="s">
        <v>519</v>
      </c>
      <c r="D5" s="155">
        <v>1</v>
      </c>
      <c r="E5" s="9" t="e">
        <f>SUMIF(#REF!,Talent_Books[[#This Row],[Book name]],#REF!)</f>
        <v>#REF!</v>
      </c>
      <c r="F5" s="2" t="e">
        <f>SUMIF(#REF!,Talent_Books[[#This Row],[Book name]],#REF!)</f>
        <v>#REF!</v>
      </c>
      <c r="G5" s="10" t="e">
        <f>SUMIF(#REF!,Talent_Books[[#This Row],[Book name]],#REF!)</f>
        <v>#REF!</v>
      </c>
      <c r="H5" s="9">
        <v>10</v>
      </c>
      <c r="I5" s="2">
        <v>61</v>
      </c>
      <c r="J5" s="10">
        <v>49</v>
      </c>
      <c r="K5" s="9" t="e">
        <f t="shared" ref="K5:K19" si="0">E5-H5</f>
        <v>#REF!</v>
      </c>
      <c r="L5" s="2" t="e">
        <f t="shared" ref="L5:L19" si="1">F5-I5</f>
        <v>#REF!</v>
      </c>
      <c r="M5" s="10" t="e">
        <f t="shared" ref="M5:M19" si="2">G5-J5</f>
        <v>#REF!</v>
      </c>
    </row>
    <row r="6" spans="1:13">
      <c r="A6" s="14">
        <f ca="1">SUBTOTAL(3,$B$5:Talent_Books[[#This Row],[Book Region]])</f>
        <v>2</v>
      </c>
      <c r="B6" s="14" t="s">
        <v>664</v>
      </c>
      <c r="C6" s="48" t="s">
        <v>549</v>
      </c>
      <c r="D6" s="155">
        <v>1</v>
      </c>
      <c r="E6" s="9" t="e">
        <f>SUMIF(#REF!,Talent_Books[[#This Row],[Book name]],#REF!)</f>
        <v>#REF!</v>
      </c>
      <c r="F6" s="2" t="e">
        <f>SUMIF(#REF!,Talent_Books[[#This Row],[Book name]],#REF!)</f>
        <v>#REF!</v>
      </c>
      <c r="G6" s="10" t="e">
        <f>SUMIF(#REF!,Talent_Books[[#This Row],[Book name]],#REF!)</f>
        <v>#REF!</v>
      </c>
      <c r="H6" s="9">
        <v>34</v>
      </c>
      <c r="I6" s="2">
        <v>59</v>
      </c>
      <c r="J6" s="10">
        <v>44</v>
      </c>
      <c r="K6" s="9" t="e">
        <f t="shared" si="0"/>
        <v>#REF!</v>
      </c>
      <c r="L6" s="2" t="e">
        <f t="shared" si="1"/>
        <v>#REF!</v>
      </c>
      <c r="M6" s="10" t="e">
        <f t="shared" si="2"/>
        <v>#REF!</v>
      </c>
    </row>
    <row r="7" spans="1:13">
      <c r="A7" s="14">
        <f ca="1">SUBTOTAL(3,$B$5:Talent_Books[[#This Row],[Book Region]])</f>
        <v>3</v>
      </c>
      <c r="B7" s="14" t="s">
        <v>664</v>
      </c>
      <c r="C7" s="48" t="s">
        <v>527</v>
      </c>
      <c r="D7" s="155">
        <v>1</v>
      </c>
      <c r="E7" s="9" t="e">
        <f>SUMIF(#REF!,Talent_Books[[#This Row],[Book name]],#REF!)</f>
        <v>#REF!</v>
      </c>
      <c r="F7" s="2" t="e">
        <f>SUMIF(#REF!,Talent_Books[[#This Row],[Book name]],#REF!)</f>
        <v>#REF!</v>
      </c>
      <c r="G7" s="10" t="e">
        <f>SUMIF(#REF!,Talent_Books[[#This Row],[Book name]],#REF!)</f>
        <v>#REF!</v>
      </c>
      <c r="H7" s="9">
        <v>36</v>
      </c>
      <c r="I7" s="2">
        <v>81</v>
      </c>
      <c r="J7" s="10">
        <v>49</v>
      </c>
      <c r="K7" s="9" t="e">
        <f t="shared" si="0"/>
        <v>#REF!</v>
      </c>
      <c r="L7" s="2" t="e">
        <f t="shared" si="1"/>
        <v>#REF!</v>
      </c>
      <c r="M7" s="10" t="e">
        <f t="shared" si="2"/>
        <v>#REF!</v>
      </c>
    </row>
    <row r="8" spans="1:13">
      <c r="A8" s="14">
        <f ca="1">SUBTOTAL(3,$B$5:Talent_Books[[#This Row],[Book Region]])</f>
        <v>4</v>
      </c>
      <c r="B8" s="14" t="s">
        <v>665</v>
      </c>
      <c r="C8" s="48" t="s">
        <v>540</v>
      </c>
      <c r="D8" s="155">
        <v>1.01</v>
      </c>
      <c r="E8" s="9" t="e">
        <f>SUMIF(#REF!,Talent_Books[[#This Row],[Book name]],#REF!)</f>
        <v>#REF!</v>
      </c>
      <c r="F8" s="2" t="e">
        <f>SUMIF(#REF!,Talent_Books[[#This Row],[Book name]],#REF!)</f>
        <v>#REF!</v>
      </c>
      <c r="G8" s="10" t="e">
        <f>SUMIF(#REF!,Talent_Books[[#This Row],[Book name]],#REF!)</f>
        <v>#REF!</v>
      </c>
      <c r="H8" s="9">
        <v>11</v>
      </c>
      <c r="I8" s="2">
        <v>91</v>
      </c>
      <c r="J8" s="10">
        <v>205</v>
      </c>
      <c r="K8" s="9" t="e">
        <f t="shared" si="0"/>
        <v>#REF!</v>
      </c>
      <c r="L8" s="2" t="e">
        <f t="shared" si="1"/>
        <v>#REF!</v>
      </c>
      <c r="M8" s="10" t="e">
        <f t="shared" si="2"/>
        <v>#REF!</v>
      </c>
    </row>
    <row r="9" spans="1:13">
      <c r="A9" s="14">
        <f ca="1">SUBTOTAL(3,$B$5:Talent_Books[[#This Row],[Book Region]])</f>
        <v>5</v>
      </c>
      <c r="B9" s="14" t="s">
        <v>665</v>
      </c>
      <c r="C9" s="48" t="s">
        <v>578</v>
      </c>
      <c r="D9" s="155">
        <v>1.01</v>
      </c>
      <c r="E9" s="9" t="e">
        <f>SUMIF(#REF!,Talent_Books[[#This Row],[Book name]],#REF!)</f>
        <v>#REF!</v>
      </c>
      <c r="F9" s="2" t="e">
        <f>SUMIF(#REF!,Talent_Books[[#This Row],[Book name]],#REF!)</f>
        <v>#REF!</v>
      </c>
      <c r="G9" s="10" t="e">
        <f>SUMIF(#REF!,Talent_Books[[#This Row],[Book name]],#REF!)</f>
        <v>#REF!</v>
      </c>
      <c r="H9" s="9">
        <v>17</v>
      </c>
      <c r="I9" s="2">
        <v>126</v>
      </c>
      <c r="J9" s="10">
        <v>121</v>
      </c>
      <c r="K9" s="9" t="e">
        <f t="shared" si="0"/>
        <v>#REF!</v>
      </c>
      <c r="L9" s="2" t="e">
        <f t="shared" si="1"/>
        <v>#REF!</v>
      </c>
      <c r="M9" s="10" t="e">
        <f t="shared" si="2"/>
        <v>#REF!</v>
      </c>
    </row>
    <row r="10" spans="1:13">
      <c r="A10" s="14">
        <f ca="1">SUBTOTAL(3,$B$5:Talent_Books[[#This Row],[Book Region]])</f>
        <v>6</v>
      </c>
      <c r="B10" s="14" t="s">
        <v>665</v>
      </c>
      <c r="C10" s="48" t="s">
        <v>562</v>
      </c>
      <c r="D10" s="155">
        <v>1.01</v>
      </c>
      <c r="E10" s="9" t="e">
        <f>SUMIF(#REF!,Talent_Books[[#This Row],[Book name]],#REF!)</f>
        <v>#REF!</v>
      </c>
      <c r="F10" s="2" t="e">
        <f>SUMIF(#REF!,Talent_Books[[#This Row],[Book name]],#REF!)</f>
        <v>#REF!</v>
      </c>
      <c r="G10" s="10" t="e">
        <f>SUMIF(#REF!,Talent_Books[[#This Row],[Book name]],#REF!)</f>
        <v>#REF!</v>
      </c>
      <c r="H10" s="9">
        <v>11</v>
      </c>
      <c r="I10" s="2">
        <v>134</v>
      </c>
      <c r="J10" s="10">
        <v>177</v>
      </c>
      <c r="K10" s="9" t="e">
        <f t="shared" si="0"/>
        <v>#REF!</v>
      </c>
      <c r="L10" s="2" t="e">
        <f t="shared" si="1"/>
        <v>#REF!</v>
      </c>
      <c r="M10" s="10" t="e">
        <f t="shared" si="2"/>
        <v>#REF!</v>
      </c>
    </row>
    <row r="11" spans="1:13">
      <c r="A11" s="14">
        <f ca="1">SUBTOTAL(3,$B$5:Talent_Books[[#This Row],[Book Region]])</f>
        <v>7</v>
      </c>
      <c r="B11" s="14" t="s">
        <v>666</v>
      </c>
      <c r="C11" s="48" t="s">
        <v>582</v>
      </c>
      <c r="D11" s="155">
        <v>2</v>
      </c>
      <c r="E11" s="9" t="e">
        <f>SUMIF(#REF!,Talent_Books[[#This Row],[Book name]],#REF!)</f>
        <v>#REF!</v>
      </c>
      <c r="F11" s="2" t="e">
        <f>SUMIF(#REF!,Talent_Books[[#This Row],[Book name]],#REF!)</f>
        <v>#REF!</v>
      </c>
      <c r="G11" s="10" t="e">
        <f>SUMIF(#REF!,Talent_Books[[#This Row],[Book name]],#REF!)</f>
        <v>#REF!</v>
      </c>
      <c r="H11" s="9">
        <v>6</v>
      </c>
      <c r="I11" s="2">
        <v>27</v>
      </c>
      <c r="J11" s="10">
        <v>63</v>
      </c>
      <c r="K11" s="9" t="e">
        <f t="shared" si="0"/>
        <v>#REF!</v>
      </c>
      <c r="L11" s="2" t="e">
        <f t="shared" si="1"/>
        <v>#REF!</v>
      </c>
      <c r="M11" s="10" t="e">
        <f t="shared" si="2"/>
        <v>#REF!</v>
      </c>
    </row>
    <row r="12" spans="1:13">
      <c r="A12" s="14">
        <f ca="1">SUBTOTAL(3,$B$5:Talent_Books[[#This Row],[Book Region]])</f>
        <v>8</v>
      </c>
      <c r="B12" s="14" t="s">
        <v>666</v>
      </c>
      <c r="C12" s="48" t="s">
        <v>561</v>
      </c>
      <c r="D12" s="155">
        <v>2</v>
      </c>
      <c r="E12" s="9" t="e">
        <f>SUMIF(#REF!,Talent_Books[[#This Row],[Book name]],#REF!)</f>
        <v>#REF!</v>
      </c>
      <c r="F12" s="2" t="e">
        <f>SUMIF(#REF!,Talent_Books[[#This Row],[Book name]],#REF!)</f>
        <v>#REF!</v>
      </c>
      <c r="G12" s="10" t="e">
        <f>SUMIF(#REF!,Talent_Books[[#This Row],[Book name]],#REF!)</f>
        <v>#REF!</v>
      </c>
      <c r="H12" s="9">
        <v>11</v>
      </c>
      <c r="I12" s="2">
        <v>77</v>
      </c>
      <c r="J12" s="10">
        <v>25</v>
      </c>
      <c r="K12" s="9" t="e">
        <f t="shared" si="0"/>
        <v>#REF!</v>
      </c>
      <c r="L12" s="2" t="e">
        <f t="shared" si="1"/>
        <v>#REF!</v>
      </c>
      <c r="M12" s="10" t="e">
        <f t="shared" si="2"/>
        <v>#REF!</v>
      </c>
    </row>
    <row r="13" spans="1:13">
      <c r="A13" s="14">
        <f ca="1">SUBTOTAL(3,$B$5:Talent_Books[[#This Row],[Book Region]])</f>
        <v>9</v>
      </c>
      <c r="B13" s="14" t="s">
        <v>666</v>
      </c>
      <c r="C13" s="48" t="s">
        <v>535</v>
      </c>
      <c r="D13" s="155">
        <v>2</v>
      </c>
      <c r="E13" s="9" t="e">
        <f>SUMIF(#REF!,Talent_Books[[#This Row],[Book name]],#REF!)</f>
        <v>#REF!</v>
      </c>
      <c r="F13" s="2" t="e">
        <f>SUMIF(#REF!,Talent_Books[[#This Row],[Book name]],#REF!)</f>
        <v>#REF!</v>
      </c>
      <c r="G13" s="10" t="e">
        <f>SUMIF(#REF!,Talent_Books[[#This Row],[Book name]],#REF!)</f>
        <v>#REF!</v>
      </c>
      <c r="H13" s="9">
        <v>6</v>
      </c>
      <c r="I13" s="2">
        <v>52</v>
      </c>
      <c r="J13" s="10">
        <v>48</v>
      </c>
      <c r="K13" s="9" t="e">
        <f t="shared" si="0"/>
        <v>#REF!</v>
      </c>
      <c r="L13" s="2" t="e">
        <f t="shared" si="1"/>
        <v>#REF!</v>
      </c>
      <c r="M13" s="10" t="e">
        <f t="shared" si="2"/>
        <v>#REF!</v>
      </c>
    </row>
    <row r="14" spans="1:13">
      <c r="A14" s="14">
        <f ca="1">SUBTOTAL(3,$B$5:Talent_Books[[#This Row],[Book Region]])</f>
        <v>10</v>
      </c>
      <c r="B14" s="14" t="s">
        <v>667</v>
      </c>
      <c r="C14" s="48" t="s">
        <v>522</v>
      </c>
      <c r="D14" s="155">
        <v>3</v>
      </c>
      <c r="E14" s="9" t="e">
        <f>SUMIF(#REF!,Talent_Books[[#This Row],[Book name]],#REF!)</f>
        <v>#REF!</v>
      </c>
      <c r="F14" s="2" t="e">
        <f>SUMIF(#REF!,Talent_Books[[#This Row],[Book name]],#REF!)</f>
        <v>#REF!</v>
      </c>
      <c r="G14" s="10" t="e">
        <f>SUMIF(#REF!,Talent_Books[[#This Row],[Book name]],#REF!)</f>
        <v>#REF!</v>
      </c>
      <c r="H14" s="9">
        <v>3</v>
      </c>
      <c r="I14" s="2">
        <v>26</v>
      </c>
      <c r="J14" s="10">
        <v>90</v>
      </c>
      <c r="K14" s="9" t="e">
        <f t="shared" si="0"/>
        <v>#REF!</v>
      </c>
      <c r="L14" s="2" t="e">
        <f t="shared" si="1"/>
        <v>#REF!</v>
      </c>
      <c r="M14" s="10" t="e">
        <f t="shared" si="2"/>
        <v>#REF!</v>
      </c>
    </row>
    <row r="15" spans="1:13">
      <c r="A15" s="14">
        <f ca="1">SUBTOTAL(3,$B$5:Talent_Books[[#This Row],[Book Region]])</f>
        <v>11</v>
      </c>
      <c r="B15" s="14" t="s">
        <v>667</v>
      </c>
      <c r="C15" s="48" t="s">
        <v>552</v>
      </c>
      <c r="D15" s="155">
        <v>3</v>
      </c>
      <c r="E15" s="9" t="e">
        <f>SUMIF(#REF!,Talent_Books[[#This Row],[Book name]],#REF!)</f>
        <v>#REF!</v>
      </c>
      <c r="F15" s="2" t="e">
        <f>SUMIF(#REF!,Talent_Books[[#This Row],[Book name]],#REF!)</f>
        <v>#REF!</v>
      </c>
      <c r="G15" s="10" t="e">
        <f>SUMIF(#REF!,Talent_Books[[#This Row],[Book name]],#REF!)</f>
        <v>#REF!</v>
      </c>
      <c r="H15" s="9">
        <v>7</v>
      </c>
      <c r="I15" s="2">
        <v>110</v>
      </c>
      <c r="J15" s="10">
        <v>115</v>
      </c>
      <c r="K15" s="9" t="e">
        <f t="shared" si="0"/>
        <v>#REF!</v>
      </c>
      <c r="L15" s="2" t="e">
        <f t="shared" si="1"/>
        <v>#REF!</v>
      </c>
      <c r="M15" s="10" t="e">
        <f t="shared" si="2"/>
        <v>#REF!</v>
      </c>
    </row>
    <row r="16" spans="1:13">
      <c r="A16" s="14">
        <f ca="1">SUBTOTAL(3,$B$5:Talent_Books[[#This Row],[Book Region]])</f>
        <v>12</v>
      </c>
      <c r="B16" s="14" t="s">
        <v>667</v>
      </c>
      <c r="C16" s="48" t="s">
        <v>39</v>
      </c>
      <c r="D16" s="155">
        <v>3</v>
      </c>
      <c r="E16" s="9" t="e">
        <f>SUMIF(#REF!,Talent_Books[[#This Row],[Book name]],#REF!)</f>
        <v>#REF!</v>
      </c>
      <c r="F16" s="2" t="e">
        <f>SUMIF(#REF!,Talent_Books[[#This Row],[Book name]],#REF!)</f>
        <v>#REF!</v>
      </c>
      <c r="G16" s="10" t="e">
        <f>SUMIF(#REF!,Talent_Books[[#This Row],[Book name]],#REF!)</f>
        <v>#REF!</v>
      </c>
      <c r="H16" s="9">
        <v>36</v>
      </c>
      <c r="I16" s="2">
        <v>25</v>
      </c>
      <c r="J16" s="10">
        <v>32</v>
      </c>
      <c r="K16" s="9" t="e">
        <f t="shared" si="0"/>
        <v>#REF!</v>
      </c>
      <c r="L16" s="2" t="e">
        <f t="shared" si="1"/>
        <v>#REF!</v>
      </c>
      <c r="M16" s="10" t="e">
        <f t="shared" si="2"/>
        <v>#REF!</v>
      </c>
    </row>
    <row r="17" spans="1:18">
      <c r="A17" s="14">
        <f ca="1">SUBTOTAL(3,$B$5:Talent_Books[[#This Row],[Book Region]])</f>
        <v>13</v>
      </c>
      <c r="B17" s="14" t="s">
        <v>668</v>
      </c>
      <c r="C17" s="48" t="s">
        <v>556</v>
      </c>
      <c r="D17" s="155">
        <v>4</v>
      </c>
      <c r="E17" s="9" t="e">
        <f>SUMIF(#REF!,Talent_Books[[#This Row],[Book name]],#REF!)</f>
        <v>#REF!</v>
      </c>
      <c r="F17" s="2" t="e">
        <f>SUMIF(#REF!,Talent_Books[[#This Row],[Book name]],#REF!)</f>
        <v>#REF!</v>
      </c>
      <c r="G17" s="10" t="e">
        <f>SUMIF(#REF!,Talent_Books[[#This Row],[Book name]],#REF!)</f>
        <v>#REF!</v>
      </c>
      <c r="H17" s="9">
        <v>19</v>
      </c>
      <c r="I17" s="2">
        <v>107</v>
      </c>
      <c r="J17" s="10">
        <v>154</v>
      </c>
      <c r="K17" s="9" t="e">
        <f t="shared" si="0"/>
        <v>#REF!</v>
      </c>
      <c r="L17" s="2" t="e">
        <f t="shared" si="1"/>
        <v>#REF!</v>
      </c>
      <c r="M17" s="10" t="e">
        <f t="shared" si="2"/>
        <v>#REF!</v>
      </c>
    </row>
    <row r="18" spans="1:18">
      <c r="A18" s="14">
        <f ca="1">SUBTOTAL(3,$B$5:Talent_Books[[#This Row],[Book Region]])</f>
        <v>14</v>
      </c>
      <c r="B18" s="14" t="s">
        <v>668</v>
      </c>
      <c r="C18" s="48" t="s">
        <v>537</v>
      </c>
      <c r="D18" s="155">
        <v>4</v>
      </c>
      <c r="E18" s="9" t="e">
        <f>SUMIF(#REF!,Talent_Books[[#This Row],[Book name]],#REF!)</f>
        <v>#REF!</v>
      </c>
      <c r="F18" s="2" t="e">
        <f>SUMIF(#REF!,Talent_Books[[#This Row],[Book name]],#REF!)</f>
        <v>#REF!</v>
      </c>
      <c r="G18" s="10" t="e">
        <f>SUMIF(#REF!,Talent_Books[[#This Row],[Book name]],#REF!)</f>
        <v>#REF!</v>
      </c>
      <c r="H18" s="9">
        <v>28</v>
      </c>
      <c r="I18" s="2">
        <v>46</v>
      </c>
      <c r="J18" s="10">
        <v>120</v>
      </c>
      <c r="K18" s="9" t="e">
        <f t="shared" si="0"/>
        <v>#REF!</v>
      </c>
      <c r="L18" s="2" t="e">
        <f t="shared" si="1"/>
        <v>#REF!</v>
      </c>
      <c r="M18" s="10" t="e">
        <f t="shared" si="2"/>
        <v>#REF!</v>
      </c>
    </row>
    <row r="19" spans="1:18">
      <c r="A19" s="14">
        <f ca="1">SUBTOTAL(3,$B$5:Talent_Books[[#This Row],[Book Region]])</f>
        <v>15</v>
      </c>
      <c r="B19" s="14" t="s">
        <v>668</v>
      </c>
      <c r="C19" s="48" t="s">
        <v>597</v>
      </c>
      <c r="D19" s="155">
        <v>4</v>
      </c>
      <c r="E19" s="9" t="e">
        <f>SUMIF(#REF!,Talent_Books[[#This Row],[Book name]],#REF!)</f>
        <v>#REF!</v>
      </c>
      <c r="F19" s="2" t="e">
        <f>SUMIF(#REF!,Talent_Books[[#This Row],[Book name]],#REF!)</f>
        <v>#REF!</v>
      </c>
      <c r="G19" s="10" t="e">
        <f>SUMIF(#REF!,Talent_Books[[#This Row],[Book name]],#REF!)</f>
        <v>#REF!</v>
      </c>
      <c r="H19" s="9">
        <v>15</v>
      </c>
      <c r="I19" s="2">
        <v>37</v>
      </c>
      <c r="J19" s="10">
        <v>45</v>
      </c>
      <c r="K19" s="9" t="e">
        <f t="shared" si="0"/>
        <v>#REF!</v>
      </c>
      <c r="L19" s="2" t="e">
        <f t="shared" si="1"/>
        <v>#REF!</v>
      </c>
      <c r="M19" s="10" t="e">
        <f t="shared" si="2"/>
        <v>#REF!</v>
      </c>
    </row>
    <row r="20" spans="1:18">
      <c r="A20" s="16" t="s">
        <v>518</v>
      </c>
      <c r="B20" s="16"/>
      <c r="C20" s="156"/>
      <c r="D20" s="16"/>
      <c r="E20" s="30" t="e">
        <f>SUBTOTAL(109,Talent_Books[4*])</f>
        <v>#REF!</v>
      </c>
      <c r="F20" s="31" t="e">
        <f>SUBTOTAL(109,Talent_Books[3*])</f>
        <v>#REF!</v>
      </c>
      <c r="G20" s="32" t="e">
        <f>SUBTOTAL(109,Talent_Books[2*])</f>
        <v>#REF!</v>
      </c>
      <c r="H20" s="30">
        <f>SUBTOTAL(109,Talent_Books[4*2])</f>
        <v>250</v>
      </c>
      <c r="I20" s="31">
        <f>SUBTOTAL(109,Talent_Books[3*3])</f>
        <v>1059</v>
      </c>
      <c r="J20" s="32">
        <f>SUBTOTAL(109,Talent_Books[2*4])</f>
        <v>1337</v>
      </c>
      <c r="K20" s="2">
        <f>SUMIF(K5:K19,"&gt;=0")</f>
        <v>0</v>
      </c>
      <c r="L20" s="2">
        <f>SUMIF(L5:L19,"&gt;=0")</f>
        <v>0</v>
      </c>
      <c r="M20" s="10">
        <f>SUMIF(M5:M19,"&gt;=0")</f>
        <v>0</v>
      </c>
    </row>
    <row r="21" spans="1:18">
      <c r="A21" s="33"/>
      <c r="B21" s="108"/>
      <c r="C21" s="108"/>
      <c r="D21" s="96"/>
      <c r="E21" s="108" t="s">
        <v>645</v>
      </c>
      <c r="F21" s="108"/>
      <c r="G21" s="108"/>
      <c r="H21" s="108"/>
      <c r="I21" s="108"/>
      <c r="J21" s="109"/>
      <c r="O21" s="327" t="s">
        <v>669</v>
      </c>
      <c r="P21" s="328"/>
      <c r="Q21" s="328"/>
      <c r="R21" s="329"/>
    </row>
    <row r="22" spans="1:18">
      <c r="A22" s="20"/>
      <c r="B22" s="100"/>
      <c r="C22" s="100"/>
      <c r="E22" s="94" t="s">
        <v>628</v>
      </c>
      <c r="F22" s="141" t="s">
        <v>670</v>
      </c>
      <c r="G22" s="330" t="s">
        <v>671</v>
      </c>
      <c r="H22" s="330" t="s">
        <v>672</v>
      </c>
      <c r="I22" s="330" t="s">
        <v>673</v>
      </c>
      <c r="J22" s="22"/>
      <c r="O22" s="113"/>
      <c r="P22" s="114" t="s">
        <v>481</v>
      </c>
      <c r="Q22" s="114" t="s">
        <v>482</v>
      </c>
      <c r="R22" s="114" t="s">
        <v>483</v>
      </c>
    </row>
    <row r="23" spans="1:18">
      <c r="A23" s="20"/>
      <c r="B23" s="100"/>
      <c r="C23" s="100"/>
      <c r="E23" s="94" t="s">
        <v>630</v>
      </c>
      <c r="F23">
        <v>180</v>
      </c>
      <c r="G23" s="331"/>
      <c r="H23" s="331"/>
      <c r="I23" s="331"/>
      <c r="J23" s="22" t="s">
        <v>631</v>
      </c>
      <c r="O23" s="115" t="s">
        <v>674</v>
      </c>
      <c r="P23" s="116">
        <v>0</v>
      </c>
      <c r="Q23" s="116">
        <v>3</v>
      </c>
      <c r="R23" s="116">
        <v>2</v>
      </c>
    </row>
    <row r="24" spans="1:18">
      <c r="A24" s="20"/>
      <c r="B24" s="100"/>
      <c r="C24" s="100"/>
      <c r="E24" s="94" t="s">
        <v>675</v>
      </c>
      <c r="F24">
        <v>20</v>
      </c>
      <c r="G24" s="331"/>
      <c r="H24" s="331"/>
      <c r="I24" s="331"/>
      <c r="J24" s="22" t="s">
        <v>631</v>
      </c>
      <c r="O24" s="117" t="s">
        <v>676</v>
      </c>
      <c r="P24" s="116">
        <v>0</v>
      </c>
      <c r="Q24" s="116">
        <v>2</v>
      </c>
      <c r="R24" s="116">
        <v>2</v>
      </c>
    </row>
    <row r="25" spans="1:18">
      <c r="A25" s="20"/>
      <c r="B25" s="100"/>
      <c r="C25" s="100"/>
      <c r="E25" s="94" t="s">
        <v>677</v>
      </c>
      <c r="F25" s="40">
        <f>F23/F24</f>
        <v>9</v>
      </c>
      <c r="G25" s="331"/>
      <c r="H25" s="331"/>
      <c r="I25" s="331"/>
      <c r="J25" s="22" t="s">
        <v>634</v>
      </c>
      <c r="O25" s="117" t="s">
        <v>678</v>
      </c>
      <c r="P25" s="116">
        <v>0</v>
      </c>
      <c r="Q25" s="116">
        <v>2</v>
      </c>
      <c r="R25" s="116">
        <v>2</v>
      </c>
    </row>
    <row r="26" spans="1:18">
      <c r="A26" s="20"/>
      <c r="B26" s="100"/>
      <c r="C26" s="100"/>
      <c r="E26" s="94" t="s">
        <v>679</v>
      </c>
      <c r="F26" s="40"/>
      <c r="G26" s="40">
        <f>AVERAGE(P23:P31)</f>
        <v>0.44444444444444442</v>
      </c>
      <c r="H26" s="40">
        <f>AVERAGE(Q23:Q31)</f>
        <v>1.7777777777777777</v>
      </c>
      <c r="I26" s="40">
        <f>AVERAGE(R23:R31)</f>
        <v>2.1111111111111112</v>
      </c>
      <c r="J26" s="22" t="s">
        <v>649</v>
      </c>
      <c r="O26" s="117" t="s">
        <v>680</v>
      </c>
      <c r="P26" s="116">
        <v>0</v>
      </c>
      <c r="Q26" s="116">
        <v>2</v>
      </c>
      <c r="R26" s="116">
        <v>2</v>
      </c>
    </row>
    <row r="27" spans="1:18">
      <c r="A27" s="20"/>
      <c r="B27" s="100"/>
      <c r="C27" s="100"/>
      <c r="E27" s="94" t="s">
        <v>650</v>
      </c>
      <c r="F27" s="40"/>
      <c r="G27">
        <f>$F$25*G26</f>
        <v>4</v>
      </c>
      <c r="H27">
        <f>$F$25*H26</f>
        <v>16</v>
      </c>
      <c r="I27">
        <f>$F$25*I26</f>
        <v>19</v>
      </c>
      <c r="J27" s="22" t="s">
        <v>649</v>
      </c>
      <c r="O27" s="117" t="s">
        <v>681</v>
      </c>
      <c r="P27" s="116">
        <v>0</v>
      </c>
      <c r="Q27" s="116">
        <v>2</v>
      </c>
      <c r="R27" s="116">
        <v>3</v>
      </c>
    </row>
    <row r="28" spans="1:18">
      <c r="A28" s="20"/>
      <c r="B28" s="101"/>
      <c r="C28" s="101"/>
      <c r="D28" s="4"/>
      <c r="E28" s="93" t="s">
        <v>651</v>
      </c>
      <c r="F28" s="37"/>
      <c r="G28" s="37">
        <f>Talent_Books[[#Totals],[4*5]]/G27</f>
        <v>0</v>
      </c>
      <c r="H28" s="37">
        <f>Talent_Books[[#Totals],[3*6]]/H27</f>
        <v>0</v>
      </c>
      <c r="I28" s="37">
        <f>Talent_Books[[#Totals],[2*7]]/I27</f>
        <v>0</v>
      </c>
      <c r="J28" s="22" t="s">
        <v>639</v>
      </c>
      <c r="O28" s="117" t="s">
        <v>682</v>
      </c>
      <c r="P28" s="116">
        <v>1</v>
      </c>
      <c r="Q28" s="116">
        <v>1</v>
      </c>
      <c r="R28" s="116">
        <v>2</v>
      </c>
    </row>
    <row r="29" spans="1:18">
      <c r="A29" s="20"/>
      <c r="B29" s="101"/>
      <c r="C29" s="101"/>
      <c r="D29" s="4"/>
      <c r="E29" s="93" t="s">
        <v>683</v>
      </c>
      <c r="F29" s="37"/>
      <c r="G29" s="37">
        <f>AVERAGE(G28:I28)</f>
        <v>0</v>
      </c>
      <c r="H29" s="38"/>
      <c r="I29" s="38"/>
      <c r="J29" s="22" t="s">
        <v>639</v>
      </c>
      <c r="O29" s="117" t="s">
        <v>684</v>
      </c>
      <c r="P29" s="116">
        <v>1</v>
      </c>
      <c r="Q29" s="116">
        <v>1</v>
      </c>
      <c r="R29" s="116">
        <v>2</v>
      </c>
    </row>
    <row r="30" spans="1:18">
      <c r="A30" s="21"/>
      <c r="B30" s="19"/>
      <c r="C30" s="92" t="s">
        <v>640</v>
      </c>
      <c r="D30" s="151"/>
      <c r="E30" s="92"/>
      <c r="F30" s="92"/>
      <c r="G30" s="39">
        <f>F23*G29</f>
        <v>0</v>
      </c>
      <c r="H30" s="19" t="s">
        <v>631</v>
      </c>
      <c r="I30" s="35"/>
      <c r="J30" s="36"/>
      <c r="O30" s="117" t="s">
        <v>685</v>
      </c>
      <c r="P30" s="116">
        <v>1</v>
      </c>
      <c r="Q30" s="116">
        <v>2</v>
      </c>
      <c r="R30" s="116">
        <v>2</v>
      </c>
    </row>
    <row r="31" spans="1:18">
      <c r="E31" s="139" t="s">
        <v>641</v>
      </c>
      <c r="O31" s="117" t="s">
        <v>686</v>
      </c>
      <c r="P31" s="116">
        <v>1</v>
      </c>
      <c r="Q31" s="116">
        <v>1</v>
      </c>
      <c r="R31" s="116">
        <v>2</v>
      </c>
    </row>
    <row r="32" spans="1:18">
      <c r="O32" s="118" t="s">
        <v>518</v>
      </c>
      <c r="P32" s="119">
        <v>4</v>
      </c>
      <c r="Q32" s="119">
        <v>16</v>
      </c>
      <c r="R32" s="119">
        <v>19</v>
      </c>
    </row>
  </sheetData>
  <mergeCells count="11">
    <mergeCell ref="O21:R21"/>
    <mergeCell ref="I22:I25"/>
    <mergeCell ref="H22:H25"/>
    <mergeCell ref="G22:G25"/>
    <mergeCell ref="A1:M1"/>
    <mergeCell ref="E3:G3"/>
    <mergeCell ref="H3:J3"/>
    <mergeCell ref="K3:M3"/>
    <mergeCell ref="H2:J2"/>
    <mergeCell ref="K2:M2"/>
    <mergeCell ref="E2:G2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H5:J19" xr:uid="{2135E514-F059-4C68-A576-E9D2EFA33E14}">
      <formula1>0</formula1>
    </dataValidation>
  </dataValidations>
  <pageMargins left="0.7" right="0.7" top="0.75" bottom="0.75" header="0.3" footer="0.3"/>
  <ignoredErrors>
    <ignoredError sqref="G26:I26" formulaRange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H40"/>
  <sheetViews>
    <sheetView zoomScale="55" zoomScaleNormal="55" workbookViewId="0">
      <selection activeCell="B2" sqref="B2:B31"/>
    </sheetView>
    <sheetView workbookViewId="1"/>
  </sheetViews>
  <sheetFormatPr defaultRowHeight="15"/>
  <cols>
    <col min="2" max="2" width="36.42578125" customWidth="1"/>
    <col min="3" max="3" width="27.42578125" customWidth="1"/>
    <col min="4" max="4" width="11" customWidth="1"/>
    <col min="5" max="5" width="17.7109375" style="3" bestFit="1" customWidth="1"/>
    <col min="6" max="6" width="18.5703125" style="2" bestFit="1" customWidth="1"/>
    <col min="7" max="7" width="16" style="2" customWidth="1"/>
    <col min="8" max="8" width="17.42578125" style="2" customWidth="1"/>
    <col min="10" max="11" width="9.140625" customWidth="1"/>
  </cols>
  <sheetData>
    <row r="1" spans="1:8">
      <c r="A1" s="2" t="s">
        <v>459</v>
      </c>
      <c r="B1" s="2" t="s">
        <v>0</v>
      </c>
      <c r="C1" s="2" t="s">
        <v>687</v>
      </c>
      <c r="D1" s="2" t="s">
        <v>471</v>
      </c>
      <c r="E1" s="2" t="s">
        <v>642</v>
      </c>
      <c r="F1" s="2" t="s">
        <v>643</v>
      </c>
      <c r="G1" s="2" t="s">
        <v>644</v>
      </c>
      <c r="H1"/>
    </row>
    <row r="2" spans="1:8">
      <c r="A2" s="6">
        <f ca="1">SUBTOTAL(3,$B$2:Weekly_Boss[[#This Row],[Weekly Boss]])</f>
        <v>1</v>
      </c>
      <c r="B2" s="15" t="s">
        <v>87</v>
      </c>
      <c r="C2" s="3" t="s">
        <v>550</v>
      </c>
      <c r="D2" s="152">
        <v>1</v>
      </c>
      <c r="E2" s="2" t="e">
        <f>SUMIF(#REF!,Weekly_Boss[[#This Row],[Weekly Boss Material]],#REF!)</f>
        <v>#REF!</v>
      </c>
      <c r="F2" s="2">
        <v>25</v>
      </c>
      <c r="G2" s="2" t="e">
        <f t="shared" ref="G2:G31" si="0">E2-F2</f>
        <v>#REF!</v>
      </c>
      <c r="H2"/>
    </row>
    <row r="3" spans="1:8">
      <c r="A3" s="6">
        <f ca="1">SUBTOTAL(3,$B$2:Weekly_Boss[[#This Row],[Weekly Boss]])</f>
        <v>2</v>
      </c>
      <c r="B3" s="15" t="s">
        <v>87</v>
      </c>
      <c r="C3" s="3" t="s">
        <v>596</v>
      </c>
      <c r="D3" s="152">
        <v>1</v>
      </c>
      <c r="E3" s="2" t="e">
        <f>SUMIF(#REF!,Weekly_Boss[[#This Row],[Weekly Boss Material]],#REF!)</f>
        <v>#REF!</v>
      </c>
      <c r="F3" s="2">
        <v>17</v>
      </c>
      <c r="G3" s="2" t="e">
        <f t="shared" si="0"/>
        <v>#REF!</v>
      </c>
      <c r="H3"/>
    </row>
    <row r="4" spans="1:8">
      <c r="A4" s="6">
        <f ca="1">SUBTOTAL(3,$B$2:Weekly_Boss[[#This Row],[Weekly Boss]])</f>
        <v>3</v>
      </c>
      <c r="B4" s="15" t="s">
        <v>87</v>
      </c>
      <c r="C4" s="3" t="s">
        <v>532</v>
      </c>
      <c r="D4" s="152">
        <v>1</v>
      </c>
      <c r="E4" s="2" t="e">
        <f>SUMIF(#REF!,Weekly_Boss[[#This Row],[Weekly Boss Material]],#REF!)</f>
        <v>#REF!</v>
      </c>
      <c r="F4" s="2">
        <v>28</v>
      </c>
      <c r="G4" s="2" t="e">
        <f t="shared" si="0"/>
        <v>#REF!</v>
      </c>
      <c r="H4"/>
    </row>
    <row r="5" spans="1:8">
      <c r="A5" s="6">
        <f ca="1">SUBTOTAL(3,$B$2:Weekly_Boss[[#This Row],[Weekly Boss]])</f>
        <v>4</v>
      </c>
      <c r="B5" s="15" t="s">
        <v>118</v>
      </c>
      <c r="C5" s="3" t="s">
        <v>600</v>
      </c>
      <c r="D5" s="152">
        <v>1.01</v>
      </c>
      <c r="E5" s="2" t="e">
        <f>SUMIF(#REF!,Weekly_Boss[[#This Row],[Weekly Boss Material]],#REF!)</f>
        <v>#REF!</v>
      </c>
      <c r="F5" s="2">
        <v>7</v>
      </c>
      <c r="G5" s="2" t="e">
        <f t="shared" si="0"/>
        <v>#REF!</v>
      </c>
      <c r="H5"/>
    </row>
    <row r="6" spans="1:8">
      <c r="A6" s="6">
        <f ca="1">SUBTOTAL(3,$B$2:Weekly_Boss[[#This Row],[Weekly Boss]])</f>
        <v>5</v>
      </c>
      <c r="B6" s="15" t="s">
        <v>118</v>
      </c>
      <c r="C6" s="3" t="s">
        <v>574</v>
      </c>
      <c r="D6" s="152">
        <v>1.01</v>
      </c>
      <c r="E6" s="2" t="e">
        <f>SUMIF(#REF!,Weekly_Boss[[#This Row],[Weekly Boss Material]],#REF!)</f>
        <v>#REF!</v>
      </c>
      <c r="F6" s="2">
        <v>0</v>
      </c>
      <c r="G6" s="2" t="e">
        <f t="shared" si="0"/>
        <v>#REF!</v>
      </c>
      <c r="H6"/>
    </row>
    <row r="7" spans="1:8">
      <c r="A7" s="6">
        <f ca="1">SUBTOTAL(3,$B$2:Weekly_Boss[[#This Row],[Weekly Boss]])</f>
        <v>6</v>
      </c>
      <c r="B7" s="15" t="s">
        <v>118</v>
      </c>
      <c r="C7" s="3" t="s">
        <v>544</v>
      </c>
      <c r="D7" s="152">
        <v>1.01</v>
      </c>
      <c r="E7" s="2" t="e">
        <f>SUMIF(#REF!,Weekly_Boss[[#This Row],[Weekly Boss Material]],#REF!)</f>
        <v>#REF!</v>
      </c>
      <c r="F7" s="2">
        <v>15</v>
      </c>
      <c r="G7" s="2" t="e">
        <f t="shared" si="0"/>
        <v>#REF!</v>
      </c>
      <c r="H7"/>
    </row>
    <row r="8" spans="1:8">
      <c r="A8" s="6">
        <f ca="1">SUBTOTAL(3,$B$2:Weekly_Boss[[#This Row],[Weekly Boss]])</f>
        <v>7</v>
      </c>
      <c r="B8" s="15" t="s">
        <v>147</v>
      </c>
      <c r="C8" s="3" t="s">
        <v>567</v>
      </c>
      <c r="D8" s="152">
        <v>1.1000000000000001</v>
      </c>
      <c r="E8" s="2" t="e">
        <f>SUMIF(#REF!,Weekly_Boss[[#This Row],[Weekly Boss Material]],#REF!)</f>
        <v>#REF!</v>
      </c>
      <c r="F8" s="2">
        <v>18</v>
      </c>
      <c r="G8" s="2" t="e">
        <f t="shared" si="0"/>
        <v>#REF!</v>
      </c>
      <c r="H8"/>
    </row>
    <row r="9" spans="1:8">
      <c r="A9" s="6">
        <f ca="1">SUBTOTAL(3,$B$2:Weekly_Boss[[#This Row],[Weekly Boss]])</f>
        <v>8</v>
      </c>
      <c r="B9" s="15" t="s">
        <v>147</v>
      </c>
      <c r="C9" s="3" t="s">
        <v>579</v>
      </c>
      <c r="D9" s="152">
        <v>1.1000000000000001</v>
      </c>
      <c r="E9" s="2" t="e">
        <f>SUMIF(#REF!,Weekly_Boss[[#This Row],[Weekly Boss Material]],#REF!)</f>
        <v>#REF!</v>
      </c>
      <c r="F9" s="2">
        <v>31</v>
      </c>
      <c r="G9" s="2" t="e">
        <f t="shared" si="0"/>
        <v>#REF!</v>
      </c>
      <c r="H9"/>
    </row>
    <row r="10" spans="1:8">
      <c r="A10" s="6">
        <f ca="1">SUBTOTAL(3,$B$2:Weekly_Boss[[#This Row],[Weekly Boss]])</f>
        <v>9</v>
      </c>
      <c r="B10" s="15" t="s">
        <v>147</v>
      </c>
      <c r="C10" s="3" t="s">
        <v>520</v>
      </c>
      <c r="D10" s="152">
        <v>1.1000000000000001</v>
      </c>
      <c r="E10" s="2" t="e">
        <f>SUMIF(#REF!,Weekly_Boss[[#This Row],[Weekly Boss Material]],#REF!)</f>
        <v>#REF!</v>
      </c>
      <c r="F10" s="2">
        <v>13</v>
      </c>
      <c r="G10" s="2" t="e">
        <f t="shared" si="0"/>
        <v>#REF!</v>
      </c>
      <c r="H10"/>
    </row>
    <row r="11" spans="1:8">
      <c r="A11" s="6">
        <f ca="1">SUBTOTAL(3,$B$2:Weekly_Boss[[#This Row],[Weekly Boss]])</f>
        <v>10</v>
      </c>
      <c r="B11" s="15" t="s">
        <v>176</v>
      </c>
      <c r="C11" s="3" t="s">
        <v>571</v>
      </c>
      <c r="D11" s="152">
        <v>1.5</v>
      </c>
      <c r="E11" s="2" t="e">
        <f>SUMIF(#REF!,Weekly_Boss[[#This Row],[Weekly Boss Material]],#REF!)</f>
        <v>#REF!</v>
      </c>
      <c r="F11" s="2">
        <v>13</v>
      </c>
      <c r="G11" s="2" t="e">
        <f t="shared" si="0"/>
        <v>#REF!</v>
      </c>
      <c r="H11"/>
    </row>
    <row r="12" spans="1:8">
      <c r="A12" s="6">
        <f ca="1">SUBTOTAL(3,$B$2:Weekly_Boss[[#This Row],[Weekly Boss]])</f>
        <v>11</v>
      </c>
      <c r="B12" s="15" t="s">
        <v>176</v>
      </c>
      <c r="C12" s="3" t="s">
        <v>589</v>
      </c>
      <c r="D12" s="152">
        <v>1.5</v>
      </c>
      <c r="E12" s="2" t="e">
        <f>SUMIF(#REF!,Weekly_Boss[[#This Row],[Weekly Boss Material]],#REF!)</f>
        <v>#REF!</v>
      </c>
      <c r="F12" s="2">
        <v>18</v>
      </c>
      <c r="G12" s="2" t="e">
        <f t="shared" si="0"/>
        <v>#REF!</v>
      </c>
      <c r="H12"/>
    </row>
    <row r="13" spans="1:8">
      <c r="A13" s="6">
        <f ca="1">SUBTOTAL(3,$B$2:Weekly_Boss[[#This Row],[Weekly Boss]])</f>
        <v>12</v>
      </c>
      <c r="B13" s="15" t="s">
        <v>176</v>
      </c>
      <c r="C13" s="3" t="s">
        <v>569</v>
      </c>
      <c r="D13" s="152">
        <v>1.5</v>
      </c>
      <c r="E13" s="2" t="e">
        <f>SUMIF(#REF!,Weekly_Boss[[#This Row],[Weekly Boss Material]],#REF!)</f>
        <v>#REF!</v>
      </c>
      <c r="F13" s="2">
        <v>26</v>
      </c>
      <c r="G13" s="2" t="e">
        <f t="shared" si="0"/>
        <v>#REF!</v>
      </c>
      <c r="H13"/>
    </row>
    <row r="14" spans="1:8">
      <c r="A14" s="6">
        <f ca="1">SUBTOTAL(3,$B$2:Weekly_Boss[[#This Row],[Weekly Boss]])</f>
        <v>13</v>
      </c>
      <c r="B14" s="15" t="s">
        <v>205</v>
      </c>
      <c r="C14" s="3" t="s">
        <v>593</v>
      </c>
      <c r="D14" s="152">
        <v>2.1</v>
      </c>
      <c r="E14" s="2" t="e">
        <f>SUMIF(#REF!,Weekly_Boss[[#This Row],[Weekly Boss Material]],#REF!)</f>
        <v>#REF!</v>
      </c>
      <c r="F14" s="2">
        <v>3</v>
      </c>
      <c r="G14" s="2" t="e">
        <f t="shared" si="0"/>
        <v>#REF!</v>
      </c>
      <c r="H14"/>
    </row>
    <row r="15" spans="1:8">
      <c r="A15" s="6">
        <f ca="1">SUBTOTAL(3,$B$2:Weekly_Boss[[#This Row],[Weekly Boss]])</f>
        <v>14</v>
      </c>
      <c r="B15" s="15" t="s">
        <v>205</v>
      </c>
      <c r="C15" s="3" t="s">
        <v>536</v>
      </c>
      <c r="D15" s="152">
        <v>2.1</v>
      </c>
      <c r="E15" s="2" t="e">
        <f>SUMIF(#REF!,Weekly_Boss[[#This Row],[Weekly Boss Material]],#REF!)</f>
        <v>#REF!</v>
      </c>
      <c r="F15" s="2">
        <v>23</v>
      </c>
      <c r="G15" s="2" t="e">
        <f t="shared" si="0"/>
        <v>#REF!</v>
      </c>
      <c r="H15"/>
    </row>
    <row r="16" spans="1:8">
      <c r="A16" s="6">
        <f ca="1">SUBTOTAL(3,$B$2:Weekly_Boss[[#This Row],[Weekly Boss]])</f>
        <v>15</v>
      </c>
      <c r="B16" s="15" t="s">
        <v>205</v>
      </c>
      <c r="C16" s="3" t="s">
        <v>528</v>
      </c>
      <c r="D16" s="152">
        <v>2.1</v>
      </c>
      <c r="E16" s="2" t="e">
        <f>SUMIF(#REF!,Weekly_Boss[[#This Row],[Weekly Boss Material]],#REF!)</f>
        <v>#REF!</v>
      </c>
      <c r="F16" s="2">
        <v>16</v>
      </c>
      <c r="G16" s="2" t="e">
        <f t="shared" si="0"/>
        <v>#REF!</v>
      </c>
      <c r="H16"/>
    </row>
    <row r="17" spans="1:8">
      <c r="A17" s="6">
        <f ca="1">SUBTOTAL(3,$B$2:Weekly_Boss[[#This Row],[Weekly Boss]])</f>
        <v>16</v>
      </c>
      <c r="B17" s="15" t="s">
        <v>234</v>
      </c>
      <c r="C17" s="3" t="s">
        <v>565</v>
      </c>
      <c r="D17" s="152">
        <v>2.5</v>
      </c>
      <c r="E17" s="2" t="e">
        <f>SUMIF(#REF!,Weekly_Boss[[#This Row],[Weekly Boss Material]],#REF!)</f>
        <v>#REF!</v>
      </c>
      <c r="F17" s="2">
        <v>13</v>
      </c>
      <c r="G17" s="2" t="e">
        <f t="shared" si="0"/>
        <v>#REF!</v>
      </c>
      <c r="H17"/>
    </row>
    <row r="18" spans="1:8">
      <c r="A18" s="6">
        <f ca="1">SUBTOTAL(3,$B$2:Weekly_Boss[[#This Row],[Weekly Boss]])</f>
        <v>17</v>
      </c>
      <c r="B18" s="15" t="s">
        <v>234</v>
      </c>
      <c r="C18" s="3" t="s">
        <v>583</v>
      </c>
      <c r="D18" s="152">
        <v>2.5</v>
      </c>
      <c r="E18" s="2" t="e">
        <f>SUMIF(#REF!,Weekly_Boss[[#This Row],[Weekly Boss Material]],#REF!)</f>
        <v>#REF!</v>
      </c>
      <c r="F18" s="2">
        <v>9</v>
      </c>
      <c r="G18" s="2" t="e">
        <f t="shared" si="0"/>
        <v>#REF!</v>
      </c>
      <c r="H18"/>
    </row>
    <row r="19" spans="1:8">
      <c r="A19" s="6">
        <f ca="1">SUBTOTAL(3,$B$2:Weekly_Boss[[#This Row],[Weekly Boss]])</f>
        <v>18</v>
      </c>
      <c r="B19" s="15" t="s">
        <v>234</v>
      </c>
      <c r="C19" s="3" t="s">
        <v>554</v>
      </c>
      <c r="D19" s="152">
        <v>2.5</v>
      </c>
      <c r="E19" s="2" t="e">
        <f>SUMIF(#REF!,Weekly_Boss[[#This Row],[Weekly Boss Material]],#REF!)</f>
        <v>#REF!</v>
      </c>
      <c r="F19" s="2">
        <v>8</v>
      </c>
      <c r="G19" s="2" t="e">
        <f t="shared" si="0"/>
        <v>#REF!</v>
      </c>
      <c r="H19"/>
    </row>
    <row r="20" spans="1:8">
      <c r="A20" s="6">
        <f ca="1">SUBTOTAL(3,$B$2:Weekly_Boss[[#This Row],[Weekly Boss]])</f>
        <v>19</v>
      </c>
      <c r="B20" s="15" t="s">
        <v>40</v>
      </c>
      <c r="C20" s="3" t="s">
        <v>566</v>
      </c>
      <c r="D20" s="152">
        <v>3.2</v>
      </c>
      <c r="E20" s="2" t="e">
        <f>SUMIF(#REF!,Weekly_Boss[[#This Row],[Weekly Boss Material]],#REF!)</f>
        <v>#REF!</v>
      </c>
      <c r="F20" s="2">
        <v>22</v>
      </c>
      <c r="G20" s="2" t="e">
        <f t="shared" si="0"/>
        <v>#REF!</v>
      </c>
      <c r="H20"/>
    </row>
    <row r="21" spans="1:8">
      <c r="A21" s="6">
        <f ca="1">SUBTOTAL(3,$B$2:Weekly_Boss[[#This Row],[Weekly Boss]])</f>
        <v>20</v>
      </c>
      <c r="B21" s="15" t="s">
        <v>40</v>
      </c>
      <c r="C21" s="3" t="s">
        <v>42</v>
      </c>
      <c r="D21" s="152">
        <v>3.2</v>
      </c>
      <c r="E21" s="2" t="e">
        <f>SUMIF(#REF!,Weekly_Boss[[#This Row],[Weekly Boss Material]],#REF!)</f>
        <v>#REF!</v>
      </c>
      <c r="F21" s="2">
        <v>9</v>
      </c>
      <c r="G21" s="2" t="e">
        <f t="shared" si="0"/>
        <v>#REF!</v>
      </c>
      <c r="H21"/>
    </row>
    <row r="22" spans="1:8">
      <c r="A22" s="6">
        <f ca="1">SUBTOTAL(3,$B$2:Weekly_Boss[[#This Row],[Weekly Boss]])</f>
        <v>21</v>
      </c>
      <c r="B22" s="15" t="s">
        <v>40</v>
      </c>
      <c r="C22" s="3" t="s">
        <v>524</v>
      </c>
      <c r="D22" s="152">
        <v>3.2</v>
      </c>
      <c r="E22" s="2" t="e">
        <f>SUMIF(#REF!,Weekly_Boss[[#This Row],[Weekly Boss Material]],#REF!)</f>
        <v>#REF!</v>
      </c>
      <c r="F22" s="2">
        <v>7</v>
      </c>
      <c r="G22" s="2" t="e">
        <f t="shared" si="0"/>
        <v>#REF!</v>
      </c>
      <c r="H22"/>
    </row>
    <row r="23" spans="1:8">
      <c r="A23" s="6">
        <f ca="1">SUBTOTAL(3,$B$2:Weekly_Boss[[#This Row],[Weekly Boss]])</f>
        <v>22</v>
      </c>
      <c r="B23" s="15" t="s">
        <v>286</v>
      </c>
      <c r="C23" s="3" t="s">
        <v>587</v>
      </c>
      <c r="D23" s="152">
        <v>3.6</v>
      </c>
      <c r="E23" s="2" t="e">
        <f>SUMIF(#REF!,Weekly_Boss[[#This Row],[Weekly Boss Material]],#REF!)</f>
        <v>#REF!</v>
      </c>
      <c r="F23" s="2">
        <v>11</v>
      </c>
      <c r="G23" s="2" t="e">
        <f t="shared" si="0"/>
        <v>#REF!</v>
      </c>
      <c r="H23"/>
    </row>
    <row r="24" spans="1:8">
      <c r="A24" s="6">
        <f ca="1">SUBTOTAL(3,$B$2:Weekly_Boss[[#This Row],[Weekly Boss]])</f>
        <v>23</v>
      </c>
      <c r="B24" s="15" t="s">
        <v>286</v>
      </c>
      <c r="C24" s="3" t="s">
        <v>295</v>
      </c>
      <c r="D24" s="152">
        <v>3.6</v>
      </c>
      <c r="E24" s="2" t="e">
        <f>SUMIF(#REF!,Weekly_Boss[[#This Row],[Weekly Boss Material]],#REF!)</f>
        <v>#REF!</v>
      </c>
      <c r="F24" s="2">
        <v>1</v>
      </c>
      <c r="G24" s="2" t="e">
        <f t="shared" si="0"/>
        <v>#REF!</v>
      </c>
      <c r="H24"/>
    </row>
    <row r="25" spans="1:8">
      <c r="A25" s="6">
        <f ca="1">SUBTOTAL(3,$B$2:Weekly_Boss[[#This Row],[Weekly Boss]])</f>
        <v>24</v>
      </c>
      <c r="B25" s="15" t="s">
        <v>286</v>
      </c>
      <c r="C25" s="3" t="s">
        <v>542</v>
      </c>
      <c r="D25" s="152">
        <v>3.6</v>
      </c>
      <c r="E25" s="2" t="e">
        <f>SUMIF(#REF!,Weekly_Boss[[#This Row],[Weekly Boss Material]],#REF!)</f>
        <v>#REF!</v>
      </c>
      <c r="F25" s="2">
        <v>2</v>
      </c>
      <c r="G25" s="2" t="e">
        <f t="shared" si="0"/>
        <v>#REF!</v>
      </c>
      <c r="H25"/>
    </row>
    <row r="26" spans="1:8">
      <c r="A26" s="6">
        <f ca="1">SUBTOTAL(3,$B$2:Weekly_Boss[[#This Row],[Weekly Boss]])</f>
        <v>25</v>
      </c>
      <c r="B26" s="15" t="s">
        <v>309</v>
      </c>
      <c r="C26" s="3" t="s">
        <v>558</v>
      </c>
      <c r="D26" s="152">
        <v>4.2</v>
      </c>
      <c r="E26" s="2" t="e">
        <f>SUMIF(#REF!,Weekly_Boss[[#This Row],[Weekly Boss Material]],#REF!)</f>
        <v>#REF!</v>
      </c>
      <c r="F26" s="2">
        <v>13</v>
      </c>
      <c r="G26" s="2" t="e">
        <f t="shared" si="0"/>
        <v>#REF!</v>
      </c>
      <c r="H26"/>
    </row>
    <row r="27" spans="1:8">
      <c r="A27" s="6">
        <f ca="1">SUBTOTAL(3,$B$2:Weekly_Boss[[#This Row],[Weekly Boss]])</f>
        <v>26</v>
      </c>
      <c r="B27" s="15" t="s">
        <v>309</v>
      </c>
      <c r="C27" s="3" t="s">
        <v>608</v>
      </c>
      <c r="D27" s="152">
        <v>4.2</v>
      </c>
      <c r="E27" s="2" t="e">
        <f>SUMIF(#REF!,Weekly_Boss[[#This Row],[Weekly Boss Material]],#REF!)</f>
        <v>#REF!</v>
      </c>
      <c r="F27" s="2">
        <v>13</v>
      </c>
      <c r="G27" s="2" t="e">
        <f t="shared" si="0"/>
        <v>#REF!</v>
      </c>
      <c r="H27"/>
    </row>
    <row r="28" spans="1:8">
      <c r="A28" s="6">
        <f ca="1">SUBTOTAL(3,$B$2:Weekly_Boss[[#This Row],[Weekly Boss]])</f>
        <v>27</v>
      </c>
      <c r="B28" s="15" t="s">
        <v>309</v>
      </c>
      <c r="C28" s="3" t="s">
        <v>576</v>
      </c>
      <c r="D28" s="152">
        <v>4.2</v>
      </c>
      <c r="E28" s="2" t="e">
        <f>SUMIF(#REF!,Weekly_Boss[[#This Row],[Weekly Boss Material]],#REF!)</f>
        <v>#REF!</v>
      </c>
      <c r="F28" s="2">
        <v>9</v>
      </c>
      <c r="G28" s="2" t="e">
        <f t="shared" si="0"/>
        <v>#REF!</v>
      </c>
      <c r="H28"/>
    </row>
    <row r="29" spans="1:8">
      <c r="A29" s="6">
        <f ca="1">SUBTOTAL(3,$B$2:Weekly_Boss[[#This Row],[Weekly Boss]])</f>
        <v>28</v>
      </c>
      <c r="B29" s="15" t="s">
        <v>335</v>
      </c>
      <c r="C29" s="3" t="s">
        <v>688</v>
      </c>
      <c r="D29" s="152">
        <v>4.5999999999999996</v>
      </c>
      <c r="E29" s="2" t="e">
        <f>SUMIF(#REF!,Weekly_Boss[[#This Row],[Weekly Boss Material]],#REF!)</f>
        <v>#REF!</v>
      </c>
      <c r="F29" s="2">
        <v>0</v>
      </c>
      <c r="G29" s="2" t="e">
        <f t="shared" si="0"/>
        <v>#REF!</v>
      </c>
      <c r="H29"/>
    </row>
    <row r="30" spans="1:8">
      <c r="A30" s="6">
        <f ca="1">SUBTOTAL(3,$B$2:Weekly_Boss[[#This Row],[Weekly Boss]])</f>
        <v>29</v>
      </c>
      <c r="B30" s="15" t="s">
        <v>335</v>
      </c>
      <c r="C30" s="3" t="s">
        <v>689</v>
      </c>
      <c r="D30" s="152">
        <v>4.5999999999999996</v>
      </c>
      <c r="E30" s="2" t="e">
        <f>SUMIF(#REF!,Weekly_Boss[[#This Row],[Weekly Boss Material]],#REF!)</f>
        <v>#REF!</v>
      </c>
      <c r="F30" s="2">
        <v>0</v>
      </c>
      <c r="G30" s="2" t="e">
        <f t="shared" si="0"/>
        <v>#REF!</v>
      </c>
      <c r="H30"/>
    </row>
    <row r="31" spans="1:8">
      <c r="A31" s="6">
        <f ca="1">SUBTOTAL(3,$B$2:Weekly_Boss[[#This Row],[Weekly Boss]])</f>
        <v>30</v>
      </c>
      <c r="B31" s="15" t="s">
        <v>335</v>
      </c>
      <c r="C31" s="3" t="s">
        <v>538</v>
      </c>
      <c r="D31" s="152">
        <v>4.5999999999999996</v>
      </c>
      <c r="E31" s="2" t="e">
        <f>SUMIF(#REF!,Weekly_Boss[[#This Row],[Weekly Boss Material]],#REF!)</f>
        <v>#REF!</v>
      </c>
      <c r="F31" s="2">
        <v>0</v>
      </c>
      <c r="G31" s="2" t="e">
        <f t="shared" si="0"/>
        <v>#REF!</v>
      </c>
      <c r="H31"/>
    </row>
    <row r="32" spans="1:8">
      <c r="A32" s="6" t="s">
        <v>518</v>
      </c>
      <c r="B32" s="6"/>
      <c r="C32" s="3"/>
      <c r="D32" s="3"/>
      <c r="E32" s="2" t="e">
        <f>SUBTOTAL(109,Weekly_Boss[Mats Needed])</f>
        <v>#REF!</v>
      </c>
      <c r="F32" s="2">
        <f>SUBTOTAL(109,Weekly_Boss[Mats Acquired])</f>
        <v>370</v>
      </c>
      <c r="G32" s="2">
        <f>SUMIF(G2:G31,"&gt;=0")</f>
        <v>0</v>
      </c>
    </row>
    <row r="33" spans="1:8">
      <c r="A33" s="33"/>
      <c r="B33" s="103"/>
      <c r="C33" s="96"/>
      <c r="D33" s="96" t="s">
        <v>645</v>
      </c>
      <c r="E33" s="97"/>
      <c r="F33" s="4"/>
      <c r="G33"/>
      <c r="H33"/>
    </row>
    <row r="34" spans="1:8">
      <c r="A34" s="20"/>
      <c r="C34" s="100" t="s">
        <v>690</v>
      </c>
      <c r="D34" s="141" cm="1">
        <f t="array" ref="D34">SUMPRODUCT(1/COUNTIF(Weekly_Boss[Weekly Boss],Weekly_Boss[Weekly Boss]))</f>
        <v>10</v>
      </c>
      <c r="E34" s="102" t="s">
        <v>634</v>
      </c>
      <c r="F34" s="110"/>
      <c r="G34"/>
      <c r="H34"/>
    </row>
    <row r="35" spans="1:8">
      <c r="A35" s="20"/>
      <c r="C35" s="100" t="s">
        <v>648</v>
      </c>
      <c r="D35" s="40">
        <v>2.25</v>
      </c>
      <c r="E35" s="102" t="s">
        <v>649</v>
      </c>
      <c r="F35" s="110"/>
      <c r="G35"/>
      <c r="H35"/>
    </row>
    <row r="36" spans="1:8">
      <c r="A36" s="20"/>
      <c r="C36" s="100" t="s">
        <v>691</v>
      </c>
      <c r="D36" s="40">
        <f>D34*D35</f>
        <v>22.5</v>
      </c>
      <c r="E36" s="102" t="s">
        <v>649</v>
      </c>
      <c r="F36" s="110"/>
      <c r="G36"/>
      <c r="H36"/>
    </row>
    <row r="37" spans="1:8">
      <c r="A37" s="20"/>
      <c r="C37" s="101" t="s">
        <v>692</v>
      </c>
      <c r="D37" s="37">
        <f>Weekly_Boss[[#Totals],[Remaining Mats]]/D36</f>
        <v>0</v>
      </c>
      <c r="E37" s="111" t="s">
        <v>693</v>
      </c>
      <c r="F37" s="110"/>
      <c r="G37"/>
      <c r="H37"/>
    </row>
    <row r="38" spans="1:8">
      <c r="A38" s="20"/>
      <c r="C38" s="101" t="s">
        <v>694</v>
      </c>
      <c r="D38" s="37">
        <f>D37*7</f>
        <v>0</v>
      </c>
      <c r="E38" s="111" t="s">
        <v>639</v>
      </c>
      <c r="F38" s="110"/>
      <c r="H38"/>
    </row>
    <row r="39" spans="1:8">
      <c r="A39" s="21"/>
      <c r="B39" s="19"/>
      <c r="C39" s="92" t="s">
        <v>640</v>
      </c>
      <c r="D39" s="39">
        <f>450*D37</f>
        <v>0</v>
      </c>
      <c r="E39" s="112" t="s">
        <v>631</v>
      </c>
      <c r="F39" s="110"/>
      <c r="H39"/>
    </row>
    <row r="40" spans="1:8">
      <c r="C40" s="139" t="s">
        <v>641</v>
      </c>
      <c r="D40" s="139"/>
    </row>
  </sheetData>
  <dataValidations count="1">
    <dataValidation type="whole" operator="greaterThanOrEqual" allowBlank="1" showInputMessage="1" showErrorMessage="1" errorTitle="Numeric Values Only!" error="Please put numeric values only." sqref="F2:F31" xr:uid="{39B2CC83-9DBE-4536-B2CD-D1ACF4B79DCB}">
      <formula1>0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T75"/>
  <sheetViews>
    <sheetView zoomScale="70" zoomScaleNormal="70" workbookViewId="0">
      <selection activeCell="O3" sqref="O3:O41"/>
    </sheetView>
    <sheetView zoomScale="55" zoomScaleNormal="55" workbookViewId="1">
      <selection activeCell="J8" sqref="J8"/>
    </sheetView>
  </sheetViews>
  <sheetFormatPr defaultRowHeight="15"/>
  <cols>
    <col min="1" max="1" width="9.140625" customWidth="1"/>
    <col min="2" max="2" width="25.7109375" style="3" bestFit="1" customWidth="1"/>
    <col min="3" max="5" width="14.28515625" style="2" customWidth="1"/>
    <col min="6" max="6" width="3" customWidth="1"/>
    <col min="7" max="7" width="9.140625" customWidth="1"/>
    <col min="8" max="8" width="25.28515625" bestFit="1" customWidth="1"/>
    <col min="9" max="9" width="17.28515625" customWidth="1"/>
    <col min="10" max="12" width="14.28515625" customWidth="1"/>
    <col min="13" max="13" width="3" customWidth="1"/>
    <col min="14" max="14" width="9.140625" customWidth="1"/>
    <col min="15" max="15" width="18.28515625" bestFit="1" customWidth="1"/>
    <col min="16" max="16" width="26.7109375" customWidth="1"/>
    <col min="17" max="17" width="12.42578125" bestFit="1" customWidth="1"/>
    <col min="18" max="20" width="14.28515625" customWidth="1"/>
  </cols>
  <sheetData>
    <row r="1" spans="1:20">
      <c r="A1" s="332" t="s">
        <v>21</v>
      </c>
      <c r="B1" s="333"/>
      <c r="C1" s="333"/>
      <c r="D1" s="333"/>
      <c r="E1" s="333"/>
      <c r="G1" s="332" t="s">
        <v>465</v>
      </c>
      <c r="H1" s="333"/>
      <c r="I1" s="333"/>
      <c r="J1" s="333"/>
      <c r="K1" s="333"/>
      <c r="L1" s="333"/>
      <c r="N1" s="332" t="s">
        <v>466</v>
      </c>
      <c r="O1" s="333"/>
      <c r="P1" s="333"/>
      <c r="Q1" s="333"/>
      <c r="R1" s="333"/>
      <c r="S1" s="333"/>
      <c r="T1" s="333"/>
    </row>
    <row r="2" spans="1:20" s="42" customFormat="1" ht="25.5" customHeight="1">
      <c r="A2" s="41" t="s">
        <v>459</v>
      </c>
      <c r="B2" s="41" t="s">
        <v>496</v>
      </c>
      <c r="C2" s="41" t="s">
        <v>695</v>
      </c>
      <c r="D2" s="41" t="s">
        <v>696</v>
      </c>
      <c r="E2" s="41" t="s">
        <v>697</v>
      </c>
      <c r="G2" s="41" t="s">
        <v>459</v>
      </c>
      <c r="H2" s="41" t="s">
        <v>498</v>
      </c>
      <c r="I2" s="41" t="s">
        <v>698</v>
      </c>
      <c r="J2" s="41" t="s">
        <v>699</v>
      </c>
      <c r="K2" s="41" t="s">
        <v>700</v>
      </c>
      <c r="L2" s="41" t="s">
        <v>701</v>
      </c>
      <c r="N2" s="41" t="s">
        <v>459</v>
      </c>
      <c r="O2" s="41" t="s">
        <v>82</v>
      </c>
      <c r="P2" s="41" t="s">
        <v>702</v>
      </c>
      <c r="Q2" s="41" t="s">
        <v>471</v>
      </c>
      <c r="R2" s="41" t="s">
        <v>703</v>
      </c>
      <c r="S2" s="41" t="s">
        <v>704</v>
      </c>
      <c r="T2" s="41" t="s">
        <v>644</v>
      </c>
    </row>
    <row r="3" spans="1:20">
      <c r="A3" s="6">
        <f ca="1">SUBTOTAL(3,$B$3:Ascension_Flower[[#This Row],[Flower Name]])</f>
        <v>1</v>
      </c>
      <c r="B3" s="160" t="s">
        <v>591</v>
      </c>
      <c r="C3" s="2" t="e">
        <f>SUMIF(#REF!,Ascension_Flower[[#This Row],[Flower Name]],#REF!)</f>
        <v>#REF!</v>
      </c>
      <c r="D3" s="2">
        <v>174</v>
      </c>
      <c r="E3" s="2" t="e">
        <f>Ascension_Flower[[#This Row],[Flowers Needed]]-Ascension_Flower[[#This Row],[Flowers Acquired]]</f>
        <v>#REF!</v>
      </c>
      <c r="G3" s="6">
        <f ca="1">SUBTOTAL(3,$H$3:Ascension_Stones[[#This Row],[Stone Name]])</f>
        <v>1</v>
      </c>
      <c r="H3" s="6" t="s">
        <v>605</v>
      </c>
      <c r="I3" s="3" t="s">
        <v>55</v>
      </c>
      <c r="J3" s="2" t="e">
        <f>SUMIF(#REF!,Ascension_Stones[[#This Row],[Stone Name]],#REF!)</f>
        <v>#REF!</v>
      </c>
      <c r="K3" s="2">
        <v>0</v>
      </c>
      <c r="L3" s="2" t="e">
        <f>Ascension_Stones[[#This Row],[Stones
Needed]]-Ascension_Stones[[#This Row],[Stones Acquired]]</f>
        <v>#REF!</v>
      </c>
      <c r="N3" s="6">
        <f ca="1">SUBTOTAL(3,$O$3:Ascension_Mob_Materials[[#This Row],[Mob Name]])</f>
        <v>1</v>
      </c>
      <c r="O3" s="161" t="s">
        <v>89</v>
      </c>
      <c r="P3" s="3" t="s">
        <v>705</v>
      </c>
      <c r="Q3" s="152">
        <v>1</v>
      </c>
      <c r="R3" s="2" t="e">
        <f>SUMIF(#REF!,Ascension_Mob_Materials[[#This Row],[Mob Name]],#REF!)</f>
        <v>#REF!</v>
      </c>
      <c r="S3" s="2">
        <v>1896</v>
      </c>
      <c r="T3" s="2" t="e">
        <f>Ascension_Mob_Materials[[#This Row],[Mats
Needed]]-Ascension_Mob_Materials[[#This Row],[Mats
Acquired]]</f>
        <v>#REF!</v>
      </c>
    </row>
    <row r="4" spans="1:20">
      <c r="A4" s="6">
        <f ca="1">SUBTOTAL(3,$B$3:Ascension_Flower[[#This Row],[Flower Name]])</f>
        <v>2</v>
      </c>
      <c r="B4" s="160" t="s">
        <v>559</v>
      </c>
      <c r="C4" s="2" t="e">
        <f>SUMIF(#REF!,Ascension_Flower[[#This Row],[Flower Name]],#REF!)</f>
        <v>#REF!</v>
      </c>
      <c r="D4" s="2">
        <v>5</v>
      </c>
      <c r="E4" s="2" t="e">
        <f>Ascension_Flower[[#This Row],[Flowers Needed]]-Ascension_Flower[[#This Row],[Flowers Acquired]]</f>
        <v>#REF!</v>
      </c>
      <c r="G4" s="6">
        <f ca="1">SUBTOTAL(3,$H$3:Ascension_Stones[[#This Row],[Stone Name]])</f>
        <v>2</v>
      </c>
      <c r="H4" s="6" t="s">
        <v>605</v>
      </c>
      <c r="I4" s="3" t="s">
        <v>56</v>
      </c>
      <c r="J4" s="2" t="e">
        <f>SUMIF(#REF!,Ascension_Stones[[#This Row],[Stone Name]],#REF!)</f>
        <v>#REF!</v>
      </c>
      <c r="K4" s="2">
        <v>0</v>
      </c>
      <c r="L4" s="2" t="e">
        <f>Ascension_Stones[[#This Row],[Stones
Needed]]-Ascension_Stones[[#This Row],[Stones Acquired]]</f>
        <v>#REF!</v>
      </c>
      <c r="N4" s="6">
        <f ca="1">SUBTOTAL(3,$O$3:Ascension_Mob_Materials[[#This Row],[Mob Name]])</f>
        <v>2</v>
      </c>
      <c r="O4" s="161" t="s">
        <v>89</v>
      </c>
      <c r="P4" s="3" t="s">
        <v>706</v>
      </c>
      <c r="Q4" s="152">
        <v>1</v>
      </c>
      <c r="R4" s="2" t="e">
        <f>SUMIF(#REF!,Ascension_Mob_Materials[[#This Row],[Mob Name]],#REF!)</f>
        <v>#REF!</v>
      </c>
      <c r="S4" s="2">
        <v>451</v>
      </c>
      <c r="T4" s="2" t="e">
        <f>Ascension_Mob_Materials[[#This Row],[Mats
Needed]]-Ascension_Mob_Materials[[#This Row],[Mats
Acquired]]</f>
        <v>#REF!</v>
      </c>
    </row>
    <row r="5" spans="1:20">
      <c r="A5" s="6">
        <f ca="1">SUBTOTAL(3,$B$3:Ascension_Flower[[#This Row],[Flower Name]])</f>
        <v>3</v>
      </c>
      <c r="B5" s="160" t="s">
        <v>568</v>
      </c>
      <c r="C5" s="2" t="e">
        <f>SUMIF(#REF!,Ascension_Flower[[#This Row],[Flower Name]],#REF!)</f>
        <v>#REF!</v>
      </c>
      <c r="D5" s="2">
        <v>188</v>
      </c>
      <c r="E5" s="2" t="e">
        <f>Ascension_Flower[[#This Row],[Flowers Needed]]-Ascension_Flower[[#This Row],[Flowers Acquired]]</f>
        <v>#REF!</v>
      </c>
      <c r="G5" s="6">
        <f ca="1">SUBTOTAL(3,$H$3:Ascension_Stones[[#This Row],[Stone Name]])</f>
        <v>3</v>
      </c>
      <c r="H5" s="6" t="s">
        <v>605</v>
      </c>
      <c r="I5" s="3" t="s">
        <v>57</v>
      </c>
      <c r="J5" s="2" t="e">
        <f>SUMIF(#REF!,Ascension_Stones[[#This Row],[Stone Name]],#REF!)</f>
        <v>#REF!</v>
      </c>
      <c r="K5" s="2">
        <v>0</v>
      </c>
      <c r="L5" s="2" t="e">
        <f>Ascension_Stones[[#This Row],[Stones
Needed]]-Ascension_Stones[[#This Row],[Stones Acquired]]</f>
        <v>#REF!</v>
      </c>
      <c r="N5" s="6">
        <f ca="1">SUBTOTAL(3,$O$3:Ascension_Mob_Materials[[#This Row],[Mob Name]])</f>
        <v>3</v>
      </c>
      <c r="O5" s="161" t="s">
        <v>89</v>
      </c>
      <c r="P5" s="3" t="s">
        <v>707</v>
      </c>
      <c r="Q5" s="152">
        <v>1</v>
      </c>
      <c r="R5" s="2" t="e">
        <f>SUMIF(#REF!,Ascension_Mob_Materials[[#This Row],[Mob Name]],#REF!)</f>
        <v>#REF!</v>
      </c>
      <c r="S5" s="2">
        <v>97</v>
      </c>
      <c r="T5" s="2" t="e">
        <f>Ascension_Mob_Materials[[#This Row],[Mats
Needed]]-Ascension_Mob_Materials[[#This Row],[Mats
Acquired]]</f>
        <v>#REF!</v>
      </c>
    </row>
    <row r="6" spans="1:20">
      <c r="A6" s="6">
        <f ca="1">SUBTOTAL(3,$B$3:Ascension_Flower[[#This Row],[Flower Name]])</f>
        <v>4</v>
      </c>
      <c r="B6" s="160" t="s">
        <v>123</v>
      </c>
      <c r="C6" s="2" t="e">
        <f>SUMIF(#REF!,Ascension_Flower[[#This Row],[Flower Name]],#REF!)</f>
        <v>#REF!</v>
      </c>
      <c r="D6" s="2">
        <v>16</v>
      </c>
      <c r="E6" s="2" t="e">
        <f>Ascension_Flower[[#This Row],[Flowers Needed]]-Ascension_Flower[[#This Row],[Flowers Acquired]]</f>
        <v>#REF!</v>
      </c>
      <c r="G6" s="6">
        <f ca="1">SUBTOTAL(3,$H$3:Ascension_Stones[[#This Row],[Stone Name]])</f>
        <v>4</v>
      </c>
      <c r="H6" s="6" t="s">
        <v>605</v>
      </c>
      <c r="I6" s="3" t="s">
        <v>58</v>
      </c>
      <c r="J6" s="2" t="e">
        <f>SUMIF(#REF!,Ascension_Stones[[#This Row],[Stone Name]],#REF!)</f>
        <v>#REF!</v>
      </c>
      <c r="K6" s="2">
        <v>0</v>
      </c>
      <c r="L6" s="2" t="e">
        <f>Ascension_Stones[[#This Row],[Stones
Needed]]-Ascension_Stones[[#This Row],[Stones Acquired]]</f>
        <v>#REF!</v>
      </c>
      <c r="N6" s="6">
        <f ca="1">SUBTOTAL(3,$O$3:Ascension_Mob_Materials[[#This Row],[Mob Name]])</f>
        <v>4</v>
      </c>
      <c r="O6" s="161" t="s">
        <v>120</v>
      </c>
      <c r="P6" s="3" t="s">
        <v>708</v>
      </c>
      <c r="Q6" s="152">
        <v>1.01</v>
      </c>
      <c r="R6" s="2" t="e">
        <f>SUMIF(#REF!,Ascension_Mob_Materials[[#This Row],[Mob Name]],#REF!)</f>
        <v>#REF!</v>
      </c>
      <c r="S6" s="2">
        <v>1506</v>
      </c>
      <c r="T6" s="2" t="e">
        <f>Ascension_Mob_Materials[[#This Row],[Mats
Needed]]-Ascension_Mob_Materials[[#This Row],[Mats
Acquired]]</f>
        <v>#REF!</v>
      </c>
    </row>
    <row r="7" spans="1:20">
      <c r="A7" s="6">
        <f ca="1">SUBTOTAL(3,$B$3:Ascension_Flower[[#This Row],[Flower Name]])</f>
        <v>5</v>
      </c>
      <c r="B7" s="160" t="s">
        <v>609</v>
      </c>
      <c r="C7" s="2" t="e">
        <f>SUMIF(#REF!,Ascension_Flower[[#This Row],[Flower Name]],#REF!)</f>
        <v>#REF!</v>
      </c>
      <c r="D7" s="2">
        <v>60</v>
      </c>
      <c r="E7" s="2" t="e">
        <f>Ascension_Flower[[#This Row],[Flowers Needed]]-Ascension_Flower[[#This Row],[Flowers Acquired]]</f>
        <v>#REF!</v>
      </c>
      <c r="G7" s="6">
        <f ca="1">SUBTOTAL(3,$H$3:Ascension_Stones[[#This Row],[Stone Name]])</f>
        <v>5</v>
      </c>
      <c r="H7" s="6" t="s">
        <v>534</v>
      </c>
      <c r="I7" s="3" t="s">
        <v>55</v>
      </c>
      <c r="J7" s="2" t="e">
        <f>SUMIF(#REF!,Ascension_Stones[[#This Row],[Stone Name]],#REF!)</f>
        <v>#REF!</v>
      </c>
      <c r="K7" s="2">
        <v>0</v>
      </c>
      <c r="L7" s="2" t="e">
        <f>Ascension_Stones[[#This Row],[Stones
Needed]]-Ascension_Stones[[#This Row],[Stones Acquired]]</f>
        <v>#REF!</v>
      </c>
      <c r="N7" s="6">
        <f ca="1">SUBTOTAL(3,$O$3:Ascension_Mob_Materials[[#This Row],[Mob Name]])</f>
        <v>5</v>
      </c>
      <c r="O7" s="161" t="s">
        <v>120</v>
      </c>
      <c r="P7" s="3" t="s">
        <v>709</v>
      </c>
      <c r="Q7" s="152">
        <v>1.01</v>
      </c>
      <c r="R7" s="2" t="e">
        <f>SUMIF(#REF!,Ascension_Mob_Materials[[#This Row],[Mob Name]],#REF!)</f>
        <v>#REF!</v>
      </c>
      <c r="S7" s="2">
        <v>156</v>
      </c>
      <c r="T7" s="2" t="e">
        <f>Ascension_Mob_Materials[[#This Row],[Mats
Needed]]-Ascension_Mob_Materials[[#This Row],[Mats
Acquired]]</f>
        <v>#REF!</v>
      </c>
    </row>
    <row r="8" spans="1:20">
      <c r="A8" s="6">
        <f ca="1">SUBTOTAL(3,$B$3:Ascension_Flower[[#This Row],[Flower Name]])</f>
        <v>6</v>
      </c>
      <c r="B8" s="160" t="s">
        <v>563</v>
      </c>
      <c r="C8" s="2" t="e">
        <f>SUMIF(#REF!,Ascension_Flower[[#This Row],[Flower Name]],#REF!)</f>
        <v>#REF!</v>
      </c>
      <c r="D8" s="2">
        <v>45</v>
      </c>
      <c r="E8" s="2" t="e">
        <f>Ascension_Flower[[#This Row],[Flowers Needed]]-Ascension_Flower[[#This Row],[Flowers Acquired]]</f>
        <v>#REF!</v>
      </c>
      <c r="G8" s="6">
        <f ca="1">SUBTOTAL(3,$H$3:Ascension_Stones[[#This Row],[Stone Name]])</f>
        <v>6</v>
      </c>
      <c r="H8" s="6" t="s">
        <v>534</v>
      </c>
      <c r="I8" s="3" t="s">
        <v>56</v>
      </c>
      <c r="J8" s="2" t="e">
        <f>SUMIF(#REF!,Ascension_Stones[[#This Row],[Stone Name]],#REF!)</f>
        <v>#REF!</v>
      </c>
      <c r="K8" s="2">
        <v>29</v>
      </c>
      <c r="L8" s="2" t="e">
        <f>Ascension_Stones[[#This Row],[Stones
Needed]]-Ascension_Stones[[#This Row],[Stones Acquired]]</f>
        <v>#REF!</v>
      </c>
      <c r="N8" s="6">
        <f ca="1">SUBTOTAL(3,$O$3:Ascension_Mob_Materials[[#This Row],[Mob Name]])</f>
        <v>6</v>
      </c>
      <c r="O8" s="161" t="s">
        <v>120</v>
      </c>
      <c r="P8" s="3" t="s">
        <v>710</v>
      </c>
      <c r="Q8" s="152">
        <v>1.01</v>
      </c>
      <c r="R8" s="2" t="e">
        <f>SUMIF(#REF!,Ascension_Mob_Materials[[#This Row],[Mob Name]],#REF!)</f>
        <v>#REF!</v>
      </c>
      <c r="S8" s="2">
        <v>27</v>
      </c>
      <c r="T8" s="2" t="e">
        <f>Ascension_Mob_Materials[[#This Row],[Mats
Needed]]-Ascension_Mob_Materials[[#This Row],[Mats
Acquired]]</f>
        <v>#REF!</v>
      </c>
    </row>
    <row r="9" spans="1:20">
      <c r="A9" s="6">
        <f ca="1">SUBTOTAL(3,$B$3:Ascension_Flower[[#This Row],[Flower Name]])</f>
        <v>7</v>
      </c>
      <c r="B9" s="160" t="s">
        <v>529</v>
      </c>
      <c r="C9" s="2" t="e">
        <f>SUMIF(#REF!,Ascension_Flower[[#This Row],[Flower Name]],#REF!)</f>
        <v>#REF!</v>
      </c>
      <c r="D9" s="2">
        <v>69</v>
      </c>
      <c r="E9" s="2" t="e">
        <f>Ascension_Flower[[#This Row],[Flowers Needed]]-Ascension_Flower[[#This Row],[Flowers Acquired]]</f>
        <v>#REF!</v>
      </c>
      <c r="G9" s="6">
        <f ca="1">SUBTOTAL(3,$H$3:Ascension_Stones[[#This Row],[Stone Name]])</f>
        <v>7</v>
      </c>
      <c r="H9" s="6" t="s">
        <v>534</v>
      </c>
      <c r="I9" s="3" t="s">
        <v>57</v>
      </c>
      <c r="J9" s="2" t="e">
        <f>SUMIF(#REF!,Ascension_Stones[[#This Row],[Stone Name]],#REF!)</f>
        <v>#REF!</v>
      </c>
      <c r="K9" s="2">
        <v>37</v>
      </c>
      <c r="L9" s="2" t="e">
        <f>Ascension_Stones[[#This Row],[Stones
Needed]]-Ascension_Stones[[#This Row],[Stones Acquired]]</f>
        <v>#REF!</v>
      </c>
      <c r="N9" s="6">
        <f ca="1">SUBTOTAL(3,$O$3:Ascension_Mob_Materials[[#This Row],[Mob Name]])</f>
        <v>7</v>
      </c>
      <c r="O9" s="161" t="s">
        <v>149</v>
      </c>
      <c r="P9" s="3" t="s">
        <v>711</v>
      </c>
      <c r="Q9" s="152">
        <v>1.02</v>
      </c>
      <c r="R9" s="2" t="e">
        <f>SUMIF(#REF!,Ascension_Mob_Materials[[#This Row],[Mob Name]],#REF!)</f>
        <v>#REF!</v>
      </c>
      <c r="S9" s="2">
        <v>1927</v>
      </c>
      <c r="T9" s="2" t="e">
        <f>Ascension_Mob_Materials[[#This Row],[Mats
Needed]]-Ascension_Mob_Materials[[#This Row],[Mats
Acquired]]</f>
        <v>#REF!</v>
      </c>
    </row>
    <row r="10" spans="1:20">
      <c r="A10" s="6">
        <f ca="1">SUBTOTAL(3,$B$3:Ascension_Flower[[#This Row],[Flower Name]])</f>
        <v>8</v>
      </c>
      <c r="B10" s="160" t="s">
        <v>572</v>
      </c>
      <c r="C10" s="2" t="e">
        <f>SUMIF(#REF!,Ascension_Flower[[#This Row],[Flower Name]],#REF!)</f>
        <v>#REF!</v>
      </c>
      <c r="D10" s="2">
        <v>24</v>
      </c>
      <c r="E10" s="2" t="e">
        <f>Ascension_Flower[[#This Row],[Flowers Needed]]-Ascension_Flower[[#This Row],[Flowers Acquired]]</f>
        <v>#REF!</v>
      </c>
      <c r="G10" s="6">
        <f ca="1">SUBTOTAL(3,$H$3:Ascension_Stones[[#This Row],[Stone Name]])</f>
        <v>8</v>
      </c>
      <c r="H10" s="6" t="s">
        <v>534</v>
      </c>
      <c r="I10" s="3" t="s">
        <v>58</v>
      </c>
      <c r="J10" s="2" t="e">
        <f>SUMIF(#REF!,Ascension_Stones[[#This Row],[Stone Name]],#REF!)</f>
        <v>#REF!</v>
      </c>
      <c r="K10" s="2">
        <v>22</v>
      </c>
      <c r="L10" s="2" t="e">
        <f>Ascension_Stones[[#This Row],[Stones
Needed]]-Ascension_Stones[[#This Row],[Stones Acquired]]</f>
        <v>#REF!</v>
      </c>
      <c r="N10" s="6">
        <f ca="1">SUBTOTAL(3,$O$3:Ascension_Mob_Materials[[#This Row],[Mob Name]])</f>
        <v>8</v>
      </c>
      <c r="O10" s="161" t="s">
        <v>149</v>
      </c>
      <c r="P10" s="3" t="s">
        <v>712</v>
      </c>
      <c r="Q10" s="152">
        <v>1.02</v>
      </c>
      <c r="R10" s="2" t="e">
        <f>SUMIF(#REF!,Ascension_Mob_Materials[[#This Row],[Mob Name]],#REF!)</f>
        <v>#REF!</v>
      </c>
      <c r="S10" s="2">
        <v>33</v>
      </c>
      <c r="T10" s="2" t="e">
        <f>Ascension_Mob_Materials[[#This Row],[Mats
Needed]]-Ascension_Mob_Materials[[#This Row],[Mats
Acquired]]</f>
        <v>#REF!</v>
      </c>
    </row>
    <row r="11" spans="1:20">
      <c r="A11" s="6">
        <f ca="1">SUBTOTAL(3,$B$3:Ascension_Flower[[#This Row],[Flower Name]])</f>
        <v>9</v>
      </c>
      <c r="B11" s="160" t="s">
        <v>170</v>
      </c>
      <c r="C11" s="2" t="e">
        <f>SUMIF(#REF!,Ascension_Flower[[#This Row],[Flower Name]],#REF!)</f>
        <v>#REF!</v>
      </c>
      <c r="D11" s="2">
        <v>165</v>
      </c>
      <c r="E11" s="2" t="e">
        <f>Ascension_Flower[[#This Row],[Flowers Needed]]-Ascension_Flower[[#This Row],[Flowers Acquired]]</f>
        <v>#REF!</v>
      </c>
      <c r="G11" s="6">
        <f ca="1">SUBTOTAL(3,$H$3:Ascension_Stones[[#This Row],[Stone Name]])</f>
        <v>9</v>
      </c>
      <c r="H11" s="6" t="s">
        <v>546</v>
      </c>
      <c r="I11" s="3" t="s">
        <v>55</v>
      </c>
      <c r="J11" s="2" t="e">
        <f>SUMIF(#REF!,Ascension_Stones[[#This Row],[Stone Name]],#REF!)</f>
        <v>#REF!</v>
      </c>
      <c r="K11" s="2">
        <v>0</v>
      </c>
      <c r="L11" s="2" t="e">
        <f>Ascension_Stones[[#This Row],[Stones
Needed]]-Ascension_Stones[[#This Row],[Stones Acquired]]</f>
        <v>#REF!</v>
      </c>
      <c r="N11" s="6">
        <f ca="1">SUBTOTAL(3,$O$3:Ascension_Mob_Materials[[#This Row],[Mob Name]])</f>
        <v>9</v>
      </c>
      <c r="O11" s="161" t="s">
        <v>149</v>
      </c>
      <c r="P11" s="3" t="s">
        <v>713</v>
      </c>
      <c r="Q11" s="152">
        <v>1.02</v>
      </c>
      <c r="R11" s="2" t="e">
        <f>SUMIF(#REF!,Ascension_Mob_Materials[[#This Row],[Mob Name]],#REF!)</f>
        <v>#REF!</v>
      </c>
      <c r="S11" s="2">
        <v>1</v>
      </c>
      <c r="T11" s="2" t="e">
        <f>Ascension_Mob_Materials[[#This Row],[Mats
Needed]]-Ascension_Mob_Materials[[#This Row],[Mats
Acquired]]</f>
        <v>#REF!</v>
      </c>
    </row>
    <row r="12" spans="1:20">
      <c r="A12" s="6">
        <f ca="1">SUBTOTAL(3,$B$3:Ascension_Flower[[#This Row],[Flower Name]])</f>
        <v>10</v>
      </c>
      <c r="B12" s="160" t="s">
        <v>601</v>
      </c>
      <c r="C12" s="2" t="e">
        <f>SUMIF(#REF!,Ascension_Flower[[#This Row],[Flower Name]],#REF!)</f>
        <v>#REF!</v>
      </c>
      <c r="D12" s="2">
        <v>166</v>
      </c>
      <c r="E12" s="2" t="e">
        <f>Ascension_Flower[[#This Row],[Flowers Needed]]-Ascension_Flower[[#This Row],[Flowers Acquired]]</f>
        <v>#REF!</v>
      </c>
      <c r="G12" s="6">
        <f ca="1">SUBTOTAL(3,$H$3:Ascension_Stones[[#This Row],[Stone Name]])</f>
        <v>10</v>
      </c>
      <c r="H12" s="6" t="s">
        <v>546</v>
      </c>
      <c r="I12" s="3" t="s">
        <v>56</v>
      </c>
      <c r="J12" s="2" t="e">
        <f>SUMIF(#REF!,Ascension_Stones[[#This Row],[Stone Name]],#REF!)</f>
        <v>#REF!</v>
      </c>
      <c r="K12" s="2">
        <v>27</v>
      </c>
      <c r="L12" s="2" t="e">
        <f>Ascension_Stones[[#This Row],[Stones
Needed]]-Ascension_Stones[[#This Row],[Stones Acquired]]</f>
        <v>#REF!</v>
      </c>
      <c r="N12" s="6">
        <f ca="1">SUBTOTAL(3,$O$3:Ascension_Mob_Materials[[#This Row],[Mob Name]])</f>
        <v>10</v>
      </c>
      <c r="O12" s="161" t="s">
        <v>178</v>
      </c>
      <c r="P12" s="3" t="s">
        <v>714</v>
      </c>
      <c r="Q12" s="152">
        <v>1.03</v>
      </c>
      <c r="R12" s="2" t="e">
        <f>SUMIF(#REF!,Ascension_Mob_Materials[[#This Row],[Mob Name]],#REF!)</f>
        <v>#REF!</v>
      </c>
      <c r="S12" s="2">
        <v>123</v>
      </c>
      <c r="T12" s="2" t="e">
        <f>Ascension_Mob_Materials[[#This Row],[Mats
Needed]]-Ascension_Mob_Materials[[#This Row],[Mats
Acquired]]</f>
        <v>#REF!</v>
      </c>
    </row>
    <row r="13" spans="1:20">
      <c r="A13" s="6">
        <f ca="1">SUBTOTAL(3,$B$3:Ascension_Flower[[#This Row],[Flower Name]])</f>
        <v>11</v>
      </c>
      <c r="B13" s="160" t="s">
        <v>599</v>
      </c>
      <c r="C13" s="2" t="e">
        <f>SUMIF(#REF!,Ascension_Flower[[#This Row],[Flower Name]],#REF!)</f>
        <v>#REF!</v>
      </c>
      <c r="D13" s="2">
        <v>216</v>
      </c>
      <c r="E13" s="2" t="e">
        <f>Ascension_Flower[[#This Row],[Flowers Needed]]-Ascension_Flower[[#This Row],[Flowers Acquired]]</f>
        <v>#REF!</v>
      </c>
      <c r="G13" s="6">
        <f ca="1">SUBTOTAL(3,$H$3:Ascension_Stones[[#This Row],[Stone Name]])</f>
        <v>11</v>
      </c>
      <c r="H13" s="6" t="s">
        <v>546</v>
      </c>
      <c r="I13" s="3" t="s">
        <v>57</v>
      </c>
      <c r="J13" s="2" t="e">
        <f>SUMIF(#REF!,Ascension_Stones[[#This Row],[Stone Name]],#REF!)</f>
        <v>#REF!</v>
      </c>
      <c r="K13" s="2">
        <v>9</v>
      </c>
      <c r="L13" s="2" t="e">
        <f>Ascension_Stones[[#This Row],[Stones
Needed]]-Ascension_Stones[[#This Row],[Stones Acquired]]</f>
        <v>#REF!</v>
      </c>
      <c r="N13" s="6">
        <f ca="1">SUBTOTAL(3,$O$3:Ascension_Mob_Materials[[#This Row],[Mob Name]])</f>
        <v>11</v>
      </c>
      <c r="O13" s="161" t="s">
        <v>178</v>
      </c>
      <c r="P13" s="3" t="s">
        <v>715</v>
      </c>
      <c r="Q13" s="152">
        <v>1.03</v>
      </c>
      <c r="R13" s="2" t="e">
        <f>SUMIF(#REF!,Ascension_Mob_Materials[[#This Row],[Mob Name]],#REF!)</f>
        <v>#REF!</v>
      </c>
      <c r="S13" s="2">
        <v>101</v>
      </c>
      <c r="T13" s="2" t="e">
        <f>Ascension_Mob_Materials[[#This Row],[Mats
Needed]]-Ascension_Mob_Materials[[#This Row],[Mats
Acquired]]</f>
        <v>#REF!</v>
      </c>
    </row>
    <row r="14" spans="1:20">
      <c r="A14" s="6">
        <f ca="1">SUBTOTAL(3,$B$3:Ascension_Flower[[#This Row],[Flower Name]])</f>
        <v>12</v>
      </c>
      <c r="B14" s="160" t="s">
        <v>555</v>
      </c>
      <c r="C14" s="2" t="e">
        <f>SUMIF(#REF!,Ascension_Flower[[#This Row],[Flower Name]],#REF!)</f>
        <v>#REF!</v>
      </c>
      <c r="D14" s="2">
        <v>23</v>
      </c>
      <c r="E14" s="2" t="e">
        <f>Ascension_Flower[[#This Row],[Flowers Needed]]-Ascension_Flower[[#This Row],[Flowers Acquired]]</f>
        <v>#REF!</v>
      </c>
      <c r="G14" s="6">
        <f ca="1">SUBTOTAL(3,$H$3:Ascension_Stones[[#This Row],[Stone Name]])</f>
        <v>12</v>
      </c>
      <c r="H14" s="6" t="s">
        <v>546</v>
      </c>
      <c r="I14" s="3" t="s">
        <v>58</v>
      </c>
      <c r="J14" s="2" t="e">
        <f>SUMIF(#REF!,Ascension_Stones[[#This Row],[Stone Name]],#REF!)</f>
        <v>#REF!</v>
      </c>
      <c r="K14" s="2">
        <v>6</v>
      </c>
      <c r="L14" s="2" t="e">
        <f>Ascension_Stones[[#This Row],[Stones
Needed]]-Ascension_Stones[[#This Row],[Stones Acquired]]</f>
        <v>#REF!</v>
      </c>
      <c r="N14" s="6">
        <f ca="1">SUBTOTAL(3,$O$3:Ascension_Mob_Materials[[#This Row],[Mob Name]])</f>
        <v>12</v>
      </c>
      <c r="O14" s="161" t="s">
        <v>178</v>
      </c>
      <c r="P14" s="3" t="s">
        <v>716</v>
      </c>
      <c r="Q14" s="152">
        <v>1.03</v>
      </c>
      <c r="R14" s="2" t="e">
        <f>SUMIF(#REF!,Ascension_Mob_Materials[[#This Row],[Mob Name]],#REF!)</f>
        <v>#REF!</v>
      </c>
      <c r="S14" s="2">
        <v>243</v>
      </c>
      <c r="T14" s="2" t="e">
        <f>Ascension_Mob_Materials[[#This Row],[Mats
Needed]]-Ascension_Mob_Materials[[#This Row],[Mats
Acquired]]</f>
        <v>#REF!</v>
      </c>
    </row>
    <row r="15" spans="1:20">
      <c r="A15" s="6">
        <f ca="1">SUBTOTAL(3,$B$3:Ascension_Flower[[#This Row],[Flower Name]])</f>
        <v>13</v>
      </c>
      <c r="B15" s="160" t="s">
        <v>607</v>
      </c>
      <c r="C15" s="2" t="e">
        <f>SUMIF(#REF!,Ascension_Flower[[#This Row],[Flower Name]],#REF!)</f>
        <v>#REF!</v>
      </c>
      <c r="D15" s="2">
        <v>171</v>
      </c>
      <c r="E15" s="2" t="e">
        <f>Ascension_Flower[[#This Row],[Flowers Needed]]-Ascension_Flower[[#This Row],[Flowers Acquired]]</f>
        <v>#REF!</v>
      </c>
      <c r="G15" s="6">
        <f ca="1">SUBTOTAL(3,$H$3:Ascension_Stones[[#This Row],[Stone Name]])</f>
        <v>13</v>
      </c>
      <c r="H15" s="6" t="s">
        <v>526</v>
      </c>
      <c r="I15" s="3" t="s">
        <v>55</v>
      </c>
      <c r="J15" s="2" t="e">
        <f>SUMIF(#REF!,Ascension_Stones[[#This Row],[Stone Name]],#REF!)</f>
        <v>#REF!</v>
      </c>
      <c r="K15" s="2">
        <v>0</v>
      </c>
      <c r="L15" s="2" t="e">
        <f>Ascension_Stones[[#This Row],[Stones
Needed]]-Ascension_Stones[[#This Row],[Stones Acquired]]</f>
        <v>#REF!</v>
      </c>
      <c r="N15" s="6">
        <f ca="1">SUBTOTAL(3,$O$3:Ascension_Mob_Materials[[#This Row],[Mob Name]])</f>
        <v>13</v>
      </c>
      <c r="O15" s="161" t="s">
        <v>207</v>
      </c>
      <c r="P15" s="3" t="s">
        <v>717</v>
      </c>
      <c r="Q15" s="152">
        <v>1.04</v>
      </c>
      <c r="R15" s="2" t="e">
        <f>SUMIF(#REF!,Ascension_Mob_Materials[[#This Row],[Mob Name]],#REF!)</f>
        <v>#REF!</v>
      </c>
      <c r="S15" s="2">
        <v>2574</v>
      </c>
      <c r="T15" s="2" t="e">
        <f>Ascension_Mob_Materials[[#This Row],[Mats
Needed]]-Ascension_Mob_Materials[[#This Row],[Mats
Acquired]]</f>
        <v>#REF!</v>
      </c>
    </row>
    <row r="16" spans="1:20">
      <c r="A16" s="6">
        <f ca="1">SUBTOTAL(3,$B$3:Ascension_Flower[[#This Row],[Flower Name]])</f>
        <v>14</v>
      </c>
      <c r="B16" s="160" t="s">
        <v>570</v>
      </c>
      <c r="C16" s="2" t="e">
        <f>SUMIF(#REF!,Ascension_Flower[[#This Row],[Flower Name]],#REF!)</f>
        <v>#REF!</v>
      </c>
      <c r="D16" s="2">
        <v>12</v>
      </c>
      <c r="E16" s="2" t="e">
        <f>Ascension_Flower[[#This Row],[Flowers Needed]]-Ascension_Flower[[#This Row],[Flowers Acquired]]</f>
        <v>#REF!</v>
      </c>
      <c r="G16" s="6">
        <f ca="1">SUBTOTAL(3,$H$3:Ascension_Stones[[#This Row],[Stone Name]])</f>
        <v>14</v>
      </c>
      <c r="H16" s="6" t="s">
        <v>526</v>
      </c>
      <c r="I16" s="3" t="s">
        <v>56</v>
      </c>
      <c r="J16" s="2" t="e">
        <f>SUMIF(#REF!,Ascension_Stones[[#This Row],[Stone Name]],#REF!)</f>
        <v>#REF!</v>
      </c>
      <c r="K16" s="2">
        <v>46</v>
      </c>
      <c r="L16" s="2" t="e">
        <f>Ascension_Stones[[#This Row],[Stones
Needed]]-Ascension_Stones[[#This Row],[Stones Acquired]]</f>
        <v>#REF!</v>
      </c>
      <c r="N16" s="6">
        <f ca="1">SUBTOTAL(3,$O$3:Ascension_Mob_Materials[[#This Row],[Mob Name]])</f>
        <v>14</v>
      </c>
      <c r="O16" s="161" t="s">
        <v>207</v>
      </c>
      <c r="P16" s="3" t="s">
        <v>718</v>
      </c>
      <c r="Q16" s="152">
        <v>1.04</v>
      </c>
      <c r="R16" s="2" t="e">
        <f>SUMIF(#REF!,Ascension_Mob_Materials[[#This Row],[Mob Name]],#REF!)</f>
        <v>#REF!</v>
      </c>
      <c r="S16" s="2">
        <v>293</v>
      </c>
      <c r="T16" s="2" t="e">
        <f>Ascension_Mob_Materials[[#This Row],[Mats
Needed]]-Ascension_Mob_Materials[[#This Row],[Mats
Acquired]]</f>
        <v>#REF!</v>
      </c>
    </row>
    <row r="17" spans="1:20">
      <c r="A17" s="6">
        <f ca="1">SUBTOTAL(3,$B$3:Ascension_Flower[[#This Row],[Flower Name]])</f>
        <v>15</v>
      </c>
      <c r="B17" s="160" t="s">
        <v>577</v>
      </c>
      <c r="C17" s="2" t="e">
        <f>SUMIF(#REF!,Ascension_Flower[[#This Row],[Flower Name]],#REF!)</f>
        <v>#REF!</v>
      </c>
      <c r="D17" s="2">
        <v>24</v>
      </c>
      <c r="E17" s="2" t="e">
        <f>Ascension_Flower[[#This Row],[Flowers Needed]]-Ascension_Flower[[#This Row],[Flowers Acquired]]</f>
        <v>#REF!</v>
      </c>
      <c r="G17" s="6">
        <f ca="1">SUBTOTAL(3,$H$3:Ascension_Stones[[#This Row],[Stone Name]])</f>
        <v>15</v>
      </c>
      <c r="H17" s="6" t="s">
        <v>526</v>
      </c>
      <c r="I17" s="3" t="s">
        <v>57</v>
      </c>
      <c r="J17" s="2" t="e">
        <f>SUMIF(#REF!,Ascension_Stones[[#This Row],[Stone Name]],#REF!)</f>
        <v>#REF!</v>
      </c>
      <c r="K17" s="2">
        <v>37</v>
      </c>
      <c r="L17" s="2" t="e">
        <f>Ascension_Stones[[#This Row],[Stones
Needed]]-Ascension_Stones[[#This Row],[Stones Acquired]]</f>
        <v>#REF!</v>
      </c>
      <c r="N17" s="6">
        <f ca="1">SUBTOTAL(3,$O$3:Ascension_Mob_Materials[[#This Row],[Mob Name]])</f>
        <v>15</v>
      </c>
      <c r="O17" s="161" t="s">
        <v>207</v>
      </c>
      <c r="P17" s="3" t="s">
        <v>719</v>
      </c>
      <c r="Q17" s="152">
        <v>1.04</v>
      </c>
      <c r="R17" s="2" t="e">
        <f>SUMIF(#REF!,Ascension_Mob_Materials[[#This Row],[Mob Name]],#REF!)</f>
        <v>#REF!</v>
      </c>
      <c r="S17" s="2">
        <v>65</v>
      </c>
      <c r="T17" s="2" t="e">
        <f>Ascension_Mob_Materials[[#This Row],[Mats
Needed]]-Ascension_Mob_Materials[[#This Row],[Mats
Acquired]]</f>
        <v>#REF!</v>
      </c>
    </row>
    <row r="18" spans="1:20">
      <c r="A18" s="6">
        <f ca="1">SUBTOTAL(3,$B$3:Ascension_Flower[[#This Row],[Flower Name]])</f>
        <v>16</v>
      </c>
      <c r="B18" s="160" t="s">
        <v>560</v>
      </c>
      <c r="C18" s="2" t="e">
        <f>SUMIF(#REF!,Ascension_Flower[[#This Row],[Flower Name]],#REF!)</f>
        <v>#REF!</v>
      </c>
      <c r="D18" s="2">
        <v>152</v>
      </c>
      <c r="E18" s="2" t="e">
        <f>Ascension_Flower[[#This Row],[Flowers Needed]]-Ascension_Flower[[#This Row],[Flowers Acquired]]</f>
        <v>#REF!</v>
      </c>
      <c r="G18" s="6">
        <f ca="1">SUBTOTAL(3,$H$3:Ascension_Stones[[#This Row],[Stone Name]])</f>
        <v>16</v>
      </c>
      <c r="H18" s="6" t="s">
        <v>526</v>
      </c>
      <c r="I18" s="3" t="s">
        <v>58</v>
      </c>
      <c r="J18" s="2" t="e">
        <f>SUMIF(#REF!,Ascension_Stones[[#This Row],[Stone Name]],#REF!)</f>
        <v>#REF!</v>
      </c>
      <c r="K18" s="2">
        <v>3</v>
      </c>
      <c r="L18" s="2" t="e">
        <f>Ascension_Stones[[#This Row],[Stones
Needed]]-Ascension_Stones[[#This Row],[Stones Acquired]]</f>
        <v>#REF!</v>
      </c>
      <c r="N18" s="6">
        <f ca="1">SUBTOTAL(3,$O$3:Ascension_Mob_Materials[[#This Row],[Mob Name]])</f>
        <v>16</v>
      </c>
      <c r="O18" s="162" t="s">
        <v>236</v>
      </c>
      <c r="P18" s="3" t="s">
        <v>720</v>
      </c>
      <c r="Q18" s="152">
        <v>1.0409999999999999</v>
      </c>
      <c r="R18" s="2" t="e">
        <f>SUMIF(#REF!,Ascension_Mob_Materials[[#This Row],[Mob Name]],#REF!)</f>
        <v>#REF!</v>
      </c>
      <c r="S18" s="2">
        <v>1644</v>
      </c>
      <c r="T18" s="2" t="e">
        <f>Ascension_Mob_Materials[[#This Row],[Mats
Needed]]-Ascension_Mob_Materials[[#This Row],[Mats
Acquired]]</f>
        <v>#REF!</v>
      </c>
    </row>
    <row r="19" spans="1:20">
      <c r="A19" s="6">
        <f ca="1">SUBTOTAL(3,$B$3:Ascension_Flower[[#This Row],[Flower Name]])</f>
        <v>17</v>
      </c>
      <c r="B19" s="160" t="s">
        <v>248</v>
      </c>
      <c r="C19" s="2" t="e">
        <f>SUMIF(#REF!,Ascension_Flower[[#This Row],[Flower Name]],#REF!)</f>
        <v>#REF!</v>
      </c>
      <c r="D19" s="2">
        <v>19</v>
      </c>
      <c r="E19" s="2" t="e">
        <f>Ascension_Flower[[#This Row],[Flowers Needed]]-Ascension_Flower[[#This Row],[Flowers Acquired]]</f>
        <v>#REF!</v>
      </c>
      <c r="G19" s="6">
        <f ca="1">SUBTOTAL(3,$H$3:Ascension_Stones[[#This Row],[Stone Name]])</f>
        <v>17</v>
      </c>
      <c r="H19" s="6" t="s">
        <v>548</v>
      </c>
      <c r="I19" s="3" t="s">
        <v>55</v>
      </c>
      <c r="J19" s="2" t="e">
        <f>SUMIF(#REF!,Ascension_Stones[[#This Row],[Stone Name]],#REF!)</f>
        <v>#REF!</v>
      </c>
      <c r="K19" s="2">
        <v>3</v>
      </c>
      <c r="L19" s="2" t="e">
        <f>Ascension_Stones[[#This Row],[Stones
Needed]]-Ascension_Stones[[#This Row],[Stones Acquired]]</f>
        <v>#REF!</v>
      </c>
      <c r="N19" s="6">
        <f ca="1">SUBTOTAL(3,$O$3:Ascension_Mob_Materials[[#This Row],[Mob Name]])</f>
        <v>17</v>
      </c>
      <c r="O19" s="162" t="s">
        <v>236</v>
      </c>
      <c r="P19" s="3" t="s">
        <v>721</v>
      </c>
      <c r="Q19" s="152">
        <v>1.0409999999999999</v>
      </c>
      <c r="R19" s="2" t="e">
        <f>SUMIF(#REF!,Ascension_Mob_Materials[[#This Row],[Mob Name]],#REF!)</f>
        <v>#REF!</v>
      </c>
      <c r="S19" s="2">
        <v>298</v>
      </c>
      <c r="T19" s="2" t="e">
        <f>Ascension_Mob_Materials[[#This Row],[Mats
Needed]]-Ascension_Mob_Materials[[#This Row],[Mats
Acquired]]</f>
        <v>#REF!</v>
      </c>
    </row>
    <row r="20" spans="1:20">
      <c r="A20" s="6">
        <f ca="1">SUBTOTAL(3,$B$3:Ascension_Flower[[#This Row],[Flower Name]])</f>
        <v>18</v>
      </c>
      <c r="B20" s="160" t="s">
        <v>588</v>
      </c>
      <c r="C20" s="2" t="e">
        <f>SUMIF(#REF!,Ascension_Flower[[#This Row],[Flower Name]],#REF!)</f>
        <v>#REF!</v>
      </c>
      <c r="D20" s="2">
        <v>24</v>
      </c>
      <c r="E20" s="2" t="e">
        <f>Ascension_Flower[[#This Row],[Flowers Needed]]-Ascension_Flower[[#This Row],[Flowers Acquired]]</f>
        <v>#REF!</v>
      </c>
      <c r="G20" s="6">
        <f ca="1">SUBTOTAL(3,$H$3:Ascension_Stones[[#This Row],[Stone Name]])</f>
        <v>18</v>
      </c>
      <c r="H20" s="6" t="s">
        <v>548</v>
      </c>
      <c r="I20" s="3" t="s">
        <v>56</v>
      </c>
      <c r="J20" s="2" t="e">
        <f>SUMIF(#REF!,Ascension_Stones[[#This Row],[Stone Name]],#REF!)</f>
        <v>#REF!</v>
      </c>
      <c r="K20" s="2">
        <v>71</v>
      </c>
      <c r="L20" s="2" t="e">
        <f>Ascension_Stones[[#This Row],[Stones
Needed]]-Ascension_Stones[[#This Row],[Stones Acquired]]</f>
        <v>#REF!</v>
      </c>
      <c r="N20" s="6">
        <f ca="1">SUBTOTAL(3,$O$3:Ascension_Mob_Materials[[#This Row],[Mob Name]])</f>
        <v>18</v>
      </c>
      <c r="O20" s="162" t="s">
        <v>236</v>
      </c>
      <c r="P20" s="3" t="s">
        <v>722</v>
      </c>
      <c r="Q20" s="152">
        <v>1.0409999999999999</v>
      </c>
      <c r="R20" s="2" t="e">
        <f>SUMIF(#REF!,Ascension_Mob_Materials[[#This Row],[Mob Name]],#REF!)</f>
        <v>#REF!</v>
      </c>
      <c r="S20" s="2">
        <v>327</v>
      </c>
      <c r="T20" s="2" t="e">
        <f>Ascension_Mob_Materials[[#This Row],[Mats
Needed]]-Ascension_Mob_Materials[[#This Row],[Mats
Acquired]]</f>
        <v>#REF!</v>
      </c>
    </row>
    <row r="21" spans="1:20">
      <c r="A21" s="6">
        <f ca="1">SUBTOTAL(3,$B$3:Ascension_Flower[[#This Row],[Flower Name]])</f>
        <v>19</v>
      </c>
      <c r="B21" s="160" t="s">
        <v>594</v>
      </c>
      <c r="C21" s="2" t="e">
        <f>SUMIF(#REF!,Ascension_Flower[[#This Row],[Flower Name]],#REF!)</f>
        <v>#REF!</v>
      </c>
      <c r="D21" s="2">
        <v>55</v>
      </c>
      <c r="E21" s="2" t="e">
        <f>Ascension_Flower[[#This Row],[Flowers Needed]]-Ascension_Flower[[#This Row],[Flowers Acquired]]</f>
        <v>#REF!</v>
      </c>
      <c r="G21" s="6">
        <f ca="1">SUBTOTAL(3,$H$3:Ascension_Stones[[#This Row],[Stone Name]])</f>
        <v>19</v>
      </c>
      <c r="H21" s="6" t="s">
        <v>548</v>
      </c>
      <c r="I21" s="3" t="s">
        <v>57</v>
      </c>
      <c r="J21" s="2" t="e">
        <f>SUMIF(#REF!,Ascension_Stones[[#This Row],[Stone Name]],#REF!)</f>
        <v>#REF!</v>
      </c>
      <c r="K21" s="2">
        <v>31</v>
      </c>
      <c r="L21" s="2" t="e">
        <f>Ascension_Stones[[#This Row],[Stones
Needed]]-Ascension_Stones[[#This Row],[Stones Acquired]]</f>
        <v>#REF!</v>
      </c>
      <c r="N21" s="6">
        <f ca="1">SUBTOTAL(3,$O$3:Ascension_Mob_Materials[[#This Row],[Mob Name]])</f>
        <v>19</v>
      </c>
      <c r="O21" s="161" t="s">
        <v>264</v>
      </c>
      <c r="P21" s="3" t="s">
        <v>723</v>
      </c>
      <c r="Q21" s="152">
        <v>1.042</v>
      </c>
      <c r="R21" s="2" t="e">
        <f>SUMIF(#REF!,Ascension_Mob_Materials[[#This Row],[Mob Name]],#REF!)</f>
        <v>#REF!</v>
      </c>
      <c r="S21" s="2">
        <v>567</v>
      </c>
      <c r="T21" s="2" t="e">
        <f>Ascension_Mob_Materials[[#This Row],[Mats
Needed]]-Ascension_Mob_Materials[[#This Row],[Mats
Acquired]]</f>
        <v>#REF!</v>
      </c>
    </row>
    <row r="22" spans="1:20">
      <c r="A22" s="6">
        <f ca="1">SUBTOTAL(3,$B$3:Ascension_Flower[[#This Row],[Flower Name]])</f>
        <v>20</v>
      </c>
      <c r="B22" s="160" t="s">
        <v>595</v>
      </c>
      <c r="C22" s="2" t="e">
        <f>SUMIF(#REF!,Ascension_Flower[[#This Row],[Flower Name]],#REF!)</f>
        <v>#REF!</v>
      </c>
      <c r="D22" s="2">
        <v>3</v>
      </c>
      <c r="E22" s="2" t="e">
        <f>Ascension_Flower[[#This Row],[Flowers Needed]]-Ascension_Flower[[#This Row],[Flowers Acquired]]</f>
        <v>#REF!</v>
      </c>
      <c r="G22" s="6">
        <f ca="1">SUBTOTAL(3,$H$3:Ascension_Stones[[#This Row],[Stone Name]])</f>
        <v>20</v>
      </c>
      <c r="H22" s="6" t="s">
        <v>548</v>
      </c>
      <c r="I22" s="3" t="s">
        <v>58</v>
      </c>
      <c r="J22" s="2" t="e">
        <f>SUMIF(#REF!,Ascension_Stones[[#This Row],[Stone Name]],#REF!)</f>
        <v>#REF!</v>
      </c>
      <c r="K22" s="2">
        <v>30</v>
      </c>
      <c r="L22" s="2" t="e">
        <f>Ascension_Stones[[#This Row],[Stones
Needed]]-Ascension_Stones[[#This Row],[Stones Acquired]]</f>
        <v>#REF!</v>
      </c>
      <c r="N22" s="6">
        <f ca="1">SUBTOTAL(3,$O$3:Ascension_Mob_Materials[[#This Row],[Mob Name]])</f>
        <v>20</v>
      </c>
      <c r="O22" s="161" t="s">
        <v>264</v>
      </c>
      <c r="P22" s="3" t="s">
        <v>724</v>
      </c>
      <c r="Q22" s="152">
        <v>1.042</v>
      </c>
      <c r="R22" s="2" t="e">
        <f>SUMIF(#REF!,Ascension_Mob_Materials[[#This Row],[Mob Name]],#REF!)</f>
        <v>#REF!</v>
      </c>
      <c r="S22" s="2">
        <v>75</v>
      </c>
      <c r="T22" s="2" t="e">
        <f>Ascension_Mob_Materials[[#This Row],[Mats
Needed]]-Ascension_Mob_Materials[[#This Row],[Mats
Acquired]]</f>
        <v>#REF!</v>
      </c>
    </row>
    <row r="23" spans="1:20">
      <c r="A23" s="6">
        <f ca="1">SUBTOTAL(3,$B$3:Ascension_Flower[[#This Row],[Flower Name]])</f>
        <v>21</v>
      </c>
      <c r="B23" s="160" t="s">
        <v>547</v>
      </c>
      <c r="C23" s="2" t="e">
        <f>SUMIF(#REF!,Ascension_Flower[[#This Row],[Flower Name]],#REF!)</f>
        <v>#REF!</v>
      </c>
      <c r="D23" s="2">
        <v>196</v>
      </c>
      <c r="E23" s="2" t="e">
        <f>Ascension_Flower[[#This Row],[Flowers Needed]]-Ascension_Flower[[#This Row],[Flowers Acquired]]</f>
        <v>#REF!</v>
      </c>
      <c r="G23" s="6">
        <f ca="1">SUBTOTAL(3,$H$3:Ascension_Stones[[#This Row],[Stone Name]])</f>
        <v>21</v>
      </c>
      <c r="H23" s="6" t="s">
        <v>573</v>
      </c>
      <c r="I23" s="3" t="s">
        <v>55</v>
      </c>
      <c r="J23" s="2" t="e">
        <f>SUMIF(#REF!,Ascension_Stones[[#This Row],[Stone Name]],#REF!)</f>
        <v>#REF!</v>
      </c>
      <c r="K23" s="2">
        <v>1</v>
      </c>
      <c r="L23" s="2" t="e">
        <f>Ascension_Stones[[#This Row],[Stones
Needed]]-Ascension_Stones[[#This Row],[Stones Acquired]]</f>
        <v>#REF!</v>
      </c>
      <c r="N23" s="6">
        <f ca="1">SUBTOTAL(3,$O$3:Ascension_Mob_Materials[[#This Row],[Mob Name]])</f>
        <v>21</v>
      </c>
      <c r="O23" s="161" t="s">
        <v>264</v>
      </c>
      <c r="P23" s="3" t="s">
        <v>725</v>
      </c>
      <c r="Q23" s="152">
        <v>1.042</v>
      </c>
      <c r="R23" s="2" t="e">
        <f>SUMIF(#REF!,Ascension_Mob_Materials[[#This Row],[Mob Name]],#REF!)</f>
        <v>#REF!</v>
      </c>
      <c r="S23" s="2">
        <v>35</v>
      </c>
      <c r="T23" s="2" t="e">
        <f>Ascension_Mob_Materials[[#This Row],[Mats
Needed]]-Ascension_Mob_Materials[[#This Row],[Mats
Acquired]]</f>
        <v>#REF!</v>
      </c>
    </row>
    <row r="24" spans="1:20">
      <c r="A24" s="6">
        <f ca="1">SUBTOTAL(3,$B$3:Ascension_Flower[[#This Row],[Flower Name]])</f>
        <v>22</v>
      </c>
      <c r="B24" s="160" t="s">
        <v>291</v>
      </c>
      <c r="C24" s="2" t="e">
        <f>SUMIF(#REF!,Ascension_Flower[[#This Row],[Flower Name]],#REF!)</f>
        <v>#REF!</v>
      </c>
      <c r="D24" s="2">
        <v>45</v>
      </c>
      <c r="E24" s="2" t="e">
        <f>Ascension_Flower[[#This Row],[Flowers Needed]]-Ascension_Flower[[#This Row],[Flowers Acquired]]</f>
        <v>#REF!</v>
      </c>
      <c r="G24" s="6">
        <f ca="1">SUBTOTAL(3,$H$3:Ascension_Stones[[#This Row],[Stone Name]])</f>
        <v>22</v>
      </c>
      <c r="H24" s="6" t="s">
        <v>573</v>
      </c>
      <c r="I24" s="3" t="s">
        <v>56</v>
      </c>
      <c r="J24" s="2" t="e">
        <f>SUMIF(#REF!,Ascension_Stones[[#This Row],[Stone Name]],#REF!)</f>
        <v>#REF!</v>
      </c>
      <c r="K24" s="2">
        <v>29</v>
      </c>
      <c r="L24" s="2" t="e">
        <f>Ascension_Stones[[#This Row],[Stones
Needed]]-Ascension_Stones[[#This Row],[Stones Acquired]]</f>
        <v>#REF!</v>
      </c>
      <c r="N24" s="6">
        <f ca="1">SUBTOTAL(3,$O$3:Ascension_Mob_Materials[[#This Row],[Mob Name]])</f>
        <v>22</v>
      </c>
      <c r="O24" s="161" t="s">
        <v>288</v>
      </c>
      <c r="P24" s="3" t="s">
        <v>726</v>
      </c>
      <c r="Q24" s="152">
        <v>2</v>
      </c>
      <c r="R24" s="2" t="e">
        <f>SUMIF(#REF!,Ascension_Mob_Materials[[#This Row],[Mob Name]],#REF!)</f>
        <v>#REF!</v>
      </c>
      <c r="S24" s="2">
        <v>7</v>
      </c>
      <c r="T24" s="2" t="e">
        <f>Ascension_Mob_Materials[[#This Row],[Mats
Needed]]-Ascension_Mob_Materials[[#This Row],[Mats
Acquired]]</f>
        <v>#REF!</v>
      </c>
    </row>
    <row r="25" spans="1:20">
      <c r="A25" s="6">
        <f ca="1">SUBTOTAL(3,$B$3:Ascension_Flower[[#This Row],[Flower Name]])</f>
        <v>23</v>
      </c>
      <c r="B25" s="160" t="s">
        <v>298</v>
      </c>
      <c r="C25" s="2" t="e">
        <f>SUMIF(#REF!,Ascension_Flower[[#This Row],[Flower Name]],#REF!)</f>
        <v>#REF!</v>
      </c>
      <c r="D25" s="2">
        <v>69</v>
      </c>
      <c r="E25" s="2" t="e">
        <f>Ascension_Flower[[#This Row],[Flowers Needed]]-Ascension_Flower[[#This Row],[Flowers Acquired]]</f>
        <v>#REF!</v>
      </c>
      <c r="G25" s="6">
        <f ca="1">SUBTOTAL(3,$H$3:Ascension_Stones[[#This Row],[Stone Name]])</f>
        <v>23</v>
      </c>
      <c r="H25" s="6" t="s">
        <v>573</v>
      </c>
      <c r="I25" s="3" t="s">
        <v>57</v>
      </c>
      <c r="J25" s="2" t="e">
        <f>SUMIF(#REF!,Ascension_Stones[[#This Row],[Stone Name]],#REF!)</f>
        <v>#REF!</v>
      </c>
      <c r="K25" s="2">
        <v>38</v>
      </c>
      <c r="L25" s="2" t="e">
        <f>Ascension_Stones[[#This Row],[Stones
Needed]]-Ascension_Stones[[#This Row],[Stones Acquired]]</f>
        <v>#REF!</v>
      </c>
      <c r="N25" s="6">
        <f ca="1">SUBTOTAL(3,$O$3:Ascension_Mob_Materials[[#This Row],[Mob Name]])</f>
        <v>23</v>
      </c>
      <c r="O25" s="161" t="s">
        <v>288</v>
      </c>
      <c r="P25" s="3" t="s">
        <v>727</v>
      </c>
      <c r="Q25" s="152">
        <v>2</v>
      </c>
      <c r="R25" s="2" t="e">
        <f>SUMIF(#REF!,Ascension_Mob_Materials[[#This Row],[Mob Name]],#REF!)</f>
        <v>#REF!</v>
      </c>
      <c r="S25" s="2">
        <v>22</v>
      </c>
      <c r="T25" s="2" t="e">
        <f>Ascension_Mob_Materials[[#This Row],[Mats
Needed]]-Ascension_Mob_Materials[[#This Row],[Mats
Acquired]]</f>
        <v>#REF!</v>
      </c>
    </row>
    <row r="26" spans="1:20">
      <c r="A26" s="6">
        <f ca="1">SUBTOTAL(3,$B$3:Ascension_Flower[[#This Row],[Flower Name]])</f>
        <v>24</v>
      </c>
      <c r="B26" s="160" t="s">
        <v>545</v>
      </c>
      <c r="C26" s="2" t="e">
        <f>SUMIF(#REF!,Ascension_Flower[[#This Row],[Flower Name]],#REF!)</f>
        <v>#REF!</v>
      </c>
      <c r="D26" s="2">
        <v>7</v>
      </c>
      <c r="E26" s="2" t="e">
        <f>Ascension_Flower[[#This Row],[Flowers Needed]]-Ascension_Flower[[#This Row],[Flowers Acquired]]</f>
        <v>#REF!</v>
      </c>
      <c r="G26" s="6">
        <f ca="1">SUBTOTAL(3,$H$3:Ascension_Stones[[#This Row],[Stone Name]])</f>
        <v>24</v>
      </c>
      <c r="H26" s="6" t="s">
        <v>573</v>
      </c>
      <c r="I26" s="3" t="s">
        <v>58</v>
      </c>
      <c r="J26" s="2" t="e">
        <f>SUMIF(#REF!,Ascension_Stones[[#This Row],[Stone Name]],#REF!)</f>
        <v>#REF!</v>
      </c>
      <c r="K26" s="2">
        <v>4</v>
      </c>
      <c r="L26" s="2" t="e">
        <f>Ascension_Stones[[#This Row],[Stones
Needed]]-Ascension_Stones[[#This Row],[Stones Acquired]]</f>
        <v>#REF!</v>
      </c>
      <c r="N26" s="6">
        <f ca="1">SUBTOTAL(3,$O$3:Ascension_Mob_Materials[[#This Row],[Mob Name]])</f>
        <v>24</v>
      </c>
      <c r="O26" s="161" t="s">
        <v>288</v>
      </c>
      <c r="P26" s="3" t="s">
        <v>728</v>
      </c>
      <c r="Q26" s="152">
        <v>2</v>
      </c>
      <c r="R26" s="2" t="e">
        <f>SUMIF(#REF!,Ascension_Mob_Materials[[#This Row],[Mob Name]],#REF!)</f>
        <v>#REF!</v>
      </c>
      <c r="S26" s="2">
        <v>13</v>
      </c>
      <c r="T26" s="2" t="e">
        <f>Ascension_Mob_Materials[[#This Row],[Mats
Needed]]-Ascension_Mob_Materials[[#This Row],[Mats
Acquired]]</f>
        <v>#REF!</v>
      </c>
    </row>
    <row r="27" spans="1:20">
      <c r="A27" s="6">
        <f ca="1">SUBTOTAL(3,$B$3:Ascension_Flower[[#This Row],[Flower Name]])</f>
        <v>25</v>
      </c>
      <c r="B27" s="160" t="s">
        <v>314</v>
      </c>
      <c r="C27" s="2" t="e">
        <f>SUMIF(#REF!,Ascension_Flower[[#This Row],[Flower Name]],#REF!)</f>
        <v>#REF!</v>
      </c>
      <c r="D27" s="2">
        <v>110</v>
      </c>
      <c r="E27" s="2" t="e">
        <f>Ascension_Flower[[#This Row],[Flowers Needed]]-Ascension_Flower[[#This Row],[Flowers Acquired]]</f>
        <v>#REF!</v>
      </c>
      <c r="G27" s="6">
        <f ca="1">SUBTOTAL(3,$H$3:Ascension_Stones[[#This Row],[Stone Name]])</f>
        <v>25</v>
      </c>
      <c r="H27" s="6" t="s">
        <v>530</v>
      </c>
      <c r="I27" s="3" t="s">
        <v>55</v>
      </c>
      <c r="J27" s="2" t="e">
        <f>SUMIF(#REF!,Ascension_Stones[[#This Row],[Stone Name]],#REF!)</f>
        <v>#REF!</v>
      </c>
      <c r="K27" s="2">
        <v>3</v>
      </c>
      <c r="L27" s="2" t="e">
        <f>Ascension_Stones[[#This Row],[Stones
Needed]]-Ascension_Stones[[#This Row],[Stones Acquired]]</f>
        <v>#REF!</v>
      </c>
      <c r="N27" s="6">
        <f ca="1">SUBTOTAL(3,$O$3:Ascension_Mob_Materials[[#This Row],[Mob Name]])</f>
        <v>25</v>
      </c>
      <c r="O27" s="161" t="s">
        <v>311</v>
      </c>
      <c r="P27" s="3" t="s">
        <v>729</v>
      </c>
      <c r="Q27" s="152">
        <v>2.1</v>
      </c>
      <c r="R27" s="2" t="e">
        <f>SUMIF(#REF!,Ascension_Mob_Materials[[#This Row],[Mob Name]],#REF!)</f>
        <v>#REF!</v>
      </c>
      <c r="S27" s="2">
        <v>33</v>
      </c>
      <c r="T27" s="2" t="e">
        <f>Ascension_Mob_Materials[[#This Row],[Mats
Needed]]-Ascension_Mob_Materials[[#This Row],[Mats
Acquired]]</f>
        <v>#REF!</v>
      </c>
    </row>
    <row r="28" spans="1:20">
      <c r="A28" s="6">
        <f ca="1">SUBTOTAL(3,$B$3:Ascension_Flower[[#This Row],[Flower Name]])</f>
        <v>26</v>
      </c>
      <c r="B28" s="160" t="s">
        <v>539</v>
      </c>
      <c r="C28" s="2" t="e">
        <f>SUMIF(#REF!,Ascension_Flower[[#This Row],[Flower Name]],#REF!)</f>
        <v>#REF!</v>
      </c>
      <c r="D28" s="2">
        <v>59</v>
      </c>
      <c r="E28" s="2" t="e">
        <f>Ascension_Flower[[#This Row],[Flowers Needed]]-Ascension_Flower[[#This Row],[Flowers Acquired]]</f>
        <v>#REF!</v>
      </c>
      <c r="G28" s="6">
        <f ca="1">SUBTOTAL(3,$H$3:Ascension_Stones[[#This Row],[Stone Name]])</f>
        <v>26</v>
      </c>
      <c r="H28" s="6" t="s">
        <v>530</v>
      </c>
      <c r="I28" s="3" t="s">
        <v>56</v>
      </c>
      <c r="J28" s="2" t="e">
        <f>SUMIF(#REF!,Ascension_Stones[[#This Row],[Stone Name]],#REF!)</f>
        <v>#REF!</v>
      </c>
      <c r="K28" s="2">
        <v>53</v>
      </c>
      <c r="L28" s="2" t="e">
        <f>Ascension_Stones[[#This Row],[Stones
Needed]]-Ascension_Stones[[#This Row],[Stones Acquired]]</f>
        <v>#REF!</v>
      </c>
      <c r="N28" s="6">
        <f ca="1">SUBTOTAL(3,$O$3:Ascension_Mob_Materials[[#This Row],[Mob Name]])</f>
        <v>26</v>
      </c>
      <c r="O28" s="161" t="s">
        <v>311</v>
      </c>
      <c r="P28" s="3" t="s">
        <v>730</v>
      </c>
      <c r="Q28" s="152">
        <v>2.1</v>
      </c>
      <c r="R28" s="2" t="e">
        <f>SUMIF(#REF!,Ascension_Mob_Materials[[#This Row],[Mob Name]],#REF!)</f>
        <v>#REF!</v>
      </c>
      <c r="S28" s="2">
        <v>3</v>
      </c>
      <c r="T28" s="2" t="e">
        <f>Ascension_Mob_Materials[[#This Row],[Mats
Needed]]-Ascension_Mob_Materials[[#This Row],[Mats
Acquired]]</f>
        <v>#REF!</v>
      </c>
    </row>
    <row r="29" spans="1:20">
      <c r="A29" s="6">
        <f ca="1">SUBTOTAL(3,$B$3:Ascension_Flower[[#This Row],[Flower Name]])</f>
        <v>27</v>
      </c>
      <c r="B29" s="160" t="s">
        <v>575</v>
      </c>
      <c r="C29" s="2" t="e">
        <f>SUMIF(#REF!,Ascension_Flower[[#This Row],[Flower Name]],#REF!)</f>
        <v>#REF!</v>
      </c>
      <c r="D29" s="2">
        <v>55</v>
      </c>
      <c r="E29" s="2" t="e">
        <f>Ascension_Flower[[#This Row],[Flowers Needed]]-Ascension_Flower[[#This Row],[Flowers Acquired]]</f>
        <v>#REF!</v>
      </c>
      <c r="G29" s="6">
        <f ca="1">SUBTOTAL(3,$H$3:Ascension_Stones[[#This Row],[Stone Name]])</f>
        <v>27</v>
      </c>
      <c r="H29" s="6" t="s">
        <v>530</v>
      </c>
      <c r="I29" s="3" t="s">
        <v>57</v>
      </c>
      <c r="J29" s="2" t="e">
        <f>SUMIF(#REF!,Ascension_Stones[[#This Row],[Stone Name]],#REF!)</f>
        <v>#REF!</v>
      </c>
      <c r="K29" s="2">
        <v>64</v>
      </c>
      <c r="L29" s="2" t="e">
        <f>Ascension_Stones[[#This Row],[Stones
Needed]]-Ascension_Stones[[#This Row],[Stones Acquired]]</f>
        <v>#REF!</v>
      </c>
      <c r="N29" s="6">
        <f ca="1">SUBTOTAL(3,$O$3:Ascension_Mob_Materials[[#This Row],[Mob Name]])</f>
        <v>27</v>
      </c>
      <c r="O29" s="161" t="s">
        <v>311</v>
      </c>
      <c r="P29" s="3" t="s">
        <v>731</v>
      </c>
      <c r="Q29" s="152">
        <v>2.1</v>
      </c>
      <c r="R29" s="2" t="e">
        <f>SUMIF(#REF!,Ascension_Mob_Materials[[#This Row],[Mob Name]],#REF!)</f>
        <v>#REF!</v>
      </c>
      <c r="S29" s="2">
        <v>0</v>
      </c>
      <c r="T29" s="2" t="e">
        <f>Ascension_Mob_Materials[[#This Row],[Mats
Needed]]-Ascension_Mob_Materials[[#This Row],[Mats
Acquired]]</f>
        <v>#REF!</v>
      </c>
    </row>
    <row r="30" spans="1:20">
      <c r="A30" s="6">
        <f ca="1">SUBTOTAL(3,$B$3:Ascension_Flower[[#This Row],[Flower Name]])</f>
        <v>28</v>
      </c>
      <c r="B30" s="160" t="s">
        <v>564</v>
      </c>
      <c r="C30" s="2" t="e">
        <f>SUMIF(#REF!,Ascension_Flower[[#This Row],[Flower Name]],#REF!)</f>
        <v>#REF!</v>
      </c>
      <c r="D30" s="2">
        <v>14</v>
      </c>
      <c r="E30" s="2" t="e">
        <f>Ascension_Flower[[#This Row],[Flowers Needed]]-Ascension_Flower[[#This Row],[Flowers Acquired]]</f>
        <v>#REF!</v>
      </c>
      <c r="G30" s="6">
        <f ca="1">SUBTOTAL(3,$H$3:Ascension_Stones[[#This Row],[Stone Name]])</f>
        <v>28</v>
      </c>
      <c r="H30" s="6" t="s">
        <v>530</v>
      </c>
      <c r="I30" s="3" t="s">
        <v>58</v>
      </c>
      <c r="J30" s="2" t="e">
        <f>SUMIF(#REF!,Ascension_Stones[[#This Row],[Stone Name]],#REF!)</f>
        <v>#REF!</v>
      </c>
      <c r="K30" s="2">
        <v>11</v>
      </c>
      <c r="L30" s="2" t="e">
        <f>Ascension_Stones[[#This Row],[Stones
Needed]]-Ascension_Stones[[#This Row],[Stones Acquired]]</f>
        <v>#REF!</v>
      </c>
      <c r="N30" s="6">
        <f ca="1">SUBTOTAL(3,$O$3:Ascension_Mob_Materials[[#This Row],[Mob Name]])</f>
        <v>28</v>
      </c>
      <c r="O30" s="161" t="s">
        <v>336</v>
      </c>
      <c r="P30" s="3" t="s">
        <v>732</v>
      </c>
      <c r="Q30" s="152">
        <v>3</v>
      </c>
      <c r="R30" s="2" t="e">
        <f>SUMIF(#REF!,Ascension_Mob_Materials[[#This Row],[Mob Name]],#REF!)</f>
        <v>#REF!</v>
      </c>
      <c r="S30" s="2">
        <v>1139</v>
      </c>
      <c r="T30" s="2" t="e">
        <f>Ascension_Mob_Materials[[#This Row],[Mats
Needed]]-Ascension_Mob_Materials[[#This Row],[Mats
Acquired]]</f>
        <v>#REF!</v>
      </c>
    </row>
    <row r="31" spans="1:20">
      <c r="A31" s="6">
        <f ca="1">SUBTOTAL(3,$B$3:Ascension_Flower[[#This Row],[Flower Name]])</f>
        <v>29</v>
      </c>
      <c r="B31" s="160" t="s">
        <v>585</v>
      </c>
      <c r="C31" s="2" t="e">
        <f>SUMIF(#REF!,Ascension_Flower[[#This Row],[Flower Name]],#REF!)</f>
        <v>#REF!</v>
      </c>
      <c r="D31" s="2">
        <v>17</v>
      </c>
      <c r="E31" s="2" t="e">
        <f>Ascension_Flower[[#This Row],[Flowers Needed]]-Ascension_Flower[[#This Row],[Flowers Acquired]]</f>
        <v>#REF!</v>
      </c>
      <c r="G31" s="6">
        <f ca="1">SUBTOTAL(3,$H$3:Ascension_Stones[[#This Row],[Stone Name]])</f>
        <v>29</v>
      </c>
      <c r="H31" s="6" t="s">
        <v>521</v>
      </c>
      <c r="I31" s="3" t="s">
        <v>55</v>
      </c>
      <c r="J31" s="2" t="e">
        <f>SUMIF(#REF!,Ascension_Stones[[#This Row],[Stone Name]],#REF!)</f>
        <v>#REF!</v>
      </c>
      <c r="K31" s="2">
        <v>3</v>
      </c>
      <c r="L31" s="2" t="e">
        <f>Ascension_Stones[[#This Row],[Stones
Needed]]-Ascension_Stones[[#This Row],[Stones Acquired]]</f>
        <v>#REF!</v>
      </c>
      <c r="N31" s="6">
        <f ca="1">SUBTOTAL(3,$O$3:Ascension_Mob_Materials[[#This Row],[Mob Name]])</f>
        <v>29</v>
      </c>
      <c r="O31" s="161" t="s">
        <v>336</v>
      </c>
      <c r="P31" s="3" t="s">
        <v>733</v>
      </c>
      <c r="Q31" s="152">
        <v>3</v>
      </c>
      <c r="R31" s="2" t="e">
        <f>SUMIF(#REF!,Ascension_Mob_Materials[[#This Row],[Mob Name]],#REF!)</f>
        <v>#REF!</v>
      </c>
      <c r="S31" s="2">
        <v>230</v>
      </c>
      <c r="T31" s="2" t="e">
        <f>Ascension_Mob_Materials[[#This Row],[Mats
Needed]]-Ascension_Mob_Materials[[#This Row],[Mats
Acquired]]</f>
        <v>#REF!</v>
      </c>
    </row>
    <row r="32" spans="1:20">
      <c r="A32" s="6">
        <f ca="1">SUBTOTAL(3,$B$3:Ascension_Flower[[#This Row],[Flower Name]])</f>
        <v>30</v>
      </c>
      <c r="B32" s="160" t="s">
        <v>525</v>
      </c>
      <c r="C32" s="2" t="e">
        <f>SUMIF(#REF!,Ascension_Flower[[#This Row],[Flower Name]],#REF!)</f>
        <v>#REF!</v>
      </c>
      <c r="D32" s="2">
        <v>39</v>
      </c>
      <c r="E32" s="2" t="e">
        <f>Ascension_Flower[[#This Row],[Flowers Needed]]-Ascension_Flower[[#This Row],[Flowers Acquired]]</f>
        <v>#REF!</v>
      </c>
      <c r="G32" s="6">
        <f ca="1">SUBTOTAL(3,$H$3:Ascension_Stones[[#This Row],[Stone Name]])</f>
        <v>30</v>
      </c>
      <c r="H32" s="6" t="s">
        <v>521</v>
      </c>
      <c r="I32" s="3" t="s">
        <v>56</v>
      </c>
      <c r="J32" s="2" t="e">
        <f>SUMIF(#REF!,Ascension_Stones[[#This Row],[Stone Name]],#REF!)</f>
        <v>#REF!</v>
      </c>
      <c r="K32" s="2">
        <v>18</v>
      </c>
      <c r="L32" s="2" t="e">
        <f>Ascension_Stones[[#This Row],[Stones
Needed]]-Ascension_Stones[[#This Row],[Stones Acquired]]</f>
        <v>#REF!</v>
      </c>
      <c r="N32" s="6">
        <f ca="1">SUBTOTAL(3,$O$3:Ascension_Mob_Materials[[#This Row],[Mob Name]])</f>
        <v>30</v>
      </c>
      <c r="O32" s="161" t="s">
        <v>336</v>
      </c>
      <c r="P32" s="3" t="s">
        <v>734</v>
      </c>
      <c r="Q32" s="152">
        <v>3</v>
      </c>
      <c r="R32" s="2" t="e">
        <f>SUMIF(#REF!,Ascension_Mob_Materials[[#This Row],[Mob Name]],#REF!)</f>
        <v>#REF!</v>
      </c>
      <c r="S32" s="2">
        <v>10</v>
      </c>
      <c r="T32" s="2" t="e">
        <f>Ascension_Mob_Materials[[#This Row],[Mats
Needed]]-Ascension_Mob_Materials[[#This Row],[Mats
Acquired]]</f>
        <v>#REF!</v>
      </c>
    </row>
    <row r="33" spans="1:20">
      <c r="A33" s="6">
        <f ca="1">SUBTOTAL(3,$B$3:Ascension_Flower[[#This Row],[Flower Name]])</f>
        <v>31</v>
      </c>
      <c r="B33" s="160" t="s">
        <v>580</v>
      </c>
      <c r="C33" s="2" t="e">
        <f>SUMIF(#REF!,Ascension_Flower[[#This Row],[Flower Name]],#REF!)</f>
        <v>#REF!</v>
      </c>
      <c r="D33" s="2">
        <v>11</v>
      </c>
      <c r="E33" s="2" t="e">
        <f>Ascension_Flower[[#This Row],[Flowers Needed]]-Ascension_Flower[[#This Row],[Flowers Acquired]]</f>
        <v>#REF!</v>
      </c>
      <c r="G33" s="6">
        <f ca="1">SUBTOTAL(3,$H$3:Ascension_Stones[[#This Row],[Stone Name]])</f>
        <v>31</v>
      </c>
      <c r="H33" s="6" t="s">
        <v>521</v>
      </c>
      <c r="I33" s="3" t="s">
        <v>57</v>
      </c>
      <c r="J33" s="2" t="e">
        <f>SUMIF(#REF!,Ascension_Stones[[#This Row],[Stone Name]],#REF!)</f>
        <v>#REF!</v>
      </c>
      <c r="K33" s="2">
        <v>64</v>
      </c>
      <c r="L33" s="2" t="e">
        <f>Ascension_Stones[[#This Row],[Stones
Needed]]-Ascension_Stones[[#This Row],[Stones Acquired]]</f>
        <v>#REF!</v>
      </c>
      <c r="N33" s="6">
        <f ca="1">SUBTOTAL(3,$O$3:Ascension_Mob_Materials[[#This Row],[Mob Name]])</f>
        <v>31</v>
      </c>
      <c r="O33" s="161" t="s">
        <v>46</v>
      </c>
      <c r="P33" s="3" t="s">
        <v>735</v>
      </c>
      <c r="Q33" s="152">
        <v>3.01</v>
      </c>
      <c r="R33" s="2" t="e">
        <f>SUMIF(#REF!,Ascension_Mob_Materials[[#This Row],[Mob Name]],#REF!)</f>
        <v>#REF!</v>
      </c>
      <c r="S33" s="2">
        <v>1051</v>
      </c>
      <c r="T33" s="2" t="e">
        <f>Ascension_Mob_Materials[[#This Row],[Mats
Needed]]-Ascension_Mob_Materials[[#This Row],[Mats
Acquired]]</f>
        <v>#REF!</v>
      </c>
    </row>
    <row r="34" spans="1:20">
      <c r="A34" s="6">
        <f ca="1">SUBTOTAL(3,$B$3:Ascension_Flower[[#This Row],[Flower Name]])</f>
        <v>32</v>
      </c>
      <c r="B34" s="160" t="s">
        <v>366</v>
      </c>
      <c r="C34" s="2" t="e">
        <f>SUMIF(#REF!,Ascension_Flower[[#This Row],[Flower Name]],#REF!)</f>
        <v>#REF!</v>
      </c>
      <c r="D34" s="2">
        <v>60</v>
      </c>
      <c r="E34" s="2" t="e">
        <f>Ascension_Flower[[#This Row],[Flowers Needed]]-Ascension_Flower[[#This Row],[Flowers Acquired]]</f>
        <v>#REF!</v>
      </c>
      <c r="G34" s="6">
        <f ca="1">SUBTOTAL(3,$H$3:Ascension_Stones[[#This Row],[Stone Name]])</f>
        <v>32</v>
      </c>
      <c r="H34" s="6" t="s">
        <v>521</v>
      </c>
      <c r="I34" s="3" t="s">
        <v>58</v>
      </c>
      <c r="J34" s="2" t="e">
        <f>SUMIF(#REF!,Ascension_Stones[[#This Row],[Stone Name]],#REF!)</f>
        <v>#REF!</v>
      </c>
      <c r="K34" s="2">
        <v>12</v>
      </c>
      <c r="L34" s="2" t="e">
        <f>Ascension_Stones[[#This Row],[Stones
Needed]]-Ascension_Stones[[#This Row],[Stones Acquired]]</f>
        <v>#REF!</v>
      </c>
      <c r="N34" s="6">
        <f ca="1">SUBTOTAL(3,$O$3:Ascension_Mob_Materials[[#This Row],[Mob Name]])</f>
        <v>32</v>
      </c>
      <c r="O34" s="161" t="s">
        <v>46</v>
      </c>
      <c r="P34" s="3" t="s">
        <v>736</v>
      </c>
      <c r="Q34" s="152">
        <v>3.01</v>
      </c>
      <c r="R34" s="2" t="e">
        <f>SUMIF(#REF!,Ascension_Mob_Materials[[#This Row],[Mob Name]],#REF!)</f>
        <v>#REF!</v>
      </c>
      <c r="S34" s="2">
        <v>203</v>
      </c>
      <c r="T34" s="2" t="e">
        <f>Ascension_Mob_Materials[[#This Row],[Mats
Needed]]-Ascension_Mob_Materials[[#This Row],[Mats
Acquired]]</f>
        <v>#REF!</v>
      </c>
    </row>
    <row r="35" spans="1:20">
      <c r="A35" s="6">
        <f ca="1">SUBTOTAL(3,$B$3:Ascension_Flower[[#This Row],[Flower Name]])</f>
        <v>33</v>
      </c>
      <c r="B35" s="160" t="s">
        <v>590</v>
      </c>
      <c r="C35" s="2" t="e">
        <f>SUMIF(#REF!,Ascension_Flower[[#This Row],[Flower Name]],#REF!)</f>
        <v>#REF!</v>
      </c>
      <c r="D35" s="2">
        <v>276</v>
      </c>
      <c r="E35" s="2" t="e">
        <f>Ascension_Flower[[#This Row],[Flowers Needed]]-Ascension_Flower[[#This Row],[Flowers Acquired]]</f>
        <v>#REF!</v>
      </c>
      <c r="G35" s="6" t="s">
        <v>518</v>
      </c>
      <c r="H35" s="6"/>
      <c r="I35" s="3"/>
      <c r="J35" s="2" t="e">
        <f>SUBTOTAL(109,Ascension_Stones[Stones
Needed])</f>
        <v>#REF!</v>
      </c>
      <c r="K35" s="2">
        <f>SUBTOTAL(109,Ascension_Stones[Stones Acquired])</f>
        <v>651</v>
      </c>
      <c r="L35" s="2">
        <f>SUMIF(L3:L34,"&gt;=0")</f>
        <v>0</v>
      </c>
      <c r="N35" s="6">
        <f ca="1">SUBTOTAL(3,$O$3:Ascension_Mob_Materials[[#This Row],[Mob Name]])</f>
        <v>33</v>
      </c>
      <c r="O35" s="161" t="s">
        <v>46</v>
      </c>
      <c r="P35" s="3" t="s">
        <v>737</v>
      </c>
      <c r="Q35" s="152">
        <v>3.01</v>
      </c>
      <c r="R35" s="2" t="e">
        <f>SUMIF(#REF!,Ascension_Mob_Materials[[#This Row],[Mob Name]],#REF!)</f>
        <v>#REF!</v>
      </c>
      <c r="S35" s="2">
        <v>207</v>
      </c>
      <c r="T35" s="2" t="e">
        <f>Ascension_Mob_Materials[[#This Row],[Mats
Needed]]-Ascension_Mob_Materials[[#This Row],[Mats
Acquired]]</f>
        <v>#REF!</v>
      </c>
    </row>
    <row r="36" spans="1:20">
      <c r="A36" s="6">
        <f ca="1">SUBTOTAL(3,$B$3:Ascension_Flower[[#This Row],[Flower Name]])</f>
        <v>34</v>
      </c>
      <c r="B36" s="160" t="s">
        <v>584</v>
      </c>
      <c r="C36" s="2" t="e">
        <f>SUMIF(#REF!,Ascension_Flower[[#This Row],[Flower Name]],#REF!)</f>
        <v>#REF!</v>
      </c>
      <c r="D36" s="2">
        <v>506</v>
      </c>
      <c r="E36" s="2" t="e">
        <f>Ascension_Flower[[#This Row],[Flowers Needed]]-Ascension_Flower[[#This Row],[Flowers Acquired]]</f>
        <v>#REF!</v>
      </c>
      <c r="N36" s="6">
        <f ca="1">SUBTOTAL(3,$O$3:Ascension_Mob_Materials[[#This Row],[Mob Name]])</f>
        <v>34</v>
      </c>
      <c r="O36" s="161" t="s">
        <v>373</v>
      </c>
      <c r="P36" s="3" t="s">
        <v>738</v>
      </c>
      <c r="Q36" s="152">
        <v>4</v>
      </c>
      <c r="R36" s="2" t="e">
        <f>SUMIF(#REF!,Ascension_Mob_Materials[[#This Row],[Mob Name]],#REF!)</f>
        <v>#REF!</v>
      </c>
      <c r="S36" s="2">
        <v>151</v>
      </c>
      <c r="T36" s="2" t="e">
        <f>Ascension_Mob_Materials[[#This Row],[Mats
Needed]]-Ascension_Mob_Materials[[#This Row],[Mats
Acquired]]</f>
        <v>#REF!</v>
      </c>
    </row>
    <row r="37" spans="1:20">
      <c r="A37" s="6">
        <f ca="1">SUBTOTAL(3,$B$3:Ascension_Flower[[#This Row],[Flower Name]])</f>
        <v>35</v>
      </c>
      <c r="B37" s="160" t="s">
        <v>533</v>
      </c>
      <c r="C37" s="2" t="e">
        <f>SUMIF(#REF!,Ascension_Flower[[#This Row],[Flower Name]],#REF!)</f>
        <v>#REF!</v>
      </c>
      <c r="D37" s="2">
        <v>49</v>
      </c>
      <c r="E37" s="2" t="e">
        <f>Ascension_Flower[[#This Row],[Flowers Needed]]-Ascension_Flower[[#This Row],[Flowers Acquired]]</f>
        <v>#REF!</v>
      </c>
      <c r="N37" s="6">
        <f ca="1">SUBTOTAL(3,$O$3:Ascension_Mob_Materials[[#This Row],[Mob Name]])</f>
        <v>35</v>
      </c>
      <c r="O37" s="161" t="s">
        <v>373</v>
      </c>
      <c r="P37" s="3" t="s">
        <v>739</v>
      </c>
      <c r="Q37" s="152">
        <v>4</v>
      </c>
      <c r="R37" s="2" t="e">
        <f>SUMIF(#REF!,Ascension_Mob_Materials[[#This Row],[Mob Name]],#REF!)</f>
        <v>#REF!</v>
      </c>
      <c r="S37" s="2">
        <v>18</v>
      </c>
      <c r="T37" s="2" t="e">
        <f>Ascension_Mob_Materials[[#This Row],[Mats
Needed]]-Ascension_Mob_Materials[[#This Row],[Mats
Acquired]]</f>
        <v>#REF!</v>
      </c>
    </row>
    <row r="38" spans="1:20">
      <c r="A38" s="6">
        <f ca="1">SUBTOTAL(3,$B$3:Ascension_Flower[[#This Row],[Flower Name]])</f>
        <v>36</v>
      </c>
      <c r="B38" s="160" t="s">
        <v>598</v>
      </c>
      <c r="C38" s="2" t="e">
        <f>SUMIF(#REF!,Ascension_Flower[[#This Row],[Flower Name]],#REF!)</f>
        <v>#REF!</v>
      </c>
      <c r="D38" s="2">
        <v>59</v>
      </c>
      <c r="E38" s="2" t="e">
        <f>Ascension_Flower[[#This Row],[Flowers Needed]]-Ascension_Flower[[#This Row],[Flowers Acquired]]</f>
        <v>#REF!</v>
      </c>
      <c r="N38" s="6">
        <f ca="1">SUBTOTAL(3,$O$3:Ascension_Mob_Materials[[#This Row],[Mob Name]])</f>
        <v>36</v>
      </c>
      <c r="O38" s="161" t="s">
        <v>373</v>
      </c>
      <c r="P38" s="3" t="s">
        <v>740</v>
      </c>
      <c r="Q38" s="152">
        <v>4</v>
      </c>
      <c r="R38" s="2" t="e">
        <f>SUMIF(#REF!,Ascension_Mob_Materials[[#This Row],[Mob Name]],#REF!)</f>
        <v>#REF!</v>
      </c>
      <c r="S38" s="2">
        <v>21</v>
      </c>
      <c r="T38" s="2" t="e">
        <f>Ascension_Mob_Materials[[#This Row],[Mats
Needed]]-Ascension_Mob_Materials[[#This Row],[Mats
Acquired]]</f>
        <v>#REF!</v>
      </c>
    </row>
    <row r="39" spans="1:20">
      <c r="A39" s="6">
        <f ca="1">SUBTOTAL(3,$B$3:Ascension_Flower[[#This Row],[Flower Name]])</f>
        <v>37</v>
      </c>
      <c r="B39" s="160" t="s">
        <v>388</v>
      </c>
      <c r="C39" s="2" t="e">
        <f>SUMIF(#REF!,Ascension_Flower[[#This Row],[Flower Name]],#REF!)</f>
        <v>#REF!</v>
      </c>
      <c r="D39" s="2">
        <v>31</v>
      </c>
      <c r="E39" s="2" t="e">
        <f>Ascension_Flower[[#This Row],[Flowers Needed]]-Ascension_Flower[[#This Row],[Flowers Acquired]]</f>
        <v>#REF!</v>
      </c>
      <c r="N39" s="6">
        <f ca="1">SUBTOTAL(3,$O$3:Ascension_Mob_Materials[[#This Row],[Mob Name]])</f>
        <v>37</v>
      </c>
      <c r="O39" s="161" t="s">
        <v>385</v>
      </c>
      <c r="P39" s="3" t="s">
        <v>741</v>
      </c>
      <c r="Q39" s="152">
        <v>4.01</v>
      </c>
      <c r="R39" s="2" t="e">
        <f>SUMIF(#REF!,Ascension_Mob_Materials[[#This Row],[Mob Name]],#REF!)</f>
        <v>#REF!</v>
      </c>
      <c r="S39" s="2">
        <v>40</v>
      </c>
      <c r="T39" s="2" t="e">
        <f>Ascension_Mob_Materials[[#This Row],[Mats
Needed]]-Ascension_Mob_Materials[[#This Row],[Mats
Acquired]]</f>
        <v>#REF!</v>
      </c>
    </row>
    <row r="40" spans="1:20">
      <c r="A40" s="6">
        <f ca="1">SUBTOTAL(3,$B$3:Ascension_Flower[[#This Row],[Flower Name]])</f>
        <v>38</v>
      </c>
      <c r="B40" s="160" t="s">
        <v>606</v>
      </c>
      <c r="C40" s="2" t="e">
        <f>SUMIF(#REF!,Ascension_Flower[[#This Row],[Flower Name]],#REF!)</f>
        <v>#REF!</v>
      </c>
      <c r="D40" s="2">
        <v>53</v>
      </c>
      <c r="E40" s="2" t="e">
        <f>Ascension_Flower[[#This Row],[Flowers Needed]]-Ascension_Flower[[#This Row],[Flowers Acquired]]</f>
        <v>#REF!</v>
      </c>
      <c r="N40" s="6">
        <f ca="1">SUBTOTAL(3,$O$3:Ascension_Mob_Materials[[#This Row],[Mob Name]])</f>
        <v>38</v>
      </c>
      <c r="O40" s="161" t="s">
        <v>385</v>
      </c>
      <c r="P40" s="3" t="s">
        <v>742</v>
      </c>
      <c r="Q40" s="152">
        <v>4.01</v>
      </c>
      <c r="R40" s="2" t="e">
        <f>SUMIF(#REF!,Ascension_Mob_Materials[[#This Row],[Mob Name]],#REF!)</f>
        <v>#REF!</v>
      </c>
      <c r="S40" s="2">
        <v>118</v>
      </c>
      <c r="T40" s="2" t="e">
        <f>Ascension_Mob_Materials[[#This Row],[Mats
Needed]]-Ascension_Mob_Materials[[#This Row],[Mats
Acquired]]</f>
        <v>#REF!</v>
      </c>
    </row>
    <row r="41" spans="1:20">
      <c r="A41" s="6">
        <f ca="1">SUBTOTAL(3,$B$3:Ascension_Flower[[#This Row],[Flower Name]])</f>
        <v>39</v>
      </c>
      <c r="B41" s="160" t="s">
        <v>43</v>
      </c>
      <c r="C41" s="2" t="e">
        <f>SUMIF(#REF!,Ascension_Flower[[#This Row],[Flower Name]],#REF!)</f>
        <v>#REF!</v>
      </c>
      <c r="D41" s="2">
        <v>2</v>
      </c>
      <c r="E41" s="2" t="e">
        <f>Ascension_Flower[[#This Row],[Flowers Needed]]-Ascension_Flower[[#This Row],[Flowers Acquired]]</f>
        <v>#REF!</v>
      </c>
      <c r="N41" s="6">
        <f ca="1">SUBTOTAL(3,$O$3:Ascension_Mob_Materials[[#This Row],[Mob Name]])</f>
        <v>39</v>
      </c>
      <c r="O41" s="161" t="s">
        <v>385</v>
      </c>
      <c r="P41" s="3" t="s">
        <v>743</v>
      </c>
      <c r="Q41" s="152">
        <v>4.01</v>
      </c>
      <c r="R41" s="2" t="e">
        <f>SUMIF(#REF!,Ascension_Mob_Materials[[#This Row],[Mob Name]],#REF!)</f>
        <v>#REF!</v>
      </c>
      <c r="S41" s="2">
        <v>124</v>
      </c>
      <c r="T41" s="2" t="e">
        <f>Ascension_Mob_Materials[[#This Row],[Mats
Needed]]-Ascension_Mob_Materials[[#This Row],[Mats
Acquired]]</f>
        <v>#REF!</v>
      </c>
    </row>
    <row r="42" spans="1:20">
      <c r="A42" s="6">
        <f ca="1">SUBTOTAL(3,$B$3:Ascension_Flower[[#This Row],[Flower Name]])</f>
        <v>40</v>
      </c>
      <c r="B42" s="160" t="s">
        <v>398</v>
      </c>
      <c r="C42" s="2" t="e">
        <f>SUMIF(#REF!,Ascension_Flower[[#This Row],[Flower Name]],#REF!)</f>
        <v>#REF!</v>
      </c>
      <c r="D42" s="2">
        <v>507</v>
      </c>
      <c r="E42" s="2" t="e">
        <f>Ascension_Flower[[#This Row],[Flowers Needed]]-Ascension_Flower[[#This Row],[Flowers Acquired]]</f>
        <v>#REF!</v>
      </c>
      <c r="N42" s="6" t="s">
        <v>518</v>
      </c>
      <c r="O42" s="6"/>
      <c r="P42" s="3"/>
      <c r="Q42" s="3"/>
      <c r="R42" s="2" t="e">
        <f>SUBTOTAL(109,Ascension_Mob_Materials[Mats
Needed])</f>
        <v>#REF!</v>
      </c>
      <c r="S42" s="2">
        <f>SUBTOTAL(109,Ascension_Mob_Materials[Mats
Acquired])</f>
        <v>15829</v>
      </c>
      <c r="T42" s="2">
        <f>SUMIF(T3:T41,"&gt;=0")</f>
        <v>0</v>
      </c>
    </row>
    <row r="43" spans="1:20">
      <c r="A43" s="6">
        <f ca="1">SUBTOTAL(3,$B$3:Ascension_Flower[[#This Row],[Flower Name]])</f>
        <v>41</v>
      </c>
      <c r="B43" s="160" t="s">
        <v>401</v>
      </c>
      <c r="C43" s="2" t="e">
        <f>SUMIF(#REF!,Ascension_Flower[[#This Row],[Flower Name]],#REF!)</f>
        <v>#REF!</v>
      </c>
      <c r="D43" s="2">
        <v>42</v>
      </c>
      <c r="E43" s="2" t="e">
        <f>Ascension_Flower[[#This Row],[Flowers Needed]]-Ascension_Flower[[#This Row],[Flowers Acquired]]</f>
        <v>#REF!</v>
      </c>
      <c r="R43" s="2"/>
      <c r="S43" s="2"/>
      <c r="T43" s="2"/>
    </row>
    <row r="44" spans="1:20">
      <c r="A44" s="6">
        <f ca="1">SUBTOTAL(3,$B$3:Ascension_Flower[[#This Row],[Flower Name]])</f>
        <v>42</v>
      </c>
      <c r="B44" s="160" t="s">
        <v>551</v>
      </c>
      <c r="C44" s="2" t="e">
        <f>SUMIF(#REF!,Ascension_Flower[[#This Row],[Flower Name]],#REF!)</f>
        <v>#REF!</v>
      </c>
      <c r="D44" s="2">
        <v>92</v>
      </c>
      <c r="E44" s="2" t="e">
        <f>Ascension_Flower[[#This Row],[Flowers Needed]]-Ascension_Flower[[#This Row],[Flowers Acquired]]</f>
        <v>#REF!</v>
      </c>
      <c r="R44" s="2"/>
      <c r="S44" s="2"/>
      <c r="T44" s="2"/>
    </row>
    <row r="45" spans="1:20">
      <c r="A45" s="6">
        <f ca="1">SUBTOTAL(3,$B$3:Ascension_Flower[[#This Row],[Flower Name]])</f>
        <v>43</v>
      </c>
      <c r="B45" s="160" t="s">
        <v>407</v>
      </c>
      <c r="C45" s="2" t="e">
        <f>SUMIF(#REF!,Ascension_Flower[[#This Row],[Flower Name]],#REF!)</f>
        <v>#REF!</v>
      </c>
      <c r="D45" s="2">
        <v>64</v>
      </c>
      <c r="E45" s="2" t="e">
        <f>Ascension_Flower[[#This Row],[Flowers Needed]]-Ascension_Flower[[#This Row],[Flowers Acquired]]</f>
        <v>#REF!</v>
      </c>
      <c r="R45" s="2"/>
      <c r="S45" s="2"/>
      <c r="T45" s="2"/>
    </row>
    <row r="46" spans="1:20">
      <c r="A46" s="6" t="s">
        <v>518</v>
      </c>
      <c r="C46" s="2" t="e">
        <f>SUBTOTAL(109,Ascension_Flower[Flowers Needed])</f>
        <v>#REF!</v>
      </c>
      <c r="D46" s="2">
        <f>SUBTOTAL(109,Ascension_Flower[Flowers Acquired])</f>
        <v>3974</v>
      </c>
      <c r="E46" s="2">
        <f>SUMIF(E3:E45,"&gt;=0")</f>
        <v>0</v>
      </c>
      <c r="R46" s="2"/>
      <c r="S46" s="2"/>
      <c r="T46" s="2"/>
    </row>
    <row r="47" spans="1:20">
      <c r="R47" s="2"/>
      <c r="S47" s="2"/>
      <c r="T47" s="2"/>
    </row>
    <row r="48" spans="1:20">
      <c r="R48" s="2"/>
      <c r="S48" s="2"/>
      <c r="T48" s="2"/>
    </row>
    <row r="49" spans="18:20">
      <c r="R49" s="2"/>
      <c r="S49" s="2"/>
      <c r="T49" s="2"/>
    </row>
    <row r="50" spans="18:20">
      <c r="R50" s="2"/>
      <c r="S50" s="2"/>
      <c r="T50" s="2"/>
    </row>
    <row r="51" spans="18:20">
      <c r="R51" s="2"/>
      <c r="S51" s="2"/>
      <c r="T51" s="2"/>
    </row>
    <row r="52" spans="18:20">
      <c r="R52" s="2"/>
      <c r="S52" s="2"/>
      <c r="T52" s="2"/>
    </row>
    <row r="53" spans="18:20">
      <c r="R53" s="2"/>
      <c r="S53" s="2"/>
      <c r="T53" s="2"/>
    </row>
    <row r="54" spans="18:20">
      <c r="R54" s="2"/>
      <c r="S54" s="2"/>
      <c r="T54" s="2"/>
    </row>
    <row r="55" spans="18:20">
      <c r="R55" s="2"/>
      <c r="S55" s="2"/>
      <c r="T55" s="2"/>
    </row>
    <row r="56" spans="18:20">
      <c r="R56" s="2"/>
      <c r="S56" s="2"/>
      <c r="T56" s="2"/>
    </row>
    <row r="57" spans="18:20">
      <c r="R57" s="2"/>
      <c r="S57" s="2"/>
      <c r="T57" s="2"/>
    </row>
    <row r="58" spans="18:20">
      <c r="R58" s="2"/>
      <c r="S58" s="2"/>
      <c r="T58" s="2"/>
    </row>
    <row r="59" spans="18:20">
      <c r="R59" s="2"/>
      <c r="S59" s="2"/>
      <c r="T59" s="2"/>
    </row>
    <row r="60" spans="18:20">
      <c r="R60" s="2"/>
      <c r="S60" s="2"/>
      <c r="T60" s="2"/>
    </row>
    <row r="61" spans="18:20">
      <c r="R61" s="2"/>
      <c r="S61" s="2"/>
      <c r="T61" s="2"/>
    </row>
    <row r="62" spans="18:20">
      <c r="R62" s="2"/>
      <c r="S62" s="2"/>
      <c r="T62" s="2"/>
    </row>
    <row r="63" spans="18:20">
      <c r="R63" s="2"/>
      <c r="S63" s="2"/>
      <c r="T63" s="2"/>
    </row>
    <row r="64" spans="18:20">
      <c r="R64" s="2"/>
      <c r="S64" s="2"/>
      <c r="T64" s="2"/>
    </row>
    <row r="65" spans="18:20">
      <c r="R65" s="2"/>
      <c r="S65" s="2"/>
      <c r="T65" s="2"/>
    </row>
    <row r="66" spans="18:20">
      <c r="R66" s="2"/>
      <c r="S66" s="2"/>
      <c r="T66" s="2"/>
    </row>
    <row r="67" spans="18:20">
      <c r="R67" s="2"/>
      <c r="S67" s="2"/>
      <c r="T67" s="2"/>
    </row>
    <row r="68" spans="18:20">
      <c r="R68" s="2"/>
      <c r="S68" s="2"/>
      <c r="T68" s="2"/>
    </row>
    <row r="69" spans="18:20">
      <c r="R69" s="2"/>
      <c r="S69" s="2"/>
      <c r="T69" s="2"/>
    </row>
    <row r="70" spans="18:20">
      <c r="R70" s="2"/>
      <c r="S70" s="2"/>
      <c r="T70" s="2"/>
    </row>
    <row r="71" spans="18:20">
      <c r="R71" s="2"/>
      <c r="S71" s="2"/>
      <c r="T71" s="2"/>
    </row>
    <row r="72" spans="18:20">
      <c r="R72" s="2"/>
      <c r="S72" s="2"/>
      <c r="T72" s="2"/>
    </row>
    <row r="73" spans="18:20">
      <c r="R73" s="2"/>
      <c r="S73" s="2"/>
      <c r="T73" s="2"/>
    </row>
    <row r="74" spans="18:20">
      <c r="R74" s="2"/>
      <c r="S74" s="2"/>
      <c r="T74" s="2"/>
    </row>
    <row r="75" spans="18:20">
      <c r="R75" s="2"/>
      <c r="S75" s="2"/>
      <c r="T75" s="2"/>
    </row>
  </sheetData>
  <mergeCells count="3">
    <mergeCell ref="N1:T1"/>
    <mergeCell ref="A1:E1"/>
    <mergeCell ref="G1:L1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K3:K34 D3:D45 S3:S41" xr:uid="{EBF81312-3930-4672-AA47-C1B54462CE25}">
      <formula1>0</formula1>
    </dataValidation>
  </dataValidations>
  <hyperlinks>
    <hyperlink ref="B9" r:id="rId1" location="/map/2?center=5962.23,1682.92&amp;zoom=-1.00&amp;shown_types=211" xr:uid="{B2DADD27-4238-49CB-9AB1-06B5135FDA40}"/>
    <hyperlink ref="B37" r:id="rId2" location="/map/2?center=190.50,82.00&amp;zoom=-1.00&amp;shown_types=33" xr:uid="{CBAE9875-8B3A-46C0-97FD-1F77FADBB9C4}"/>
    <hyperlink ref="B8" r:id="rId3" location="/map/2?center=1802.30,-1305.93&amp;zoom=-2.00&amp;shown_types=40" xr:uid="{65EFFDB6-D5D5-48EB-A53F-68C5038BB396}"/>
    <hyperlink ref="B43" r:id="rId4" location="/map/2?center=1802.30,-1305.93&amp;zoom=-2.00&amp;shown_types=34" xr:uid="{0D4B15F5-891D-4434-A43A-CEDF71083093}"/>
    <hyperlink ref="B22" r:id="rId5" location="/map/2?center=3176.01,-3713.00&amp;zoom=-1.00&amp;shown_types=400" xr:uid="{ABCD0D6D-697B-4CD5-912D-99FF40F0E2E4}"/>
    <hyperlink ref="B33" r:id="rId6" location="/map/2?center=6056.61,32.66&amp;zoom=0.50&amp;shown_types=227" xr:uid="{9D986944-CCE3-4E01-9EEA-1DDE638C327F}"/>
    <hyperlink ref="B30" r:id="rId7" location="/map/2?center=3046.24,-4006.00&amp;zoom=-2.00&amp;shown_types=402" xr:uid="{A5020A6B-DA5F-4A14-AF77-B4618F42B5FB}"/>
    <hyperlink ref="B14" r:id="rId8" location="/map/2?center=3781.66,-6018.13&amp;zoom=-2.00&amp;shown_types=431" xr:uid="{15768414-2F7A-495C-AEEB-AB68A7E5889A}"/>
    <hyperlink ref="B20" r:id="rId9" location="/map/2?center=1563.70,-6866.07&amp;zoom=-1.00&amp;shown_types=469" xr:uid="{B80C3D06-FD00-419C-A99E-9796A346F398}"/>
    <hyperlink ref="B39" r:id="rId10" location="/map/2?center=2061.98,-290.97&amp;zoom=-1.00&amp;shown_types=78" xr:uid="{6B7262AE-3F18-45D0-8CFC-FBACDBC91388}"/>
    <hyperlink ref="B10" r:id="rId11" location="/map/2?center=181.20,-172.96&amp;zoom=-1.00&amp;shown_types=37" xr:uid="{8382FBE0-9EDD-4BDA-82B3-007D19687740}"/>
    <hyperlink ref="B45" r:id="rId12" location="/map/2?center=254.44,-423.51&amp;zoom=1.00&amp;shown_types=41" xr:uid="{9ABFE417-6429-4F5C-9D46-F7BF12C60335}"/>
    <hyperlink ref="B16" r:id="rId13" location="/map/2?center=2975.68,-4528.15&amp;zoom=-2.00&amp;shown_types=401" xr:uid="{EDD14987-AD08-4DB4-9A80-C60366E2766A}"/>
    <hyperlink ref="B5" r:id="rId14" location="/map/2?center=217.97,-233.00&amp;zoom=-1.00&amp;shown_types=31" xr:uid="{E4DBDFE1-D569-457E-ABC0-C43A3DD0E978}"/>
    <hyperlink ref="B29" r:id="rId15" location="/map/2?center=-1286.77,-5306.16&amp;zoom=-2.00&amp;shown_types=501" xr:uid="{29B57709-6B5C-4020-8358-D7322F21CE20}"/>
    <hyperlink ref="B24" r:id="rId16" location="/map/2?center=6150.26,2478.02&amp;zoom=-2.00&amp;shown_types=196" xr:uid="{48D3C0F8-26CE-4B82-A7A6-D60F5B239F1D}"/>
    <hyperlink ref="B18" r:id="rId17" location="/map/2?center=-694.03,-5230.68&amp;zoom=-1.50&amp;shown_types=502" xr:uid="{986C7726-4D27-4876-AA83-319D6DE49DD8}"/>
    <hyperlink ref="B11" r:id="rId18" location="/map/2?center=5816.98,1761.90&amp;zoom=-0.50&amp;shown_types=198" xr:uid="{458DE732-84CE-4C75-832D-065BC5A02A81}"/>
    <hyperlink ref="B7" r:id="rId19" location="/map/2?center=176.71,-3225.43&amp;zoom=-1.50&amp;shown_types=566" xr:uid="{769ACDA5-8941-43F2-801B-EFE8ED12C426}"/>
    <hyperlink ref="B12" r:id="rId20" location="/map/2?center=8522.93,1825.50&amp;zoom=0.00&amp;shown_types=266" xr:uid="{1992B751-4D09-4736-83BE-83895D39939D}"/>
    <hyperlink ref="B23" r:id="rId21" location="/map/2?center=1765.60,-1854.00&amp;zoom=-2.00&amp;shown_types=42" xr:uid="{5E981DAF-9218-4AE1-B52A-5B324847DB4A}"/>
    <hyperlink ref="B41" r:id="rId22" location="/map/2?center=1631.84,-7113.01&amp;zoom=-1.00&amp;shown_types=468" xr:uid="{3A9E850C-4AAA-4E34-8F15-378C668046D2}"/>
    <hyperlink ref="B4" r:id="rId23" location="/map/2?center=-837.74,-5465.99&amp;zoom=-2.00&amp;shown_types=500" xr:uid="{A4F0F00E-0743-4DF3-BB35-C4A7BD2D16A4}"/>
    <hyperlink ref="B15" r:id="rId24" location="/map/2?center=1417.93,-2029.03&amp;zoom=-1.00&amp;shown_types=30" xr:uid="{8ECEDC10-2279-4D66-8F48-4FC8C666EF7C}"/>
    <hyperlink ref="B26" r:id="rId25" location="/map/2?center=325.99,-98.50&amp;zoom=0.00&amp;shown_types=39" xr:uid="{2E84AE05-68B3-4D64-807A-F425E4B0FC94}"/>
    <hyperlink ref="B3" r:id="rId26" location="/map/2?center=6942.89,3456.49&amp;zoom=0.00&amp;shown_types=228" xr:uid="{07385574-BD8C-4C4B-8938-FB8A770C18B8}"/>
    <hyperlink ref="B6" r:id="rId27" location="/map/2?center=-184.75,970.37&amp;zoom=2.00&amp;shown_types=35" xr:uid="{A922599C-3FDB-4724-8822-4A33B5FE902E}"/>
    <hyperlink ref="B31" r:id="rId28" location="/map/2?center=5009.16,3652.48&amp;zoom=0.00&amp;shown_types=199" xr:uid="{C1F2BAAE-9112-4D46-9C4E-68E7CFD4D02F}"/>
    <hyperlink ref="B19" r:id="rId29" location="/map/2?center=-2351.95,-5220.51&amp;zoom=0.00&amp;shown_types=545" xr:uid="{DEFF1D5E-7A2E-4029-9C56-E0E7E24DEC9D}"/>
    <hyperlink ref="B17" r:id="rId30" location="/map/2?center=-1351.89,-4091.52&amp;zoom=0.00&amp;shown_types=548" xr:uid="{75BF463F-B2B1-4B09-AB73-5377B1506AD0}"/>
    <hyperlink ref="B32" r:id="rId31" location="/map/2?center=3210.97,-6031.50&amp;zoom=0.00&amp;shown_types=462" xr:uid="{469FC01A-5A0A-49DD-8D5F-271D4F34783A}"/>
    <hyperlink ref="B40" r:id="rId32" location="/map/2?center=-2377.01,-5216.50&amp;zoom=0.00&amp;shown_types=546" xr:uid="{B0917D66-6BB3-47B8-8918-8438ACC468CF}"/>
    <hyperlink ref="B21" r:id="rId33" location="/map/2?center=6081.86,2638.01&amp;zoom=-2.00&amp;shown_types=197" xr:uid="{CC87F482-3FA9-4BD3-9847-1477F2301870}"/>
    <hyperlink ref="B28" r:id="rId34" location="/map/2?center=-1353.91,-4902.00&amp;zoom=-2.00&amp;shown_types=503" xr:uid="{A178BB9D-29E0-4D14-BD88-1C86708823EF}"/>
    <hyperlink ref="B38" r:id="rId35" location="/map/2?center=-333.52,-4380.75&amp;zoom=1.00&amp;shown_types=549" xr:uid="{DDBCF1D8-A1AF-43FF-989D-60DBEF43E88D}"/>
    <hyperlink ref="B34" r:id="rId36" location="/map/2?center=4468.01,-5707.00&amp;zoom=-1.00&amp;shown_types=430" xr:uid="{BED53B90-E262-4953-A913-93F582DCE90D}"/>
    <hyperlink ref="B13" r:id="rId37" location="/map/2?center=1422.17,-2042.00&amp;zoom=-2.00&amp;shown_types=38" xr:uid="{530CEE86-1FB8-4931-8BC3-5AB47E8EAE5A}"/>
    <hyperlink ref="B25" r:id="rId38" location="/map/2?center=2834.12,-4086.99&amp;zoom=-1.00&amp;shown_types=413" xr:uid="{B2F9406E-0160-4319-BB77-D808E41B39F5}"/>
    <hyperlink ref="B44" r:id="rId39" location="/map/2?center=151.00,-228.77&amp;zoom=-1.00&amp;shown_types=43,28" xr:uid="{7F02922F-0CC9-49D7-8881-4833341F3052}"/>
    <hyperlink ref="B27" r:id="rId40" location="/map/2?center=1358.00,-2145.97&amp;zoom=-2.00&amp;shown_types=32" xr:uid="{8FCB006A-0981-4916-8BDE-BC58E89151A6}"/>
    <hyperlink ref="B42" r:id="rId41" location="/map/2?center=-536.91,541.50&amp;zoom=0.00&amp;shown_types=29" xr:uid="{B671FEF7-0915-422A-868C-D0EE00B434DA}"/>
    <hyperlink ref="B35" r:id="rId42" location="/map/2?center=6033.81,1008.00&amp;zoom=-3.00&amp;shown_types=185" xr:uid="{B9BA11E3-9D49-454B-ACC5-126C73D49231}"/>
    <hyperlink ref="B36" r:id="rId43" location="/map/2?center=1537.42,-1388.12&amp;zoom=-2.00&amp;shown_types=36" xr:uid="{D0B2E912-CF9D-4BCA-BA2B-DE0D737DA267}"/>
    <hyperlink ref="O3:O5" r:id="rId44" location="/map/2?center=1537.77,-3496.18&amp;zoom=-3.00&amp;shown_types=55" display="Hilichurl" xr:uid="{854794FF-BAD2-4D3F-9352-AF5FE4FCC369}"/>
    <hyperlink ref="O6:O8" r:id="rId45" location="/map/2?center=1418.03,-3432.07&amp;zoom=-3.00&amp;shown_types=56" display="Hilichurl Shooter" xr:uid="{299AD4E1-EDF0-4420-9CE0-ECE9D2B6B7AB}"/>
    <hyperlink ref="O9:O11" r:id="rId46" location="/map/2?center=1418.03,-3432.07&amp;zoom=-3.00&amp;shown_types=57" display="Samachurl" xr:uid="{6AC5B992-7F65-4B63-A1F5-AE8FBBA6E0CE}"/>
    <hyperlink ref="O12:O14" r:id="rId47" location="/map/2?center=1418.03,-3432.07&amp;zoom=-3.00&amp;shown_types=59" display="Slime" xr:uid="{6A85DAB1-6DFF-4953-9829-06A851C3CD32}"/>
    <hyperlink ref="O15:O17" r:id="rId48" location="/map/2?center=1418.03,-3432.07&amp;zoom=-3.00&amp;shown_types=58" display="Treasure Hoarder" xr:uid="{684E2CCE-CE55-4222-AA00-6A94DDB5E5B3}"/>
    <hyperlink ref="O18:O20" r:id="rId49" location="/map/2?center=1418.03,-3432.07&amp;zoom=-3.00&amp;shown_types=54" display="Fatui" xr:uid="{2E08C352-365C-4A94-80C8-B91061A4C2D5}"/>
    <hyperlink ref="O21:O23" r:id="rId50" location="/map/2?center=1418.03,-3432.07&amp;zoom=-3.00&amp;shown_types=47" display="Whopper­flower" xr:uid="{A292A664-065F-49F3-B308-872256BC5374}"/>
    <hyperlink ref="O24:O26" r:id="rId51" location="/map/2?center=5645.95,1894.00&amp;zoom=-2.00&amp;shown_types=209" display="Nobushi" xr:uid="{BF7F3838-DA8E-4D29-A426-E750E1161745}"/>
    <hyperlink ref="O27:O29" r:id="rId52" location="/map/2?center=7418.19,1342.03&amp;zoom=-2.00&amp;shown_types=229" display="Specters" xr:uid="{3D630BCE-95FA-4278-97C1-4FF868A1EC3B}"/>
    <hyperlink ref="O30:O32" r:id="rId53" location="/map/2?center=3288.46,-5818.37&amp;zoom=-2.00&amp;shown_types=221" display="Fungi" xr:uid="{E70DA283-1815-4207-94CD-9FDBDA447ACC}"/>
    <hyperlink ref="O33:O35" r:id="rId54" location="/map/2?center=3284.46,-5874.37&amp;zoom=-2.00&amp;shown_types=389" display="The Eremites" xr:uid="{314BE6E4-7ADF-47CD-A4FA-AD2D6DCF88C5}"/>
    <hyperlink ref="O36:O38" r:id="rId55" location="/map/2?center=-861.27,-5506.35&amp;zoom=-2.00&amp;shown_types=493" display="Fontemer Aberrant" xr:uid="{A05BC187-8600-4DE3-A6D6-11A4114A1853}"/>
    <hyperlink ref="O39:O41" r:id="rId56" location="/map/2?center=-861.27,-5506.35&amp;zoom=-2.00&amp;shown_types=494" display="Clockwork Meka" xr:uid="{4A9E6741-C8D7-486F-A3CB-0ACED83AF6F7}"/>
  </hyperlinks>
  <pageMargins left="0.7" right="0.7" top="0.75" bottom="0.75" header="0.3" footer="0.3"/>
  <ignoredErrors>
    <ignoredError sqref="J32:J34 J4:J6 J8:J10 J12:J14 J16:J18 J20:J22 J24:J26 J28:J30" calculatedColumn="1"/>
  </ignoredErrors>
  <tableParts count="3">
    <tablePart r:id="rId57"/>
    <tablePart r:id="rId58"/>
    <tablePart r:id="rId5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/>
  <cp:revision/>
  <dcterms:created xsi:type="dcterms:W3CDTF">2023-12-16T11:28:58Z</dcterms:created>
  <dcterms:modified xsi:type="dcterms:W3CDTF">2024-06-15T18:34:28Z</dcterms:modified>
  <cp:category/>
  <cp:contentStatus/>
</cp:coreProperties>
</file>